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omments16.xml" ContentType="application/vnd.openxmlformats-officedocument.spreadsheetml.comments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omments17.xml" ContentType="application/vnd.openxmlformats-officedocument.spreadsheetml.comment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omments18.xml" ContentType="application/vnd.openxmlformats-officedocument.spreadsheetml.comments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omments19.xml" ContentType="application/vnd.openxmlformats-officedocument.spreadsheetml.comments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omments20.xml" ContentType="application/vnd.openxmlformats-officedocument.spreadsheetml.comments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omments21.xml" ContentType="application/vnd.openxmlformats-officedocument.spreadsheetml.comments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omments22.xml" ContentType="application/vnd.openxmlformats-officedocument.spreadsheetml.comments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omments23.xml" ContentType="application/vnd.openxmlformats-officedocument.spreadsheetml.comments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omments24.xml" ContentType="application/vnd.openxmlformats-officedocument.spreadsheetml.comments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omments25.xml" ContentType="application/vnd.openxmlformats-officedocument.spreadsheetml.comments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omments26.xml" ContentType="application/vnd.openxmlformats-officedocument.spreadsheetml.comments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omments27.xml" ContentType="application/vnd.openxmlformats-officedocument.spreadsheetml.comments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omments28.xml" ContentType="application/vnd.openxmlformats-officedocument.spreadsheetml.comments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omments29.xml" ContentType="application/vnd.openxmlformats-officedocument.spreadsheetml.comments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omments30.xml" ContentType="application/vnd.openxmlformats-officedocument.spreadsheetml.comments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comments31.xml" ContentType="application/vnd.openxmlformats-officedocument.spreadsheetml.comments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comments32.xml" ContentType="application/vnd.openxmlformats-officedocument.spreadsheetml.comments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comments33.xml" ContentType="application/vnd.openxmlformats-officedocument.spreadsheetml.comments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3.xml" ContentType="application/vnd.openxmlformats-officedocument.drawingml.chartshapes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0\"/>
    </mc:Choice>
  </mc:AlternateContent>
  <xr:revisionPtr revIDLastSave="0" documentId="13_ncr:1_{831478AF-843D-4DB0-98BE-5D56D42BBB57}" xr6:coauthVersionLast="47" xr6:coauthVersionMax="47" xr10:uidLastSave="{00000000-0000-0000-0000-000000000000}"/>
  <bookViews>
    <workbookView xWindow="-120" yWindow="-120" windowWidth="29040" windowHeight="15720" tabRatio="852" activeTab="1" xr2:uid="{B37134F1-3819-4264-B908-035369E0179C}"/>
  </bookViews>
  <sheets>
    <sheet name="0" sheetId="68" r:id="rId1"/>
    <sheet name="1" sheetId="69" r:id="rId2"/>
    <sheet name="2" sheetId="70" r:id="rId3"/>
    <sheet name="3" sheetId="71" r:id="rId4"/>
    <sheet name="4" sheetId="72" r:id="rId5"/>
    <sheet name="5" sheetId="73" r:id="rId6"/>
    <sheet name="6" sheetId="74" r:id="rId7"/>
    <sheet name="7" sheetId="75" r:id="rId8"/>
    <sheet name="8" sheetId="76" r:id="rId9"/>
    <sheet name="9" sheetId="77" r:id="rId10"/>
    <sheet name="10" sheetId="80" r:id="rId11"/>
    <sheet name="11" sheetId="81" r:id="rId12"/>
    <sheet name="12" sheetId="82" r:id="rId13"/>
    <sheet name="13" sheetId="83" r:id="rId14"/>
    <sheet name="14" sheetId="84" r:id="rId15"/>
    <sheet name="15" sheetId="85" r:id="rId16"/>
    <sheet name="16" sheetId="86" r:id="rId17"/>
    <sheet name="17" sheetId="87" r:id="rId18"/>
    <sheet name="18" sheetId="88" r:id="rId19"/>
    <sheet name="19" sheetId="89" r:id="rId20"/>
    <sheet name="20" sheetId="90" r:id="rId21"/>
    <sheet name="21" sheetId="91" r:id="rId22"/>
    <sheet name="22" sheetId="92" r:id="rId23"/>
    <sheet name="23" sheetId="93" r:id="rId24"/>
    <sheet name="24" sheetId="94" r:id="rId25"/>
    <sheet name="25" sheetId="95" r:id="rId26"/>
    <sheet name="26" sheetId="96" r:id="rId27"/>
    <sheet name="27" sheetId="97" r:id="rId28"/>
    <sheet name="28" sheetId="98" r:id="rId29"/>
    <sheet name="29" sheetId="99" r:id="rId30"/>
    <sheet name="30" sheetId="101" r:id="rId31"/>
    <sheet name="31" sheetId="102" r:id="rId32"/>
    <sheet name="NSample" sheetId="79" r:id="rId33"/>
    <sheet name="Sheet1" sheetId="4" r:id="rId34"/>
    <sheet name="Praveen" sheetId="18" r:id="rId35"/>
    <sheet name="Total Industrial Load 2080" sheetId="60" r:id="rId36"/>
    <sheet name="Sheet8" sheetId="100" r:id="rId37"/>
  </sheets>
  <externalReferences>
    <externalReference r:id="rId38"/>
  </externalReferences>
  <definedNames>
    <definedName name="_xlnm._FilterDatabase" localSheetId="20" hidden="1">'20'!$A$1:$AI$252</definedName>
    <definedName name="_xlnm._FilterDatabase" localSheetId="33" hidden="1">Sheet1!$A$1:$B$8</definedName>
    <definedName name="IPP" localSheetId="0">#REF!</definedName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30">#REF!</definedName>
    <definedName name="IPP" localSheetId="31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32">#REF!</definedName>
    <definedName name="IPP">#REF!</definedName>
    <definedName name="ippp" localSheetId="0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30">#REF!</definedName>
    <definedName name="ippp" localSheetId="31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32">#REF!</definedName>
    <definedName name="ippp">#REF!</definedName>
    <definedName name="_xlnm.Print_Area" localSheetId="35">'Total Industrial Load 2080'!$A$2:$E$140</definedName>
    <definedName name="sdasdf" localSheetId="0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30">#REF!</definedName>
    <definedName name="sdasdf" localSheetId="31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32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" i="101" l="1"/>
  <c r="AZ16" i="101"/>
  <c r="BA16" i="101"/>
  <c r="BB16" i="101"/>
  <c r="BB22" i="101" s="1"/>
  <c r="BB24" i="101" s="1"/>
  <c r="BC16" i="101"/>
  <c r="BD16" i="101"/>
  <c r="BD22" i="101" s="1"/>
  <c r="BD24" i="101" s="1"/>
  <c r="BE16" i="101"/>
  <c r="BE22" i="101" s="1"/>
  <c r="BE24" i="101" s="1"/>
  <c r="BF16" i="101"/>
  <c r="BF22" i="101" s="1"/>
  <c r="BF24" i="101" s="1"/>
  <c r="BG16" i="101"/>
  <c r="BH16" i="101"/>
  <c r="BI16" i="101"/>
  <c r="BJ16" i="101"/>
  <c r="BK16" i="101"/>
  <c r="BL16" i="101"/>
  <c r="BL22" i="101" s="1"/>
  <c r="BL24" i="101" s="1"/>
  <c r="BM16" i="101"/>
  <c r="BN16" i="101"/>
  <c r="BN22" i="101" s="1"/>
  <c r="BN24" i="101" s="1"/>
  <c r="AY17" i="101"/>
  <c r="AY22" i="101" s="1"/>
  <c r="AY24" i="101" s="1"/>
  <c r="AZ17" i="101"/>
  <c r="BA17" i="101"/>
  <c r="BA22" i="101" s="1"/>
  <c r="BA24" i="101" s="1"/>
  <c r="BB17" i="101"/>
  <c r="BC17" i="101"/>
  <c r="BD17" i="101"/>
  <c r="BE17" i="101"/>
  <c r="BF17" i="101"/>
  <c r="BG17" i="101"/>
  <c r="BH17" i="101"/>
  <c r="BI17" i="101"/>
  <c r="BI22" i="101" s="1"/>
  <c r="BI24" i="101" s="1"/>
  <c r="BJ17" i="101"/>
  <c r="BK17" i="101"/>
  <c r="BL17" i="101"/>
  <c r="BM17" i="101"/>
  <c r="BN17" i="101"/>
  <c r="AY18" i="101"/>
  <c r="AZ18" i="101"/>
  <c r="BA18" i="101"/>
  <c r="BB18" i="101"/>
  <c r="BC18" i="101"/>
  <c r="BC22" i="101" s="1"/>
  <c r="BC24" i="101" s="1"/>
  <c r="BD18" i="101"/>
  <c r="BE18" i="101"/>
  <c r="BF18" i="101"/>
  <c r="BG18" i="101"/>
  <c r="BH18" i="101"/>
  <c r="BI18" i="101"/>
  <c r="BJ18" i="101"/>
  <c r="BJ22" i="101" s="1"/>
  <c r="BJ24" i="101" s="1"/>
  <c r="BK18" i="101"/>
  <c r="BL18" i="101"/>
  <c r="BM18" i="101"/>
  <c r="BN18" i="101"/>
  <c r="AY19" i="101"/>
  <c r="AZ19" i="101"/>
  <c r="BA19" i="101"/>
  <c r="BB19" i="101"/>
  <c r="BC19" i="101"/>
  <c r="BD19" i="101"/>
  <c r="BE19" i="101"/>
  <c r="BF19" i="101"/>
  <c r="BG19" i="101"/>
  <c r="BG22" i="101" s="1"/>
  <c r="BG24" i="101" s="1"/>
  <c r="BH19" i="101"/>
  <c r="BI19" i="101"/>
  <c r="BJ19" i="101"/>
  <c r="BK19" i="101"/>
  <c r="BL19" i="101"/>
  <c r="BM19" i="101"/>
  <c r="BM22" i="101" s="1"/>
  <c r="BM24" i="101" s="1"/>
  <c r="BN19" i="101"/>
  <c r="BO22" i="101"/>
  <c r="BO24" i="101" s="1"/>
  <c r="AY20" i="101"/>
  <c r="AZ20" i="101"/>
  <c r="BA20" i="101"/>
  <c r="BB20" i="101"/>
  <c r="BC20" i="101"/>
  <c r="BD20" i="101"/>
  <c r="BE20" i="101"/>
  <c r="BF20" i="101"/>
  <c r="BG20" i="101"/>
  <c r="BH20" i="101"/>
  <c r="BI20" i="101"/>
  <c r="BJ20" i="101"/>
  <c r="BK20" i="101"/>
  <c r="BL20" i="101"/>
  <c r="BM20" i="101"/>
  <c r="BN20" i="101"/>
  <c r="AY21" i="101"/>
  <c r="AZ21" i="101"/>
  <c r="BA21" i="101"/>
  <c r="BB21" i="101"/>
  <c r="BC21" i="101"/>
  <c r="BD21" i="101"/>
  <c r="BE21" i="101"/>
  <c r="BF21" i="101"/>
  <c r="BG21" i="101"/>
  <c r="BH21" i="101"/>
  <c r="BI21" i="101"/>
  <c r="BJ21" i="101"/>
  <c r="BK21" i="101"/>
  <c r="BL21" i="101"/>
  <c r="BM21" i="101"/>
  <c r="BN21" i="101"/>
  <c r="AZ22" i="101"/>
  <c r="AZ24" i="101" s="1"/>
  <c r="BH22" i="101"/>
  <c r="BH24" i="101" s="1"/>
  <c r="BK22" i="101"/>
  <c r="BK24" i="101" s="1"/>
  <c r="AY23" i="101"/>
  <c r="AZ23" i="101"/>
  <c r="BA23" i="101"/>
  <c r="BB23" i="101"/>
  <c r="BC23" i="101"/>
  <c r="BD23" i="101"/>
  <c r="BE23" i="101"/>
  <c r="BF23" i="101"/>
  <c r="BG23" i="101"/>
  <c r="BH23" i="101"/>
  <c r="BI23" i="101"/>
  <c r="BJ23" i="101"/>
  <c r="BK23" i="101"/>
  <c r="BL23" i="101"/>
  <c r="BM23" i="101"/>
  <c r="BN23" i="101"/>
  <c r="BO23" i="101"/>
  <c r="M121" i="102" l="1"/>
  <c r="M57" i="102"/>
  <c r="L123" i="102"/>
  <c r="K123" i="102"/>
  <c r="J123" i="102" l="1"/>
  <c r="I123" i="102"/>
  <c r="H123" i="102"/>
  <c r="G123" i="102"/>
  <c r="G58" i="102"/>
  <c r="G62" i="102"/>
  <c r="F123" i="102"/>
  <c r="F58" i="102"/>
  <c r="F62" i="102"/>
  <c r="E123" i="102"/>
  <c r="AH125" i="102"/>
  <c r="AI125" i="102"/>
  <c r="AH124" i="102"/>
  <c r="AI124" i="102"/>
  <c r="AG252" i="102"/>
  <c r="C252" i="102"/>
  <c r="D251" i="102"/>
  <c r="L250" i="102"/>
  <c r="M250" i="102" s="1"/>
  <c r="N250" i="102" s="1"/>
  <c r="O250" i="102" s="1"/>
  <c r="P250" i="102" s="1"/>
  <c r="Q250" i="102" s="1"/>
  <c r="R250" i="102" s="1"/>
  <c r="S250" i="102" s="1"/>
  <c r="T250" i="102" s="1"/>
  <c r="U250" i="102" s="1"/>
  <c r="V250" i="102" s="1"/>
  <c r="W250" i="102" s="1"/>
  <c r="X250" i="102" s="1"/>
  <c r="Y250" i="102" s="1"/>
  <c r="Z250" i="102" s="1"/>
  <c r="AA250" i="102" s="1"/>
  <c r="AB250" i="102" s="1"/>
  <c r="AC250" i="102" s="1"/>
  <c r="AD250" i="102" s="1"/>
  <c r="AE250" i="102" s="1"/>
  <c r="AF250" i="102" s="1"/>
  <c r="B250" i="102" s="1"/>
  <c r="F250" i="102"/>
  <c r="G250" i="102" s="1"/>
  <c r="H250" i="102" s="1"/>
  <c r="I250" i="102" s="1"/>
  <c r="J250" i="102" s="1"/>
  <c r="K250" i="102" s="1"/>
  <c r="D250" i="102"/>
  <c r="E250" i="102" s="1"/>
  <c r="T249" i="102"/>
  <c r="U249" i="102" s="1"/>
  <c r="V249" i="102" s="1"/>
  <c r="W249" i="102" s="1"/>
  <c r="X249" i="102" s="1"/>
  <c r="Y249" i="102" s="1"/>
  <c r="Z249" i="102" s="1"/>
  <c r="AA249" i="102" s="1"/>
  <c r="AB249" i="102" s="1"/>
  <c r="AC249" i="102" s="1"/>
  <c r="AD249" i="102" s="1"/>
  <c r="AE249" i="102" s="1"/>
  <c r="AF249" i="102" s="1"/>
  <c r="B249" i="102" s="1"/>
  <c r="D249" i="102"/>
  <c r="E249" i="102" s="1"/>
  <c r="F249" i="102" s="1"/>
  <c r="G249" i="102" s="1"/>
  <c r="H249" i="102" s="1"/>
  <c r="I249" i="102" s="1"/>
  <c r="J249" i="102" s="1"/>
  <c r="K249" i="102" s="1"/>
  <c r="L249" i="102" s="1"/>
  <c r="M249" i="102" s="1"/>
  <c r="N249" i="102" s="1"/>
  <c r="O249" i="102" s="1"/>
  <c r="P249" i="102" s="1"/>
  <c r="Q249" i="102" s="1"/>
  <c r="R249" i="102" s="1"/>
  <c r="S249" i="102" s="1"/>
  <c r="H248" i="102"/>
  <c r="I248" i="102" s="1"/>
  <c r="J248" i="102" s="1"/>
  <c r="K248" i="102" s="1"/>
  <c r="L248" i="102" s="1"/>
  <c r="M248" i="102" s="1"/>
  <c r="N248" i="102" s="1"/>
  <c r="O248" i="102" s="1"/>
  <c r="P248" i="102" s="1"/>
  <c r="Q248" i="102" s="1"/>
  <c r="R248" i="102" s="1"/>
  <c r="S248" i="102" s="1"/>
  <c r="T248" i="102" s="1"/>
  <c r="U248" i="102" s="1"/>
  <c r="V248" i="102" s="1"/>
  <c r="W248" i="102" s="1"/>
  <c r="X248" i="102" s="1"/>
  <c r="Y248" i="102" s="1"/>
  <c r="Z248" i="102" s="1"/>
  <c r="AA248" i="102" s="1"/>
  <c r="AB248" i="102" s="1"/>
  <c r="AC248" i="102" s="1"/>
  <c r="AD248" i="102" s="1"/>
  <c r="AE248" i="102" s="1"/>
  <c r="AF248" i="102" s="1"/>
  <c r="B248" i="102" s="1"/>
  <c r="F248" i="102"/>
  <c r="G248" i="102" s="1"/>
  <c r="E248" i="102"/>
  <c r="D248" i="102"/>
  <c r="F247" i="102"/>
  <c r="G247" i="102" s="1"/>
  <c r="H247" i="102" s="1"/>
  <c r="I247" i="102" s="1"/>
  <c r="J247" i="102" s="1"/>
  <c r="K247" i="102" s="1"/>
  <c r="L247" i="102" s="1"/>
  <c r="M247" i="102" s="1"/>
  <c r="N247" i="102" s="1"/>
  <c r="O247" i="102" s="1"/>
  <c r="P247" i="102" s="1"/>
  <c r="Q247" i="102" s="1"/>
  <c r="R247" i="102" s="1"/>
  <c r="S247" i="102" s="1"/>
  <c r="T247" i="102" s="1"/>
  <c r="U247" i="102" s="1"/>
  <c r="V247" i="102" s="1"/>
  <c r="W247" i="102" s="1"/>
  <c r="X247" i="102" s="1"/>
  <c r="Y247" i="102" s="1"/>
  <c r="Z247" i="102" s="1"/>
  <c r="AA247" i="102" s="1"/>
  <c r="AB247" i="102" s="1"/>
  <c r="AC247" i="102" s="1"/>
  <c r="AD247" i="102" s="1"/>
  <c r="AE247" i="102" s="1"/>
  <c r="AF247" i="102" s="1"/>
  <c r="B247" i="102" s="1"/>
  <c r="D247" i="102"/>
  <c r="E247" i="102" s="1"/>
  <c r="D246" i="102"/>
  <c r="AG244" i="102"/>
  <c r="AF244" i="102"/>
  <c r="AE244" i="102"/>
  <c r="AD244" i="102"/>
  <c r="AC244" i="102"/>
  <c r="AB244" i="102"/>
  <c r="AA244" i="102"/>
  <c r="Z244" i="102"/>
  <c r="Y244" i="102"/>
  <c r="X244" i="102"/>
  <c r="W244" i="102"/>
  <c r="V244" i="102"/>
  <c r="U244" i="102"/>
  <c r="T244" i="102"/>
  <c r="S244" i="102"/>
  <c r="R244" i="102"/>
  <c r="Q244" i="102"/>
  <c r="P244" i="102"/>
  <c r="O244" i="102"/>
  <c r="N244" i="102"/>
  <c r="M244" i="102"/>
  <c r="L244" i="102"/>
  <c r="K244" i="102"/>
  <c r="J244" i="102"/>
  <c r="I244" i="102"/>
  <c r="H244" i="102"/>
  <c r="G244" i="102"/>
  <c r="F244" i="102"/>
  <c r="E244" i="102"/>
  <c r="D244" i="102"/>
  <c r="C244" i="102"/>
  <c r="B244" i="102"/>
  <c r="AI130" i="102"/>
  <c r="AH130" i="102"/>
  <c r="AI129" i="102"/>
  <c r="AH129" i="102"/>
  <c r="AI128" i="102"/>
  <c r="AH128" i="102"/>
  <c r="AI127" i="102"/>
  <c r="AH127" i="102"/>
  <c r="AI126" i="102"/>
  <c r="AH126" i="102"/>
  <c r="AI123" i="102"/>
  <c r="AH123" i="102"/>
  <c r="AI122" i="102"/>
  <c r="AH122" i="102"/>
  <c r="AI121" i="102"/>
  <c r="AH121" i="102"/>
  <c r="AI120" i="102"/>
  <c r="AH120" i="102"/>
  <c r="AI119" i="102"/>
  <c r="AH119" i="102"/>
  <c r="Z118" i="102"/>
  <c r="Y118" i="102"/>
  <c r="C118" i="102"/>
  <c r="AI117" i="102"/>
  <c r="AH117" i="102"/>
  <c r="AI116" i="102"/>
  <c r="AH116" i="102"/>
  <c r="AI115" i="102"/>
  <c r="AH115" i="102"/>
  <c r="AI114" i="102"/>
  <c r="AH114" i="102"/>
  <c r="AI113" i="102"/>
  <c r="AH113" i="102"/>
  <c r="AI112" i="102"/>
  <c r="AH112" i="102"/>
  <c r="AI111" i="102"/>
  <c r="AH111" i="102"/>
  <c r="AI110" i="102"/>
  <c r="AH110" i="102"/>
  <c r="AI109" i="102"/>
  <c r="AH109" i="102"/>
  <c r="AB108" i="102"/>
  <c r="U108" i="102"/>
  <c r="AC107" i="102"/>
  <c r="E107" i="102"/>
  <c r="AP23" i="102" s="1"/>
  <c r="AI106" i="102"/>
  <c r="AH106" i="102"/>
  <c r="AF105" i="102"/>
  <c r="AE105" i="102"/>
  <c r="AD105" i="102"/>
  <c r="AC105" i="102"/>
  <c r="AB105" i="102"/>
  <c r="AA105" i="102"/>
  <c r="Z105" i="102"/>
  <c r="Y105" i="102"/>
  <c r="X105" i="102"/>
  <c r="W105" i="102"/>
  <c r="V105" i="102"/>
  <c r="U105" i="102"/>
  <c r="T105" i="102"/>
  <c r="S105" i="102"/>
  <c r="R105" i="102"/>
  <c r="Q105" i="102"/>
  <c r="P105" i="102"/>
  <c r="O105" i="102"/>
  <c r="N105" i="102"/>
  <c r="M105" i="102"/>
  <c r="L105" i="102"/>
  <c r="K105" i="102"/>
  <c r="J105" i="102"/>
  <c r="I105" i="102"/>
  <c r="H105" i="102"/>
  <c r="G105" i="102"/>
  <c r="F105" i="102"/>
  <c r="E105" i="102"/>
  <c r="D105" i="102"/>
  <c r="C105" i="102"/>
  <c r="B105" i="102"/>
  <c r="AF104" i="102"/>
  <c r="AE104" i="102"/>
  <c r="AD104" i="102"/>
  <c r="AC104" i="102"/>
  <c r="AB104" i="102"/>
  <c r="AA104" i="102"/>
  <c r="Z104" i="102"/>
  <c r="Y104" i="102"/>
  <c r="X104" i="102"/>
  <c r="W104" i="102"/>
  <c r="V104" i="102"/>
  <c r="U104" i="102"/>
  <c r="T104" i="102"/>
  <c r="S104" i="102"/>
  <c r="R104" i="102"/>
  <c r="Q104" i="102"/>
  <c r="P104" i="102"/>
  <c r="O104" i="102"/>
  <c r="N104" i="102"/>
  <c r="M104" i="102"/>
  <c r="L104" i="102"/>
  <c r="K104" i="102"/>
  <c r="J104" i="102"/>
  <c r="I104" i="102"/>
  <c r="H104" i="102"/>
  <c r="G104" i="102"/>
  <c r="F104" i="102"/>
  <c r="E104" i="102"/>
  <c r="D104" i="102"/>
  <c r="C104" i="102"/>
  <c r="B104" i="102"/>
  <c r="AI103" i="102"/>
  <c r="AF103" i="102"/>
  <c r="AF107" i="102" s="1"/>
  <c r="AF108" i="102" s="1"/>
  <c r="AE103" i="102"/>
  <c r="AD103" i="102"/>
  <c r="AC103" i="102"/>
  <c r="AB103" i="102"/>
  <c r="AA103" i="102"/>
  <c r="Z103" i="102"/>
  <c r="Y103" i="102"/>
  <c r="X103" i="102"/>
  <c r="X107" i="102" s="1"/>
  <c r="X108" i="102" s="1"/>
  <c r="W103" i="102"/>
  <c r="V103" i="102"/>
  <c r="U103" i="102"/>
  <c r="T103" i="102"/>
  <c r="S103" i="102"/>
  <c r="R103" i="102"/>
  <c r="Q103" i="102"/>
  <c r="P103" i="102"/>
  <c r="P107" i="102" s="1"/>
  <c r="O103" i="102"/>
  <c r="N103" i="102"/>
  <c r="M103" i="102"/>
  <c r="L103" i="102"/>
  <c r="K103" i="102"/>
  <c r="J103" i="102"/>
  <c r="I103" i="102"/>
  <c r="H103" i="102"/>
  <c r="G103" i="102"/>
  <c r="F103" i="102"/>
  <c r="E103" i="102"/>
  <c r="D103" i="102"/>
  <c r="C103" i="102"/>
  <c r="B103" i="102"/>
  <c r="AF102" i="102"/>
  <c r="AE102" i="102"/>
  <c r="AD102" i="102"/>
  <c r="AD107" i="102" s="1"/>
  <c r="AC102" i="102"/>
  <c r="AB102" i="102"/>
  <c r="AA102" i="102"/>
  <c r="Z102" i="102"/>
  <c r="Y102" i="102"/>
  <c r="Y107" i="102" s="1"/>
  <c r="X102" i="102"/>
  <c r="W102" i="102"/>
  <c r="V102" i="102"/>
  <c r="V107" i="102" s="1"/>
  <c r="U102" i="102"/>
  <c r="T102" i="102"/>
  <c r="S102" i="102"/>
  <c r="R102" i="102"/>
  <c r="Q102" i="102"/>
  <c r="Q107" i="102" s="1"/>
  <c r="P102" i="102"/>
  <c r="O102" i="102"/>
  <c r="N102" i="102"/>
  <c r="N107" i="102" s="1"/>
  <c r="M102" i="102"/>
  <c r="L102" i="102"/>
  <c r="K102" i="102"/>
  <c r="J102" i="102"/>
  <c r="I102" i="102"/>
  <c r="H102" i="102"/>
  <c r="G102" i="102"/>
  <c r="F102" i="102"/>
  <c r="E102" i="102"/>
  <c r="D102" i="102"/>
  <c r="C102" i="102"/>
  <c r="AH102" i="102" s="1"/>
  <c r="B102" i="102"/>
  <c r="AF101" i="102"/>
  <c r="AE101" i="102"/>
  <c r="AD101" i="102"/>
  <c r="AC101" i="102"/>
  <c r="AB101" i="102"/>
  <c r="AB107" i="102" s="1"/>
  <c r="AA101" i="102"/>
  <c r="AA107" i="102" s="1"/>
  <c r="AA108" i="102" s="1"/>
  <c r="Z101" i="102"/>
  <c r="Y101" i="102"/>
  <c r="X101" i="102"/>
  <c r="W101" i="102"/>
  <c r="V101" i="102"/>
  <c r="U101" i="102"/>
  <c r="U107" i="102" s="1"/>
  <c r="T101" i="102"/>
  <c r="T107" i="102" s="1"/>
  <c r="S101" i="102"/>
  <c r="S107" i="102" s="1"/>
  <c r="S108" i="102" s="1"/>
  <c r="R101" i="102"/>
  <c r="Q101" i="102"/>
  <c r="P101" i="102"/>
  <c r="O101" i="102"/>
  <c r="N101" i="102"/>
  <c r="M101" i="102"/>
  <c r="L101" i="102"/>
  <c r="K101" i="102"/>
  <c r="K107" i="102" s="1"/>
  <c r="J101" i="102"/>
  <c r="I101" i="102"/>
  <c r="H101" i="102"/>
  <c r="G101" i="102"/>
  <c r="F101" i="102"/>
  <c r="E101" i="102"/>
  <c r="D101" i="102"/>
  <c r="C101" i="102"/>
  <c r="B101" i="102"/>
  <c r="AI98" i="102"/>
  <c r="AH98" i="102"/>
  <c r="AD97" i="102"/>
  <c r="AD99" i="102" s="1"/>
  <c r="AD100" i="102" s="1"/>
  <c r="V97" i="102"/>
  <c r="V99" i="102" s="1"/>
  <c r="AI96" i="102"/>
  <c r="AH96" i="102"/>
  <c r="AG96" i="102"/>
  <c r="AG99" i="102" s="1"/>
  <c r="AI95" i="102"/>
  <c r="AH95" i="102"/>
  <c r="AI94" i="102"/>
  <c r="AH94" i="102"/>
  <c r="AI93" i="102"/>
  <c r="AH93" i="102"/>
  <c r="AG92" i="102"/>
  <c r="AF92" i="102"/>
  <c r="AE92" i="102"/>
  <c r="AD92" i="102"/>
  <c r="AC92" i="102"/>
  <c r="AC108" i="102" s="1"/>
  <c r="AB92" i="102"/>
  <c r="AA92" i="102"/>
  <c r="Z92" i="102"/>
  <c r="Y92" i="102"/>
  <c r="X92" i="102"/>
  <c r="W92" i="102"/>
  <c r="V92" i="102"/>
  <c r="U92" i="102"/>
  <c r="T92" i="102"/>
  <c r="S92" i="102"/>
  <c r="R92" i="102"/>
  <c r="Q92" i="102"/>
  <c r="P92" i="102"/>
  <c r="O92" i="102"/>
  <c r="N92" i="102"/>
  <c r="AV19" i="102" s="1"/>
  <c r="M92" i="102"/>
  <c r="L5" i="102" s="1"/>
  <c r="L92" i="102"/>
  <c r="K5" i="102" s="1"/>
  <c r="K92" i="102"/>
  <c r="J5" i="102" s="1"/>
  <c r="J92" i="102"/>
  <c r="I5" i="102" s="1"/>
  <c r="I92" i="102"/>
  <c r="H5" i="102" s="1"/>
  <c r="H92" i="102"/>
  <c r="G5" i="102" s="1"/>
  <c r="G92" i="102"/>
  <c r="F5" i="102" s="1"/>
  <c r="F92" i="102"/>
  <c r="AQ19" i="102" s="1"/>
  <c r="E92" i="102"/>
  <c r="AP19" i="102" s="1"/>
  <c r="D92" i="102"/>
  <c r="C5" i="102" s="1"/>
  <c r="C92" i="102"/>
  <c r="AN19" i="102" s="1"/>
  <c r="B92" i="102"/>
  <c r="AF5" i="102" s="1"/>
  <c r="AI91" i="102"/>
  <c r="AH91" i="102"/>
  <c r="AI90" i="102"/>
  <c r="AH90" i="102"/>
  <c r="AI89" i="102"/>
  <c r="AH89" i="102"/>
  <c r="AI88" i="102"/>
  <c r="AH88" i="102"/>
  <c r="AI87" i="102"/>
  <c r="AH87" i="102"/>
  <c r="AI86" i="102"/>
  <c r="AH86" i="102"/>
  <c r="AI85" i="102"/>
  <c r="AH85" i="102"/>
  <c r="AI84" i="102"/>
  <c r="AH84" i="102"/>
  <c r="AI83" i="102"/>
  <c r="AH83" i="102"/>
  <c r="AI82" i="102"/>
  <c r="AH82" i="102"/>
  <c r="AI81" i="102"/>
  <c r="AH81" i="102"/>
  <c r="BT80" i="102"/>
  <c r="BR80" i="102"/>
  <c r="BO80" i="102"/>
  <c r="BL80" i="102"/>
  <c r="BJ80" i="102"/>
  <c r="BB80" i="102"/>
  <c r="AG80" i="102"/>
  <c r="AF80" i="102"/>
  <c r="AE80" i="102"/>
  <c r="AD80" i="102"/>
  <c r="AC80" i="102"/>
  <c r="AB80" i="102"/>
  <c r="AA80" i="102"/>
  <c r="Z80" i="102"/>
  <c r="Y80" i="102"/>
  <c r="X80" i="102"/>
  <c r="W80" i="102"/>
  <c r="V80" i="102"/>
  <c r="U80" i="102"/>
  <c r="T80" i="102"/>
  <c r="S80" i="102"/>
  <c r="R80" i="102"/>
  <c r="Q80" i="102"/>
  <c r="P80" i="102"/>
  <c r="O80" i="102"/>
  <c r="AW20" i="102" s="1"/>
  <c r="N80" i="102"/>
  <c r="M80" i="102"/>
  <c r="AU20" i="102" s="1"/>
  <c r="L80" i="102"/>
  <c r="K80" i="102"/>
  <c r="J80" i="102"/>
  <c r="I80" i="102"/>
  <c r="H80" i="102"/>
  <c r="G80" i="102"/>
  <c r="AR20" i="102" s="1"/>
  <c r="F80" i="102"/>
  <c r="E80" i="102"/>
  <c r="D80" i="102"/>
  <c r="AO20" i="102" s="1"/>
  <c r="C80" i="102"/>
  <c r="AI80" i="102" s="1"/>
  <c r="B80" i="102"/>
  <c r="AM20" i="102" s="1"/>
  <c r="BV79" i="102"/>
  <c r="BT79" i="102"/>
  <c r="BN79" i="102"/>
  <c r="BF79" i="102"/>
  <c r="BD79" i="102"/>
  <c r="AI79" i="102"/>
  <c r="AH79" i="102"/>
  <c r="BV78" i="102"/>
  <c r="BR78" i="102"/>
  <c r="BP78" i="102"/>
  <c r="BO78" i="102"/>
  <c r="BN78" i="102"/>
  <c r="BK78" i="102"/>
  <c r="BH78" i="102"/>
  <c r="AI78" i="102"/>
  <c r="AH78" i="102"/>
  <c r="BR77" i="102"/>
  <c r="BP77" i="102"/>
  <c r="BB77" i="102"/>
  <c r="AI77" i="102"/>
  <c r="AH77" i="102"/>
  <c r="BT76" i="102"/>
  <c r="BQ76" i="102"/>
  <c r="BL76" i="102"/>
  <c r="BJ76" i="102"/>
  <c r="BD76" i="102"/>
  <c r="BC76" i="102"/>
  <c r="BB76" i="102"/>
  <c r="BA76" i="102"/>
  <c r="AF76" i="102"/>
  <c r="AE76" i="102"/>
  <c r="AD76" i="102"/>
  <c r="AC76" i="102"/>
  <c r="AB76" i="102"/>
  <c r="AA76" i="102"/>
  <c r="Z76" i="102"/>
  <c r="Y76" i="102"/>
  <c r="X76" i="102"/>
  <c r="W76" i="102"/>
  <c r="V76" i="102"/>
  <c r="U76" i="102"/>
  <c r="T76" i="102"/>
  <c r="S76" i="102"/>
  <c r="R76" i="102"/>
  <c r="Q76" i="102"/>
  <c r="P76" i="102"/>
  <c r="O76" i="102"/>
  <c r="AW18" i="102" s="1"/>
  <c r="N76" i="102"/>
  <c r="M76" i="102"/>
  <c r="AU18" i="102" s="1"/>
  <c r="L76" i="102"/>
  <c r="K76" i="102"/>
  <c r="AT18" i="102" s="1"/>
  <c r="J76" i="102"/>
  <c r="I76" i="102"/>
  <c r="AS18" i="102" s="1"/>
  <c r="H76" i="102"/>
  <c r="G76" i="102"/>
  <c r="AR18" i="102" s="1"/>
  <c r="F76" i="102"/>
  <c r="E76" i="102"/>
  <c r="AP18" i="102" s="1"/>
  <c r="D76" i="102"/>
  <c r="C76" i="102"/>
  <c r="AN18" i="102" s="1"/>
  <c r="B76" i="102"/>
  <c r="BT75" i="102"/>
  <c r="BQ75" i="102"/>
  <c r="BN75" i="102"/>
  <c r="BL75" i="102"/>
  <c r="BK75" i="102"/>
  <c r="BI75" i="102"/>
  <c r="BD75" i="102"/>
  <c r="BC75" i="102"/>
  <c r="BA75" i="102"/>
  <c r="AI75" i="102"/>
  <c r="AH75" i="102"/>
  <c r="AG75" i="102"/>
  <c r="AG76" i="102" s="1"/>
  <c r="AI74" i="102"/>
  <c r="AH74" i="102"/>
  <c r="BW73" i="102"/>
  <c r="BW80" i="102" s="1"/>
  <c r="BV73" i="102"/>
  <c r="BV80" i="102" s="1"/>
  <c r="BU73" i="102"/>
  <c r="BU80" i="102" s="1"/>
  <c r="BT73" i="102"/>
  <c r="BS73" i="102"/>
  <c r="BS80" i="102" s="1"/>
  <c r="BR73" i="102"/>
  <c r="BQ73" i="102"/>
  <c r="BQ80" i="102" s="1"/>
  <c r="BP73" i="102"/>
  <c r="BP80" i="102" s="1"/>
  <c r="BO73" i="102"/>
  <c r="BN73" i="102"/>
  <c r="BN80" i="102" s="1"/>
  <c r="BM73" i="102"/>
  <c r="BM80" i="102" s="1"/>
  <c r="BL73" i="102"/>
  <c r="BK73" i="102"/>
  <c r="BK80" i="102" s="1"/>
  <c r="BJ73" i="102"/>
  <c r="BI73" i="102"/>
  <c r="BI80" i="102" s="1"/>
  <c r="BH73" i="102"/>
  <c r="BH80" i="102" s="1"/>
  <c r="BG73" i="102"/>
  <c r="BG80" i="102" s="1"/>
  <c r="BF73" i="102"/>
  <c r="BF80" i="102" s="1"/>
  <c r="BE73" i="102"/>
  <c r="BE80" i="102" s="1"/>
  <c r="BD73" i="102"/>
  <c r="BD80" i="102" s="1"/>
  <c r="BC73" i="102"/>
  <c r="BC80" i="102" s="1"/>
  <c r="BB73" i="102"/>
  <c r="BA73" i="102"/>
  <c r="BA80" i="102" s="1"/>
  <c r="AZ73" i="102"/>
  <c r="AZ80" i="102" s="1"/>
  <c r="AI73" i="102"/>
  <c r="AH73" i="102"/>
  <c r="BW72" i="102"/>
  <c r="BW79" i="102" s="1"/>
  <c r="BV72" i="102"/>
  <c r="BU72" i="102"/>
  <c r="BU79" i="102" s="1"/>
  <c r="BT72" i="102"/>
  <c r="BS72" i="102"/>
  <c r="BS79" i="102" s="1"/>
  <c r="BR72" i="102"/>
  <c r="BR79" i="102" s="1"/>
  <c r="BQ72" i="102"/>
  <c r="BQ79" i="102" s="1"/>
  <c r="BP72" i="102"/>
  <c r="BP79" i="102" s="1"/>
  <c r="BO72" i="102"/>
  <c r="BO79" i="102" s="1"/>
  <c r="BN72" i="102"/>
  <c r="BM72" i="102"/>
  <c r="BM79" i="102" s="1"/>
  <c r="BL72" i="102"/>
  <c r="BL79" i="102" s="1"/>
  <c r="BK72" i="102"/>
  <c r="BK79" i="102" s="1"/>
  <c r="BJ72" i="102"/>
  <c r="BJ79" i="102" s="1"/>
  <c r="BI72" i="102"/>
  <c r="BI79" i="102" s="1"/>
  <c r="BH72" i="102"/>
  <c r="BH79" i="102" s="1"/>
  <c r="BG72" i="102"/>
  <c r="BG79" i="102" s="1"/>
  <c r="BF72" i="102"/>
  <c r="BE72" i="102"/>
  <c r="BE79" i="102" s="1"/>
  <c r="BD72" i="102"/>
  <c r="BC72" i="102"/>
  <c r="BC79" i="102" s="1"/>
  <c r="BB72" i="102"/>
  <c r="BB79" i="102" s="1"/>
  <c r="BA72" i="102"/>
  <c r="BA79" i="102" s="1"/>
  <c r="AZ72" i="102"/>
  <c r="AZ79" i="102" s="1"/>
  <c r="AI72" i="102"/>
  <c r="AH72" i="102"/>
  <c r="BW71" i="102"/>
  <c r="BW78" i="102" s="1"/>
  <c r="BV71" i="102"/>
  <c r="BU71" i="102"/>
  <c r="BU78" i="102" s="1"/>
  <c r="BT71" i="102"/>
  <c r="BT78" i="102" s="1"/>
  <c r="BS71" i="102"/>
  <c r="BS78" i="102" s="1"/>
  <c r="BR71" i="102"/>
  <c r="BQ71" i="102"/>
  <c r="BQ78" i="102" s="1"/>
  <c r="BP71" i="102"/>
  <c r="BO71" i="102"/>
  <c r="BN71" i="102"/>
  <c r="BM71" i="102"/>
  <c r="BM78" i="102" s="1"/>
  <c r="BL71" i="102"/>
  <c r="BL78" i="102" s="1"/>
  <c r="BK71" i="102"/>
  <c r="BJ71" i="102"/>
  <c r="BJ78" i="102" s="1"/>
  <c r="BI71" i="102"/>
  <c r="BI78" i="102" s="1"/>
  <c r="BH71" i="102"/>
  <c r="BG71" i="102"/>
  <c r="BG78" i="102" s="1"/>
  <c r="BF71" i="102"/>
  <c r="BF78" i="102" s="1"/>
  <c r="BE71" i="102"/>
  <c r="BE78" i="102" s="1"/>
  <c r="BD71" i="102"/>
  <c r="BD78" i="102" s="1"/>
  <c r="BC71" i="102"/>
  <c r="BC78" i="102" s="1"/>
  <c r="BB71" i="102"/>
  <c r="BB78" i="102" s="1"/>
  <c r="BA71" i="102"/>
  <c r="BA78" i="102" s="1"/>
  <c r="AZ71" i="102"/>
  <c r="AZ78" i="102" s="1"/>
  <c r="AI71" i="102"/>
  <c r="AH71" i="102"/>
  <c r="BW70" i="102"/>
  <c r="BW77" i="102" s="1"/>
  <c r="BV70" i="102"/>
  <c r="BV77" i="102" s="1"/>
  <c r="BU70" i="102"/>
  <c r="BU77" i="102" s="1"/>
  <c r="BT70" i="102"/>
  <c r="BT77" i="102" s="1"/>
  <c r="BS70" i="102"/>
  <c r="BS77" i="102" s="1"/>
  <c r="BR70" i="102"/>
  <c r="BQ70" i="102"/>
  <c r="BQ77" i="102" s="1"/>
  <c r="BP70" i="102"/>
  <c r="BO70" i="102"/>
  <c r="BO77" i="102" s="1"/>
  <c r="BN70" i="102"/>
  <c r="BN77" i="102" s="1"/>
  <c r="BM70" i="102"/>
  <c r="BM77" i="102" s="1"/>
  <c r="BL70" i="102"/>
  <c r="BL77" i="102" s="1"/>
  <c r="BK70" i="102"/>
  <c r="BK77" i="102" s="1"/>
  <c r="BJ70" i="102"/>
  <c r="BJ77" i="102" s="1"/>
  <c r="BI70" i="102"/>
  <c r="BI77" i="102" s="1"/>
  <c r="BH70" i="102"/>
  <c r="BH77" i="102" s="1"/>
  <c r="BG70" i="102"/>
  <c r="BG77" i="102" s="1"/>
  <c r="BF70" i="102"/>
  <c r="BF77" i="102" s="1"/>
  <c r="BE70" i="102"/>
  <c r="BE77" i="102" s="1"/>
  <c r="BD70" i="102"/>
  <c r="BD77" i="102" s="1"/>
  <c r="BC70" i="102"/>
  <c r="BC77" i="102" s="1"/>
  <c r="BB70" i="102"/>
  <c r="BA70" i="102"/>
  <c r="BA77" i="102" s="1"/>
  <c r="AZ70" i="102"/>
  <c r="AZ77" i="102" s="1"/>
  <c r="AI70" i="102"/>
  <c r="AH70" i="102"/>
  <c r="BW69" i="102"/>
  <c r="BW76" i="102" s="1"/>
  <c r="BV69" i="102"/>
  <c r="BV76" i="102" s="1"/>
  <c r="BU69" i="102"/>
  <c r="BU76" i="102" s="1"/>
  <c r="BT69" i="102"/>
  <c r="BS69" i="102"/>
  <c r="BS76" i="102" s="1"/>
  <c r="BR69" i="102"/>
  <c r="BR76" i="102" s="1"/>
  <c r="BQ69" i="102"/>
  <c r="BP69" i="102"/>
  <c r="BP76" i="102" s="1"/>
  <c r="BO69" i="102"/>
  <c r="BO76" i="102" s="1"/>
  <c r="BN69" i="102"/>
  <c r="BN76" i="102" s="1"/>
  <c r="BM69" i="102"/>
  <c r="BM76" i="102" s="1"/>
  <c r="BL69" i="102"/>
  <c r="BK69" i="102"/>
  <c r="BK76" i="102" s="1"/>
  <c r="BJ69" i="102"/>
  <c r="BI69" i="102"/>
  <c r="BI76" i="102" s="1"/>
  <c r="BH69" i="102"/>
  <c r="BH76" i="102" s="1"/>
  <c r="BG69" i="102"/>
  <c r="BG76" i="102" s="1"/>
  <c r="BF69" i="102"/>
  <c r="BF76" i="102" s="1"/>
  <c r="BE69" i="102"/>
  <c r="BE76" i="102" s="1"/>
  <c r="BD69" i="102"/>
  <c r="BC69" i="102"/>
  <c r="BB69" i="102"/>
  <c r="BA69" i="102"/>
  <c r="AZ69" i="102"/>
  <c r="AZ76" i="102" s="1"/>
  <c r="AI69" i="102"/>
  <c r="AH69" i="102"/>
  <c r="BW68" i="102"/>
  <c r="BW75" i="102" s="1"/>
  <c r="BV68" i="102"/>
  <c r="BV75" i="102" s="1"/>
  <c r="BU68" i="102"/>
  <c r="BU75" i="102" s="1"/>
  <c r="BT68" i="102"/>
  <c r="BS68" i="102"/>
  <c r="BS75" i="102" s="1"/>
  <c r="BR68" i="102"/>
  <c r="BR75" i="102" s="1"/>
  <c r="BQ68" i="102"/>
  <c r="BP68" i="102"/>
  <c r="BP75" i="102" s="1"/>
  <c r="BO68" i="102"/>
  <c r="BO75" i="102" s="1"/>
  <c r="BN68" i="102"/>
  <c r="BM68" i="102"/>
  <c r="BM75" i="102" s="1"/>
  <c r="BL68" i="102"/>
  <c r="BK68" i="102"/>
  <c r="BJ68" i="102"/>
  <c r="BJ75" i="102" s="1"/>
  <c r="BI68" i="102"/>
  <c r="BH68" i="102"/>
  <c r="BH75" i="102" s="1"/>
  <c r="BG68" i="102"/>
  <c r="BG75" i="102" s="1"/>
  <c r="BF68" i="102"/>
  <c r="BF75" i="102" s="1"/>
  <c r="BE68" i="102"/>
  <c r="BE75" i="102" s="1"/>
  <c r="BD68" i="102"/>
  <c r="BC68" i="102"/>
  <c r="BB68" i="102"/>
  <c r="BB75" i="102" s="1"/>
  <c r="BA68" i="102"/>
  <c r="AZ68" i="102"/>
  <c r="AI68" i="102"/>
  <c r="AH68" i="102"/>
  <c r="AI67" i="102"/>
  <c r="AH67" i="102"/>
  <c r="AI66" i="102"/>
  <c r="AH66" i="102"/>
  <c r="AI65" i="102"/>
  <c r="AH65" i="102"/>
  <c r="AI64" i="102"/>
  <c r="AH64" i="102"/>
  <c r="AI63" i="102"/>
  <c r="AH63" i="102"/>
  <c r="AG62" i="102"/>
  <c r="AF62" i="102"/>
  <c r="AE62" i="102"/>
  <c r="AD62" i="102"/>
  <c r="AC62" i="102"/>
  <c r="AB62" i="102"/>
  <c r="AA62" i="102"/>
  <c r="Z62" i="102"/>
  <c r="Y62" i="102"/>
  <c r="X62" i="102"/>
  <c r="W62" i="102"/>
  <c r="V62" i="102"/>
  <c r="U62" i="102"/>
  <c r="T62" i="102"/>
  <c r="S62" i="102"/>
  <c r="R62" i="102"/>
  <c r="Q62" i="102"/>
  <c r="P62" i="102"/>
  <c r="AX17" i="102" s="1"/>
  <c r="O62" i="102"/>
  <c r="AW17" i="102" s="1"/>
  <c r="N62" i="102"/>
  <c r="M62" i="102"/>
  <c r="AU17" i="102" s="1"/>
  <c r="L62" i="102"/>
  <c r="K62" i="102"/>
  <c r="J62" i="102"/>
  <c r="I62" i="102"/>
  <c r="AS17" i="102" s="1"/>
  <c r="H62" i="102"/>
  <c r="E62" i="102"/>
  <c r="AP17" i="102" s="1"/>
  <c r="D62" i="102"/>
  <c r="C62" i="102"/>
  <c r="AN17" i="102" s="1"/>
  <c r="B62" i="102"/>
  <c r="AI61" i="102"/>
  <c r="AH61" i="102"/>
  <c r="AI60" i="102"/>
  <c r="AH60" i="102"/>
  <c r="AI59" i="102"/>
  <c r="AH59" i="102"/>
  <c r="AG58" i="102"/>
  <c r="AG2" i="102" s="1"/>
  <c r="AF58" i="102"/>
  <c r="AF97" i="102" s="1"/>
  <c r="AF99" i="102" s="1"/>
  <c r="AF100" i="102" s="1"/>
  <c r="AE58" i="102"/>
  <c r="AE97" i="102" s="1"/>
  <c r="AE99" i="102" s="1"/>
  <c r="AD58" i="102"/>
  <c r="AC58" i="102"/>
  <c r="AB58" i="102"/>
  <c r="AA58" i="102"/>
  <c r="AA97" i="102" s="1"/>
  <c r="AA99" i="102" s="1"/>
  <c r="AA100" i="102" s="1"/>
  <c r="AA7" i="102" s="1"/>
  <c r="Z58" i="102"/>
  <c r="Z97" i="102" s="1"/>
  <c r="Z99" i="102" s="1"/>
  <c r="Y58" i="102"/>
  <c r="Y97" i="102" s="1"/>
  <c r="Y99" i="102" s="1"/>
  <c r="Y100" i="102" s="1"/>
  <c r="Y7" i="102" s="1"/>
  <c r="X58" i="102"/>
  <c r="X97" i="102" s="1"/>
  <c r="X99" i="102" s="1"/>
  <c r="X100" i="102" s="1"/>
  <c r="X7" i="102" s="1"/>
  <c r="W58" i="102"/>
  <c r="W97" i="102" s="1"/>
  <c r="W99" i="102" s="1"/>
  <c r="V58" i="102"/>
  <c r="U58" i="102"/>
  <c r="T58" i="102"/>
  <c r="S58" i="102"/>
  <c r="S97" i="102" s="1"/>
  <c r="S99" i="102" s="1"/>
  <c r="S100" i="102" s="1"/>
  <c r="S7" i="102" s="1"/>
  <c r="R58" i="102"/>
  <c r="Q58" i="102"/>
  <c r="Q97" i="102" s="1"/>
  <c r="Q99" i="102" s="1"/>
  <c r="P58" i="102"/>
  <c r="P97" i="102" s="1"/>
  <c r="P99" i="102" s="1"/>
  <c r="O58" i="102"/>
  <c r="AW16" i="102" s="1"/>
  <c r="N58" i="102"/>
  <c r="M58" i="102"/>
  <c r="L58" i="102"/>
  <c r="K58" i="102"/>
  <c r="J58" i="102"/>
  <c r="I58" i="102"/>
  <c r="H58" i="102"/>
  <c r="AQ16" i="102"/>
  <c r="E58" i="102"/>
  <c r="D58" i="102"/>
  <c r="C58" i="102"/>
  <c r="B58" i="102"/>
  <c r="AI57" i="102"/>
  <c r="AH57" i="102"/>
  <c r="AI56" i="102"/>
  <c r="AH56" i="102"/>
  <c r="AI55" i="102"/>
  <c r="AH55" i="102"/>
  <c r="AI54" i="102"/>
  <c r="AH54" i="102"/>
  <c r="AI53" i="102"/>
  <c r="AH53" i="102"/>
  <c r="AI52" i="102"/>
  <c r="AH52" i="102"/>
  <c r="AI51" i="102"/>
  <c r="AH51" i="102"/>
  <c r="AI50" i="102"/>
  <c r="AH50" i="102"/>
  <c r="AI49" i="102"/>
  <c r="AH49" i="102"/>
  <c r="AI48" i="102"/>
  <c r="AH48" i="102"/>
  <c r="AI47" i="102"/>
  <c r="AH47" i="102"/>
  <c r="AI46" i="102"/>
  <c r="AH46" i="102"/>
  <c r="AI45" i="102"/>
  <c r="AH45" i="102"/>
  <c r="AI44" i="102"/>
  <c r="AH44" i="102"/>
  <c r="AI43" i="102"/>
  <c r="AH43" i="102"/>
  <c r="AI42" i="102"/>
  <c r="AH42" i="102"/>
  <c r="AI41" i="102"/>
  <c r="AH41" i="102"/>
  <c r="AI40" i="102"/>
  <c r="AH40" i="102"/>
  <c r="AI39" i="102"/>
  <c r="AH39" i="102"/>
  <c r="AI38" i="102"/>
  <c r="AH38" i="102"/>
  <c r="AI37" i="102"/>
  <c r="AH37" i="102"/>
  <c r="AI36" i="102"/>
  <c r="AH36" i="102"/>
  <c r="AI35" i="102"/>
  <c r="AH35" i="102"/>
  <c r="AI34" i="102"/>
  <c r="AH34" i="102"/>
  <c r="AI33" i="102"/>
  <c r="AH33" i="102"/>
  <c r="AI32" i="102"/>
  <c r="AH32" i="102"/>
  <c r="AI31" i="102"/>
  <c r="AH31" i="102"/>
  <c r="AI30" i="102"/>
  <c r="AH30" i="102"/>
  <c r="AI29" i="102"/>
  <c r="AH29" i="102"/>
  <c r="AI28" i="102"/>
  <c r="AH28" i="102"/>
  <c r="AI27" i="102"/>
  <c r="AH27" i="102"/>
  <c r="AI26" i="102"/>
  <c r="AH26" i="102"/>
  <c r="AI25" i="102"/>
  <c r="AH25" i="102"/>
  <c r="AI24" i="102"/>
  <c r="AH24" i="102"/>
  <c r="AV23" i="102"/>
  <c r="AT23" i="102"/>
  <c r="AI23" i="102"/>
  <c r="AH23" i="102"/>
  <c r="AI22" i="102"/>
  <c r="AH22" i="102"/>
  <c r="AX21" i="102"/>
  <c r="AW21" i="102"/>
  <c r="AV21" i="102"/>
  <c r="AU21" i="102"/>
  <c r="AT21" i="102"/>
  <c r="AS21" i="102"/>
  <c r="AR21" i="102"/>
  <c r="AQ21" i="102"/>
  <c r="AP21" i="102"/>
  <c r="AO21" i="102"/>
  <c r="AN21" i="102"/>
  <c r="AM21" i="102"/>
  <c r="AI21" i="102"/>
  <c r="AH21" i="102"/>
  <c r="AX20" i="102"/>
  <c r="AV20" i="102"/>
  <c r="AT20" i="102"/>
  <c r="AS20" i="102"/>
  <c r="AQ20" i="102"/>
  <c r="AP20" i="102"/>
  <c r="AI20" i="102"/>
  <c r="AH20" i="102"/>
  <c r="AX19" i="102"/>
  <c r="AW19" i="102"/>
  <c r="AI19" i="102"/>
  <c r="AH19" i="102"/>
  <c r="AX18" i="102"/>
  <c r="AV18" i="102"/>
  <c r="AO18" i="102"/>
  <c r="AM18" i="102"/>
  <c r="AI18" i="102"/>
  <c r="AH18" i="102"/>
  <c r="AV17" i="102"/>
  <c r="AT17" i="102"/>
  <c r="AR17" i="102"/>
  <c r="AQ17" i="102"/>
  <c r="AO17" i="102"/>
  <c r="AI17" i="102"/>
  <c r="AH17" i="102"/>
  <c r="AX16" i="102"/>
  <c r="AV16" i="102"/>
  <c r="AV22" i="102" s="1"/>
  <c r="AV24" i="102" s="1"/>
  <c r="AS16" i="102"/>
  <c r="AO16" i="102"/>
  <c r="AN16" i="102"/>
  <c r="AI16" i="102"/>
  <c r="AH16" i="102"/>
  <c r="AI15" i="102"/>
  <c r="AH15" i="102"/>
  <c r="AI14" i="102"/>
  <c r="AH14" i="102"/>
  <c r="AI13" i="102"/>
  <c r="AH13" i="102"/>
  <c r="AL12" i="102"/>
  <c r="AI12" i="102"/>
  <c r="AH12" i="102"/>
  <c r="AI11" i="102"/>
  <c r="AH11" i="102"/>
  <c r="AF7" i="102"/>
  <c r="AD7" i="102"/>
  <c r="AE5" i="102"/>
  <c r="AD5" i="102"/>
  <c r="AB5" i="102"/>
  <c r="AA5" i="102"/>
  <c r="Z5" i="102"/>
  <c r="Y5" i="102"/>
  <c r="X5" i="102"/>
  <c r="W5" i="102"/>
  <c r="V5" i="102"/>
  <c r="T5" i="102"/>
  <c r="S5" i="102"/>
  <c r="R5" i="102"/>
  <c r="Q5" i="102"/>
  <c r="P5" i="102"/>
  <c r="O5" i="102"/>
  <c r="N5" i="102"/>
  <c r="AG4" i="102"/>
  <c r="K4" i="102"/>
  <c r="E4" i="102"/>
  <c r="H4" i="102" s="1"/>
  <c r="B4" i="102"/>
  <c r="D258" i="102" s="1"/>
  <c r="AG3" i="102"/>
  <c r="AG6" i="102" s="1"/>
  <c r="AE123" i="101"/>
  <c r="AD123" i="101"/>
  <c r="AC123" i="101"/>
  <c r="AC58" i="101"/>
  <c r="E47" i="60"/>
  <c r="AB123" i="101"/>
  <c r="AB58" i="101"/>
  <c r="AA123" i="101"/>
  <c r="AA58" i="101"/>
  <c r="AA62" i="101"/>
  <c r="AA76" i="101"/>
  <c r="AA80" i="101"/>
  <c r="AA92" i="101"/>
  <c r="AA101" i="101"/>
  <c r="AA102" i="101"/>
  <c r="AA103" i="101"/>
  <c r="AA104" i="101"/>
  <c r="AA105" i="101"/>
  <c r="AA118" i="101"/>
  <c r="Z123" i="101"/>
  <c r="Z118" i="101"/>
  <c r="Z105" i="101"/>
  <c r="Z104" i="101"/>
  <c r="Z103" i="101"/>
  <c r="Z102" i="101"/>
  <c r="Z101" i="101"/>
  <c r="Z107" i="101" s="1"/>
  <c r="Z92" i="101"/>
  <c r="Z108" i="101" s="1"/>
  <c r="Z80" i="101"/>
  <c r="Z76" i="101"/>
  <c r="Z62" i="101"/>
  <c r="Z97" i="101" s="1"/>
  <c r="Z99" i="101" s="1"/>
  <c r="Z58" i="101"/>
  <c r="Y123" i="101"/>
  <c r="Y58" i="101"/>
  <c r="Y62" i="101"/>
  <c r="Y76" i="101"/>
  <c r="Y80" i="101"/>
  <c r="Y92" i="101"/>
  <c r="Y101" i="101"/>
  <c r="Y102" i="101"/>
  <c r="Y103" i="101"/>
  <c r="Y104" i="101"/>
  <c r="Y105" i="101"/>
  <c r="Y118" i="101"/>
  <c r="X123" i="101"/>
  <c r="X58" i="101"/>
  <c r="X62" i="101"/>
  <c r="X76" i="101"/>
  <c r="X80" i="101"/>
  <c r="X92" i="101"/>
  <c r="X101" i="101"/>
  <c r="X102" i="101"/>
  <c r="X103" i="101"/>
  <c r="X104" i="101"/>
  <c r="X105" i="101"/>
  <c r="X118" i="101"/>
  <c r="W58" i="101"/>
  <c r="W62" i="101"/>
  <c r="W76" i="101"/>
  <c r="W80" i="101"/>
  <c r="W92" i="101"/>
  <c r="W101" i="101"/>
  <c r="W102" i="101"/>
  <c r="W103" i="101"/>
  <c r="W104" i="101"/>
  <c r="W105" i="101"/>
  <c r="W118" i="101"/>
  <c r="W123" i="101"/>
  <c r="V123" i="101"/>
  <c r="V58" i="101"/>
  <c r="V62" i="101"/>
  <c r="V76" i="101"/>
  <c r="V80" i="101"/>
  <c r="V92" i="101"/>
  <c r="V101" i="101"/>
  <c r="V107" i="101" s="1"/>
  <c r="V102" i="101"/>
  <c r="V103" i="101"/>
  <c r="V104" i="101"/>
  <c r="V105" i="101"/>
  <c r="V118" i="101"/>
  <c r="U123" i="101"/>
  <c r="U58" i="101"/>
  <c r="U62" i="101"/>
  <c r="U76" i="101"/>
  <c r="U80" i="101"/>
  <c r="U92" i="101"/>
  <c r="U101" i="101"/>
  <c r="U107" i="101" s="1"/>
  <c r="U102" i="101"/>
  <c r="U103" i="101"/>
  <c r="U104" i="101"/>
  <c r="U105" i="101"/>
  <c r="U118" i="101"/>
  <c r="T123" i="101"/>
  <c r="T58" i="101"/>
  <c r="T62" i="101"/>
  <c r="T76" i="101"/>
  <c r="T80" i="101"/>
  <c r="T92" i="101"/>
  <c r="T101" i="101"/>
  <c r="T102" i="101"/>
  <c r="T103" i="101"/>
  <c r="T104" i="101"/>
  <c r="T105" i="101"/>
  <c r="T118" i="101"/>
  <c r="S123" i="101"/>
  <c r="S58" i="101"/>
  <c r="S62" i="101"/>
  <c r="S76" i="101"/>
  <c r="S80" i="101"/>
  <c r="S92" i="101"/>
  <c r="S101" i="101"/>
  <c r="S102" i="101"/>
  <c r="S103" i="101"/>
  <c r="S104" i="101"/>
  <c r="S105" i="101"/>
  <c r="S118" i="101"/>
  <c r="Q123" i="101"/>
  <c r="Q121" i="101"/>
  <c r="Q57" i="101"/>
  <c r="P123" i="101"/>
  <c r="P121" i="101"/>
  <c r="P57" i="101"/>
  <c r="O123" i="101"/>
  <c r="O121" i="101"/>
  <c r="O57" i="101"/>
  <c r="N123" i="101"/>
  <c r="N121" i="101"/>
  <c r="N57" i="101"/>
  <c r="M123" i="101"/>
  <c r="M57" i="101"/>
  <c r="L123" i="101"/>
  <c r="L58" i="101"/>
  <c r="K58" i="101"/>
  <c r="J123" i="101"/>
  <c r="J58" i="101"/>
  <c r="I123" i="101"/>
  <c r="I58" i="101"/>
  <c r="H123" i="101"/>
  <c r="F123" i="101"/>
  <c r="G123" i="101"/>
  <c r="G58" i="101"/>
  <c r="G62" i="101"/>
  <c r="E123" i="101"/>
  <c r="E58" i="101"/>
  <c r="F58" i="101"/>
  <c r="E62" i="101"/>
  <c r="F62" i="101"/>
  <c r="E76" i="101"/>
  <c r="F76" i="101"/>
  <c r="D123" i="101"/>
  <c r="M107" i="102" l="1"/>
  <c r="AU23" i="102" s="1"/>
  <c r="L107" i="102"/>
  <c r="L108" i="102" s="1"/>
  <c r="AT19" i="102"/>
  <c r="K108" i="102"/>
  <c r="K97" i="102"/>
  <c r="K99" i="102" s="1"/>
  <c r="K100" i="102" s="1"/>
  <c r="K7" i="102" s="1"/>
  <c r="AT16" i="102"/>
  <c r="J97" i="102"/>
  <c r="J99" i="102" s="1"/>
  <c r="I107" i="102"/>
  <c r="AS23" i="102" s="1"/>
  <c r="I97" i="102"/>
  <c r="I99" i="102" s="1"/>
  <c r="I100" i="102" s="1"/>
  <c r="I7" i="102" s="1"/>
  <c r="H107" i="102"/>
  <c r="H108" i="102" s="1"/>
  <c r="H97" i="102"/>
  <c r="H99" i="102" s="1"/>
  <c r="H100" i="102" s="1"/>
  <c r="H7" i="102" s="1"/>
  <c r="AR19" i="102"/>
  <c r="G97" i="102"/>
  <c r="G99" i="102" s="1"/>
  <c r="F107" i="102"/>
  <c r="AQ23" i="102" s="1"/>
  <c r="D5" i="102"/>
  <c r="AI62" i="102"/>
  <c r="E97" i="102"/>
  <c r="E99" i="102" s="1"/>
  <c r="E100" i="102" s="1"/>
  <c r="E7" i="102" s="1"/>
  <c r="AP16" i="102"/>
  <c r="AP22" i="102" s="1"/>
  <c r="AP24" i="102" s="1"/>
  <c r="D107" i="102"/>
  <c r="AO19" i="102"/>
  <c r="AO22" i="102" s="1"/>
  <c r="B5" i="102"/>
  <c r="C107" i="102"/>
  <c r="C97" i="102"/>
  <c r="C99" i="102" s="1"/>
  <c r="AH104" i="102"/>
  <c r="AM19" i="102"/>
  <c r="AH105" i="102"/>
  <c r="AL13" i="102"/>
  <c r="V100" i="102"/>
  <c r="V7" i="102" s="1"/>
  <c r="P108" i="102"/>
  <c r="AX23" i="102"/>
  <c r="AX22" i="102"/>
  <c r="AX24" i="102" s="1"/>
  <c r="AW22" i="102"/>
  <c r="P100" i="102"/>
  <c r="P7" i="102" s="1"/>
  <c r="BG84" i="102" a="1"/>
  <c r="AH76" i="102"/>
  <c r="AI101" i="102"/>
  <c r="E251" i="102"/>
  <c r="F251" i="102" s="1"/>
  <c r="G251" i="102" s="1"/>
  <c r="H251" i="102" s="1"/>
  <c r="I251" i="102" s="1"/>
  <c r="J251" i="102" s="1"/>
  <c r="K251" i="102" s="1"/>
  <c r="L251" i="102" s="1"/>
  <c r="M251" i="102" s="1"/>
  <c r="N251" i="102" s="1"/>
  <c r="O251" i="102" s="1"/>
  <c r="P251" i="102" s="1"/>
  <c r="Q251" i="102" s="1"/>
  <c r="R251" i="102" s="1"/>
  <c r="S251" i="102" s="1"/>
  <c r="T251" i="102" s="1"/>
  <c r="U251" i="102" s="1"/>
  <c r="V251" i="102" s="1"/>
  <c r="W251" i="102" s="1"/>
  <c r="X251" i="102" s="1"/>
  <c r="Y251" i="102" s="1"/>
  <c r="Z251" i="102" s="1"/>
  <c r="AA251" i="102" s="1"/>
  <c r="AB251" i="102" s="1"/>
  <c r="AC251" i="102" s="1"/>
  <c r="AD251" i="102" s="1"/>
  <c r="AE251" i="102" s="1"/>
  <c r="AF251" i="102" s="1"/>
  <c r="B251" i="102" s="1"/>
  <c r="D118" i="102"/>
  <c r="AN20" i="102"/>
  <c r="AN22" i="102" s="1"/>
  <c r="Q100" i="102"/>
  <c r="Q7" i="102" s="1"/>
  <c r="I108" i="102"/>
  <c r="AS19" i="102"/>
  <c r="AS22" i="102" s="1"/>
  <c r="AS24" i="102" s="1"/>
  <c r="Q108" i="102"/>
  <c r="Y108" i="102"/>
  <c r="AI102" i="102"/>
  <c r="AH103" i="102"/>
  <c r="AI104" i="102"/>
  <c r="AM17" i="102"/>
  <c r="AG97" i="102"/>
  <c r="AM16" i="102"/>
  <c r="B97" i="102"/>
  <c r="R97" i="102"/>
  <c r="R99" i="102" s="1"/>
  <c r="R100" i="102" s="1"/>
  <c r="R7" i="102" s="1"/>
  <c r="AH58" i="102"/>
  <c r="AH62" i="102"/>
  <c r="AI58" i="102"/>
  <c r="D97" i="102"/>
  <c r="D99" i="102" s="1"/>
  <c r="D100" i="102" s="1"/>
  <c r="D7" i="102" s="1"/>
  <c r="AR16" i="102"/>
  <c r="L97" i="102"/>
  <c r="L99" i="102" s="1"/>
  <c r="T97" i="102"/>
  <c r="T99" i="102" s="1"/>
  <c r="T100" i="102" s="1"/>
  <c r="T7" i="102" s="1"/>
  <c r="AB97" i="102"/>
  <c r="AB99" i="102" s="1"/>
  <c r="AB100" i="102" s="1"/>
  <c r="AB7" i="102" s="1"/>
  <c r="AQ18" i="102"/>
  <c r="AQ22" i="102" s="1"/>
  <c r="AQ24" i="102" s="1"/>
  <c r="F97" i="102"/>
  <c r="F99" i="102" s="1"/>
  <c r="F100" i="102" s="1"/>
  <c r="F7" i="102" s="1"/>
  <c r="N97" i="102"/>
  <c r="N99" i="102" s="1"/>
  <c r="N100" i="102" s="1"/>
  <c r="N7" i="102" s="1"/>
  <c r="T108" i="102"/>
  <c r="M97" i="102"/>
  <c r="M99" i="102" s="1"/>
  <c r="M100" i="102" s="1"/>
  <c r="M7" i="102" s="1"/>
  <c r="AU16" i="102"/>
  <c r="U97" i="102"/>
  <c r="U99" i="102" s="1"/>
  <c r="U100" i="102" s="1"/>
  <c r="U7" i="102" s="1"/>
  <c r="AC97" i="102"/>
  <c r="AC99" i="102" s="1"/>
  <c r="AC100" i="102" s="1"/>
  <c r="AC7" i="102" s="1"/>
  <c r="E108" i="102"/>
  <c r="F108" i="102"/>
  <c r="E5" i="102"/>
  <c r="N108" i="102"/>
  <c r="M5" i="102"/>
  <c r="V108" i="102"/>
  <c r="U5" i="102"/>
  <c r="AD108" i="102"/>
  <c r="AC5" i="102"/>
  <c r="O97" i="102"/>
  <c r="O99" i="102" s="1"/>
  <c r="W100" i="102"/>
  <c r="W7" i="102" s="1"/>
  <c r="AZ75" i="102"/>
  <c r="AI76" i="102"/>
  <c r="W108" i="102"/>
  <c r="AU19" i="102"/>
  <c r="AI92" i="102"/>
  <c r="AH92" i="102"/>
  <c r="B107" i="102"/>
  <c r="AH101" i="102"/>
  <c r="J107" i="102"/>
  <c r="J108" i="102" s="1"/>
  <c r="R107" i="102"/>
  <c r="R108" i="102" s="1"/>
  <c r="Z107" i="102"/>
  <c r="Z108" i="102" s="1"/>
  <c r="AH80" i="102"/>
  <c r="AI105" i="102"/>
  <c r="G107" i="102"/>
  <c r="G100" i="102" s="1"/>
  <c r="G7" i="102" s="1"/>
  <c r="O107" i="102"/>
  <c r="W107" i="102"/>
  <c r="AE107" i="102"/>
  <c r="AE108" i="102" s="1"/>
  <c r="D252" i="102"/>
  <c r="E246" i="102"/>
  <c r="AA97" i="101"/>
  <c r="AA99" i="101" s="1"/>
  <c r="AA107" i="101"/>
  <c r="AA108" i="101" s="1"/>
  <c r="Z100" i="101"/>
  <c r="Y107" i="101"/>
  <c r="Y97" i="101"/>
  <c r="Y99" i="101" s="1"/>
  <c r="Y108" i="101"/>
  <c r="X97" i="101"/>
  <c r="X99" i="101" s="1"/>
  <c r="X100" i="101" s="1"/>
  <c r="X107" i="101"/>
  <c r="X108" i="101" s="1"/>
  <c r="W107" i="101"/>
  <c r="W108" i="101" s="1"/>
  <c r="W97" i="101"/>
  <c r="W99" i="101" s="1"/>
  <c r="V97" i="101"/>
  <c r="V99" i="101" s="1"/>
  <c r="V100" i="101" s="1"/>
  <c r="V108" i="101"/>
  <c r="U108" i="101"/>
  <c r="U97" i="101"/>
  <c r="U99" i="101" s="1"/>
  <c r="U100" i="101" s="1"/>
  <c r="T107" i="101"/>
  <c r="T108" i="101" s="1"/>
  <c r="T97" i="101"/>
  <c r="T99" i="101" s="1"/>
  <c r="T100" i="101" s="1"/>
  <c r="S107" i="101"/>
  <c r="S108" i="101" s="1"/>
  <c r="S97" i="101"/>
  <c r="S99" i="101" s="1"/>
  <c r="S100" i="101" s="1"/>
  <c r="AU22" i="102" l="1"/>
  <c r="AU24" i="102" s="1"/>
  <c r="M108" i="102"/>
  <c r="L100" i="102"/>
  <c r="L7" i="102" s="1"/>
  <c r="AT22" i="102"/>
  <c r="AT24" i="102" s="1"/>
  <c r="AR22" i="102"/>
  <c r="D108" i="102"/>
  <c r="AO23" i="102"/>
  <c r="AO24" i="102" s="1"/>
  <c r="C108" i="102"/>
  <c r="AN23" i="102"/>
  <c r="AN24" i="102"/>
  <c r="C100" i="102"/>
  <c r="C7" i="102" s="1"/>
  <c r="AM22" i="102"/>
  <c r="AT8" i="102" s="1"/>
  <c r="AE100" i="102"/>
  <c r="AE7" i="102" s="1"/>
  <c r="B99" i="102"/>
  <c r="AI97" i="102"/>
  <c r="AH97" i="102"/>
  <c r="Z100" i="102"/>
  <c r="Z7" i="102" s="1"/>
  <c r="AI107" i="102"/>
  <c r="B108" i="102"/>
  <c r="AM23" i="102"/>
  <c r="AH107" i="102"/>
  <c r="BI107" i="102"/>
  <c r="BG106" i="102"/>
  <c r="BK104" i="102"/>
  <c r="BI103" i="102"/>
  <c r="BG102" i="102"/>
  <c r="BK100" i="102"/>
  <c r="BI99" i="102"/>
  <c r="BG98" i="102"/>
  <c r="BK96" i="102"/>
  <c r="BI95" i="102"/>
  <c r="BG94" i="102"/>
  <c r="BK92" i="102"/>
  <c r="BI91" i="102"/>
  <c r="BG90" i="102"/>
  <c r="BK88" i="102"/>
  <c r="BI87" i="102"/>
  <c r="BG86" i="102"/>
  <c r="BK84" i="102"/>
  <c r="BL107" i="102"/>
  <c r="BJ106" i="102"/>
  <c r="BH105" i="102"/>
  <c r="BL103" i="102"/>
  <c r="BJ102" i="102"/>
  <c r="BH101" i="102"/>
  <c r="BL99" i="102"/>
  <c r="BJ98" i="102"/>
  <c r="BH97" i="102"/>
  <c r="BL95" i="102"/>
  <c r="BJ94" i="102"/>
  <c r="BH93" i="102"/>
  <c r="BL91" i="102"/>
  <c r="BJ90" i="102"/>
  <c r="BH89" i="102"/>
  <c r="BL87" i="102"/>
  <c r="BJ86" i="102"/>
  <c r="BH85" i="102"/>
  <c r="BG107" i="102"/>
  <c r="BI105" i="102"/>
  <c r="BJ103" i="102"/>
  <c r="BK101" i="102"/>
  <c r="BG100" i="102"/>
  <c r="BH98" i="102"/>
  <c r="BI96" i="102"/>
  <c r="BK94" i="102"/>
  <c r="BL92" i="102"/>
  <c r="BG91" i="102"/>
  <c r="BI89" i="102"/>
  <c r="BJ87" i="102"/>
  <c r="BK85" i="102"/>
  <c r="BG84" i="102"/>
  <c r="BL106" i="102"/>
  <c r="BH103" i="102"/>
  <c r="BJ101" i="102"/>
  <c r="BK99" i="102"/>
  <c r="BL97" i="102"/>
  <c r="BH96" i="102"/>
  <c r="BI94" i="102"/>
  <c r="BJ92" i="102"/>
  <c r="BG105" i="102"/>
  <c r="BH106" i="102"/>
  <c r="BI104" i="102"/>
  <c r="BK102" i="102"/>
  <c r="BL100" i="102"/>
  <c r="BG99" i="102"/>
  <c r="BI97" i="102"/>
  <c r="BJ95" i="102"/>
  <c r="BK93" i="102"/>
  <c r="BG92" i="102"/>
  <c r="BH90" i="102"/>
  <c r="BI88" i="102"/>
  <c r="BK86" i="102"/>
  <c r="BL84" i="102"/>
  <c r="BJ107" i="102"/>
  <c r="BK105" i="102"/>
  <c r="BG104" i="102"/>
  <c r="BH102" i="102"/>
  <c r="BI100" i="102"/>
  <c r="BK98" i="102"/>
  <c r="BL96" i="102"/>
  <c r="BG95" i="102"/>
  <c r="BI93" i="102"/>
  <c r="BJ91" i="102"/>
  <c r="BK89" i="102"/>
  <c r="BG88" i="102"/>
  <c r="BH86" i="102"/>
  <c r="BI84" i="102"/>
  <c r="BL105" i="102"/>
  <c r="BI102" i="102"/>
  <c r="BL98" i="102"/>
  <c r="BH95" i="102"/>
  <c r="BK91" i="102"/>
  <c r="BL88" i="102"/>
  <c r="BL85" i="102"/>
  <c r="BJ105" i="102"/>
  <c r="BL101" i="102"/>
  <c r="BI98" i="102"/>
  <c r="BL94" i="102"/>
  <c r="BH91" i="102"/>
  <c r="BJ88" i="102"/>
  <c r="BJ85" i="102"/>
  <c r="BL104" i="102"/>
  <c r="BI101" i="102"/>
  <c r="BK97" i="102"/>
  <c r="BH94" i="102"/>
  <c r="BL90" i="102"/>
  <c r="BH88" i="102"/>
  <c r="BI85" i="102"/>
  <c r="BJ104" i="102"/>
  <c r="BG101" i="102"/>
  <c r="BJ97" i="102"/>
  <c r="BL93" i="102"/>
  <c r="BK90" i="102"/>
  <c r="BK87" i="102"/>
  <c r="BG85" i="102"/>
  <c r="BI90" i="102"/>
  <c r="BJ84" i="102"/>
  <c r="BH107" i="102"/>
  <c r="BK103" i="102"/>
  <c r="BH100" i="102"/>
  <c r="BJ96" i="102"/>
  <c r="BG93" i="102"/>
  <c r="BL89" i="102"/>
  <c r="BG87" i="102"/>
  <c r="BH84" i="102"/>
  <c r="BK107" i="102"/>
  <c r="BH104" i="102"/>
  <c r="BJ100" i="102"/>
  <c r="BG97" i="102"/>
  <c r="BJ93" i="102"/>
  <c r="BH87" i="102"/>
  <c r="BK106" i="102"/>
  <c r="BG103" i="102"/>
  <c r="BJ99" i="102"/>
  <c r="BG96" i="102"/>
  <c r="BI92" i="102"/>
  <c r="BJ89" i="102"/>
  <c r="BL86" i="102"/>
  <c r="BI106" i="102"/>
  <c r="BL102" i="102"/>
  <c r="BH99" i="102"/>
  <c r="BK95" i="102"/>
  <c r="BH92" i="102"/>
  <c r="BG89" i="102"/>
  <c r="BI86" i="102"/>
  <c r="O108" i="102"/>
  <c r="AW23" i="102"/>
  <c r="AW24" i="102" s="1"/>
  <c r="G108" i="102"/>
  <c r="AR23" i="102"/>
  <c r="AR24" i="102" s="1"/>
  <c r="B256" i="102"/>
  <c r="F246" i="102"/>
  <c r="E252" i="102"/>
  <c r="E118" i="102"/>
  <c r="C256" i="102"/>
  <c r="O100" i="102"/>
  <c r="O7" i="102" s="1"/>
  <c r="J100" i="102"/>
  <c r="J7" i="102" s="1"/>
  <c r="AA100" i="101"/>
  <c r="Y100" i="101"/>
  <c r="W100" i="101"/>
  <c r="AM24" i="102" l="1"/>
  <c r="AT9" i="102" s="1"/>
  <c r="K6" i="102"/>
  <c r="AH108" i="102"/>
  <c r="AI108" i="102"/>
  <c r="B100" i="102"/>
  <c r="AH99" i="102"/>
  <c r="AI99" i="102"/>
  <c r="G246" i="102"/>
  <c r="F252" i="102"/>
  <c r="F118" i="102"/>
  <c r="C58" i="101"/>
  <c r="C62" i="101"/>
  <c r="C76" i="101"/>
  <c r="C80" i="101"/>
  <c r="AN20" i="101" s="1"/>
  <c r="C92" i="101"/>
  <c r="AN19" i="101" s="1"/>
  <c r="C101" i="101"/>
  <c r="C102" i="101"/>
  <c r="C103" i="101"/>
  <c r="C104" i="101"/>
  <c r="C105" i="101"/>
  <c r="C118" i="101"/>
  <c r="B118" i="101"/>
  <c r="B105" i="101"/>
  <c r="B104" i="101"/>
  <c r="B103" i="101"/>
  <c r="B102" i="101"/>
  <c r="B101" i="101"/>
  <c r="B92" i="101"/>
  <c r="B80" i="101"/>
  <c r="B76" i="101"/>
  <c r="B62" i="101"/>
  <c r="B58" i="101"/>
  <c r="AG252" i="101"/>
  <c r="C252" i="101"/>
  <c r="D251" i="101"/>
  <c r="D118" i="101" s="1"/>
  <c r="K250" i="101"/>
  <c r="L250" i="101" s="1"/>
  <c r="M250" i="101" s="1"/>
  <c r="N250" i="101" s="1"/>
  <c r="O250" i="101" s="1"/>
  <c r="P250" i="101" s="1"/>
  <c r="Q250" i="101" s="1"/>
  <c r="R250" i="101" s="1"/>
  <c r="S250" i="101" s="1"/>
  <c r="T250" i="101" s="1"/>
  <c r="U250" i="101" s="1"/>
  <c r="V250" i="101" s="1"/>
  <c r="W250" i="101" s="1"/>
  <c r="X250" i="101" s="1"/>
  <c r="Y250" i="101" s="1"/>
  <c r="Z250" i="101" s="1"/>
  <c r="AA250" i="101" s="1"/>
  <c r="AB250" i="101" s="1"/>
  <c r="AC250" i="101" s="1"/>
  <c r="AD250" i="101" s="1"/>
  <c r="AE250" i="101" s="1"/>
  <c r="AF250" i="101" s="1"/>
  <c r="B250" i="101" s="1"/>
  <c r="J250" i="101"/>
  <c r="G250" i="101"/>
  <c r="H250" i="101" s="1"/>
  <c r="I250" i="101" s="1"/>
  <c r="F250" i="101"/>
  <c r="E250" i="101"/>
  <c r="D250" i="101"/>
  <c r="E249" i="101"/>
  <c r="F249" i="101" s="1"/>
  <c r="G249" i="101" s="1"/>
  <c r="H249" i="101" s="1"/>
  <c r="I249" i="101" s="1"/>
  <c r="J249" i="101" s="1"/>
  <c r="K249" i="101" s="1"/>
  <c r="L249" i="101" s="1"/>
  <c r="M249" i="101" s="1"/>
  <c r="N249" i="101" s="1"/>
  <c r="O249" i="101" s="1"/>
  <c r="P249" i="101" s="1"/>
  <c r="Q249" i="101" s="1"/>
  <c r="R249" i="101" s="1"/>
  <c r="S249" i="101" s="1"/>
  <c r="T249" i="101" s="1"/>
  <c r="U249" i="101" s="1"/>
  <c r="V249" i="101" s="1"/>
  <c r="W249" i="101" s="1"/>
  <c r="X249" i="101" s="1"/>
  <c r="Y249" i="101" s="1"/>
  <c r="Z249" i="101" s="1"/>
  <c r="AA249" i="101" s="1"/>
  <c r="AB249" i="101" s="1"/>
  <c r="AC249" i="101" s="1"/>
  <c r="AD249" i="101" s="1"/>
  <c r="AE249" i="101" s="1"/>
  <c r="AF249" i="101" s="1"/>
  <c r="B249" i="101" s="1"/>
  <c r="D249" i="101"/>
  <c r="G248" i="101"/>
  <c r="H248" i="101" s="1"/>
  <c r="I248" i="101" s="1"/>
  <c r="J248" i="101" s="1"/>
  <c r="K248" i="101" s="1"/>
  <c r="L248" i="101" s="1"/>
  <c r="M248" i="101" s="1"/>
  <c r="N248" i="101" s="1"/>
  <c r="O248" i="101" s="1"/>
  <c r="P248" i="101" s="1"/>
  <c r="Q248" i="101" s="1"/>
  <c r="R248" i="101" s="1"/>
  <c r="S248" i="101" s="1"/>
  <c r="T248" i="101" s="1"/>
  <c r="U248" i="101" s="1"/>
  <c r="V248" i="101" s="1"/>
  <c r="W248" i="101" s="1"/>
  <c r="X248" i="101" s="1"/>
  <c r="Y248" i="101" s="1"/>
  <c r="Z248" i="101" s="1"/>
  <c r="AA248" i="101" s="1"/>
  <c r="AB248" i="101" s="1"/>
  <c r="AC248" i="101" s="1"/>
  <c r="AD248" i="101" s="1"/>
  <c r="AE248" i="101" s="1"/>
  <c r="AF248" i="101" s="1"/>
  <c r="B248" i="101" s="1"/>
  <c r="F248" i="101"/>
  <c r="E248" i="101"/>
  <c r="D248" i="101"/>
  <c r="E247" i="101"/>
  <c r="F247" i="101" s="1"/>
  <c r="G247" i="101" s="1"/>
  <c r="H247" i="101" s="1"/>
  <c r="I247" i="101" s="1"/>
  <c r="J247" i="101" s="1"/>
  <c r="K247" i="101" s="1"/>
  <c r="L247" i="101" s="1"/>
  <c r="M247" i="101" s="1"/>
  <c r="N247" i="101" s="1"/>
  <c r="O247" i="101" s="1"/>
  <c r="P247" i="101" s="1"/>
  <c r="Q247" i="101" s="1"/>
  <c r="R247" i="101" s="1"/>
  <c r="S247" i="101" s="1"/>
  <c r="T247" i="101" s="1"/>
  <c r="U247" i="101" s="1"/>
  <c r="V247" i="101" s="1"/>
  <c r="W247" i="101" s="1"/>
  <c r="X247" i="101" s="1"/>
  <c r="Y247" i="101" s="1"/>
  <c r="Z247" i="101" s="1"/>
  <c r="AA247" i="101" s="1"/>
  <c r="AB247" i="101" s="1"/>
  <c r="AC247" i="101" s="1"/>
  <c r="AD247" i="101" s="1"/>
  <c r="AE247" i="101" s="1"/>
  <c r="AF247" i="101" s="1"/>
  <c r="B247" i="101" s="1"/>
  <c r="D247" i="101"/>
  <c r="G246" i="101"/>
  <c r="H246" i="101" s="1"/>
  <c r="F246" i="101"/>
  <c r="E246" i="101"/>
  <c r="D246" i="101"/>
  <c r="AG244" i="101"/>
  <c r="AF244" i="101"/>
  <c r="AE244" i="101"/>
  <c r="AD244" i="101"/>
  <c r="AC244" i="101"/>
  <c r="AB244" i="101"/>
  <c r="AA244" i="101"/>
  <c r="Z244" i="101"/>
  <c r="Y244" i="101"/>
  <c r="X244" i="101"/>
  <c r="W244" i="101"/>
  <c r="V244" i="101"/>
  <c r="U244" i="101"/>
  <c r="T244" i="101"/>
  <c r="S244" i="101"/>
  <c r="R244" i="101"/>
  <c r="Q244" i="101"/>
  <c r="P244" i="101"/>
  <c r="O244" i="101"/>
  <c r="N244" i="101"/>
  <c r="M244" i="101"/>
  <c r="L244" i="101"/>
  <c r="K244" i="101"/>
  <c r="J244" i="101"/>
  <c r="I244" i="101"/>
  <c r="H244" i="101"/>
  <c r="G244" i="101"/>
  <c r="F244" i="101"/>
  <c r="E244" i="101"/>
  <c r="D244" i="101"/>
  <c r="C244" i="101"/>
  <c r="B244" i="101"/>
  <c r="AI130" i="101"/>
  <c r="AH130" i="101"/>
  <c r="AI129" i="101"/>
  <c r="AH129" i="101"/>
  <c r="AI128" i="101"/>
  <c r="AH128" i="101"/>
  <c r="AI127" i="101"/>
  <c r="AH127" i="101"/>
  <c r="AI126" i="101"/>
  <c r="AH126" i="101"/>
  <c r="AI123" i="101"/>
  <c r="AH123" i="101"/>
  <c r="AI122" i="101"/>
  <c r="AH122" i="101"/>
  <c r="AI121" i="101"/>
  <c r="AH121" i="101"/>
  <c r="AI120" i="101"/>
  <c r="AH120" i="101"/>
  <c r="AI119" i="101"/>
  <c r="AH119" i="101"/>
  <c r="AI117" i="101"/>
  <c r="AH117" i="101"/>
  <c r="AI116" i="101"/>
  <c r="AH116" i="101"/>
  <c r="AI115" i="101"/>
  <c r="AH115" i="101"/>
  <c r="AI114" i="101"/>
  <c r="AH114" i="101"/>
  <c r="AI113" i="101"/>
  <c r="AH113" i="101"/>
  <c r="AI112" i="101"/>
  <c r="AH112" i="101"/>
  <c r="AI111" i="101"/>
  <c r="AH111" i="101"/>
  <c r="AI110" i="101"/>
  <c r="AH110" i="101"/>
  <c r="AI109" i="101"/>
  <c r="AH109" i="101"/>
  <c r="AI106" i="101"/>
  <c r="AH106" i="101"/>
  <c r="AF105" i="101"/>
  <c r="AE105" i="101"/>
  <c r="AD105" i="101"/>
  <c r="AC105" i="101"/>
  <c r="AB105" i="101"/>
  <c r="R105" i="101"/>
  <c r="Q105" i="101"/>
  <c r="P105" i="101"/>
  <c r="O105" i="101"/>
  <c r="N105" i="101"/>
  <c r="M105" i="101"/>
  <c r="L105" i="101"/>
  <c r="K105" i="101"/>
  <c r="J105" i="101"/>
  <c r="I105" i="101"/>
  <c r="H105" i="101"/>
  <c r="G105" i="101"/>
  <c r="F105" i="101"/>
  <c r="E105" i="101"/>
  <c r="D105" i="101"/>
  <c r="AF104" i="101"/>
  <c r="AE104" i="101"/>
  <c r="AD104" i="101"/>
  <c r="AC104" i="101"/>
  <c r="AB104" i="101"/>
  <c r="R104" i="101"/>
  <c r="Q104" i="101"/>
  <c r="P104" i="101"/>
  <c r="O104" i="101"/>
  <c r="N104" i="101"/>
  <c r="M104" i="101"/>
  <c r="L104" i="101"/>
  <c r="K104" i="101"/>
  <c r="J104" i="101"/>
  <c r="I104" i="101"/>
  <c r="H104" i="101"/>
  <c r="G104" i="101"/>
  <c r="F104" i="101"/>
  <c r="E104" i="101"/>
  <c r="D104" i="101"/>
  <c r="AF103" i="101"/>
  <c r="AE103" i="101"/>
  <c r="AD103" i="101"/>
  <c r="AC103" i="101"/>
  <c r="AB103" i="101"/>
  <c r="R103" i="101"/>
  <c r="Q103" i="101"/>
  <c r="P103" i="101"/>
  <c r="O103" i="101"/>
  <c r="N103" i="101"/>
  <c r="M103" i="101"/>
  <c r="L103" i="101"/>
  <c r="K103" i="101"/>
  <c r="J103" i="101"/>
  <c r="I103" i="101"/>
  <c r="H103" i="101"/>
  <c r="G103" i="101"/>
  <c r="F103" i="101"/>
  <c r="E103" i="101"/>
  <c r="D103" i="101"/>
  <c r="AF102" i="101"/>
  <c r="AE102" i="101"/>
  <c r="AD102" i="101"/>
  <c r="AC102" i="101"/>
  <c r="AB102" i="101"/>
  <c r="R102" i="101"/>
  <c r="Q102" i="101"/>
  <c r="P102" i="101"/>
  <c r="O102" i="101"/>
  <c r="N102" i="101"/>
  <c r="M102" i="101"/>
  <c r="L102" i="101"/>
  <c r="K102" i="101"/>
  <c r="J102" i="101"/>
  <c r="I102" i="101"/>
  <c r="H102" i="101"/>
  <c r="G102" i="101"/>
  <c r="F102" i="101"/>
  <c r="E102" i="101"/>
  <c r="D102" i="101"/>
  <c r="AI102" i="101"/>
  <c r="AF101" i="101"/>
  <c r="AE101" i="101"/>
  <c r="AD101" i="101"/>
  <c r="AC101" i="101"/>
  <c r="AB101" i="101"/>
  <c r="R101" i="101"/>
  <c r="Q101" i="101"/>
  <c r="P101" i="101"/>
  <c r="O101" i="101"/>
  <c r="N101" i="101"/>
  <c r="M101" i="101"/>
  <c r="L101" i="101"/>
  <c r="K101" i="101"/>
  <c r="J101" i="101"/>
  <c r="I101" i="101"/>
  <c r="H101" i="101"/>
  <c r="H107" i="101" s="1"/>
  <c r="G101" i="101"/>
  <c r="G107" i="101" s="1"/>
  <c r="AR23" i="101" s="1"/>
  <c r="F101" i="101"/>
  <c r="E101" i="101"/>
  <c r="E107" i="101" s="1"/>
  <c r="D101" i="101"/>
  <c r="AI98" i="101"/>
  <c r="AH98" i="101"/>
  <c r="AI96" i="101"/>
  <c r="AH96" i="101"/>
  <c r="AG96" i="101"/>
  <c r="AI95" i="101"/>
  <c r="AH95" i="101"/>
  <c r="AI94" i="101"/>
  <c r="AH94" i="101"/>
  <c r="AI93" i="101"/>
  <c r="AH93" i="101"/>
  <c r="AG92" i="101"/>
  <c r="AF92" i="101"/>
  <c r="AE5" i="101" s="1"/>
  <c r="AE92" i="101"/>
  <c r="AD92" i="101"/>
  <c r="AC92" i="101"/>
  <c r="AB92" i="101"/>
  <c r="AA5" i="101" s="1"/>
  <c r="R92" i="101"/>
  <c r="Q5" i="101" s="1"/>
  <c r="Q92" i="101"/>
  <c r="P92" i="101"/>
  <c r="AX19" i="101" s="1"/>
  <c r="O92" i="101"/>
  <c r="AW19" i="101" s="1"/>
  <c r="N92" i="101"/>
  <c r="M92" i="101"/>
  <c r="L92" i="101"/>
  <c r="K92" i="101"/>
  <c r="AT19" i="101" s="1"/>
  <c r="J92" i="101"/>
  <c r="I5" i="101" s="1"/>
  <c r="I92" i="101"/>
  <c r="AS19" i="101" s="1"/>
  <c r="H92" i="101"/>
  <c r="G92" i="101"/>
  <c r="G97" i="101" s="1"/>
  <c r="G99" i="101" s="1"/>
  <c r="F92" i="101"/>
  <c r="E92" i="101"/>
  <c r="E108" i="101" s="1"/>
  <c r="D92" i="101"/>
  <c r="C5" i="101" s="1"/>
  <c r="AI91" i="101"/>
  <c r="AH91" i="101"/>
  <c r="AI90" i="101"/>
  <c r="AH90" i="101"/>
  <c r="AI89" i="101"/>
  <c r="AH89" i="101"/>
  <c r="AI88" i="101"/>
  <c r="AH88" i="101"/>
  <c r="AI87" i="101"/>
  <c r="AH87" i="101"/>
  <c r="AI86" i="101"/>
  <c r="AH86" i="101"/>
  <c r="AI85" i="101"/>
  <c r="AH85" i="101"/>
  <c r="AI84" i="101"/>
  <c r="AH84" i="101"/>
  <c r="AI83" i="101"/>
  <c r="AH83" i="101"/>
  <c r="AI82" i="101"/>
  <c r="AH82" i="101"/>
  <c r="AI81" i="101"/>
  <c r="AH81" i="101"/>
  <c r="BT80" i="101"/>
  <c r="BL80" i="101"/>
  <c r="BJ80" i="101"/>
  <c r="AG80" i="101"/>
  <c r="AF80" i="101"/>
  <c r="AE80" i="101"/>
  <c r="AD80" i="101"/>
  <c r="AC80" i="101"/>
  <c r="AB80" i="101"/>
  <c r="R80" i="101"/>
  <c r="Q80" i="101"/>
  <c r="P80" i="101"/>
  <c r="O80" i="101"/>
  <c r="AW20" i="101" s="1"/>
  <c r="N80" i="101"/>
  <c r="AV20" i="101" s="1"/>
  <c r="M80" i="101"/>
  <c r="L80" i="101"/>
  <c r="K80" i="101"/>
  <c r="AT20" i="101" s="1"/>
  <c r="J80" i="101"/>
  <c r="I80" i="101"/>
  <c r="H80" i="101"/>
  <c r="G80" i="101"/>
  <c r="F80" i="101"/>
  <c r="E80" i="101"/>
  <c r="D80" i="101"/>
  <c r="AO20" i="101" s="1"/>
  <c r="AM20" i="101"/>
  <c r="AI79" i="101"/>
  <c r="AH79" i="101"/>
  <c r="BW78" i="101"/>
  <c r="BD78" i="101"/>
  <c r="AI78" i="101"/>
  <c r="AH78" i="101"/>
  <c r="BS77" i="101"/>
  <c r="BC77" i="101"/>
  <c r="AI77" i="101"/>
  <c r="AH77" i="101"/>
  <c r="BU76" i="101"/>
  <c r="BT76" i="101"/>
  <c r="BS76" i="101"/>
  <c r="BL76" i="101"/>
  <c r="BJ76" i="101"/>
  <c r="BH76" i="101"/>
  <c r="BE76" i="101"/>
  <c r="BD76" i="101"/>
  <c r="BC76" i="101"/>
  <c r="AZ76" i="101"/>
  <c r="AF76" i="101"/>
  <c r="AE76" i="101"/>
  <c r="AD76" i="101"/>
  <c r="AC76" i="101"/>
  <c r="AB76" i="101"/>
  <c r="R76" i="101"/>
  <c r="Q76" i="101"/>
  <c r="P76" i="101"/>
  <c r="AX18" i="101" s="1"/>
  <c r="O76" i="101"/>
  <c r="AW18" i="101" s="1"/>
  <c r="N76" i="101"/>
  <c r="AV18" i="101" s="1"/>
  <c r="M76" i="101"/>
  <c r="L76" i="101"/>
  <c r="K76" i="101"/>
  <c r="AT18" i="101" s="1"/>
  <c r="J76" i="101"/>
  <c r="I76" i="101"/>
  <c r="H76" i="101"/>
  <c r="G76" i="101"/>
  <c r="AR18" i="101" s="1"/>
  <c r="D76" i="101"/>
  <c r="AO18" i="101" s="1"/>
  <c r="BU75" i="101"/>
  <c r="BR75" i="101"/>
  <c r="AI75" i="101"/>
  <c r="AH75" i="101"/>
  <c r="AG75" i="101"/>
  <c r="AG76" i="101" s="1"/>
  <c r="AG3" i="101" s="1"/>
  <c r="AI74" i="101"/>
  <c r="AH74" i="101"/>
  <c r="BW73" i="101"/>
  <c r="BW80" i="101" s="1"/>
  <c r="BV73" i="101"/>
  <c r="BV80" i="101" s="1"/>
  <c r="BU73" i="101"/>
  <c r="BU80" i="101" s="1"/>
  <c r="BT73" i="101"/>
  <c r="BS73" i="101"/>
  <c r="BS80" i="101" s="1"/>
  <c r="BR73" i="101"/>
  <c r="BR80" i="101" s="1"/>
  <c r="BQ73" i="101"/>
  <c r="BQ80" i="101" s="1"/>
  <c r="BP73" i="101"/>
  <c r="BP80" i="101" s="1"/>
  <c r="BO73" i="101"/>
  <c r="BO80" i="101" s="1"/>
  <c r="BN73" i="101"/>
  <c r="BN80" i="101" s="1"/>
  <c r="BM73" i="101"/>
  <c r="BM80" i="101" s="1"/>
  <c r="BL73" i="101"/>
  <c r="BK73" i="101"/>
  <c r="BK80" i="101" s="1"/>
  <c r="BJ73" i="101"/>
  <c r="BI73" i="101"/>
  <c r="BI80" i="101" s="1"/>
  <c r="BH73" i="101"/>
  <c r="BH80" i="101" s="1"/>
  <c r="BG73" i="101"/>
  <c r="BG80" i="101" s="1"/>
  <c r="BF73" i="101"/>
  <c r="BF80" i="101" s="1"/>
  <c r="BE73" i="101"/>
  <c r="BE80" i="101" s="1"/>
  <c r="BD73" i="101"/>
  <c r="BD80" i="101" s="1"/>
  <c r="BC73" i="101"/>
  <c r="BC80" i="101" s="1"/>
  <c r="BB73" i="101"/>
  <c r="BB80" i="101" s="1"/>
  <c r="BA73" i="101"/>
  <c r="BA80" i="101" s="1"/>
  <c r="AZ73" i="101"/>
  <c r="AZ80" i="101" s="1"/>
  <c r="AI73" i="101"/>
  <c r="AH73" i="101"/>
  <c r="BW72" i="101"/>
  <c r="BW79" i="101" s="1"/>
  <c r="BV72" i="101"/>
  <c r="BV79" i="101" s="1"/>
  <c r="BU72" i="101"/>
  <c r="BU79" i="101" s="1"/>
  <c r="BT72" i="101"/>
  <c r="BT79" i="101" s="1"/>
  <c r="BS72" i="101"/>
  <c r="BS79" i="101" s="1"/>
  <c r="BR72" i="101"/>
  <c r="BR79" i="101" s="1"/>
  <c r="BQ72" i="101"/>
  <c r="BQ79" i="101" s="1"/>
  <c r="BP72" i="101"/>
  <c r="BP79" i="101" s="1"/>
  <c r="BO72" i="101"/>
  <c r="BO79" i="101" s="1"/>
  <c r="BN72" i="101"/>
  <c r="BN79" i="101" s="1"/>
  <c r="BM72" i="101"/>
  <c r="BM79" i="101" s="1"/>
  <c r="BL72" i="101"/>
  <c r="BL79" i="101" s="1"/>
  <c r="BK72" i="101"/>
  <c r="BK79" i="101" s="1"/>
  <c r="BJ72" i="101"/>
  <c r="BJ79" i="101" s="1"/>
  <c r="BI72" i="101"/>
  <c r="BI79" i="101" s="1"/>
  <c r="BH72" i="101"/>
  <c r="BH79" i="101" s="1"/>
  <c r="BG72" i="101"/>
  <c r="BG79" i="101" s="1"/>
  <c r="BF72" i="101"/>
  <c r="BF79" i="101" s="1"/>
  <c r="BE72" i="101"/>
  <c r="BE79" i="101" s="1"/>
  <c r="BD72" i="101"/>
  <c r="BD79" i="101" s="1"/>
  <c r="BC72" i="101"/>
  <c r="BC79" i="101" s="1"/>
  <c r="BB72" i="101"/>
  <c r="BB79" i="101" s="1"/>
  <c r="BA72" i="101"/>
  <c r="BA79" i="101" s="1"/>
  <c r="AZ72" i="101"/>
  <c r="AZ79" i="101" s="1"/>
  <c r="AI72" i="101"/>
  <c r="AH72" i="101"/>
  <c r="BW71" i="101"/>
  <c r="BV71" i="101"/>
  <c r="BV78" i="101" s="1"/>
  <c r="BU71" i="101"/>
  <c r="BU78" i="101" s="1"/>
  <c r="BT71" i="101"/>
  <c r="BT78" i="101" s="1"/>
  <c r="BS71" i="101"/>
  <c r="BS78" i="101" s="1"/>
  <c r="BR71" i="101"/>
  <c r="BR78" i="101" s="1"/>
  <c r="BQ71" i="101"/>
  <c r="BQ78" i="101" s="1"/>
  <c r="BP71" i="101"/>
  <c r="BP78" i="101" s="1"/>
  <c r="BO71" i="101"/>
  <c r="BO78" i="101" s="1"/>
  <c r="BN71" i="101"/>
  <c r="BN78" i="101" s="1"/>
  <c r="BM71" i="101"/>
  <c r="BM78" i="101" s="1"/>
  <c r="BL71" i="101"/>
  <c r="BL78" i="101" s="1"/>
  <c r="BK71" i="101"/>
  <c r="BK78" i="101" s="1"/>
  <c r="BJ71" i="101"/>
  <c r="BJ78" i="101" s="1"/>
  <c r="BI71" i="101"/>
  <c r="BI78" i="101" s="1"/>
  <c r="BH71" i="101"/>
  <c r="BH78" i="101" s="1"/>
  <c r="BG71" i="101"/>
  <c r="BG78" i="101" s="1"/>
  <c r="BF71" i="101"/>
  <c r="BF78" i="101" s="1"/>
  <c r="BE71" i="101"/>
  <c r="BE78" i="101" s="1"/>
  <c r="BD71" i="101"/>
  <c r="BC71" i="101"/>
  <c r="BC78" i="101" s="1"/>
  <c r="BB71" i="101"/>
  <c r="BB78" i="101" s="1"/>
  <c r="BA71" i="101"/>
  <c r="BA78" i="101" s="1"/>
  <c r="AZ71" i="101"/>
  <c r="AZ78" i="101" s="1"/>
  <c r="AI71" i="101"/>
  <c r="AH71" i="101"/>
  <c r="BW70" i="101"/>
  <c r="BW77" i="101" s="1"/>
  <c r="BV70" i="101"/>
  <c r="BV77" i="101" s="1"/>
  <c r="BU70" i="101"/>
  <c r="BU77" i="101" s="1"/>
  <c r="BT70" i="101"/>
  <c r="BT77" i="101" s="1"/>
  <c r="BS70" i="101"/>
  <c r="BR70" i="101"/>
  <c r="BR77" i="101" s="1"/>
  <c r="BQ70" i="101"/>
  <c r="BQ77" i="101" s="1"/>
  <c r="BP70" i="101"/>
  <c r="BP77" i="101" s="1"/>
  <c r="BO70" i="101"/>
  <c r="BO77" i="101" s="1"/>
  <c r="BN70" i="101"/>
  <c r="BN77" i="101" s="1"/>
  <c r="BM70" i="101"/>
  <c r="BM77" i="101" s="1"/>
  <c r="BL70" i="101"/>
  <c r="BL77" i="101" s="1"/>
  <c r="BK70" i="101"/>
  <c r="BK77" i="101" s="1"/>
  <c r="BJ70" i="101"/>
  <c r="BJ77" i="101" s="1"/>
  <c r="BI70" i="101"/>
  <c r="BI77" i="101" s="1"/>
  <c r="BH70" i="101"/>
  <c r="BH77" i="101" s="1"/>
  <c r="BG70" i="101"/>
  <c r="BG77" i="101" s="1"/>
  <c r="BF70" i="101"/>
  <c r="BF77" i="101" s="1"/>
  <c r="BE70" i="101"/>
  <c r="BE77" i="101" s="1"/>
  <c r="BD70" i="101"/>
  <c r="BD77" i="101" s="1"/>
  <c r="BC70" i="101"/>
  <c r="BB70" i="101"/>
  <c r="BB77" i="101" s="1"/>
  <c r="BA70" i="101"/>
  <c r="BA77" i="101" s="1"/>
  <c r="AZ70" i="101"/>
  <c r="AZ77" i="101" s="1"/>
  <c r="AI70" i="101"/>
  <c r="AH70" i="101"/>
  <c r="BW69" i="101"/>
  <c r="BW76" i="101" s="1"/>
  <c r="BV69" i="101"/>
  <c r="BV76" i="101" s="1"/>
  <c r="BU69" i="101"/>
  <c r="BT69" i="101"/>
  <c r="BS69" i="101"/>
  <c r="BR69" i="101"/>
  <c r="BR76" i="101" s="1"/>
  <c r="BQ69" i="101"/>
  <c r="BQ76" i="101" s="1"/>
  <c r="BP69" i="101"/>
  <c r="BP76" i="101" s="1"/>
  <c r="BO69" i="101"/>
  <c r="BO76" i="101" s="1"/>
  <c r="BN69" i="101"/>
  <c r="BN76" i="101" s="1"/>
  <c r="BM69" i="101"/>
  <c r="BM76" i="101" s="1"/>
  <c r="BL69" i="101"/>
  <c r="BK69" i="101"/>
  <c r="BK76" i="101" s="1"/>
  <c r="BJ69" i="101"/>
  <c r="BI69" i="101"/>
  <c r="BI76" i="101" s="1"/>
  <c r="BH69" i="101"/>
  <c r="BG69" i="101"/>
  <c r="BG76" i="101" s="1"/>
  <c r="BF69" i="101"/>
  <c r="BF76" i="101" s="1"/>
  <c r="BE69" i="101"/>
  <c r="BD69" i="101"/>
  <c r="BC69" i="101"/>
  <c r="BB69" i="101"/>
  <c r="BB76" i="101" s="1"/>
  <c r="BA69" i="101"/>
  <c r="BA76" i="101" s="1"/>
  <c r="AZ69" i="101"/>
  <c r="AI69" i="101"/>
  <c r="AH69" i="101"/>
  <c r="BW68" i="101"/>
  <c r="BW75" i="101" s="1"/>
  <c r="BV68" i="101"/>
  <c r="BV75" i="101" s="1"/>
  <c r="BU68" i="101"/>
  <c r="BT68" i="101"/>
  <c r="BT75" i="101" s="1"/>
  <c r="BS68" i="101"/>
  <c r="BS75" i="101" s="1"/>
  <c r="BR68" i="101"/>
  <c r="BQ68" i="101"/>
  <c r="BQ75" i="101" s="1"/>
  <c r="BP68" i="101"/>
  <c r="BP75" i="101" s="1"/>
  <c r="BO68" i="101"/>
  <c r="BO75" i="101" s="1"/>
  <c r="BN68" i="101"/>
  <c r="BN75" i="101" s="1"/>
  <c r="BM68" i="101"/>
  <c r="BM75" i="101" s="1"/>
  <c r="BL68" i="101"/>
  <c r="BL75" i="101" s="1"/>
  <c r="BK68" i="101"/>
  <c r="BK75" i="101" s="1"/>
  <c r="BJ68" i="101"/>
  <c r="BJ75" i="101" s="1"/>
  <c r="BI68" i="101"/>
  <c r="BI75" i="101" s="1"/>
  <c r="BH68" i="101"/>
  <c r="BH75" i="101" s="1"/>
  <c r="BG68" i="101"/>
  <c r="BG75" i="101" s="1"/>
  <c r="BF68" i="101"/>
  <c r="BF75" i="101" s="1"/>
  <c r="BE68" i="101"/>
  <c r="BE75" i="101" s="1"/>
  <c r="BD68" i="101"/>
  <c r="BD75" i="101" s="1"/>
  <c r="BC68" i="101"/>
  <c r="BC75" i="101" s="1"/>
  <c r="BB68" i="101"/>
  <c r="BB75" i="101" s="1"/>
  <c r="BA68" i="101"/>
  <c r="BA75" i="101" s="1"/>
  <c r="AZ68" i="101"/>
  <c r="AZ75" i="101" s="1"/>
  <c r="AI68" i="101"/>
  <c r="AH68" i="101"/>
  <c r="AI67" i="101"/>
  <c r="AH67" i="101"/>
  <c r="AI66" i="101"/>
  <c r="AH66" i="101"/>
  <c r="AI65" i="101"/>
  <c r="AH65" i="101"/>
  <c r="AI64" i="101"/>
  <c r="AH64" i="101"/>
  <c r="AI63" i="101"/>
  <c r="AH63" i="101"/>
  <c r="AG62" i="101"/>
  <c r="AF62" i="101"/>
  <c r="AE62" i="101"/>
  <c r="AD62" i="101"/>
  <c r="AC62" i="101"/>
  <c r="AB62" i="101"/>
  <c r="R62" i="101"/>
  <c r="Q62" i="101"/>
  <c r="P62" i="101"/>
  <c r="AX17" i="101" s="1"/>
  <c r="O62" i="101"/>
  <c r="AW17" i="101" s="1"/>
  <c r="N62" i="101"/>
  <c r="AV17" i="101" s="1"/>
  <c r="M62" i="101"/>
  <c r="L62" i="101"/>
  <c r="K62" i="101"/>
  <c r="J62" i="101"/>
  <c r="I62" i="101"/>
  <c r="AS17" i="101" s="1"/>
  <c r="H62" i="101"/>
  <c r="D62" i="101"/>
  <c r="AI61" i="101"/>
  <c r="AH61" i="101"/>
  <c r="AI60" i="101"/>
  <c r="AH60" i="101"/>
  <c r="AI59" i="101"/>
  <c r="AH59" i="101"/>
  <c r="AG58" i="101"/>
  <c r="AF58" i="101"/>
  <c r="AE58" i="101"/>
  <c r="AD58" i="101"/>
  <c r="AA7" i="101"/>
  <c r="Y7" i="101"/>
  <c r="X7" i="101"/>
  <c r="W7" i="101"/>
  <c r="T7" i="101"/>
  <c r="S7" i="101"/>
  <c r="R58" i="101"/>
  <c r="Q58" i="101"/>
  <c r="P58" i="101"/>
  <c r="O58" i="101"/>
  <c r="N58" i="101"/>
  <c r="M58" i="101"/>
  <c r="H58" i="101"/>
  <c r="D58" i="101"/>
  <c r="AO16" i="101" s="1"/>
  <c r="AN16" i="101"/>
  <c r="AI57" i="101"/>
  <c r="AH57" i="101"/>
  <c r="AI56" i="101"/>
  <c r="AH56" i="101"/>
  <c r="AI55" i="101"/>
  <c r="AH55" i="101"/>
  <c r="AI54" i="101"/>
  <c r="AH54" i="101"/>
  <c r="AI53" i="101"/>
  <c r="AH53" i="101"/>
  <c r="AI52" i="101"/>
  <c r="AH52" i="101"/>
  <c r="AI51" i="101"/>
  <c r="AH51" i="101"/>
  <c r="AI50" i="101"/>
  <c r="AH50" i="101"/>
  <c r="AI49" i="101"/>
  <c r="AH49" i="101"/>
  <c r="AI48" i="101"/>
  <c r="AH48" i="101"/>
  <c r="AI47" i="101"/>
  <c r="AH47" i="101"/>
  <c r="AI46" i="101"/>
  <c r="AH46" i="101"/>
  <c r="AI45" i="101"/>
  <c r="AH45" i="101"/>
  <c r="AI44" i="101"/>
  <c r="AH44" i="101"/>
  <c r="AI43" i="101"/>
  <c r="AH43" i="101"/>
  <c r="AI42" i="101"/>
  <c r="AH42" i="101"/>
  <c r="AI41" i="101"/>
  <c r="AH41" i="101"/>
  <c r="AI40" i="101"/>
  <c r="AH40" i="101"/>
  <c r="AI39" i="101"/>
  <c r="AH39" i="101"/>
  <c r="AI38" i="101"/>
  <c r="AH38" i="101"/>
  <c r="AI37" i="101"/>
  <c r="AH37" i="101"/>
  <c r="AI36" i="101"/>
  <c r="AH36" i="101"/>
  <c r="AI35" i="101"/>
  <c r="AH35" i="101"/>
  <c r="AI34" i="101"/>
  <c r="AH34" i="101"/>
  <c r="AI33" i="101"/>
  <c r="AH33" i="101"/>
  <c r="AI32" i="101"/>
  <c r="AH32" i="101"/>
  <c r="AI31" i="101"/>
  <c r="AH31" i="101"/>
  <c r="AI30" i="101"/>
  <c r="AH30" i="101"/>
  <c r="AI29" i="101"/>
  <c r="AH29" i="101"/>
  <c r="AI28" i="101"/>
  <c r="AH28" i="101"/>
  <c r="AI27" i="101"/>
  <c r="AH27" i="101"/>
  <c r="AI26" i="101"/>
  <c r="AH26" i="101"/>
  <c r="AI25" i="101"/>
  <c r="AH25" i="101"/>
  <c r="AI24" i="101"/>
  <c r="AH24" i="101"/>
  <c r="AP23" i="101"/>
  <c r="AI23" i="101"/>
  <c r="AH23" i="101"/>
  <c r="AI22" i="101"/>
  <c r="AH22" i="101"/>
  <c r="AX21" i="101"/>
  <c r="AW21" i="101"/>
  <c r="AV21" i="101"/>
  <c r="AU21" i="101"/>
  <c r="AT21" i="101"/>
  <c r="AS21" i="101"/>
  <c r="AR21" i="101"/>
  <c r="AQ21" i="101"/>
  <c r="AP21" i="101"/>
  <c r="AO21" i="101"/>
  <c r="AN21" i="101"/>
  <c r="AM21" i="101"/>
  <c r="AI21" i="101"/>
  <c r="AH21" i="101"/>
  <c r="AX20" i="101"/>
  <c r="AU20" i="101"/>
  <c r="AS20" i="101"/>
  <c r="AR20" i="101"/>
  <c r="AQ20" i="101"/>
  <c r="AP20" i="101"/>
  <c r="AI20" i="101"/>
  <c r="AH20" i="101"/>
  <c r="AQ19" i="101"/>
  <c r="AM19" i="101"/>
  <c r="AI19" i="101"/>
  <c r="AH19" i="101"/>
  <c r="AU18" i="101"/>
  <c r="AS18" i="101"/>
  <c r="AQ18" i="101"/>
  <c r="AP18" i="101"/>
  <c r="AM18" i="101"/>
  <c r="AI18" i="101"/>
  <c r="AH18" i="101"/>
  <c r="AU17" i="101"/>
  <c r="AT17" i="101"/>
  <c r="AR17" i="101"/>
  <c r="AQ17" i="101"/>
  <c r="AP17" i="101"/>
  <c r="AN17" i="101"/>
  <c r="AM17" i="101"/>
  <c r="AI17" i="101"/>
  <c r="AH17" i="101"/>
  <c r="AV16" i="101"/>
  <c r="AU16" i="101"/>
  <c r="AR16" i="101"/>
  <c r="AQ16" i="101"/>
  <c r="AI16" i="101"/>
  <c r="AH16" i="101"/>
  <c r="AI15" i="101"/>
  <c r="AH15" i="101"/>
  <c r="AI14" i="101"/>
  <c r="AH14" i="101"/>
  <c r="AI13" i="101"/>
  <c r="AH13" i="101"/>
  <c r="AL12" i="101"/>
  <c r="AI12" i="101"/>
  <c r="AH12" i="101"/>
  <c r="AI11" i="101"/>
  <c r="AH11" i="101"/>
  <c r="U7" i="101"/>
  <c r="AF5" i="101"/>
  <c r="Z5" i="101"/>
  <c r="Y5" i="101"/>
  <c r="X5" i="101"/>
  <c r="W5" i="101"/>
  <c r="T5" i="101"/>
  <c r="S5" i="101"/>
  <c r="R5" i="101"/>
  <c r="L5" i="101"/>
  <c r="K5" i="101"/>
  <c r="J5" i="101"/>
  <c r="G5" i="101"/>
  <c r="AG4" i="101"/>
  <c r="K4" i="101"/>
  <c r="E4" i="101"/>
  <c r="H4" i="101" s="1"/>
  <c r="B4" i="101"/>
  <c r="D258" i="101" s="1"/>
  <c r="AF58" i="99"/>
  <c r="AF62" i="99"/>
  <c r="AF76" i="99"/>
  <c r="AF80" i="99"/>
  <c r="AF92" i="99"/>
  <c r="AF101" i="99"/>
  <c r="AF102" i="99"/>
  <c r="AF103" i="99"/>
  <c r="AF104" i="99"/>
  <c r="AF105" i="99"/>
  <c r="AE58" i="99"/>
  <c r="AE62" i="99"/>
  <c r="AE76" i="99"/>
  <c r="AE80" i="99"/>
  <c r="AE92" i="99"/>
  <c r="AE101" i="99"/>
  <c r="AE102" i="99"/>
  <c r="AE103" i="99"/>
  <c r="AE104" i="99"/>
  <c r="AE105" i="99"/>
  <c r="AE118" i="99"/>
  <c r="AD58" i="99"/>
  <c r="AD62" i="99"/>
  <c r="AD76" i="99"/>
  <c r="AD80" i="99"/>
  <c r="AD92" i="99"/>
  <c r="AD101" i="99"/>
  <c r="AD102" i="99"/>
  <c r="AD103" i="99"/>
  <c r="AD104" i="99"/>
  <c r="AD105" i="99"/>
  <c r="AC58" i="99"/>
  <c r="AC62" i="99"/>
  <c r="AC76" i="99"/>
  <c r="AC80" i="99"/>
  <c r="AC92" i="99"/>
  <c r="AC101" i="99"/>
  <c r="AC102" i="99"/>
  <c r="AC103" i="99"/>
  <c r="AC104" i="99"/>
  <c r="AC105" i="99"/>
  <c r="AC118" i="99"/>
  <c r="AB123" i="99"/>
  <c r="AA123" i="99"/>
  <c r="AA58" i="99"/>
  <c r="AA62" i="99"/>
  <c r="AA76" i="99"/>
  <c r="AA80" i="99"/>
  <c r="AA92" i="99"/>
  <c r="AA101" i="99"/>
  <c r="AA102" i="99"/>
  <c r="AA103" i="99"/>
  <c r="AA104" i="99"/>
  <c r="AA105" i="99"/>
  <c r="AA118" i="99"/>
  <c r="Z123" i="99"/>
  <c r="Z118" i="99"/>
  <c r="Z105" i="99"/>
  <c r="Z104" i="99"/>
  <c r="Z103" i="99"/>
  <c r="Z102" i="99"/>
  <c r="Z101" i="99"/>
  <c r="Z92" i="99"/>
  <c r="Z80" i="99"/>
  <c r="Z76" i="99"/>
  <c r="Z62" i="99"/>
  <c r="Z58" i="99"/>
  <c r="Y123" i="99"/>
  <c r="Y118" i="99" s="1"/>
  <c r="Y58" i="99"/>
  <c r="Y62" i="99"/>
  <c r="Y76" i="99"/>
  <c r="Y80" i="99"/>
  <c r="Y92" i="99"/>
  <c r="Y101" i="99"/>
  <c r="Y102" i="99"/>
  <c r="Y107" i="99" s="1"/>
  <c r="Y103" i="99"/>
  <c r="Y104" i="99"/>
  <c r="Y105" i="99"/>
  <c r="X123" i="99"/>
  <c r="X58" i="99"/>
  <c r="X62" i="99"/>
  <c r="X76" i="99"/>
  <c r="X80" i="99"/>
  <c r="X92" i="99"/>
  <c r="X101" i="99"/>
  <c r="X102" i="99"/>
  <c r="X103" i="99"/>
  <c r="X104" i="99"/>
  <c r="X105" i="99"/>
  <c r="X118" i="99"/>
  <c r="W123" i="99"/>
  <c r="W118" i="99" s="1"/>
  <c r="W58" i="99"/>
  <c r="W62" i="99"/>
  <c r="W76" i="99"/>
  <c r="W80" i="99"/>
  <c r="W92" i="99"/>
  <c r="W101" i="99"/>
  <c r="W102" i="99"/>
  <c r="W103" i="99"/>
  <c r="W104" i="99"/>
  <c r="W105" i="99"/>
  <c r="V123" i="99"/>
  <c r="V118" i="99" s="1"/>
  <c r="V58" i="99"/>
  <c r="V62" i="99"/>
  <c r="V76" i="99"/>
  <c r="V80" i="99"/>
  <c r="V92" i="99"/>
  <c r="V101" i="99"/>
  <c r="V102" i="99"/>
  <c r="V103" i="99"/>
  <c r="V104" i="99"/>
  <c r="V105" i="99"/>
  <c r="B3" i="100"/>
  <c r="C3" i="100"/>
  <c r="D3" i="100"/>
  <c r="E3" i="100"/>
  <c r="F3" i="100"/>
  <c r="G3" i="100"/>
  <c r="H3" i="100"/>
  <c r="I3" i="100"/>
  <c r="J3" i="100"/>
  <c r="K3" i="100"/>
  <c r="L3" i="100"/>
  <c r="M3" i="100"/>
  <c r="N3" i="100"/>
  <c r="O3" i="100"/>
  <c r="P3" i="100"/>
  <c r="Q3" i="100"/>
  <c r="R3" i="100"/>
  <c r="S3" i="100"/>
  <c r="T3" i="100"/>
  <c r="U3" i="100"/>
  <c r="V3" i="100"/>
  <c r="W3" i="100"/>
  <c r="X3" i="100"/>
  <c r="Y3" i="100"/>
  <c r="Z3" i="100"/>
  <c r="AA3" i="100"/>
  <c r="AB3" i="100"/>
  <c r="AC3" i="100"/>
  <c r="AD3" i="100"/>
  <c r="AE3" i="100"/>
  <c r="AF3" i="100"/>
  <c r="U123" i="99"/>
  <c r="U58" i="99"/>
  <c r="U62" i="99"/>
  <c r="U76" i="99"/>
  <c r="U80" i="99"/>
  <c r="U92" i="99"/>
  <c r="U101" i="99"/>
  <c r="U102" i="99"/>
  <c r="U103" i="99"/>
  <c r="U104" i="99"/>
  <c r="U105" i="99"/>
  <c r="U118" i="99"/>
  <c r="H246" i="102" l="1"/>
  <c r="G252" i="102"/>
  <c r="G118" i="102"/>
  <c r="AI100" i="102"/>
  <c r="B7" i="102"/>
  <c r="A7" i="102" s="1"/>
  <c r="AH100" i="102"/>
  <c r="AF107" i="101"/>
  <c r="AE107" i="101"/>
  <c r="AF97" i="101"/>
  <c r="AF99" i="101" s="1"/>
  <c r="AF100" i="101" s="1"/>
  <c r="AF7" i="101" s="1"/>
  <c r="AF108" i="101"/>
  <c r="AE97" i="101"/>
  <c r="AE99" i="101" s="1"/>
  <c r="AE100" i="101" s="1"/>
  <c r="AE7" i="101" s="1"/>
  <c r="AD107" i="101"/>
  <c r="AD108" i="101" s="1"/>
  <c r="AC107" i="101"/>
  <c r="AC108" i="101"/>
  <c r="AB5" i="101"/>
  <c r="AC97" i="101"/>
  <c r="AC99" i="101" s="1"/>
  <c r="AC100" i="101" s="1"/>
  <c r="AC7" i="101" s="1"/>
  <c r="AB107" i="101"/>
  <c r="AB108" i="101" s="1"/>
  <c r="AB97" i="101"/>
  <c r="AB99" i="101" s="1"/>
  <c r="AB100" i="101" s="1"/>
  <c r="AB7" i="101" s="1"/>
  <c r="R107" i="101"/>
  <c r="R97" i="101"/>
  <c r="R99" i="101" s="1"/>
  <c r="Q107" i="101"/>
  <c r="Q108" i="101" s="1"/>
  <c r="P5" i="101"/>
  <c r="Q97" i="101"/>
  <c r="Q99" i="101" s="1"/>
  <c r="O5" i="101"/>
  <c r="P107" i="101"/>
  <c r="O107" i="101"/>
  <c r="AW23" i="101" s="1"/>
  <c r="O97" i="101"/>
  <c r="O99" i="101" s="1"/>
  <c r="O100" i="101" s="1"/>
  <c r="O7" i="101" s="1"/>
  <c r="AW16" i="101"/>
  <c r="AW22" i="101" s="1"/>
  <c r="N107" i="101"/>
  <c r="AV23" i="101" s="1"/>
  <c r="M107" i="101"/>
  <c r="AU23" i="101" s="1"/>
  <c r="M97" i="101"/>
  <c r="M99" i="101" s="1"/>
  <c r="L107" i="101"/>
  <c r="L108" i="101"/>
  <c r="L97" i="101"/>
  <c r="L99" i="101" s="1"/>
  <c r="L100" i="101" s="1"/>
  <c r="L7" i="101" s="1"/>
  <c r="K107" i="101"/>
  <c r="AT23" i="101" s="1"/>
  <c r="K97" i="101"/>
  <c r="K99" i="101" s="1"/>
  <c r="K100" i="101" s="1"/>
  <c r="K7" i="101" s="1"/>
  <c r="AT16" i="101"/>
  <c r="AT22" i="101" s="1"/>
  <c r="AT24" i="101" s="1"/>
  <c r="J97" i="101"/>
  <c r="J99" i="101" s="1"/>
  <c r="J107" i="101"/>
  <c r="I107" i="101"/>
  <c r="H5" i="101"/>
  <c r="H108" i="101"/>
  <c r="H97" i="101"/>
  <c r="H99" i="101" s="1"/>
  <c r="H100" i="101" s="1"/>
  <c r="H7" i="101" s="1"/>
  <c r="AI62" i="101"/>
  <c r="F107" i="101"/>
  <c r="AQ23" i="101" s="1"/>
  <c r="AR19" i="101"/>
  <c r="AR22" i="101"/>
  <c r="AR24" i="101" s="1"/>
  <c r="D5" i="101"/>
  <c r="AP19" i="101"/>
  <c r="E97" i="101"/>
  <c r="E99" i="101" s="1"/>
  <c r="E100" i="101" s="1"/>
  <c r="E7" i="101" s="1"/>
  <c r="AQ22" i="101"/>
  <c r="AQ24" i="101" s="1"/>
  <c r="AH103" i="101"/>
  <c r="AO19" i="101"/>
  <c r="AI76" i="101"/>
  <c r="AO17" i="101"/>
  <c r="AH62" i="101"/>
  <c r="B5" i="101"/>
  <c r="C107" i="101"/>
  <c r="C97" i="101"/>
  <c r="C99" i="101" s="1"/>
  <c r="AH76" i="101"/>
  <c r="AI80" i="101"/>
  <c r="AN18" i="101"/>
  <c r="AN22" i="101" s="1"/>
  <c r="B107" i="101"/>
  <c r="B108" i="101" s="1"/>
  <c r="B97" i="101"/>
  <c r="B99" i="101" s="1"/>
  <c r="B100" i="101" s="1"/>
  <c r="AM16" i="101"/>
  <c r="AM22" i="101" s="1"/>
  <c r="AL13" i="101"/>
  <c r="AI101" i="101"/>
  <c r="AS23" i="101"/>
  <c r="I108" i="101"/>
  <c r="G100" i="101"/>
  <c r="G7" i="101" s="1"/>
  <c r="AX16" i="101"/>
  <c r="AX22" i="101" s="1"/>
  <c r="P97" i="101"/>
  <c r="P99" i="101" s="1"/>
  <c r="P100" i="101" s="1"/>
  <c r="P7" i="101" s="1"/>
  <c r="I97" i="101"/>
  <c r="I99" i="101" s="1"/>
  <c r="I100" i="101" s="1"/>
  <c r="I7" i="101" s="1"/>
  <c r="AS16" i="101"/>
  <c r="AS22" i="101" s="1"/>
  <c r="Z7" i="101"/>
  <c r="AG97" i="101"/>
  <c r="AG2" i="101"/>
  <c r="AG6" i="101" s="1"/>
  <c r="J100" i="101"/>
  <c r="J7" i="101" s="1"/>
  <c r="AO22" i="101"/>
  <c r="AH80" i="101"/>
  <c r="AI92" i="101"/>
  <c r="I246" i="101"/>
  <c r="AH58" i="101"/>
  <c r="AI58" i="101"/>
  <c r="F108" i="101"/>
  <c r="AH101" i="101"/>
  <c r="AI105" i="101"/>
  <c r="BG84" i="101" a="1"/>
  <c r="G108" i="101"/>
  <c r="O108" i="101"/>
  <c r="AE108" i="101"/>
  <c r="D97" i="101"/>
  <c r="D99" i="101" s="1"/>
  <c r="AH102" i="101"/>
  <c r="AI103" i="101"/>
  <c r="AI104" i="101"/>
  <c r="K108" i="101"/>
  <c r="AH105" i="101"/>
  <c r="D107" i="101"/>
  <c r="E5" i="101"/>
  <c r="M5" i="101"/>
  <c r="U5" i="101"/>
  <c r="AC5" i="101"/>
  <c r="AU19" i="101"/>
  <c r="AU22" i="101" s="1"/>
  <c r="AU24" i="101" s="1"/>
  <c r="F97" i="101"/>
  <c r="F99" i="101" s="1"/>
  <c r="F100" i="101" s="1"/>
  <c r="F7" i="101" s="1"/>
  <c r="N97" i="101"/>
  <c r="N99" i="101" s="1"/>
  <c r="V7" i="101"/>
  <c r="AD97" i="101"/>
  <c r="AD99" i="101" s="1"/>
  <c r="AD100" i="101" s="1"/>
  <c r="AD7" i="101" s="1"/>
  <c r="D252" i="101"/>
  <c r="F5" i="101"/>
  <c r="N5" i="101"/>
  <c r="V5" i="101"/>
  <c r="AD5" i="101"/>
  <c r="AP16" i="101"/>
  <c r="AP22" i="101" s="1"/>
  <c r="AP24" i="101" s="1"/>
  <c r="AV19" i="101"/>
  <c r="AV22" i="101" s="1"/>
  <c r="AV24" i="101" s="1"/>
  <c r="J108" i="101"/>
  <c r="R108" i="101"/>
  <c r="AH92" i="101"/>
  <c r="AG99" i="101"/>
  <c r="E251" i="101"/>
  <c r="E252" i="101" s="1"/>
  <c r="AH104" i="101"/>
  <c r="AF107" i="99"/>
  <c r="AF108" i="99" s="1"/>
  <c r="AF97" i="99"/>
  <c r="AF99" i="99" s="1"/>
  <c r="AE107" i="99"/>
  <c r="AE108" i="99" s="1"/>
  <c r="AE97" i="99"/>
  <c r="AE99" i="99" s="1"/>
  <c r="AD107" i="99"/>
  <c r="AD108" i="99" s="1"/>
  <c r="AD97" i="99"/>
  <c r="AD99" i="99" s="1"/>
  <c r="AD100" i="99" s="1"/>
  <c r="AC107" i="99"/>
  <c r="AC108" i="99" s="1"/>
  <c r="AC97" i="99"/>
  <c r="AC99" i="99" s="1"/>
  <c r="AA107" i="99"/>
  <c r="AA108" i="99" s="1"/>
  <c r="Z97" i="99"/>
  <c r="Z99" i="99" s="1"/>
  <c r="Z100" i="99" s="1"/>
  <c r="Z107" i="99"/>
  <c r="Z108" i="99" s="1"/>
  <c r="AA97" i="99"/>
  <c r="AA99" i="99" s="1"/>
  <c r="AA100" i="99" s="1"/>
  <c r="Y97" i="99"/>
  <c r="Y99" i="99" s="1"/>
  <c r="Y100" i="99" s="1"/>
  <c r="Y108" i="99"/>
  <c r="X107" i="99"/>
  <c r="X97" i="99"/>
  <c r="X99" i="99" s="1"/>
  <c r="X100" i="99" s="1"/>
  <c r="X108" i="99"/>
  <c r="W107" i="99"/>
  <c r="W97" i="99"/>
  <c r="W99" i="99" s="1"/>
  <c r="W100" i="99" s="1"/>
  <c r="W108" i="99"/>
  <c r="V97" i="99"/>
  <c r="V99" i="99" s="1"/>
  <c r="V107" i="99"/>
  <c r="U97" i="99"/>
  <c r="U99" i="99" s="1"/>
  <c r="U107" i="99"/>
  <c r="U108" i="99" s="1"/>
  <c r="I246" i="102" l="1"/>
  <c r="H252" i="102"/>
  <c r="H118" i="102"/>
  <c r="R100" i="101"/>
  <c r="R7" i="101" s="1"/>
  <c r="Q100" i="101"/>
  <c r="Q7" i="101" s="1"/>
  <c r="P108" i="101"/>
  <c r="AX23" i="101"/>
  <c r="AX24" i="101" s="1"/>
  <c r="AW24" i="101"/>
  <c r="N108" i="101"/>
  <c r="N100" i="101"/>
  <c r="N7" i="101" s="1"/>
  <c r="M100" i="101"/>
  <c r="M7" i="101" s="1"/>
  <c r="M108" i="101"/>
  <c r="AS24" i="101"/>
  <c r="B256" i="101"/>
  <c r="C256" i="101"/>
  <c r="D100" i="101"/>
  <c r="D7" i="101" s="1"/>
  <c r="C100" i="101"/>
  <c r="C7" i="101" s="1"/>
  <c r="AN23" i="101"/>
  <c r="AN24" i="101" s="1"/>
  <c r="C108" i="101"/>
  <c r="AH107" i="101"/>
  <c r="AM23" i="101"/>
  <c r="AM24" i="101" s="1"/>
  <c r="AI107" i="101"/>
  <c r="AH97" i="101"/>
  <c r="BI107" i="101"/>
  <c r="BG106" i="101"/>
  <c r="BK104" i="101"/>
  <c r="BI103" i="101"/>
  <c r="BG102" i="101"/>
  <c r="BK100" i="101"/>
  <c r="BI99" i="101"/>
  <c r="BG98" i="101"/>
  <c r="BK96" i="101"/>
  <c r="BI95" i="101"/>
  <c r="BG94" i="101"/>
  <c r="BK92" i="101"/>
  <c r="BI91" i="101"/>
  <c r="BG90" i="101"/>
  <c r="BK88" i="101"/>
  <c r="BI87" i="101"/>
  <c r="BG86" i="101"/>
  <c r="BK84" i="101"/>
  <c r="BK106" i="101"/>
  <c r="BI105" i="101"/>
  <c r="BG104" i="101"/>
  <c r="BK102" i="101"/>
  <c r="BI101" i="101"/>
  <c r="BG100" i="101"/>
  <c r="BK98" i="101"/>
  <c r="BI97" i="101"/>
  <c r="BG96" i="101"/>
  <c r="BK94" i="101"/>
  <c r="BI93" i="101"/>
  <c r="BG92" i="101"/>
  <c r="BK90" i="101"/>
  <c r="BI89" i="101"/>
  <c r="BG88" i="101"/>
  <c r="BK86" i="101"/>
  <c r="BI85" i="101"/>
  <c r="BG84" i="101"/>
  <c r="BK107" i="101"/>
  <c r="BL105" i="101"/>
  <c r="BH104" i="101"/>
  <c r="BI102" i="101"/>
  <c r="BJ100" i="101"/>
  <c r="BL98" i="101"/>
  <c r="BG97" i="101"/>
  <c r="BH95" i="101"/>
  <c r="BJ93" i="101"/>
  <c r="BK91" i="101"/>
  <c r="BL89" i="101"/>
  <c r="BH88" i="101"/>
  <c r="BI86" i="101"/>
  <c r="BJ84" i="101"/>
  <c r="BJ107" i="101"/>
  <c r="BK105" i="101"/>
  <c r="BL103" i="101"/>
  <c r="BH102" i="101"/>
  <c r="BI100" i="101"/>
  <c r="BJ98" i="101"/>
  <c r="BL96" i="101"/>
  <c r="BG95" i="101"/>
  <c r="BH93" i="101"/>
  <c r="BJ91" i="101"/>
  <c r="BK89" i="101"/>
  <c r="BL87" i="101"/>
  <c r="BH86" i="101"/>
  <c r="BI84" i="101"/>
  <c r="BH107" i="101"/>
  <c r="BJ105" i="101"/>
  <c r="BK103" i="101"/>
  <c r="BL101" i="101"/>
  <c r="BH100" i="101"/>
  <c r="BI98" i="101"/>
  <c r="BJ96" i="101"/>
  <c r="BL94" i="101"/>
  <c r="BG93" i="101"/>
  <c r="BH91" i="101"/>
  <c r="BJ89" i="101"/>
  <c r="BK87" i="101"/>
  <c r="BL85" i="101"/>
  <c r="BH84" i="101"/>
  <c r="BG107" i="101"/>
  <c r="BH105" i="101"/>
  <c r="BJ103" i="101"/>
  <c r="BK101" i="101"/>
  <c r="BL99" i="101"/>
  <c r="BH98" i="101"/>
  <c r="BI96" i="101"/>
  <c r="BJ94" i="101"/>
  <c r="BL92" i="101"/>
  <c r="BG91" i="101"/>
  <c r="BH89" i="101"/>
  <c r="BJ87" i="101"/>
  <c r="BK85" i="101"/>
  <c r="BL106" i="101"/>
  <c r="BG105" i="101"/>
  <c r="BH103" i="101"/>
  <c r="BJ101" i="101"/>
  <c r="BK99" i="101"/>
  <c r="BL97" i="101"/>
  <c r="BH96" i="101"/>
  <c r="BI94" i="101"/>
  <c r="BJ92" i="101"/>
  <c r="BL90" i="101"/>
  <c r="BG89" i="101"/>
  <c r="BH87" i="101"/>
  <c r="BJ85" i="101"/>
  <c r="BJ106" i="101"/>
  <c r="BL104" i="101"/>
  <c r="BG103" i="101"/>
  <c r="BH101" i="101"/>
  <c r="BJ99" i="101"/>
  <c r="BK97" i="101"/>
  <c r="BL95" i="101"/>
  <c r="BH94" i="101"/>
  <c r="BI92" i="101"/>
  <c r="BJ90" i="101"/>
  <c r="BL88" i="101"/>
  <c r="BG87" i="101"/>
  <c r="BH85" i="101"/>
  <c r="BL107" i="101"/>
  <c r="BH106" i="101"/>
  <c r="BI104" i="101"/>
  <c r="BJ102" i="101"/>
  <c r="BL100" i="101"/>
  <c r="BG99" i="101"/>
  <c r="BH97" i="101"/>
  <c r="BJ95" i="101"/>
  <c r="BK93" i="101"/>
  <c r="BL91" i="101"/>
  <c r="BH90" i="101"/>
  <c r="BI88" i="101"/>
  <c r="BJ86" i="101"/>
  <c r="BL84" i="101"/>
  <c r="BJ97" i="101"/>
  <c r="BK95" i="101"/>
  <c r="BL93" i="101"/>
  <c r="BI106" i="101"/>
  <c r="BH92" i="101"/>
  <c r="BJ104" i="101"/>
  <c r="BI90" i="101"/>
  <c r="BL102" i="101"/>
  <c r="BJ88" i="101"/>
  <c r="BH99" i="101"/>
  <c r="BG101" i="101"/>
  <c r="BL86" i="101"/>
  <c r="BG85" i="101"/>
  <c r="D108" i="101"/>
  <c r="AI108" i="101" s="1"/>
  <c r="AO23" i="101"/>
  <c r="AO24" i="101" s="1"/>
  <c r="J246" i="101"/>
  <c r="AI97" i="101"/>
  <c r="AT8" i="101"/>
  <c r="F251" i="101"/>
  <c r="E118" i="101"/>
  <c r="AH99" i="101"/>
  <c r="AI99" i="101"/>
  <c r="AE100" i="99"/>
  <c r="AF100" i="99"/>
  <c r="AC100" i="99"/>
  <c r="V100" i="99"/>
  <c r="V108" i="99"/>
  <c r="U100" i="99"/>
  <c r="I252" i="102" l="1"/>
  <c r="I118" i="102"/>
  <c r="J246" i="102"/>
  <c r="K6" i="101"/>
  <c r="AH108" i="101"/>
  <c r="G251" i="101"/>
  <c r="F118" i="101"/>
  <c r="F252" i="101"/>
  <c r="K246" i="101"/>
  <c r="B7" i="101"/>
  <c r="A7" i="101" s="1"/>
  <c r="AI100" i="101"/>
  <c r="AH100" i="101"/>
  <c r="AT9" i="101"/>
  <c r="J252" i="102" l="1"/>
  <c r="K246" i="102"/>
  <c r="J118" i="102"/>
  <c r="L246" i="101"/>
  <c r="H251" i="101"/>
  <c r="G118" i="101"/>
  <c r="G252" i="101"/>
  <c r="K252" i="102" l="1"/>
  <c r="K118" i="102"/>
  <c r="L246" i="102"/>
  <c r="I251" i="101"/>
  <c r="H252" i="101"/>
  <c r="H118" i="101"/>
  <c r="M246" i="101"/>
  <c r="L252" i="102" l="1"/>
  <c r="M246" i="102"/>
  <c r="L118" i="102"/>
  <c r="N246" i="101"/>
  <c r="J251" i="101"/>
  <c r="I252" i="101"/>
  <c r="I118" i="101"/>
  <c r="M252" i="102" l="1"/>
  <c r="N246" i="102"/>
  <c r="M118" i="102"/>
  <c r="K251" i="101"/>
  <c r="J252" i="101"/>
  <c r="J118" i="101"/>
  <c r="O246" i="101"/>
  <c r="O246" i="102" l="1"/>
  <c r="N252" i="102"/>
  <c r="N118" i="102"/>
  <c r="P246" i="101"/>
  <c r="L251" i="101"/>
  <c r="K252" i="101"/>
  <c r="K118" i="101"/>
  <c r="P246" i="102" l="1"/>
  <c r="O118" i="102"/>
  <c r="O252" i="102"/>
  <c r="M251" i="101"/>
  <c r="L252" i="101"/>
  <c r="L118" i="101"/>
  <c r="Q246" i="101"/>
  <c r="Q246" i="102" l="1"/>
  <c r="P252" i="102"/>
  <c r="R246" i="101"/>
  <c r="N251" i="101"/>
  <c r="M118" i="101"/>
  <c r="M252" i="101"/>
  <c r="Q118" i="102" l="1"/>
  <c r="R246" i="102"/>
  <c r="Q252" i="102"/>
  <c r="O251" i="101"/>
  <c r="N118" i="101"/>
  <c r="N252" i="101"/>
  <c r="S246" i="101"/>
  <c r="R252" i="102" l="1"/>
  <c r="S246" i="102"/>
  <c r="R118" i="102"/>
  <c r="T246" i="101"/>
  <c r="P251" i="101"/>
  <c r="O252" i="101"/>
  <c r="O118" i="101"/>
  <c r="S252" i="102" l="1"/>
  <c r="S118" i="102"/>
  <c r="T246" i="102"/>
  <c r="U246" i="101"/>
  <c r="Q251" i="101"/>
  <c r="P252" i="101"/>
  <c r="T252" i="102" l="1"/>
  <c r="T118" i="102"/>
  <c r="U246" i="102"/>
  <c r="R251" i="101"/>
  <c r="Q252" i="101"/>
  <c r="Q118" i="101"/>
  <c r="V246" i="101"/>
  <c r="U118" i="102" l="1"/>
  <c r="V246" i="102"/>
  <c r="U252" i="102"/>
  <c r="W246" i="101"/>
  <c r="S251" i="101"/>
  <c r="R252" i="101"/>
  <c r="R118" i="101"/>
  <c r="W246" i="102" l="1"/>
  <c r="V252" i="102"/>
  <c r="V118" i="102"/>
  <c r="T251" i="101"/>
  <c r="S252" i="101"/>
  <c r="X246" i="101"/>
  <c r="X246" i="102" l="1"/>
  <c r="W118" i="102"/>
  <c r="W252" i="102"/>
  <c r="Y246" i="101"/>
  <c r="U251" i="101"/>
  <c r="T252" i="101"/>
  <c r="Y246" i="102" l="1"/>
  <c r="X252" i="102"/>
  <c r="X118" i="102"/>
  <c r="V251" i="101"/>
  <c r="U252" i="101"/>
  <c r="Z246" i="101"/>
  <c r="Y252" i="102" l="1"/>
  <c r="Z246" i="102"/>
  <c r="AA246" i="101"/>
  <c r="W251" i="101"/>
  <c r="V252" i="101"/>
  <c r="Z252" i="102" l="1"/>
  <c r="AA246" i="102"/>
  <c r="AB246" i="101"/>
  <c r="X251" i="101"/>
  <c r="W252" i="101"/>
  <c r="AA252" i="102" l="1"/>
  <c r="AB246" i="102"/>
  <c r="AA118" i="102"/>
  <c r="Y251" i="101"/>
  <c r="X252" i="101"/>
  <c r="AC246" i="101"/>
  <c r="AB252" i="102" l="1"/>
  <c r="AB118" i="102"/>
  <c r="AC246" i="102"/>
  <c r="AD246" i="101"/>
  <c r="Z251" i="101"/>
  <c r="Y252" i="101"/>
  <c r="AC252" i="102" l="1"/>
  <c r="AC118" i="102"/>
  <c r="AD246" i="102"/>
  <c r="AA251" i="101"/>
  <c r="Z252" i="101"/>
  <c r="AE246" i="101"/>
  <c r="AE246" i="102" l="1"/>
  <c r="AD252" i="102"/>
  <c r="AD118" i="102"/>
  <c r="AF246" i="101"/>
  <c r="AB251" i="101"/>
  <c r="AA252" i="101"/>
  <c r="AF246" i="102" l="1"/>
  <c r="AE118" i="102"/>
  <c r="AE252" i="102"/>
  <c r="AC251" i="101"/>
  <c r="AB118" i="101"/>
  <c r="AB252" i="101"/>
  <c r="B246" i="101"/>
  <c r="AF252" i="102" l="1"/>
  <c r="B246" i="102"/>
  <c r="AF118" i="102"/>
  <c r="AD251" i="101"/>
  <c r="AC118" i="101"/>
  <c r="AC252" i="101"/>
  <c r="B252" i="102" l="1"/>
  <c r="B118" i="102"/>
  <c r="AE251" i="101"/>
  <c r="AD252" i="101"/>
  <c r="AD118" i="101"/>
  <c r="AI118" i="102" l="1"/>
  <c r="AH118" i="102"/>
  <c r="AF251" i="101"/>
  <c r="AE252" i="101"/>
  <c r="AE118" i="101"/>
  <c r="B251" i="101" l="1"/>
  <c r="AF252" i="101"/>
  <c r="AF118" i="101"/>
  <c r="B252" i="101" l="1"/>
  <c r="AI118" i="101" l="1"/>
  <c r="AH118" i="101"/>
  <c r="T123" i="99" l="1"/>
  <c r="T58" i="99"/>
  <c r="T62" i="99"/>
  <c r="T76" i="99"/>
  <c r="T80" i="99"/>
  <c r="T92" i="99"/>
  <c r="T101" i="99"/>
  <c r="T102" i="99"/>
  <c r="T103" i="99"/>
  <c r="T104" i="99"/>
  <c r="T105" i="99"/>
  <c r="T118" i="99"/>
  <c r="T97" i="99" l="1"/>
  <c r="T99" i="99" s="1"/>
  <c r="T107" i="99"/>
  <c r="T100" i="99" s="1"/>
  <c r="S123" i="99"/>
  <c r="S58" i="99"/>
  <c r="S62" i="99"/>
  <c r="S76" i="99"/>
  <c r="S80" i="99"/>
  <c r="S92" i="99"/>
  <c r="S101" i="99"/>
  <c r="S102" i="99"/>
  <c r="S103" i="99"/>
  <c r="S104" i="99"/>
  <c r="S105" i="99"/>
  <c r="S118" i="99"/>
  <c r="R123" i="99"/>
  <c r="T108" i="99" l="1"/>
  <c r="S97" i="99"/>
  <c r="S99" i="99" s="1"/>
  <c r="S107" i="99"/>
  <c r="S100" i="99" l="1"/>
  <c r="S108" i="99"/>
  <c r="Q123" i="99" l="1"/>
  <c r="P123" i="99"/>
  <c r="O123" i="99"/>
  <c r="N123" i="99"/>
  <c r="M123" i="99"/>
  <c r="AH123" i="99" s="1"/>
  <c r="D123" i="99"/>
  <c r="C123" i="99"/>
  <c r="B123" i="99"/>
  <c r="AG252" i="99"/>
  <c r="C252" i="99"/>
  <c r="D251" i="99"/>
  <c r="D118" i="99" s="1"/>
  <c r="J250" i="99"/>
  <c r="K250" i="99" s="1"/>
  <c r="L250" i="99" s="1"/>
  <c r="M250" i="99" s="1"/>
  <c r="N250" i="99" s="1"/>
  <c r="O250" i="99" s="1"/>
  <c r="P250" i="99" s="1"/>
  <c r="Q250" i="99" s="1"/>
  <c r="R250" i="99" s="1"/>
  <c r="S250" i="99" s="1"/>
  <c r="T250" i="99" s="1"/>
  <c r="U250" i="99" s="1"/>
  <c r="V250" i="99" s="1"/>
  <c r="W250" i="99" s="1"/>
  <c r="X250" i="99" s="1"/>
  <c r="Y250" i="99" s="1"/>
  <c r="Z250" i="99" s="1"/>
  <c r="AA250" i="99" s="1"/>
  <c r="AB250" i="99" s="1"/>
  <c r="AC250" i="99" s="1"/>
  <c r="AD250" i="99" s="1"/>
  <c r="AE250" i="99" s="1"/>
  <c r="AF250" i="99" s="1"/>
  <c r="B250" i="99" s="1"/>
  <c r="E250" i="99"/>
  <c r="F250" i="99" s="1"/>
  <c r="G250" i="99" s="1"/>
  <c r="H250" i="99" s="1"/>
  <c r="I250" i="99" s="1"/>
  <c r="D250" i="99"/>
  <c r="P249" i="99"/>
  <c r="Q249" i="99" s="1"/>
  <c r="R249" i="99" s="1"/>
  <c r="S249" i="99" s="1"/>
  <c r="T249" i="99" s="1"/>
  <c r="U249" i="99" s="1"/>
  <c r="V249" i="99" s="1"/>
  <c r="W249" i="99" s="1"/>
  <c r="X249" i="99" s="1"/>
  <c r="Y249" i="99" s="1"/>
  <c r="Z249" i="99" s="1"/>
  <c r="AA249" i="99" s="1"/>
  <c r="AB249" i="99" s="1"/>
  <c r="AC249" i="99" s="1"/>
  <c r="AD249" i="99" s="1"/>
  <c r="AE249" i="99" s="1"/>
  <c r="AF249" i="99" s="1"/>
  <c r="B249" i="99" s="1"/>
  <c r="H249" i="99"/>
  <c r="I249" i="99" s="1"/>
  <c r="J249" i="99" s="1"/>
  <c r="K249" i="99" s="1"/>
  <c r="L249" i="99" s="1"/>
  <c r="M249" i="99" s="1"/>
  <c r="N249" i="99" s="1"/>
  <c r="O249" i="99" s="1"/>
  <c r="E249" i="99"/>
  <c r="F249" i="99" s="1"/>
  <c r="G249" i="99" s="1"/>
  <c r="D249" i="99"/>
  <c r="F248" i="99"/>
  <c r="G248" i="99" s="1"/>
  <c r="H248" i="99" s="1"/>
  <c r="I248" i="99" s="1"/>
  <c r="J248" i="99" s="1"/>
  <c r="K248" i="99" s="1"/>
  <c r="L248" i="99" s="1"/>
  <c r="M248" i="99" s="1"/>
  <c r="N248" i="99" s="1"/>
  <c r="O248" i="99" s="1"/>
  <c r="P248" i="99" s="1"/>
  <c r="Q248" i="99" s="1"/>
  <c r="R248" i="99" s="1"/>
  <c r="S248" i="99" s="1"/>
  <c r="T248" i="99" s="1"/>
  <c r="U248" i="99" s="1"/>
  <c r="V248" i="99" s="1"/>
  <c r="W248" i="99" s="1"/>
  <c r="X248" i="99" s="1"/>
  <c r="Y248" i="99" s="1"/>
  <c r="Z248" i="99" s="1"/>
  <c r="AA248" i="99" s="1"/>
  <c r="AB248" i="99" s="1"/>
  <c r="AC248" i="99" s="1"/>
  <c r="AD248" i="99" s="1"/>
  <c r="AE248" i="99" s="1"/>
  <c r="AF248" i="99" s="1"/>
  <c r="B248" i="99" s="1"/>
  <c r="E248" i="99"/>
  <c r="D248" i="99"/>
  <c r="AB247" i="99"/>
  <c r="AC247" i="99" s="1"/>
  <c r="AD247" i="99" s="1"/>
  <c r="AE247" i="99" s="1"/>
  <c r="AF247" i="99" s="1"/>
  <c r="B247" i="99" s="1"/>
  <c r="E247" i="99"/>
  <c r="F247" i="99" s="1"/>
  <c r="G247" i="99" s="1"/>
  <c r="H247" i="99" s="1"/>
  <c r="I247" i="99" s="1"/>
  <c r="J247" i="99" s="1"/>
  <c r="K247" i="99" s="1"/>
  <c r="L247" i="99" s="1"/>
  <c r="M247" i="99" s="1"/>
  <c r="N247" i="99" s="1"/>
  <c r="O247" i="99" s="1"/>
  <c r="P247" i="99" s="1"/>
  <c r="Q247" i="99" s="1"/>
  <c r="R247" i="99" s="1"/>
  <c r="S247" i="99" s="1"/>
  <c r="T247" i="99" s="1"/>
  <c r="U247" i="99" s="1"/>
  <c r="V247" i="99" s="1"/>
  <c r="W247" i="99" s="1"/>
  <c r="X247" i="99" s="1"/>
  <c r="Y247" i="99" s="1"/>
  <c r="Z247" i="99" s="1"/>
  <c r="AA247" i="99" s="1"/>
  <c r="D247" i="99"/>
  <c r="D252" i="99" s="1"/>
  <c r="E246" i="99"/>
  <c r="F246" i="99" s="1"/>
  <c r="G246" i="99" s="1"/>
  <c r="D246" i="99"/>
  <c r="AG244" i="99"/>
  <c r="AF244" i="99"/>
  <c r="AE244" i="99"/>
  <c r="AD244" i="99"/>
  <c r="AC244" i="99"/>
  <c r="AB244" i="99"/>
  <c r="AA244" i="99"/>
  <c r="Z244" i="99"/>
  <c r="Y244" i="99"/>
  <c r="X244" i="99"/>
  <c r="W244" i="99"/>
  <c r="V244" i="99"/>
  <c r="U244" i="99"/>
  <c r="T244" i="99"/>
  <c r="S244" i="99"/>
  <c r="R244" i="99"/>
  <c r="Q244" i="99"/>
  <c r="P244" i="99"/>
  <c r="O244" i="99"/>
  <c r="N244" i="99"/>
  <c r="M244" i="99"/>
  <c r="L244" i="99"/>
  <c r="K244" i="99"/>
  <c r="J244" i="99"/>
  <c r="I244" i="99"/>
  <c r="H244" i="99"/>
  <c r="G244" i="99"/>
  <c r="F244" i="99"/>
  <c r="E244" i="99"/>
  <c r="D244" i="99"/>
  <c r="C244" i="99"/>
  <c r="B244" i="99"/>
  <c r="AI130" i="99"/>
  <c r="AH130" i="99"/>
  <c r="AI129" i="99"/>
  <c r="AH129" i="99"/>
  <c r="AI128" i="99"/>
  <c r="AH128" i="99"/>
  <c r="AI127" i="99"/>
  <c r="AH127" i="99"/>
  <c r="AI126" i="99"/>
  <c r="AH126" i="99"/>
  <c r="AI123" i="99"/>
  <c r="AI122" i="99"/>
  <c r="AH122" i="99"/>
  <c r="AI121" i="99"/>
  <c r="AH121" i="99"/>
  <c r="AI120" i="99"/>
  <c r="AH120" i="99"/>
  <c r="AI119" i="99"/>
  <c r="AH119" i="99"/>
  <c r="C118" i="99"/>
  <c r="AI117" i="99"/>
  <c r="AH117" i="99"/>
  <c r="AI116" i="99"/>
  <c r="AH116" i="99"/>
  <c r="AI115" i="99"/>
  <c r="AH115" i="99"/>
  <c r="AI114" i="99"/>
  <c r="AH114" i="99"/>
  <c r="AI113" i="99"/>
  <c r="AH113" i="99"/>
  <c r="AI112" i="99"/>
  <c r="AH112" i="99"/>
  <c r="AI111" i="99"/>
  <c r="AH111" i="99"/>
  <c r="AI110" i="99"/>
  <c r="AH110" i="99"/>
  <c r="AI109" i="99"/>
  <c r="AH109" i="99"/>
  <c r="AI106" i="99"/>
  <c r="AH106" i="99"/>
  <c r="AB105" i="99"/>
  <c r="R105" i="99"/>
  <c r="Q105" i="99"/>
  <c r="P105" i="99"/>
  <c r="O105" i="99"/>
  <c r="N105" i="99"/>
  <c r="M105" i="99"/>
  <c r="L105" i="99"/>
  <c r="K105" i="99"/>
  <c r="J105" i="99"/>
  <c r="I105" i="99"/>
  <c r="H105" i="99"/>
  <c r="G105" i="99"/>
  <c r="F105" i="99"/>
  <c r="E105" i="99"/>
  <c r="D105" i="99"/>
  <c r="C105" i="99"/>
  <c r="B105" i="99"/>
  <c r="AB104" i="99"/>
  <c r="R104" i="99"/>
  <c r="Q104" i="99"/>
  <c r="P104" i="99"/>
  <c r="O104" i="99"/>
  <c r="N104" i="99"/>
  <c r="M104" i="99"/>
  <c r="L104" i="99"/>
  <c r="K104" i="99"/>
  <c r="J104" i="99"/>
  <c r="I104" i="99"/>
  <c r="H104" i="99"/>
  <c r="G104" i="99"/>
  <c r="F104" i="99"/>
  <c r="E104" i="99"/>
  <c r="D104" i="99"/>
  <c r="C104" i="99"/>
  <c r="B104" i="99"/>
  <c r="AB103" i="99"/>
  <c r="R103" i="99"/>
  <c r="Q103" i="99"/>
  <c r="P103" i="99"/>
  <c r="O103" i="99"/>
  <c r="N103" i="99"/>
  <c r="M103" i="99"/>
  <c r="L103" i="99"/>
  <c r="K103" i="99"/>
  <c r="J103" i="99"/>
  <c r="I103" i="99"/>
  <c r="H103" i="99"/>
  <c r="G103" i="99"/>
  <c r="F103" i="99"/>
  <c r="E103" i="99"/>
  <c r="D103" i="99"/>
  <c r="C103" i="99"/>
  <c r="B103" i="99"/>
  <c r="AB102" i="99"/>
  <c r="R102" i="99"/>
  <c r="Q102" i="99"/>
  <c r="P102" i="99"/>
  <c r="O102" i="99"/>
  <c r="N102" i="99"/>
  <c r="M102" i="99"/>
  <c r="L102" i="99"/>
  <c r="K102" i="99"/>
  <c r="J102" i="99"/>
  <c r="I102" i="99"/>
  <c r="H102" i="99"/>
  <c r="G102" i="99"/>
  <c r="F102" i="99"/>
  <c r="E102" i="99"/>
  <c r="D102" i="99"/>
  <c r="C102" i="99"/>
  <c r="B102" i="99"/>
  <c r="AB101" i="99"/>
  <c r="R101" i="99"/>
  <c r="Q101" i="99"/>
  <c r="P101" i="99"/>
  <c r="O101" i="99"/>
  <c r="N101" i="99"/>
  <c r="M101" i="99"/>
  <c r="L101" i="99"/>
  <c r="K101" i="99"/>
  <c r="J101" i="99"/>
  <c r="I101" i="99"/>
  <c r="H101" i="99"/>
  <c r="H107" i="99" s="1"/>
  <c r="G101" i="99"/>
  <c r="F101" i="99"/>
  <c r="E101" i="99"/>
  <c r="D101" i="99"/>
  <c r="C101" i="99"/>
  <c r="B101" i="99"/>
  <c r="AI98" i="99"/>
  <c r="AH98" i="99"/>
  <c r="AI96" i="99"/>
  <c r="AH96" i="99"/>
  <c r="AG96" i="99"/>
  <c r="AI95" i="99"/>
  <c r="AH95" i="99"/>
  <c r="AI94" i="99"/>
  <c r="AH94" i="99"/>
  <c r="AI93" i="99"/>
  <c r="AH93" i="99"/>
  <c r="AG92" i="99"/>
  <c r="AB92" i="99"/>
  <c r="AA5" i="99" s="1"/>
  <c r="R92" i="99"/>
  <c r="Q92" i="99"/>
  <c r="P92" i="99"/>
  <c r="AX19" i="99" s="1"/>
  <c r="O92" i="99"/>
  <c r="N5" i="99" s="1"/>
  <c r="N92" i="99"/>
  <c r="M5" i="99" s="1"/>
  <c r="M92" i="99"/>
  <c r="AU19" i="99" s="1"/>
  <c r="L92" i="99"/>
  <c r="K5" i="99" s="1"/>
  <c r="K92" i="99"/>
  <c r="J92" i="99"/>
  <c r="I92" i="99"/>
  <c r="AS19" i="99" s="1"/>
  <c r="H92" i="99"/>
  <c r="G5" i="99" s="1"/>
  <c r="G92" i="99"/>
  <c r="F92" i="99"/>
  <c r="E5" i="99" s="1"/>
  <c r="E92" i="99"/>
  <c r="D92" i="99"/>
  <c r="AO19" i="99" s="1"/>
  <c r="C92" i="99"/>
  <c r="B92" i="99"/>
  <c r="AM19" i="99" s="1"/>
  <c r="AI91" i="99"/>
  <c r="AH91" i="99"/>
  <c r="AI90" i="99"/>
  <c r="AH90" i="99"/>
  <c r="AI89" i="99"/>
  <c r="AH89" i="99"/>
  <c r="AI88" i="99"/>
  <c r="AH88" i="99"/>
  <c r="AI87" i="99"/>
  <c r="AH87" i="99"/>
  <c r="AI86" i="99"/>
  <c r="AH86" i="99"/>
  <c r="AI85" i="99"/>
  <c r="AH85" i="99"/>
  <c r="AI84" i="99"/>
  <c r="AH84" i="99"/>
  <c r="AI83" i="99"/>
  <c r="AH83" i="99"/>
  <c r="AI82" i="99"/>
  <c r="AH82" i="99"/>
  <c r="AI81" i="99"/>
  <c r="AH81" i="99"/>
  <c r="BG80" i="99"/>
  <c r="AG80" i="99"/>
  <c r="AB80" i="99"/>
  <c r="R80" i="99"/>
  <c r="Q80" i="99"/>
  <c r="P80" i="99"/>
  <c r="O80" i="99"/>
  <c r="N80" i="99"/>
  <c r="M80" i="99"/>
  <c r="L80" i="99"/>
  <c r="K80" i="99"/>
  <c r="J80" i="99"/>
  <c r="I80" i="99"/>
  <c r="H80" i="99"/>
  <c r="G80" i="99"/>
  <c r="AR20" i="99" s="1"/>
  <c r="F80" i="99"/>
  <c r="E80" i="99"/>
  <c r="D80" i="99"/>
  <c r="C80" i="99"/>
  <c r="B80" i="99"/>
  <c r="AM20" i="99" s="1"/>
  <c r="BB79" i="99"/>
  <c r="BA79" i="99"/>
  <c r="AZ79" i="99"/>
  <c r="AI79" i="99"/>
  <c r="AH79" i="99"/>
  <c r="BD78" i="99"/>
  <c r="AI78" i="99"/>
  <c r="AH78" i="99"/>
  <c r="AI77" i="99"/>
  <c r="AH77" i="99"/>
  <c r="BU76" i="99"/>
  <c r="BP76" i="99"/>
  <c r="BH76" i="99"/>
  <c r="BG76" i="99"/>
  <c r="BF76" i="99"/>
  <c r="AZ76" i="99"/>
  <c r="AG76" i="99"/>
  <c r="AB76" i="99"/>
  <c r="R76" i="99"/>
  <c r="Q76" i="99"/>
  <c r="P76" i="99"/>
  <c r="AX18" i="99" s="1"/>
  <c r="O76" i="99"/>
  <c r="N76" i="99"/>
  <c r="M76" i="99"/>
  <c r="AU18" i="99" s="1"/>
  <c r="L76" i="99"/>
  <c r="K76" i="99"/>
  <c r="AT18" i="99" s="1"/>
  <c r="J76" i="99"/>
  <c r="I76" i="99"/>
  <c r="AS18" i="99" s="1"/>
  <c r="H76" i="99"/>
  <c r="G76" i="99"/>
  <c r="F76" i="99"/>
  <c r="E76" i="99"/>
  <c r="D76" i="99"/>
  <c r="AO18" i="99" s="1"/>
  <c r="C76" i="99"/>
  <c r="AN18" i="99" s="1"/>
  <c r="B76" i="99"/>
  <c r="BG75" i="99"/>
  <c r="BF75" i="99"/>
  <c r="AI75" i="99"/>
  <c r="AH75" i="99"/>
  <c r="AG75" i="99"/>
  <c r="AI74" i="99"/>
  <c r="AH74" i="99"/>
  <c r="BW73" i="99"/>
  <c r="BW80" i="99" s="1"/>
  <c r="BV73" i="99"/>
  <c r="BV80" i="99" s="1"/>
  <c r="BU73" i="99"/>
  <c r="BU80" i="99" s="1"/>
  <c r="BT73" i="99"/>
  <c r="BT80" i="99" s="1"/>
  <c r="BS73" i="99"/>
  <c r="BS80" i="99" s="1"/>
  <c r="BR73" i="99"/>
  <c r="BR80" i="99" s="1"/>
  <c r="BQ73" i="99"/>
  <c r="BQ80" i="99" s="1"/>
  <c r="BP73" i="99"/>
  <c r="BP80" i="99" s="1"/>
  <c r="BO73" i="99"/>
  <c r="BO80" i="99" s="1"/>
  <c r="BN73" i="99"/>
  <c r="BN80" i="99" s="1"/>
  <c r="BM73" i="99"/>
  <c r="BM80" i="99" s="1"/>
  <c r="BL73" i="99"/>
  <c r="BL80" i="99" s="1"/>
  <c r="BK73" i="99"/>
  <c r="BK80" i="99" s="1"/>
  <c r="BJ73" i="99"/>
  <c r="BJ80" i="99" s="1"/>
  <c r="BI73" i="99"/>
  <c r="BI80" i="99" s="1"/>
  <c r="BH73" i="99"/>
  <c r="BH80" i="99" s="1"/>
  <c r="BG73" i="99"/>
  <c r="BF73" i="99"/>
  <c r="BF80" i="99" s="1"/>
  <c r="BE73" i="99"/>
  <c r="BE80" i="99" s="1"/>
  <c r="BD73" i="99"/>
  <c r="BD80" i="99" s="1"/>
  <c r="BC73" i="99"/>
  <c r="BC80" i="99" s="1"/>
  <c r="BB73" i="99"/>
  <c r="BB80" i="99" s="1"/>
  <c r="BA73" i="99"/>
  <c r="BA80" i="99" s="1"/>
  <c r="AZ73" i="99"/>
  <c r="AZ80" i="99" s="1"/>
  <c r="AI73" i="99"/>
  <c r="AH73" i="99"/>
  <c r="BW72" i="99"/>
  <c r="BW79" i="99" s="1"/>
  <c r="BV72" i="99"/>
  <c r="BV79" i="99" s="1"/>
  <c r="BU72" i="99"/>
  <c r="BU79" i="99" s="1"/>
  <c r="BT72" i="99"/>
  <c r="BT79" i="99" s="1"/>
  <c r="BS72" i="99"/>
  <c r="BS79" i="99" s="1"/>
  <c r="BR72" i="99"/>
  <c r="BR79" i="99" s="1"/>
  <c r="BQ72" i="99"/>
  <c r="BQ79" i="99" s="1"/>
  <c r="BP72" i="99"/>
  <c r="BP79" i="99" s="1"/>
  <c r="BO72" i="99"/>
  <c r="BO79" i="99" s="1"/>
  <c r="BN72" i="99"/>
  <c r="BN79" i="99" s="1"/>
  <c r="BM72" i="99"/>
  <c r="BM79" i="99" s="1"/>
  <c r="BL72" i="99"/>
  <c r="BL79" i="99" s="1"/>
  <c r="BK72" i="99"/>
  <c r="BK79" i="99" s="1"/>
  <c r="BJ72" i="99"/>
  <c r="BJ79" i="99" s="1"/>
  <c r="BI72" i="99"/>
  <c r="BI79" i="99" s="1"/>
  <c r="BH72" i="99"/>
  <c r="BH79" i="99" s="1"/>
  <c r="BG72" i="99"/>
  <c r="BG79" i="99" s="1"/>
  <c r="BF72" i="99"/>
  <c r="BF79" i="99" s="1"/>
  <c r="BE72" i="99"/>
  <c r="BE79" i="99" s="1"/>
  <c r="BD72" i="99"/>
  <c r="BD79" i="99" s="1"/>
  <c r="BC72" i="99"/>
  <c r="BC79" i="99" s="1"/>
  <c r="BB72" i="99"/>
  <c r="BA72" i="99"/>
  <c r="AZ72" i="99"/>
  <c r="AI72" i="99"/>
  <c r="AH72" i="99"/>
  <c r="BW71" i="99"/>
  <c r="BW78" i="99" s="1"/>
  <c r="BV71" i="99"/>
  <c r="BV78" i="99" s="1"/>
  <c r="BU71" i="99"/>
  <c r="BU78" i="99" s="1"/>
  <c r="BT71" i="99"/>
  <c r="BT78" i="99" s="1"/>
  <c r="BS71" i="99"/>
  <c r="BS78" i="99" s="1"/>
  <c r="BR71" i="99"/>
  <c r="BR78" i="99" s="1"/>
  <c r="BQ71" i="99"/>
  <c r="BQ78" i="99" s="1"/>
  <c r="BP71" i="99"/>
  <c r="BP78" i="99" s="1"/>
  <c r="BO71" i="99"/>
  <c r="BO78" i="99" s="1"/>
  <c r="BN71" i="99"/>
  <c r="BN78" i="99" s="1"/>
  <c r="BM71" i="99"/>
  <c r="BM78" i="99" s="1"/>
  <c r="BL71" i="99"/>
  <c r="BL78" i="99" s="1"/>
  <c r="BK71" i="99"/>
  <c r="BK78" i="99" s="1"/>
  <c r="BJ71" i="99"/>
  <c r="BJ78" i="99" s="1"/>
  <c r="BI71" i="99"/>
  <c r="BI78" i="99" s="1"/>
  <c r="BH71" i="99"/>
  <c r="BH78" i="99" s="1"/>
  <c r="BG71" i="99"/>
  <c r="BG78" i="99" s="1"/>
  <c r="BF71" i="99"/>
  <c r="BF78" i="99" s="1"/>
  <c r="BE71" i="99"/>
  <c r="BE78" i="99" s="1"/>
  <c r="BD71" i="99"/>
  <c r="BC71" i="99"/>
  <c r="BC78" i="99" s="1"/>
  <c r="BB71" i="99"/>
  <c r="BB78" i="99" s="1"/>
  <c r="BA71" i="99"/>
  <c r="BA78" i="99" s="1"/>
  <c r="AZ71" i="99"/>
  <c r="AZ78" i="99" s="1"/>
  <c r="AI71" i="99"/>
  <c r="AH71" i="99"/>
  <c r="BW70" i="99"/>
  <c r="BW77" i="99" s="1"/>
  <c r="BV70" i="99"/>
  <c r="BV77" i="99" s="1"/>
  <c r="BU70" i="99"/>
  <c r="BU77" i="99" s="1"/>
  <c r="BT70" i="99"/>
  <c r="BT77" i="99" s="1"/>
  <c r="BS70" i="99"/>
  <c r="BS77" i="99" s="1"/>
  <c r="BR70" i="99"/>
  <c r="BR77" i="99" s="1"/>
  <c r="BQ70" i="99"/>
  <c r="BQ77" i="99" s="1"/>
  <c r="BP70" i="99"/>
  <c r="BP77" i="99" s="1"/>
  <c r="BO70" i="99"/>
  <c r="BO77" i="99" s="1"/>
  <c r="BN70" i="99"/>
  <c r="BN77" i="99" s="1"/>
  <c r="BM70" i="99"/>
  <c r="BM77" i="99" s="1"/>
  <c r="BL70" i="99"/>
  <c r="BL77" i="99" s="1"/>
  <c r="BK70" i="99"/>
  <c r="BK77" i="99" s="1"/>
  <c r="BJ70" i="99"/>
  <c r="BJ77" i="99" s="1"/>
  <c r="BI70" i="99"/>
  <c r="BI77" i="99" s="1"/>
  <c r="BH70" i="99"/>
  <c r="BH77" i="99" s="1"/>
  <c r="BG70" i="99"/>
  <c r="BG77" i="99" s="1"/>
  <c r="BF70" i="99"/>
  <c r="BF77" i="99" s="1"/>
  <c r="BE70" i="99"/>
  <c r="BE77" i="99" s="1"/>
  <c r="BD70" i="99"/>
  <c r="BD77" i="99" s="1"/>
  <c r="BC70" i="99"/>
  <c r="BC77" i="99" s="1"/>
  <c r="BB70" i="99"/>
  <c r="BB77" i="99" s="1"/>
  <c r="BA70" i="99"/>
  <c r="BA77" i="99" s="1"/>
  <c r="AZ70" i="99"/>
  <c r="AZ77" i="99" s="1"/>
  <c r="AI70" i="99"/>
  <c r="AH70" i="99"/>
  <c r="BW69" i="99"/>
  <c r="BW76" i="99" s="1"/>
  <c r="BV69" i="99"/>
  <c r="BV76" i="99" s="1"/>
  <c r="BU69" i="99"/>
  <c r="BT69" i="99"/>
  <c r="BT76" i="99" s="1"/>
  <c r="BS69" i="99"/>
  <c r="BS76" i="99" s="1"/>
  <c r="BR69" i="99"/>
  <c r="BR76" i="99" s="1"/>
  <c r="BQ69" i="99"/>
  <c r="BQ76" i="99" s="1"/>
  <c r="BP69" i="99"/>
  <c r="BO69" i="99"/>
  <c r="BO76" i="99" s="1"/>
  <c r="BN69" i="99"/>
  <c r="BN76" i="99" s="1"/>
  <c r="BM69" i="99"/>
  <c r="BM76" i="99" s="1"/>
  <c r="BL69" i="99"/>
  <c r="BL76" i="99" s="1"/>
  <c r="BK69" i="99"/>
  <c r="BK76" i="99" s="1"/>
  <c r="BJ69" i="99"/>
  <c r="BJ76" i="99" s="1"/>
  <c r="BI69" i="99"/>
  <c r="BI76" i="99" s="1"/>
  <c r="BH69" i="99"/>
  <c r="BG69" i="99"/>
  <c r="BF69" i="99"/>
  <c r="BE69" i="99"/>
  <c r="BE76" i="99" s="1"/>
  <c r="BD69" i="99"/>
  <c r="BD76" i="99" s="1"/>
  <c r="BC69" i="99"/>
  <c r="BC76" i="99" s="1"/>
  <c r="BB69" i="99"/>
  <c r="BB76" i="99" s="1"/>
  <c r="BA69" i="99"/>
  <c r="BA76" i="99" s="1"/>
  <c r="AZ69" i="99"/>
  <c r="AI69" i="99"/>
  <c r="AH69" i="99"/>
  <c r="BW68" i="99"/>
  <c r="BW75" i="99" s="1"/>
  <c r="BV68" i="99"/>
  <c r="BV75" i="99" s="1"/>
  <c r="BU68" i="99"/>
  <c r="BU75" i="99" s="1"/>
  <c r="BT68" i="99"/>
  <c r="BT75" i="99" s="1"/>
  <c r="BS68" i="99"/>
  <c r="BS75" i="99" s="1"/>
  <c r="BR68" i="99"/>
  <c r="BR75" i="99" s="1"/>
  <c r="BQ68" i="99"/>
  <c r="BQ75" i="99" s="1"/>
  <c r="BP68" i="99"/>
  <c r="BP75" i="99" s="1"/>
  <c r="BO68" i="99"/>
  <c r="BO75" i="99" s="1"/>
  <c r="BN68" i="99"/>
  <c r="BN75" i="99" s="1"/>
  <c r="BM68" i="99"/>
  <c r="BM75" i="99" s="1"/>
  <c r="BL68" i="99"/>
  <c r="BL75" i="99" s="1"/>
  <c r="BK68" i="99"/>
  <c r="BK75" i="99" s="1"/>
  <c r="BJ68" i="99"/>
  <c r="BJ75" i="99" s="1"/>
  <c r="BI68" i="99"/>
  <c r="BI75" i="99" s="1"/>
  <c r="BH68" i="99"/>
  <c r="BH75" i="99" s="1"/>
  <c r="BG68" i="99"/>
  <c r="BF68" i="99"/>
  <c r="BE68" i="99"/>
  <c r="BE75" i="99" s="1"/>
  <c r="BD68" i="99"/>
  <c r="BD75" i="99" s="1"/>
  <c r="BC68" i="99"/>
  <c r="BC75" i="99" s="1"/>
  <c r="BB68" i="99"/>
  <c r="BB75" i="99" s="1"/>
  <c r="BA68" i="99"/>
  <c r="BA75" i="99" s="1"/>
  <c r="AZ68" i="99"/>
  <c r="AI68" i="99"/>
  <c r="AH68" i="99"/>
  <c r="AI67" i="99"/>
  <c r="AH67" i="99"/>
  <c r="AI66" i="99"/>
  <c r="AH66" i="99"/>
  <c r="AI65" i="99"/>
  <c r="AH65" i="99"/>
  <c r="AI64" i="99"/>
  <c r="AH64" i="99"/>
  <c r="AI63" i="99"/>
  <c r="AH63" i="99"/>
  <c r="AG62" i="99"/>
  <c r="AB62" i="99"/>
  <c r="R62" i="99"/>
  <c r="Q62" i="99"/>
  <c r="P62" i="99"/>
  <c r="O62" i="99"/>
  <c r="N62" i="99"/>
  <c r="AV17" i="99" s="1"/>
  <c r="M62" i="99"/>
  <c r="AU17" i="99" s="1"/>
  <c r="L62" i="99"/>
  <c r="K62" i="99"/>
  <c r="AT17" i="99" s="1"/>
  <c r="J62" i="99"/>
  <c r="I62" i="99"/>
  <c r="H62" i="99"/>
  <c r="G62" i="99"/>
  <c r="F62" i="99"/>
  <c r="E62" i="99"/>
  <c r="AP17" i="99" s="1"/>
  <c r="D62" i="99"/>
  <c r="AO17" i="99" s="1"/>
  <c r="C62" i="99"/>
  <c r="B62" i="99"/>
  <c r="AI61" i="99"/>
  <c r="AH61" i="99"/>
  <c r="AI60" i="99"/>
  <c r="AH60" i="99"/>
  <c r="AI59" i="99"/>
  <c r="AH59" i="99"/>
  <c r="AG58" i="99"/>
  <c r="AF7" i="99"/>
  <c r="AD7" i="99"/>
  <c r="AB58" i="99"/>
  <c r="X7" i="99"/>
  <c r="V7" i="99"/>
  <c r="R58" i="99"/>
  <c r="Q58" i="99"/>
  <c r="P58" i="99"/>
  <c r="O58" i="99"/>
  <c r="AW16" i="99" s="1"/>
  <c r="N58" i="99"/>
  <c r="M58" i="99"/>
  <c r="L58" i="99"/>
  <c r="K58" i="99"/>
  <c r="J58" i="99"/>
  <c r="I58" i="99"/>
  <c r="H58" i="99"/>
  <c r="G58" i="99"/>
  <c r="G97" i="99" s="1"/>
  <c r="G99" i="99" s="1"/>
  <c r="F58" i="99"/>
  <c r="F97" i="99" s="1"/>
  <c r="F99" i="99" s="1"/>
  <c r="E58" i="99"/>
  <c r="D58" i="99"/>
  <c r="C58" i="99"/>
  <c r="B58" i="99"/>
  <c r="AI57" i="99"/>
  <c r="AH57" i="99"/>
  <c r="AI56" i="99"/>
  <c r="AH56" i="99"/>
  <c r="AI55" i="99"/>
  <c r="AH55" i="99"/>
  <c r="AI54" i="99"/>
  <c r="AH54" i="99"/>
  <c r="AI53" i="99"/>
  <c r="AH53" i="99"/>
  <c r="AI52" i="99"/>
  <c r="AH52" i="99"/>
  <c r="AI51" i="99"/>
  <c r="AH51" i="99"/>
  <c r="AI50" i="99"/>
  <c r="AH50" i="99"/>
  <c r="AI49" i="99"/>
  <c r="AH49" i="99"/>
  <c r="AI48" i="99"/>
  <c r="AH48" i="99"/>
  <c r="AI47" i="99"/>
  <c r="AH47" i="99"/>
  <c r="AI46" i="99"/>
  <c r="AH46" i="99"/>
  <c r="AI45" i="99"/>
  <c r="AH45" i="99"/>
  <c r="AI44" i="99"/>
  <c r="AH44" i="99"/>
  <c r="AI43" i="99"/>
  <c r="AH43" i="99"/>
  <c r="AI42" i="99"/>
  <c r="AH42" i="99"/>
  <c r="AI41" i="99"/>
  <c r="AH41" i="99"/>
  <c r="AI40" i="99"/>
  <c r="AH40" i="99"/>
  <c r="AI39" i="99"/>
  <c r="AH39" i="99"/>
  <c r="AI38" i="99"/>
  <c r="AH38" i="99"/>
  <c r="AI37" i="99"/>
  <c r="AH37" i="99"/>
  <c r="AI36" i="99"/>
  <c r="AH36" i="99"/>
  <c r="AI35" i="99"/>
  <c r="AH35" i="99"/>
  <c r="AI34" i="99"/>
  <c r="AH34" i="99"/>
  <c r="AI33" i="99"/>
  <c r="AH33" i="99"/>
  <c r="AI32" i="99"/>
  <c r="AH32" i="99"/>
  <c r="AI31" i="99"/>
  <c r="AH31" i="99"/>
  <c r="AI30" i="99"/>
  <c r="AH30" i="99"/>
  <c r="AI29" i="99"/>
  <c r="AH29" i="99"/>
  <c r="AI28" i="99"/>
  <c r="AH28" i="99"/>
  <c r="AI27" i="99"/>
  <c r="AH27" i="99"/>
  <c r="AI26" i="99"/>
  <c r="AH26" i="99"/>
  <c r="AI25" i="99"/>
  <c r="AH25" i="99"/>
  <c r="AI24" i="99"/>
  <c r="AH24" i="99"/>
  <c r="AI23" i="99"/>
  <c r="AH23" i="99"/>
  <c r="AI22" i="99"/>
  <c r="AH22" i="99"/>
  <c r="AX21" i="99"/>
  <c r="AW21" i="99"/>
  <c r="AV21" i="99"/>
  <c r="AU21" i="99"/>
  <c r="AT21" i="99"/>
  <c r="AS21" i="99"/>
  <c r="AR21" i="99"/>
  <c r="AQ21" i="99"/>
  <c r="AP21" i="99"/>
  <c r="AO21" i="99"/>
  <c r="AN21" i="99"/>
  <c r="AM21" i="99"/>
  <c r="AI21" i="99"/>
  <c r="AH21" i="99"/>
  <c r="AX20" i="99"/>
  <c r="AW20" i="99"/>
  <c r="AV20" i="99"/>
  <c r="AU20" i="99"/>
  <c r="AT20" i="99"/>
  <c r="AS20" i="99"/>
  <c r="AQ20" i="99"/>
  <c r="AP20" i="99"/>
  <c r="AO20" i="99"/>
  <c r="AN20" i="99"/>
  <c r="AI20" i="99"/>
  <c r="AH20" i="99"/>
  <c r="AR19" i="99"/>
  <c r="AP19" i="99"/>
  <c r="AI19" i="99"/>
  <c r="AH19" i="99"/>
  <c r="AW18" i="99"/>
  <c r="AV18" i="99"/>
  <c r="AR18" i="99"/>
  <c r="AR22" i="99" s="1"/>
  <c r="AQ18" i="99"/>
  <c r="AP18" i="99"/>
  <c r="AI18" i="99"/>
  <c r="AH18" i="99"/>
  <c r="AX17" i="99"/>
  <c r="AW17" i="99"/>
  <c r="AS17" i="99"/>
  <c r="AR17" i="99"/>
  <c r="AQ17" i="99"/>
  <c r="AN17" i="99"/>
  <c r="AI17" i="99"/>
  <c r="AH17" i="99"/>
  <c r="AV16" i="99"/>
  <c r="AT16" i="99"/>
  <c r="AR16" i="99"/>
  <c r="AQ16" i="99"/>
  <c r="AO16" i="99"/>
  <c r="AN16" i="99"/>
  <c r="AM16" i="99"/>
  <c r="AI16" i="99"/>
  <c r="AH16" i="99"/>
  <c r="AI15" i="99"/>
  <c r="AH15" i="99"/>
  <c r="AI14" i="99"/>
  <c r="AH14" i="99"/>
  <c r="AI13" i="99"/>
  <c r="AH13" i="99"/>
  <c r="AL12" i="99"/>
  <c r="AI12" i="99"/>
  <c r="AH12" i="99"/>
  <c r="AI11" i="99"/>
  <c r="AH11" i="99"/>
  <c r="AE5" i="99"/>
  <c r="AD5" i="99"/>
  <c r="AC5" i="99"/>
  <c r="AB5" i="99"/>
  <c r="X5" i="99"/>
  <c r="W5" i="99"/>
  <c r="V5" i="99"/>
  <c r="U5" i="99"/>
  <c r="T5" i="99"/>
  <c r="S5" i="99"/>
  <c r="P5" i="99"/>
  <c r="L5" i="99"/>
  <c r="F5" i="99"/>
  <c r="D5" i="99"/>
  <c r="AG4" i="99"/>
  <c r="K4" i="99"/>
  <c r="E4" i="99"/>
  <c r="H4" i="99" s="1"/>
  <c r="B4" i="99"/>
  <c r="D258" i="99" s="1"/>
  <c r="AG3" i="99"/>
  <c r="AF123" i="98"/>
  <c r="AE123" i="98"/>
  <c r="AD123" i="98"/>
  <c r="AC123" i="98"/>
  <c r="AA123" i="98"/>
  <c r="AA118" i="98" s="1"/>
  <c r="AA58" i="98"/>
  <c r="AA62" i="98"/>
  <c r="AA76" i="98"/>
  <c r="AA80" i="98"/>
  <c r="AA92" i="98"/>
  <c r="AA101" i="98"/>
  <c r="AA102" i="98"/>
  <c r="AA103" i="98"/>
  <c r="AA104" i="98"/>
  <c r="AA105" i="98"/>
  <c r="Z123" i="98"/>
  <c r="Z118" i="98"/>
  <c r="Z105" i="98"/>
  <c r="Z104" i="98"/>
  <c r="Z103" i="98"/>
  <c r="Z102" i="98"/>
  <c r="Z107" i="98" s="1"/>
  <c r="Z101" i="98"/>
  <c r="Z92" i="98"/>
  <c r="Z108" i="98" s="1"/>
  <c r="Z80" i="98"/>
  <c r="Z97" i="98" s="1"/>
  <c r="Z99" i="98" s="1"/>
  <c r="Z76" i="98"/>
  <c r="Z62" i="98"/>
  <c r="Z58" i="98"/>
  <c r="Y123" i="98"/>
  <c r="Y58" i="98"/>
  <c r="Y62" i="98"/>
  <c r="Y76" i="98"/>
  <c r="Y80" i="98"/>
  <c r="Y92" i="98"/>
  <c r="Y97" i="98" s="1"/>
  <c r="Y99" i="98" s="1"/>
  <c r="Y101" i="98"/>
  <c r="Y102" i="98"/>
  <c r="Y103" i="98"/>
  <c r="Y104" i="98"/>
  <c r="Y105" i="98"/>
  <c r="Y118" i="98"/>
  <c r="X123" i="98"/>
  <c r="X58" i="98"/>
  <c r="X62" i="98"/>
  <c r="X76" i="98"/>
  <c r="X80" i="98"/>
  <c r="X92" i="98"/>
  <c r="X101" i="98"/>
  <c r="X102" i="98"/>
  <c r="X103" i="98"/>
  <c r="X104" i="98"/>
  <c r="X105" i="98"/>
  <c r="X118" i="98"/>
  <c r="W123" i="98"/>
  <c r="W58" i="98"/>
  <c r="W62" i="98"/>
  <c r="W76" i="98"/>
  <c r="W80" i="98"/>
  <c r="W92" i="98"/>
  <c r="W101" i="98"/>
  <c r="W102" i="98"/>
  <c r="W103" i="98"/>
  <c r="W104" i="98"/>
  <c r="W105" i="98"/>
  <c r="W118" i="98"/>
  <c r="V123" i="98"/>
  <c r="V58" i="98"/>
  <c r="V62" i="98"/>
  <c r="V76" i="98"/>
  <c r="V80" i="98"/>
  <c r="V92" i="98"/>
  <c r="V101" i="98"/>
  <c r="V102" i="98"/>
  <c r="V103" i="98"/>
  <c r="V104" i="98"/>
  <c r="V105" i="98"/>
  <c r="V118" i="98"/>
  <c r="T85" i="98"/>
  <c r="U123" i="98"/>
  <c r="U58" i="98"/>
  <c r="U62" i="98"/>
  <c r="U76" i="98"/>
  <c r="U80" i="98"/>
  <c r="U92" i="98"/>
  <c r="U101" i="98"/>
  <c r="U102" i="98"/>
  <c r="U103" i="98"/>
  <c r="U104" i="98"/>
  <c r="U105" i="98"/>
  <c r="U118" i="98"/>
  <c r="R107" i="99" l="1"/>
  <c r="R108" i="99"/>
  <c r="Q107" i="99"/>
  <c r="Q108" i="99" s="1"/>
  <c r="O5" i="99"/>
  <c r="P107" i="99"/>
  <c r="P108" i="99" s="1"/>
  <c r="P97" i="99"/>
  <c r="P99" i="99" s="1"/>
  <c r="AW19" i="99"/>
  <c r="AW22" i="99" s="1"/>
  <c r="O97" i="99"/>
  <c r="O99" i="99" s="1"/>
  <c r="N107" i="99"/>
  <c r="AV23" i="99" s="1"/>
  <c r="AV19" i="99"/>
  <c r="N97" i="99"/>
  <c r="N99" i="99" s="1"/>
  <c r="AI103" i="99"/>
  <c r="AI104" i="99"/>
  <c r="K107" i="99"/>
  <c r="AT23" i="99" s="1"/>
  <c r="AT19" i="99"/>
  <c r="J107" i="99"/>
  <c r="J108" i="99"/>
  <c r="H5" i="99"/>
  <c r="I107" i="99"/>
  <c r="I108" i="99" s="1"/>
  <c r="H108" i="99"/>
  <c r="F107" i="99"/>
  <c r="AQ23" i="99" s="1"/>
  <c r="AQ19" i="99"/>
  <c r="AQ22" i="99" s="1"/>
  <c r="AQ24" i="99" s="1"/>
  <c r="H97" i="99"/>
  <c r="H99" i="99" s="1"/>
  <c r="H100" i="99" s="1"/>
  <c r="H7" i="99" s="1"/>
  <c r="AI105" i="99"/>
  <c r="C5" i="99"/>
  <c r="AH76" i="99"/>
  <c r="AO22" i="99"/>
  <c r="AI101" i="99"/>
  <c r="C97" i="99"/>
  <c r="C99" i="99" s="1"/>
  <c r="C107" i="99"/>
  <c r="AN23" i="99" s="1"/>
  <c r="AH62" i="99"/>
  <c r="B107" i="99"/>
  <c r="AM23" i="99" s="1"/>
  <c r="AM18" i="99"/>
  <c r="AI62" i="99"/>
  <c r="AM17" i="99"/>
  <c r="AM22" i="99"/>
  <c r="AL13" i="99"/>
  <c r="R5" i="99"/>
  <c r="AT22" i="99"/>
  <c r="AV22" i="99"/>
  <c r="AV24" i="99" s="1"/>
  <c r="G107" i="99"/>
  <c r="AR23" i="99" s="1"/>
  <c r="AR24" i="99" s="1"/>
  <c r="O107" i="99"/>
  <c r="AW23" i="99" s="1"/>
  <c r="AE7" i="99"/>
  <c r="BG84" i="99" a="1"/>
  <c r="E97" i="99"/>
  <c r="E99" i="99" s="1"/>
  <c r="AP16" i="99"/>
  <c r="AP22" i="99" s="1"/>
  <c r="M97" i="99"/>
  <c r="M99" i="99" s="1"/>
  <c r="AU16" i="99"/>
  <c r="AU22" i="99" s="1"/>
  <c r="U7" i="99"/>
  <c r="AC7" i="99"/>
  <c r="AS23" i="99"/>
  <c r="AX16" i="99"/>
  <c r="AX22" i="99" s="1"/>
  <c r="AN19" i="99"/>
  <c r="AN22" i="99" s="1"/>
  <c r="AZ75" i="99"/>
  <c r="AH101" i="99"/>
  <c r="AG99" i="99"/>
  <c r="H246" i="99"/>
  <c r="AF5" i="99"/>
  <c r="AX23" i="99"/>
  <c r="I97" i="99"/>
  <c r="I99" i="99" s="1"/>
  <c r="I100" i="99" s="1"/>
  <c r="I7" i="99" s="1"/>
  <c r="Y7" i="99"/>
  <c r="AH80" i="99"/>
  <c r="AI92" i="99"/>
  <c r="AI76" i="99"/>
  <c r="W7" i="99"/>
  <c r="AI102" i="99"/>
  <c r="AG97" i="99"/>
  <c r="I5" i="99"/>
  <c r="Q5" i="99"/>
  <c r="Y5" i="99"/>
  <c r="AS16" i="99"/>
  <c r="AS22" i="99" s="1"/>
  <c r="B97" i="99"/>
  <c r="J97" i="99"/>
  <c r="J99" i="99" s="1"/>
  <c r="J100" i="99" s="1"/>
  <c r="J7" i="99" s="1"/>
  <c r="R97" i="99"/>
  <c r="R99" i="99" s="1"/>
  <c r="R100" i="99" s="1"/>
  <c r="R7" i="99" s="1"/>
  <c r="Z7" i="99"/>
  <c r="AH58" i="99"/>
  <c r="AI80" i="99"/>
  <c r="D107" i="99"/>
  <c r="D108" i="99" s="1"/>
  <c r="L107" i="99"/>
  <c r="L108" i="99" s="1"/>
  <c r="AB107" i="99"/>
  <c r="AB108" i="99" s="1"/>
  <c r="B5" i="99"/>
  <c r="J5" i="99"/>
  <c r="Z5" i="99"/>
  <c r="K97" i="99"/>
  <c r="K99" i="99" s="1"/>
  <c r="S7" i="99"/>
  <c r="AA7" i="99"/>
  <c r="AI58" i="99"/>
  <c r="E107" i="99"/>
  <c r="AP23" i="99" s="1"/>
  <c r="M107" i="99"/>
  <c r="AU23" i="99" s="1"/>
  <c r="AH92" i="99"/>
  <c r="Q97" i="99"/>
  <c r="Q99" i="99" s="1"/>
  <c r="AG2" i="99"/>
  <c r="AG6" i="99" s="1"/>
  <c r="D97" i="99"/>
  <c r="D99" i="99" s="1"/>
  <c r="L97" i="99"/>
  <c r="L99" i="99" s="1"/>
  <c r="T7" i="99"/>
  <c r="AB97" i="99"/>
  <c r="AB99" i="99" s="1"/>
  <c r="E251" i="99"/>
  <c r="E252" i="99"/>
  <c r="AH102" i="99"/>
  <c r="AH103" i="99"/>
  <c r="AH104" i="99"/>
  <c r="AH105" i="99"/>
  <c r="AA97" i="98"/>
  <c r="AA99" i="98" s="1"/>
  <c r="AA107" i="98"/>
  <c r="AA108" i="98"/>
  <c r="Z100" i="98"/>
  <c r="Y107" i="98"/>
  <c r="Y100" i="98" s="1"/>
  <c r="Y108" i="98"/>
  <c r="X97" i="98"/>
  <c r="X99" i="98" s="1"/>
  <c r="X107" i="98"/>
  <c r="W97" i="98"/>
  <c r="W99" i="98" s="1"/>
  <c r="W107" i="98"/>
  <c r="W108" i="98" s="1"/>
  <c r="V107" i="98"/>
  <c r="V108" i="98" s="1"/>
  <c r="V97" i="98"/>
  <c r="V99" i="98" s="1"/>
  <c r="V100" i="98" s="1"/>
  <c r="U107" i="98"/>
  <c r="U108" i="98" s="1"/>
  <c r="U97" i="98"/>
  <c r="U99" i="98" s="1"/>
  <c r="T123" i="98"/>
  <c r="T58" i="98"/>
  <c r="T62" i="98"/>
  <c r="T76" i="98"/>
  <c r="T80" i="98"/>
  <c r="T92" i="98"/>
  <c r="T101" i="98"/>
  <c r="T102" i="98"/>
  <c r="T103" i="98"/>
  <c r="T104" i="98"/>
  <c r="T105" i="98"/>
  <c r="T118" i="98"/>
  <c r="AB100" i="99" l="1"/>
  <c r="AB7" i="99" s="1"/>
  <c r="Q100" i="99"/>
  <c r="Q7" i="99" s="1"/>
  <c r="P100" i="99"/>
  <c r="P7" i="99" s="1"/>
  <c r="AW24" i="99"/>
  <c r="O100" i="99"/>
  <c r="O7" i="99" s="1"/>
  <c r="O108" i="99"/>
  <c r="N108" i="99"/>
  <c r="N100" i="99"/>
  <c r="N7" i="99" s="1"/>
  <c r="M108" i="99"/>
  <c r="AU24" i="99"/>
  <c r="M100" i="99"/>
  <c r="M7" i="99" s="1"/>
  <c r="L100" i="99"/>
  <c r="L7" i="99" s="1"/>
  <c r="K100" i="99"/>
  <c r="K7" i="99" s="1"/>
  <c r="AT24" i="99"/>
  <c r="K108" i="99"/>
  <c r="AS24" i="99"/>
  <c r="F108" i="99"/>
  <c r="F100" i="99"/>
  <c r="F7" i="99" s="1"/>
  <c r="AP24" i="99"/>
  <c r="E108" i="99"/>
  <c r="D100" i="99"/>
  <c r="D7" i="99" s="1"/>
  <c r="C100" i="99"/>
  <c r="C7" i="99" s="1"/>
  <c r="C108" i="99"/>
  <c r="AI107" i="99"/>
  <c r="AM24" i="99"/>
  <c r="B108" i="99"/>
  <c r="AN24" i="99"/>
  <c r="AT8" i="99"/>
  <c r="BJ107" i="99"/>
  <c r="BH106" i="99"/>
  <c r="BL104" i="99"/>
  <c r="BJ103" i="99"/>
  <c r="BH102" i="99"/>
  <c r="BL100" i="99"/>
  <c r="BI107" i="99"/>
  <c r="BG106" i="99"/>
  <c r="BK104" i="99"/>
  <c r="BI103" i="99"/>
  <c r="BG102" i="99"/>
  <c r="BK100" i="99"/>
  <c r="BI99" i="99"/>
  <c r="BG98" i="99"/>
  <c r="BK96" i="99"/>
  <c r="BI95" i="99"/>
  <c r="BG94" i="99"/>
  <c r="BK92" i="99"/>
  <c r="BI91" i="99"/>
  <c r="BG90" i="99"/>
  <c r="BK88" i="99"/>
  <c r="BI87" i="99"/>
  <c r="BG86" i="99"/>
  <c r="BK84" i="99"/>
  <c r="BH107" i="99"/>
  <c r="BL105" i="99"/>
  <c r="BJ104" i="99"/>
  <c r="BH103" i="99"/>
  <c r="BL101" i="99"/>
  <c r="BJ100" i="99"/>
  <c r="BH99" i="99"/>
  <c r="BL97" i="99"/>
  <c r="BJ96" i="99"/>
  <c r="BH95" i="99"/>
  <c r="BL93" i="99"/>
  <c r="BJ92" i="99"/>
  <c r="BH91" i="99"/>
  <c r="BL89" i="99"/>
  <c r="BJ88" i="99"/>
  <c r="BH87" i="99"/>
  <c r="BL85" i="99"/>
  <c r="BJ84" i="99"/>
  <c r="BL106" i="99"/>
  <c r="BJ105" i="99"/>
  <c r="BH104" i="99"/>
  <c r="BL102" i="99"/>
  <c r="BJ101" i="99"/>
  <c r="BH100" i="99"/>
  <c r="BL98" i="99"/>
  <c r="BJ97" i="99"/>
  <c r="BH96" i="99"/>
  <c r="BL94" i="99"/>
  <c r="BJ93" i="99"/>
  <c r="BH92" i="99"/>
  <c r="BL90" i="99"/>
  <c r="BJ89" i="99"/>
  <c r="BH88" i="99"/>
  <c r="BL86" i="99"/>
  <c r="BJ85" i="99"/>
  <c r="BH84" i="99"/>
  <c r="BK106" i="99"/>
  <c r="BI105" i="99"/>
  <c r="BG104" i="99"/>
  <c r="BK102" i="99"/>
  <c r="BI101" i="99"/>
  <c r="BG100" i="99"/>
  <c r="BK98" i="99"/>
  <c r="BI97" i="99"/>
  <c r="BG96" i="99"/>
  <c r="BK94" i="99"/>
  <c r="BI93" i="99"/>
  <c r="BG92" i="99"/>
  <c r="BK90" i="99"/>
  <c r="BI89" i="99"/>
  <c r="BG88" i="99"/>
  <c r="BK86" i="99"/>
  <c r="BI85" i="99"/>
  <c r="BG84" i="99"/>
  <c r="BK105" i="99"/>
  <c r="BI102" i="99"/>
  <c r="BG99" i="99"/>
  <c r="BI96" i="99"/>
  <c r="BK93" i="99"/>
  <c r="BG91" i="99"/>
  <c r="BI88" i="99"/>
  <c r="BK85" i="99"/>
  <c r="BK107" i="99"/>
  <c r="BI100" i="99"/>
  <c r="BG95" i="99"/>
  <c r="BK89" i="99"/>
  <c r="BI84" i="99"/>
  <c r="BH105" i="99"/>
  <c r="BK101" i="99"/>
  <c r="BJ98" i="99"/>
  <c r="BL95" i="99"/>
  <c r="BH93" i="99"/>
  <c r="BJ90" i="99"/>
  <c r="BL87" i="99"/>
  <c r="BH85" i="99"/>
  <c r="BG105" i="99"/>
  <c r="BH101" i="99"/>
  <c r="BI98" i="99"/>
  <c r="BK95" i="99"/>
  <c r="BG93" i="99"/>
  <c r="BI90" i="99"/>
  <c r="BK87" i="99"/>
  <c r="BG85" i="99"/>
  <c r="BL103" i="99"/>
  <c r="BK97" i="99"/>
  <c r="BI92" i="99"/>
  <c r="BG87" i="99"/>
  <c r="BL107" i="99"/>
  <c r="BI104" i="99"/>
  <c r="BG101" i="99"/>
  <c r="BH98" i="99"/>
  <c r="BJ95" i="99"/>
  <c r="BL92" i="99"/>
  <c r="BH90" i="99"/>
  <c r="BJ87" i="99"/>
  <c r="BL84" i="99"/>
  <c r="BG107" i="99"/>
  <c r="BK103" i="99"/>
  <c r="BL99" i="99"/>
  <c r="BH97" i="99"/>
  <c r="BJ94" i="99"/>
  <c r="BL91" i="99"/>
  <c r="BH89" i="99"/>
  <c r="BJ86" i="99"/>
  <c r="BK99" i="99"/>
  <c r="BI86" i="99"/>
  <c r="BJ106" i="99"/>
  <c r="BG103" i="99"/>
  <c r="BG97" i="99"/>
  <c r="BI94" i="99"/>
  <c r="BK91" i="99"/>
  <c r="BG89" i="99"/>
  <c r="BL96" i="99"/>
  <c r="BH94" i="99"/>
  <c r="BJ91" i="99"/>
  <c r="BH86" i="99"/>
  <c r="BL88" i="99"/>
  <c r="BI106" i="99"/>
  <c r="BJ102" i="99"/>
  <c r="BJ99" i="99"/>
  <c r="I246" i="99"/>
  <c r="F251" i="99"/>
  <c r="E118" i="99"/>
  <c r="G100" i="99"/>
  <c r="G7" i="99" s="1"/>
  <c r="G108" i="99"/>
  <c r="AI108" i="99" s="1"/>
  <c r="AO23" i="99"/>
  <c r="AO24" i="99" s="1"/>
  <c r="AH107" i="99"/>
  <c r="AX24" i="99"/>
  <c r="E100" i="99"/>
  <c r="E7" i="99" s="1"/>
  <c r="C256" i="99"/>
  <c r="B256" i="99"/>
  <c r="B99" i="99"/>
  <c r="AI97" i="99"/>
  <c r="AH97" i="99"/>
  <c r="AA100" i="98"/>
  <c r="X100" i="98"/>
  <c r="X108" i="98"/>
  <c r="W100" i="98"/>
  <c r="T107" i="98"/>
  <c r="U100" i="98"/>
  <c r="T97" i="98"/>
  <c r="T99" i="98" s="1"/>
  <c r="T100" i="98" s="1"/>
  <c r="T108" i="98"/>
  <c r="S123" i="98"/>
  <c r="R123" i="98"/>
  <c r="Q123" i="98"/>
  <c r="O123" i="98"/>
  <c r="N123" i="98"/>
  <c r="L123" i="98"/>
  <c r="L57" i="98"/>
  <c r="K123" i="98"/>
  <c r="J123" i="98"/>
  <c r="K57" i="98"/>
  <c r="J57" i="98"/>
  <c r="I123" i="98"/>
  <c r="I57" i="98"/>
  <c r="H123" i="98"/>
  <c r="H57" i="98"/>
  <c r="G123" i="98"/>
  <c r="G57" i="98"/>
  <c r="F123" i="98"/>
  <c r="F57" i="98"/>
  <c r="E123" i="98"/>
  <c r="E57" i="98"/>
  <c r="AT9" i="99" l="1"/>
  <c r="G251" i="99"/>
  <c r="F252" i="99"/>
  <c r="F118" i="99"/>
  <c r="J246" i="99"/>
  <c r="AH99" i="99"/>
  <c r="B100" i="99"/>
  <c r="AI99" i="99"/>
  <c r="AH108" i="99"/>
  <c r="K6" i="99"/>
  <c r="D123" i="98"/>
  <c r="D58" i="98"/>
  <c r="D62" i="98"/>
  <c r="D76" i="98"/>
  <c r="AO18" i="98" s="1"/>
  <c r="D80" i="98"/>
  <c r="D92" i="98"/>
  <c r="D101" i="98"/>
  <c r="D107" i="98" s="1"/>
  <c r="AO23" i="98" s="1"/>
  <c r="D102" i="98"/>
  <c r="D103" i="98"/>
  <c r="D104" i="98"/>
  <c r="D105" i="98"/>
  <c r="D118" i="98"/>
  <c r="C123" i="98"/>
  <c r="AI120" i="98"/>
  <c r="C58" i="98"/>
  <c r="C62" i="98"/>
  <c r="C76" i="98"/>
  <c r="AN18" i="98" s="1"/>
  <c r="C80" i="98"/>
  <c r="C92" i="98"/>
  <c r="C101" i="98"/>
  <c r="C102" i="98"/>
  <c r="C103" i="98"/>
  <c r="C104" i="98"/>
  <c r="C105" i="98"/>
  <c r="B123" i="98"/>
  <c r="B118" i="98"/>
  <c r="B105" i="98"/>
  <c r="B104" i="98"/>
  <c r="B103" i="98"/>
  <c r="B102" i="98"/>
  <c r="B101" i="98"/>
  <c r="B92" i="98"/>
  <c r="AM19" i="98" s="1"/>
  <c r="B80" i="98"/>
  <c r="B76" i="98"/>
  <c r="AM18" i="98" s="1"/>
  <c r="B62" i="98"/>
  <c r="B58" i="98"/>
  <c r="AG252" i="98"/>
  <c r="C252" i="98"/>
  <c r="D251" i="98"/>
  <c r="E251" i="98" s="1"/>
  <c r="F251" i="98" s="1"/>
  <c r="G251" i="98" s="1"/>
  <c r="H251" i="98" s="1"/>
  <c r="I251" i="98" s="1"/>
  <c r="J251" i="98" s="1"/>
  <c r="K251" i="98" s="1"/>
  <c r="L251" i="98" s="1"/>
  <c r="M251" i="98" s="1"/>
  <c r="N251" i="98" s="1"/>
  <c r="O251" i="98" s="1"/>
  <c r="P251" i="98" s="1"/>
  <c r="Q251" i="98" s="1"/>
  <c r="R251" i="98" s="1"/>
  <c r="S251" i="98" s="1"/>
  <c r="T251" i="98" s="1"/>
  <c r="U251" i="98" s="1"/>
  <c r="V251" i="98" s="1"/>
  <c r="W251" i="98" s="1"/>
  <c r="X251" i="98" s="1"/>
  <c r="Y251" i="98" s="1"/>
  <c r="Z251" i="98" s="1"/>
  <c r="AA251" i="98" s="1"/>
  <c r="AB251" i="98" s="1"/>
  <c r="AC251" i="98" s="1"/>
  <c r="AD251" i="98" s="1"/>
  <c r="AE251" i="98" s="1"/>
  <c r="AF251" i="98" s="1"/>
  <c r="B251" i="98" s="1"/>
  <c r="J250" i="98"/>
  <c r="K250" i="98" s="1"/>
  <c r="L250" i="98" s="1"/>
  <c r="M250" i="98" s="1"/>
  <c r="N250" i="98" s="1"/>
  <c r="O250" i="98" s="1"/>
  <c r="P250" i="98" s="1"/>
  <c r="Q250" i="98" s="1"/>
  <c r="R250" i="98" s="1"/>
  <c r="S250" i="98" s="1"/>
  <c r="T250" i="98" s="1"/>
  <c r="U250" i="98" s="1"/>
  <c r="V250" i="98" s="1"/>
  <c r="W250" i="98" s="1"/>
  <c r="X250" i="98" s="1"/>
  <c r="Y250" i="98" s="1"/>
  <c r="Z250" i="98" s="1"/>
  <c r="AA250" i="98" s="1"/>
  <c r="AB250" i="98" s="1"/>
  <c r="AC250" i="98" s="1"/>
  <c r="AD250" i="98" s="1"/>
  <c r="AE250" i="98" s="1"/>
  <c r="AF250" i="98" s="1"/>
  <c r="B250" i="98" s="1"/>
  <c r="E250" i="98"/>
  <c r="F250" i="98" s="1"/>
  <c r="G250" i="98" s="1"/>
  <c r="H250" i="98" s="1"/>
  <c r="I250" i="98" s="1"/>
  <c r="D250" i="98"/>
  <c r="H249" i="98"/>
  <c r="I249" i="98" s="1"/>
  <c r="J249" i="98" s="1"/>
  <c r="K249" i="98" s="1"/>
  <c r="L249" i="98" s="1"/>
  <c r="M249" i="98" s="1"/>
  <c r="N249" i="98" s="1"/>
  <c r="O249" i="98" s="1"/>
  <c r="P249" i="98" s="1"/>
  <c r="Q249" i="98" s="1"/>
  <c r="R249" i="98" s="1"/>
  <c r="S249" i="98" s="1"/>
  <c r="T249" i="98" s="1"/>
  <c r="U249" i="98" s="1"/>
  <c r="V249" i="98" s="1"/>
  <c r="W249" i="98" s="1"/>
  <c r="X249" i="98" s="1"/>
  <c r="Y249" i="98" s="1"/>
  <c r="Z249" i="98" s="1"/>
  <c r="AA249" i="98" s="1"/>
  <c r="AB249" i="98" s="1"/>
  <c r="AC249" i="98" s="1"/>
  <c r="AD249" i="98" s="1"/>
  <c r="AE249" i="98" s="1"/>
  <c r="AF249" i="98" s="1"/>
  <c r="B249" i="98" s="1"/>
  <c r="D249" i="98"/>
  <c r="E249" i="98" s="1"/>
  <c r="F249" i="98" s="1"/>
  <c r="G249" i="98" s="1"/>
  <c r="N248" i="98"/>
  <c r="O248" i="98" s="1"/>
  <c r="P248" i="98" s="1"/>
  <c r="Q248" i="98" s="1"/>
  <c r="R248" i="98" s="1"/>
  <c r="S248" i="98" s="1"/>
  <c r="T248" i="98" s="1"/>
  <c r="U248" i="98" s="1"/>
  <c r="V248" i="98" s="1"/>
  <c r="W248" i="98" s="1"/>
  <c r="X248" i="98" s="1"/>
  <c r="Y248" i="98" s="1"/>
  <c r="Z248" i="98" s="1"/>
  <c r="AA248" i="98" s="1"/>
  <c r="AB248" i="98" s="1"/>
  <c r="AC248" i="98" s="1"/>
  <c r="AD248" i="98" s="1"/>
  <c r="AE248" i="98" s="1"/>
  <c r="AF248" i="98" s="1"/>
  <c r="B248" i="98" s="1"/>
  <c r="F248" i="98"/>
  <c r="G248" i="98" s="1"/>
  <c r="H248" i="98" s="1"/>
  <c r="I248" i="98" s="1"/>
  <c r="J248" i="98" s="1"/>
  <c r="K248" i="98" s="1"/>
  <c r="L248" i="98" s="1"/>
  <c r="M248" i="98" s="1"/>
  <c r="D248" i="98"/>
  <c r="E248" i="98" s="1"/>
  <c r="D247" i="98"/>
  <c r="E246" i="98"/>
  <c r="F246" i="98" s="1"/>
  <c r="D246" i="98"/>
  <c r="AG244" i="98"/>
  <c r="AF244" i="98"/>
  <c r="AE244" i="98"/>
  <c r="AD244" i="98"/>
  <c r="AC244" i="98"/>
  <c r="AB244" i="98"/>
  <c r="AA244" i="98"/>
  <c r="Z244" i="98"/>
  <c r="Y244" i="98"/>
  <c r="X244" i="98"/>
  <c r="W244" i="98"/>
  <c r="V244" i="98"/>
  <c r="U244" i="98"/>
  <c r="T244" i="98"/>
  <c r="S244" i="98"/>
  <c r="R244" i="98"/>
  <c r="Q244" i="98"/>
  <c r="P244" i="98"/>
  <c r="O244" i="98"/>
  <c r="N244" i="98"/>
  <c r="M244" i="98"/>
  <c r="L244" i="98"/>
  <c r="K244" i="98"/>
  <c r="J244" i="98"/>
  <c r="I244" i="98"/>
  <c r="H244" i="98"/>
  <c r="G244" i="98"/>
  <c r="F244" i="98"/>
  <c r="E244" i="98"/>
  <c r="D244" i="98"/>
  <c r="C244" i="98"/>
  <c r="B244" i="98"/>
  <c r="AI130" i="98"/>
  <c r="AH130" i="98"/>
  <c r="AI129" i="98"/>
  <c r="AH129" i="98"/>
  <c r="AI128" i="98"/>
  <c r="AH128" i="98"/>
  <c r="AI127" i="98"/>
  <c r="AH127" i="98"/>
  <c r="AI126" i="98"/>
  <c r="AH126" i="98"/>
  <c r="AI123" i="98"/>
  <c r="AH123" i="98"/>
  <c r="AI122" i="98"/>
  <c r="AH122" i="98"/>
  <c r="AI121" i="98"/>
  <c r="AH121" i="98"/>
  <c r="AI119" i="98"/>
  <c r="AH119" i="98"/>
  <c r="E118" i="98"/>
  <c r="AI117" i="98"/>
  <c r="AH117" i="98"/>
  <c r="AI116" i="98"/>
  <c r="AH116" i="98"/>
  <c r="AI115" i="98"/>
  <c r="AH115" i="98"/>
  <c r="AI114" i="98"/>
  <c r="AH114" i="98"/>
  <c r="AI113" i="98"/>
  <c r="AH113" i="98"/>
  <c r="AI112" i="98"/>
  <c r="AH112" i="98"/>
  <c r="AI111" i="98"/>
  <c r="AH111" i="98"/>
  <c r="AI110" i="98"/>
  <c r="AH110" i="98"/>
  <c r="AI109" i="98"/>
  <c r="AH109" i="98"/>
  <c r="AI106" i="98"/>
  <c r="AH106" i="98"/>
  <c r="AF105" i="98"/>
  <c r="AE105" i="98"/>
  <c r="AD105" i="98"/>
  <c r="AC105" i="98"/>
  <c r="AB105" i="98"/>
  <c r="S105" i="98"/>
  <c r="R105" i="98"/>
  <c r="Q105" i="98"/>
  <c r="P105" i="98"/>
  <c r="O105" i="98"/>
  <c r="N105" i="98"/>
  <c r="M105" i="98"/>
  <c r="L105" i="98"/>
  <c r="K105" i="98"/>
  <c r="J105" i="98"/>
  <c r="I105" i="98"/>
  <c r="H105" i="98"/>
  <c r="H107" i="98" s="1"/>
  <c r="G105" i="98"/>
  <c r="F105" i="98"/>
  <c r="E105" i="98"/>
  <c r="AF104" i="98"/>
  <c r="AE104" i="98"/>
  <c r="AD104" i="98"/>
  <c r="AC104" i="98"/>
  <c r="AB104" i="98"/>
  <c r="S104" i="98"/>
  <c r="R104" i="98"/>
  <c r="Q104" i="98"/>
  <c r="P104" i="98"/>
  <c r="O104" i="98"/>
  <c r="N104" i="98"/>
  <c r="M104" i="98"/>
  <c r="L104" i="98"/>
  <c r="K104" i="98"/>
  <c r="J104" i="98"/>
  <c r="I104" i="98"/>
  <c r="H104" i="98"/>
  <c r="G104" i="98"/>
  <c r="F104" i="98"/>
  <c r="E104" i="98"/>
  <c r="AF103" i="98"/>
  <c r="AE103" i="98"/>
  <c r="AD103" i="98"/>
  <c r="AC103" i="98"/>
  <c r="AB103" i="98"/>
  <c r="S103" i="98"/>
  <c r="R103" i="98"/>
  <c r="Q103" i="98"/>
  <c r="P103" i="98"/>
  <c r="O103" i="98"/>
  <c r="N103" i="98"/>
  <c r="M103" i="98"/>
  <c r="L103" i="98"/>
  <c r="K103" i="98"/>
  <c r="J103" i="98"/>
  <c r="I103" i="98"/>
  <c r="H103" i="98"/>
  <c r="G103" i="98"/>
  <c r="F103" i="98"/>
  <c r="E103" i="98"/>
  <c r="AF102" i="98"/>
  <c r="AE102" i="98"/>
  <c r="AD102" i="98"/>
  <c r="AC102" i="98"/>
  <c r="AB102" i="98"/>
  <c r="S102" i="98"/>
  <c r="R102" i="98"/>
  <c r="Q102" i="98"/>
  <c r="P102" i="98"/>
  <c r="O102" i="98"/>
  <c r="N102" i="98"/>
  <c r="M102" i="98"/>
  <c r="L102" i="98"/>
  <c r="K102" i="98"/>
  <c r="J102" i="98"/>
  <c r="I102" i="98"/>
  <c r="H102" i="98"/>
  <c r="G102" i="98"/>
  <c r="F102" i="98"/>
  <c r="E102" i="98"/>
  <c r="AF101" i="98"/>
  <c r="AF107" i="98" s="1"/>
  <c r="AE101" i="98"/>
  <c r="AE107" i="98" s="1"/>
  <c r="AD101" i="98"/>
  <c r="AC101" i="98"/>
  <c r="AB101" i="98"/>
  <c r="S101" i="98"/>
  <c r="S107" i="98" s="1"/>
  <c r="R101" i="98"/>
  <c r="Q101" i="98"/>
  <c r="P101" i="98"/>
  <c r="O101" i="98"/>
  <c r="N101" i="98"/>
  <c r="N107" i="98" s="1"/>
  <c r="M101" i="98"/>
  <c r="L101" i="98"/>
  <c r="K101" i="98"/>
  <c r="J101" i="98"/>
  <c r="I101" i="98"/>
  <c r="H101" i="98"/>
  <c r="G101" i="98"/>
  <c r="F101" i="98"/>
  <c r="E101" i="98"/>
  <c r="AI98" i="98"/>
  <c r="AH98" i="98"/>
  <c r="AI96" i="98"/>
  <c r="AH96" i="98"/>
  <c r="AG96" i="98"/>
  <c r="AG99" i="98" s="1"/>
  <c r="AI95" i="98"/>
  <c r="AH95" i="98"/>
  <c r="AI94" i="98"/>
  <c r="AH94" i="98"/>
  <c r="AI93" i="98"/>
  <c r="AH93" i="98"/>
  <c r="AG92" i="98"/>
  <c r="AF92" i="98"/>
  <c r="AE5" i="98" s="1"/>
  <c r="AE92" i="98"/>
  <c r="AD5" i="98" s="1"/>
  <c r="AD92" i="98"/>
  <c r="AC92" i="98"/>
  <c r="AB92" i="98"/>
  <c r="AA5" i="98" s="1"/>
  <c r="X5" i="98"/>
  <c r="S92" i="98"/>
  <c r="R5" i="98" s="1"/>
  <c r="R92" i="98"/>
  <c r="Q5" i="98" s="1"/>
  <c r="Q92" i="98"/>
  <c r="P5" i="98" s="1"/>
  <c r="P92" i="98"/>
  <c r="AX19" i="98" s="1"/>
  <c r="O92" i="98"/>
  <c r="AW19" i="98" s="1"/>
  <c r="N92" i="98"/>
  <c r="AV19" i="98" s="1"/>
  <c r="M92" i="98"/>
  <c r="AU19" i="98" s="1"/>
  <c r="L92" i="98"/>
  <c r="K92" i="98"/>
  <c r="J92" i="98"/>
  <c r="I5" i="98" s="1"/>
  <c r="I92" i="98"/>
  <c r="H5" i="98" s="1"/>
  <c r="H92" i="98"/>
  <c r="G92" i="98"/>
  <c r="AR19" i="98" s="1"/>
  <c r="F92" i="98"/>
  <c r="E5" i="98" s="1"/>
  <c r="E92" i="98"/>
  <c r="AP19" i="98" s="1"/>
  <c r="AI91" i="98"/>
  <c r="AH91" i="98"/>
  <c r="AI90" i="98"/>
  <c r="AH90" i="98"/>
  <c r="AI89" i="98"/>
  <c r="AH89" i="98"/>
  <c r="AI88" i="98"/>
  <c r="AH88" i="98"/>
  <c r="AI87" i="98"/>
  <c r="AH87" i="98"/>
  <c r="AI86" i="98"/>
  <c r="AH86" i="98"/>
  <c r="AI85" i="98"/>
  <c r="AH85" i="98"/>
  <c r="AI84" i="98"/>
  <c r="AH84" i="98"/>
  <c r="AI83" i="98"/>
  <c r="AH83" i="98"/>
  <c r="AI82" i="98"/>
  <c r="AH82" i="98"/>
  <c r="AI81" i="98"/>
  <c r="AH81" i="98"/>
  <c r="BE80" i="98"/>
  <c r="AG80" i="98"/>
  <c r="AF80" i="98"/>
  <c r="AE80" i="98"/>
  <c r="AD80" i="98"/>
  <c r="AC80" i="98"/>
  <c r="AB80" i="98"/>
  <c r="S80" i="98"/>
  <c r="R80" i="98"/>
  <c r="Q80" i="98"/>
  <c r="P80" i="98"/>
  <c r="O80" i="98"/>
  <c r="N80" i="98"/>
  <c r="AV20" i="98" s="1"/>
  <c r="M80" i="98"/>
  <c r="L80" i="98"/>
  <c r="K80" i="98"/>
  <c r="J80" i="98"/>
  <c r="I80" i="98"/>
  <c r="H80" i="98"/>
  <c r="G80" i="98"/>
  <c r="F80" i="98"/>
  <c r="E80" i="98"/>
  <c r="BI79" i="98"/>
  <c r="AI79" i="98"/>
  <c r="AH79" i="98"/>
  <c r="AI78" i="98"/>
  <c r="AH78" i="98"/>
  <c r="AI77" i="98"/>
  <c r="AH77" i="98"/>
  <c r="BQ76" i="98"/>
  <c r="BJ76" i="98"/>
  <c r="BH76" i="98"/>
  <c r="BG76" i="98"/>
  <c r="AG76" i="98"/>
  <c r="AG3" i="98" s="1"/>
  <c r="AF76" i="98"/>
  <c r="AE76" i="98"/>
  <c r="AD76" i="98"/>
  <c r="AC76" i="98"/>
  <c r="AB76" i="98"/>
  <c r="S76" i="98"/>
  <c r="R76" i="98"/>
  <c r="Q76" i="98"/>
  <c r="P76" i="98"/>
  <c r="O76" i="98"/>
  <c r="AW18" i="98" s="1"/>
  <c r="N76" i="98"/>
  <c r="AV18" i="98" s="1"/>
  <c r="M76" i="98"/>
  <c r="AU18" i="98" s="1"/>
  <c r="L76" i="98"/>
  <c r="K76" i="98"/>
  <c r="AT18" i="98" s="1"/>
  <c r="J76" i="98"/>
  <c r="I76" i="98"/>
  <c r="AS18" i="98" s="1"/>
  <c r="H76" i="98"/>
  <c r="G76" i="98"/>
  <c r="AR18" i="98" s="1"/>
  <c r="F76" i="98"/>
  <c r="E76" i="98"/>
  <c r="AP18" i="98" s="1"/>
  <c r="BI75" i="98"/>
  <c r="BE75" i="98"/>
  <c r="AI75" i="98"/>
  <c r="AH75" i="98"/>
  <c r="AG75" i="98"/>
  <c r="AI74" i="98"/>
  <c r="AH74" i="98"/>
  <c r="BW73" i="98"/>
  <c r="BW80" i="98" s="1"/>
  <c r="BV73" i="98"/>
  <c r="BV80" i="98" s="1"/>
  <c r="BU73" i="98"/>
  <c r="BU80" i="98" s="1"/>
  <c r="BT73" i="98"/>
  <c r="BT80" i="98" s="1"/>
  <c r="BS73" i="98"/>
  <c r="BS80" i="98" s="1"/>
  <c r="BR73" i="98"/>
  <c r="BR80" i="98" s="1"/>
  <c r="BQ73" i="98"/>
  <c r="BQ80" i="98" s="1"/>
  <c r="BP73" i="98"/>
  <c r="BP80" i="98" s="1"/>
  <c r="BO73" i="98"/>
  <c r="BO80" i="98" s="1"/>
  <c r="BN73" i="98"/>
  <c r="BN80" i="98" s="1"/>
  <c r="BM73" i="98"/>
  <c r="BM80" i="98" s="1"/>
  <c r="BL73" i="98"/>
  <c r="BL80" i="98" s="1"/>
  <c r="BK73" i="98"/>
  <c r="BK80" i="98" s="1"/>
  <c r="BJ73" i="98"/>
  <c r="BJ80" i="98" s="1"/>
  <c r="BI73" i="98"/>
  <c r="BI80" i="98" s="1"/>
  <c r="BH73" i="98"/>
  <c r="BH80" i="98" s="1"/>
  <c r="BG73" i="98"/>
  <c r="BG80" i="98" s="1"/>
  <c r="BF73" i="98"/>
  <c r="BF80" i="98" s="1"/>
  <c r="BE73" i="98"/>
  <c r="BD73" i="98"/>
  <c r="BD80" i="98" s="1"/>
  <c r="BC73" i="98"/>
  <c r="BC80" i="98" s="1"/>
  <c r="BB73" i="98"/>
  <c r="BB80" i="98" s="1"/>
  <c r="BA73" i="98"/>
  <c r="BA80" i="98" s="1"/>
  <c r="AZ73" i="98"/>
  <c r="AZ80" i="98" s="1"/>
  <c r="AI73" i="98"/>
  <c r="AH73" i="98"/>
  <c r="BW72" i="98"/>
  <c r="BW79" i="98" s="1"/>
  <c r="BV72" i="98"/>
  <c r="BV79" i="98" s="1"/>
  <c r="BU72" i="98"/>
  <c r="BU79" i="98" s="1"/>
  <c r="BT72" i="98"/>
  <c r="BT79" i="98" s="1"/>
  <c r="BS72" i="98"/>
  <c r="BS79" i="98" s="1"/>
  <c r="BR72" i="98"/>
  <c r="BR79" i="98" s="1"/>
  <c r="BQ72" i="98"/>
  <c r="BQ79" i="98" s="1"/>
  <c r="BP72" i="98"/>
  <c r="BP79" i="98" s="1"/>
  <c r="BO72" i="98"/>
  <c r="BO79" i="98" s="1"/>
  <c r="BN72" i="98"/>
  <c r="BN79" i="98" s="1"/>
  <c r="BM72" i="98"/>
  <c r="BM79" i="98" s="1"/>
  <c r="BL72" i="98"/>
  <c r="BL79" i="98" s="1"/>
  <c r="BK72" i="98"/>
  <c r="BK79" i="98" s="1"/>
  <c r="BJ72" i="98"/>
  <c r="BJ79" i="98" s="1"/>
  <c r="BI72" i="98"/>
  <c r="BH72" i="98"/>
  <c r="BH79" i="98" s="1"/>
  <c r="BG72" i="98"/>
  <c r="BG79" i="98" s="1"/>
  <c r="BF72" i="98"/>
  <c r="BF79" i="98" s="1"/>
  <c r="BE72" i="98"/>
  <c r="BE79" i="98" s="1"/>
  <c r="BD72" i="98"/>
  <c r="BD79" i="98" s="1"/>
  <c r="BC72" i="98"/>
  <c r="BC79" i="98" s="1"/>
  <c r="BB72" i="98"/>
  <c r="BB79" i="98" s="1"/>
  <c r="BA72" i="98"/>
  <c r="BA79" i="98" s="1"/>
  <c r="AZ72" i="98"/>
  <c r="AZ79" i="98" s="1"/>
  <c r="AI72" i="98"/>
  <c r="AH72" i="98"/>
  <c r="BW71" i="98"/>
  <c r="BW78" i="98" s="1"/>
  <c r="BV71" i="98"/>
  <c r="BV78" i="98" s="1"/>
  <c r="BU71" i="98"/>
  <c r="BU78" i="98" s="1"/>
  <c r="BT71" i="98"/>
  <c r="BT78" i="98" s="1"/>
  <c r="BS71" i="98"/>
  <c r="BS78" i="98" s="1"/>
  <c r="BR71" i="98"/>
  <c r="BR78" i="98" s="1"/>
  <c r="BQ71" i="98"/>
  <c r="BQ78" i="98" s="1"/>
  <c r="BP71" i="98"/>
  <c r="BP78" i="98" s="1"/>
  <c r="BO71" i="98"/>
  <c r="BO78" i="98" s="1"/>
  <c r="BN71" i="98"/>
  <c r="BN78" i="98" s="1"/>
  <c r="BM71" i="98"/>
  <c r="BM78" i="98" s="1"/>
  <c r="BL71" i="98"/>
  <c r="BL78" i="98" s="1"/>
  <c r="BK71" i="98"/>
  <c r="BK78" i="98" s="1"/>
  <c r="BJ71" i="98"/>
  <c r="BJ78" i="98" s="1"/>
  <c r="BI71" i="98"/>
  <c r="BI78" i="98" s="1"/>
  <c r="BH71" i="98"/>
  <c r="BH78" i="98" s="1"/>
  <c r="BG71" i="98"/>
  <c r="BG78" i="98" s="1"/>
  <c r="BF71" i="98"/>
  <c r="BF78" i="98" s="1"/>
  <c r="BE71" i="98"/>
  <c r="BE78" i="98" s="1"/>
  <c r="BD71" i="98"/>
  <c r="BD78" i="98" s="1"/>
  <c r="BC71" i="98"/>
  <c r="BC78" i="98" s="1"/>
  <c r="BB71" i="98"/>
  <c r="BB78" i="98" s="1"/>
  <c r="BA71" i="98"/>
  <c r="BA78" i="98" s="1"/>
  <c r="AZ71" i="98"/>
  <c r="AZ78" i="98" s="1"/>
  <c r="AI71" i="98"/>
  <c r="AH71" i="98"/>
  <c r="BW70" i="98"/>
  <c r="BW77" i="98" s="1"/>
  <c r="BV70" i="98"/>
  <c r="BV77" i="98" s="1"/>
  <c r="BU70" i="98"/>
  <c r="BU77" i="98" s="1"/>
  <c r="BT70" i="98"/>
  <c r="BT77" i="98" s="1"/>
  <c r="BS70" i="98"/>
  <c r="BS77" i="98" s="1"/>
  <c r="BR70" i="98"/>
  <c r="BR77" i="98" s="1"/>
  <c r="BQ70" i="98"/>
  <c r="BQ77" i="98" s="1"/>
  <c r="BP70" i="98"/>
  <c r="BP77" i="98" s="1"/>
  <c r="BO70" i="98"/>
  <c r="BO77" i="98" s="1"/>
  <c r="BN70" i="98"/>
  <c r="BN77" i="98" s="1"/>
  <c r="BM70" i="98"/>
  <c r="BM77" i="98" s="1"/>
  <c r="BL70" i="98"/>
  <c r="BL77" i="98" s="1"/>
  <c r="BK70" i="98"/>
  <c r="BK77" i="98" s="1"/>
  <c r="BJ70" i="98"/>
  <c r="BJ77" i="98" s="1"/>
  <c r="BI70" i="98"/>
  <c r="BI77" i="98" s="1"/>
  <c r="BH70" i="98"/>
  <c r="BH77" i="98" s="1"/>
  <c r="BG70" i="98"/>
  <c r="BG77" i="98" s="1"/>
  <c r="BF70" i="98"/>
  <c r="BF77" i="98" s="1"/>
  <c r="BE70" i="98"/>
  <c r="BE77" i="98" s="1"/>
  <c r="BD70" i="98"/>
  <c r="BD77" i="98" s="1"/>
  <c r="BC70" i="98"/>
  <c r="BC77" i="98" s="1"/>
  <c r="BB70" i="98"/>
  <c r="BB77" i="98" s="1"/>
  <c r="BA70" i="98"/>
  <c r="BA77" i="98" s="1"/>
  <c r="AZ70" i="98"/>
  <c r="AZ77" i="98" s="1"/>
  <c r="AI70" i="98"/>
  <c r="AH70" i="98"/>
  <c r="BW69" i="98"/>
  <c r="BW76" i="98" s="1"/>
  <c r="BV69" i="98"/>
  <c r="BV76" i="98" s="1"/>
  <c r="BU69" i="98"/>
  <c r="BU76" i="98" s="1"/>
  <c r="BT69" i="98"/>
  <c r="BT76" i="98" s="1"/>
  <c r="BS69" i="98"/>
  <c r="BS76" i="98" s="1"/>
  <c r="BR69" i="98"/>
  <c r="BR76" i="98" s="1"/>
  <c r="BQ69" i="98"/>
  <c r="BP69" i="98"/>
  <c r="BP76" i="98" s="1"/>
  <c r="BO69" i="98"/>
  <c r="BO76" i="98" s="1"/>
  <c r="BN69" i="98"/>
  <c r="BN76" i="98" s="1"/>
  <c r="BM69" i="98"/>
  <c r="BM76" i="98" s="1"/>
  <c r="BL69" i="98"/>
  <c r="BL76" i="98" s="1"/>
  <c r="BK69" i="98"/>
  <c r="BK76" i="98" s="1"/>
  <c r="BJ69" i="98"/>
  <c r="BI69" i="98"/>
  <c r="BI76" i="98" s="1"/>
  <c r="BH69" i="98"/>
  <c r="BG69" i="98"/>
  <c r="BF69" i="98"/>
  <c r="BF76" i="98" s="1"/>
  <c r="BE69" i="98"/>
  <c r="BE76" i="98" s="1"/>
  <c r="BD69" i="98"/>
  <c r="BD76" i="98" s="1"/>
  <c r="BC69" i="98"/>
  <c r="BC76" i="98" s="1"/>
  <c r="BB69" i="98"/>
  <c r="BB76" i="98" s="1"/>
  <c r="BA69" i="98"/>
  <c r="BA76" i="98" s="1"/>
  <c r="AZ69" i="98"/>
  <c r="AZ76" i="98" s="1"/>
  <c r="AI69" i="98"/>
  <c r="AH69" i="98"/>
  <c r="BW68" i="98"/>
  <c r="BW75" i="98" s="1"/>
  <c r="BV68" i="98"/>
  <c r="BV75" i="98" s="1"/>
  <c r="BU68" i="98"/>
  <c r="BU75" i="98" s="1"/>
  <c r="BT68" i="98"/>
  <c r="BT75" i="98" s="1"/>
  <c r="BS68" i="98"/>
  <c r="BS75" i="98" s="1"/>
  <c r="BR68" i="98"/>
  <c r="BR75" i="98" s="1"/>
  <c r="BQ68" i="98"/>
  <c r="BQ75" i="98" s="1"/>
  <c r="BP68" i="98"/>
  <c r="BP75" i="98" s="1"/>
  <c r="BO68" i="98"/>
  <c r="BO75" i="98" s="1"/>
  <c r="BN68" i="98"/>
  <c r="BN75" i="98" s="1"/>
  <c r="BM68" i="98"/>
  <c r="BM75" i="98" s="1"/>
  <c r="BL68" i="98"/>
  <c r="BL75" i="98" s="1"/>
  <c r="BK68" i="98"/>
  <c r="BK75" i="98" s="1"/>
  <c r="BJ68" i="98"/>
  <c r="BJ75" i="98" s="1"/>
  <c r="BI68" i="98"/>
  <c r="BH68" i="98"/>
  <c r="BH75" i="98" s="1"/>
  <c r="BG68" i="98"/>
  <c r="BG75" i="98" s="1"/>
  <c r="BF68" i="98"/>
  <c r="BF75" i="98" s="1"/>
  <c r="BE68" i="98"/>
  <c r="BD68" i="98"/>
  <c r="BD75" i="98" s="1"/>
  <c r="BC68" i="98"/>
  <c r="BC75" i="98" s="1"/>
  <c r="BB68" i="98"/>
  <c r="BB75" i="98" s="1"/>
  <c r="BA68" i="98"/>
  <c r="BA75" i="98" s="1"/>
  <c r="AZ68" i="98"/>
  <c r="AI68" i="98"/>
  <c r="AH68" i="98"/>
  <c r="AI67" i="98"/>
  <c r="AH67" i="98"/>
  <c r="AI66" i="98"/>
  <c r="AH66" i="98"/>
  <c r="AI65" i="98"/>
  <c r="AH65" i="98"/>
  <c r="AI64" i="98"/>
  <c r="AH64" i="98"/>
  <c r="AI63" i="98"/>
  <c r="AH63" i="98"/>
  <c r="AG62" i="98"/>
  <c r="AF62" i="98"/>
  <c r="AE62" i="98"/>
  <c r="AD62" i="98"/>
  <c r="AC62" i="98"/>
  <c r="AB62" i="98"/>
  <c r="S62" i="98"/>
  <c r="R62" i="98"/>
  <c r="Q62" i="98"/>
  <c r="P62" i="98"/>
  <c r="AX17" i="98" s="1"/>
  <c r="O62" i="98"/>
  <c r="AW17" i="98" s="1"/>
  <c r="N62" i="98"/>
  <c r="AV17" i="98" s="1"/>
  <c r="M62" i="98"/>
  <c r="L62" i="98"/>
  <c r="K62" i="98"/>
  <c r="J62" i="98"/>
  <c r="I62" i="98"/>
  <c r="AS17" i="98" s="1"/>
  <c r="H62" i="98"/>
  <c r="G62" i="98"/>
  <c r="AR17" i="98" s="1"/>
  <c r="F62" i="98"/>
  <c r="AQ17" i="98" s="1"/>
  <c r="E62" i="98"/>
  <c r="AP17" i="98" s="1"/>
  <c r="AI61" i="98"/>
  <c r="AH61" i="98"/>
  <c r="AI60" i="98"/>
  <c r="AH60" i="98"/>
  <c r="AI59" i="98"/>
  <c r="AH59" i="98"/>
  <c r="AG58" i="98"/>
  <c r="AF58" i="98"/>
  <c r="AE58" i="98"/>
  <c r="AD58" i="98"/>
  <c r="AC58" i="98"/>
  <c r="AB58" i="98"/>
  <c r="X7" i="98"/>
  <c r="T7" i="98"/>
  <c r="S58" i="98"/>
  <c r="R58" i="98"/>
  <c r="Q58" i="98"/>
  <c r="P58" i="98"/>
  <c r="O58" i="98"/>
  <c r="N58" i="98"/>
  <c r="M58" i="98"/>
  <c r="L58" i="98"/>
  <c r="K58" i="98"/>
  <c r="AT16" i="98" s="1"/>
  <c r="J58" i="98"/>
  <c r="I58" i="98"/>
  <c r="H58" i="98"/>
  <c r="G58" i="98"/>
  <c r="F58" i="98"/>
  <c r="AQ16" i="98" s="1"/>
  <c r="E58" i="98"/>
  <c r="AI57" i="98"/>
  <c r="AH57" i="98"/>
  <c r="AI56" i="98"/>
  <c r="AH56" i="98"/>
  <c r="AI55" i="98"/>
  <c r="AH55" i="98"/>
  <c r="AI54" i="98"/>
  <c r="AH54" i="98"/>
  <c r="AI53" i="98"/>
  <c r="AH53" i="98"/>
  <c r="AI52" i="98"/>
  <c r="AH52" i="98"/>
  <c r="AI51" i="98"/>
  <c r="AH51" i="98"/>
  <c r="AI50" i="98"/>
  <c r="AH50" i="98"/>
  <c r="AI49" i="98"/>
  <c r="AH49" i="98"/>
  <c r="AI48" i="98"/>
  <c r="AH48" i="98"/>
  <c r="AI47" i="98"/>
  <c r="AH47" i="98"/>
  <c r="AI46" i="98"/>
  <c r="AH46" i="98"/>
  <c r="AI45" i="98"/>
  <c r="AH45" i="98"/>
  <c r="AI44" i="98"/>
  <c r="AH44" i="98"/>
  <c r="AI43" i="98"/>
  <c r="AH43" i="98"/>
  <c r="AI42" i="98"/>
  <c r="AH42" i="98"/>
  <c r="AI41" i="98"/>
  <c r="AH41" i="98"/>
  <c r="AI40" i="98"/>
  <c r="AH40" i="98"/>
  <c r="AI39" i="98"/>
  <c r="AH39" i="98"/>
  <c r="AI38" i="98"/>
  <c r="AH38" i="98"/>
  <c r="AI37" i="98"/>
  <c r="AH37" i="98"/>
  <c r="AI36" i="98"/>
  <c r="AH36" i="98"/>
  <c r="AI35" i="98"/>
  <c r="AH35" i="98"/>
  <c r="AI34" i="98"/>
  <c r="AH34" i="98"/>
  <c r="AI33" i="98"/>
  <c r="AH33" i="98"/>
  <c r="AI32" i="98"/>
  <c r="AH32" i="98"/>
  <c r="AI31" i="98"/>
  <c r="AH31" i="98"/>
  <c r="AI30" i="98"/>
  <c r="AH30" i="98"/>
  <c r="AI29" i="98"/>
  <c r="AH29" i="98"/>
  <c r="AI28" i="98"/>
  <c r="AH28" i="98"/>
  <c r="AI27" i="98"/>
  <c r="AH27" i="98"/>
  <c r="AI26" i="98"/>
  <c r="AH26" i="98"/>
  <c r="AI25" i="98"/>
  <c r="AH25" i="98"/>
  <c r="AI24" i="98"/>
  <c r="AH24" i="98"/>
  <c r="AV23" i="98"/>
  <c r="AI23" i="98"/>
  <c r="AH23" i="98"/>
  <c r="AI22" i="98"/>
  <c r="AH22" i="98"/>
  <c r="AX21" i="98"/>
  <c r="AW21" i="98"/>
  <c r="AV21" i="98"/>
  <c r="AU21" i="98"/>
  <c r="AT21" i="98"/>
  <c r="AS21" i="98"/>
  <c r="AR21" i="98"/>
  <c r="AQ21" i="98"/>
  <c r="AP21" i="98"/>
  <c r="AO21" i="98"/>
  <c r="AN21" i="98"/>
  <c r="AM21" i="98"/>
  <c r="AI21" i="98"/>
  <c r="AH21" i="98"/>
  <c r="AX20" i="98"/>
  <c r="AW20" i="98"/>
  <c r="AU20" i="98"/>
  <c r="AT20" i="98"/>
  <c r="AS20" i="98"/>
  <c r="AR20" i="98"/>
  <c r="AQ20" i="98"/>
  <c r="AP20" i="98"/>
  <c r="AO20" i="98"/>
  <c r="AN20" i="98"/>
  <c r="AM20" i="98"/>
  <c r="AI20" i="98"/>
  <c r="AH20" i="98"/>
  <c r="AO19" i="98"/>
  <c r="AN19" i="98"/>
  <c r="AI19" i="98"/>
  <c r="AH19" i="98"/>
  <c r="AX18" i="98"/>
  <c r="AQ18" i="98"/>
  <c r="AI18" i="98"/>
  <c r="AH18" i="98"/>
  <c r="AU17" i="98"/>
  <c r="AT17" i="98"/>
  <c r="AO17" i="98"/>
  <c r="AN17" i="98"/>
  <c r="AI17" i="98"/>
  <c r="AH17" i="98"/>
  <c r="AW16" i="98"/>
  <c r="AU16" i="98"/>
  <c r="AS16" i="98"/>
  <c r="AP16" i="98"/>
  <c r="AO16" i="98"/>
  <c r="AN16" i="98"/>
  <c r="AI16" i="98"/>
  <c r="AH16" i="98"/>
  <c r="AI15" i="98"/>
  <c r="AH15" i="98"/>
  <c r="AI14" i="98"/>
  <c r="AH14" i="98"/>
  <c r="AI13" i="98"/>
  <c r="AH13" i="98"/>
  <c r="AL12" i="98"/>
  <c r="AI12" i="98"/>
  <c r="AH12" i="98"/>
  <c r="AI11" i="98"/>
  <c r="AH11" i="98"/>
  <c r="AC5" i="98"/>
  <c r="Z5" i="98"/>
  <c r="Y5" i="98"/>
  <c r="W5" i="98"/>
  <c r="V5" i="98"/>
  <c r="U5" i="98"/>
  <c r="S5" i="98"/>
  <c r="K5" i="98"/>
  <c r="G5" i="98"/>
  <c r="C5" i="98"/>
  <c r="B5" i="98"/>
  <c r="AG4" i="98"/>
  <c r="K4" i="98"/>
  <c r="E4" i="98"/>
  <c r="H4" i="98" s="1"/>
  <c r="B4" i="98"/>
  <c r="AG2" i="98"/>
  <c r="AF123" i="97"/>
  <c r="AF58" i="97"/>
  <c r="AF62" i="97"/>
  <c r="AF76" i="97"/>
  <c r="AF80" i="97"/>
  <c r="AF92" i="97"/>
  <c r="AF101" i="97"/>
  <c r="AF107" i="97" s="1"/>
  <c r="AF102" i="97"/>
  <c r="AF103" i="97"/>
  <c r="AF104" i="97"/>
  <c r="AF105" i="97"/>
  <c r="AF118" i="97"/>
  <c r="AE123" i="97"/>
  <c r="AE118" i="97" s="1"/>
  <c r="AE58" i="97"/>
  <c r="AE62" i="97"/>
  <c r="AE76" i="97"/>
  <c r="AE80" i="97"/>
  <c r="AE92" i="97"/>
  <c r="AE97" i="97" s="1"/>
  <c r="AE99" i="97" s="1"/>
  <c r="AE101" i="97"/>
  <c r="AE102" i="97"/>
  <c r="AE103" i="97"/>
  <c r="AE104" i="97"/>
  <c r="AE105" i="97"/>
  <c r="AD123" i="97"/>
  <c r="AD58" i="97"/>
  <c r="AD62" i="97"/>
  <c r="AD76" i="97"/>
  <c r="AD80" i="97"/>
  <c r="AD92" i="97"/>
  <c r="AD101" i="97"/>
  <c r="AD102" i="97"/>
  <c r="AD103" i="97"/>
  <c r="AD104" i="97"/>
  <c r="AD105" i="97"/>
  <c r="AD118" i="97"/>
  <c r="AC123" i="97"/>
  <c r="AC58" i="97"/>
  <c r="AC62" i="97"/>
  <c r="AC76" i="97"/>
  <c r="AC80" i="97"/>
  <c r="AC92" i="97"/>
  <c r="AC101" i="97"/>
  <c r="AC107" i="97" s="1"/>
  <c r="AC102" i="97"/>
  <c r="AC103" i="97"/>
  <c r="AC104" i="97"/>
  <c r="AC105" i="97"/>
  <c r="AC118" i="97"/>
  <c r="AB123" i="97"/>
  <c r="AB58" i="97"/>
  <c r="AB62" i="97"/>
  <c r="AB76" i="97"/>
  <c r="AB80" i="97"/>
  <c r="AB92" i="97"/>
  <c r="AB101" i="97"/>
  <c r="AB107" i="97" s="1"/>
  <c r="AB102" i="97"/>
  <c r="AB103" i="97"/>
  <c r="AB104" i="97"/>
  <c r="AB105" i="97"/>
  <c r="AB118" i="97"/>
  <c r="V57" i="97"/>
  <c r="U57" i="97"/>
  <c r="T57" i="97"/>
  <c r="K246" i="99" l="1"/>
  <c r="AI100" i="99"/>
  <c r="AH100" i="99"/>
  <c r="B7" i="99"/>
  <c r="A7" i="99" s="1"/>
  <c r="H251" i="99"/>
  <c r="G252" i="99"/>
  <c r="G118" i="99"/>
  <c r="AF97" i="98"/>
  <c r="AF99" i="98" s="1"/>
  <c r="AF100" i="98" s="1"/>
  <c r="AF7" i="98" s="1"/>
  <c r="AE97" i="98"/>
  <c r="AE99" i="98" s="1"/>
  <c r="AE100" i="98" s="1"/>
  <c r="AE7" i="98" s="1"/>
  <c r="AE108" i="98"/>
  <c r="AD107" i="98"/>
  <c r="AD108" i="98" s="1"/>
  <c r="AC97" i="98"/>
  <c r="AC99" i="98" s="1"/>
  <c r="AB107" i="98"/>
  <c r="AB108" i="98" s="1"/>
  <c r="AB97" i="98"/>
  <c r="AB99" i="98" s="1"/>
  <c r="S108" i="98"/>
  <c r="R97" i="98"/>
  <c r="R99" i="98" s="1"/>
  <c r="Q107" i="98"/>
  <c r="P107" i="98"/>
  <c r="AX23" i="98" s="1"/>
  <c r="O5" i="98"/>
  <c r="N5" i="98"/>
  <c r="O107" i="98"/>
  <c r="O108" i="98" s="1"/>
  <c r="AW22" i="98"/>
  <c r="O97" i="98"/>
  <c r="O99" i="98" s="1"/>
  <c r="O100" i="98" s="1"/>
  <c r="O7" i="98" s="1"/>
  <c r="M5" i="98"/>
  <c r="N108" i="98"/>
  <c r="AU22" i="98"/>
  <c r="M97" i="98"/>
  <c r="M99" i="98" s="1"/>
  <c r="L107" i="98"/>
  <c r="L97" i="98"/>
  <c r="L99" i="98" s="1"/>
  <c r="L100" i="98" s="1"/>
  <c r="L7" i="98" s="1"/>
  <c r="K107" i="98"/>
  <c r="AT23" i="98" s="1"/>
  <c r="AT19" i="98"/>
  <c r="J5" i="98"/>
  <c r="AT22" i="98"/>
  <c r="AT24" i="98" s="1"/>
  <c r="J97" i="98"/>
  <c r="J99" i="98" s="1"/>
  <c r="I107" i="98"/>
  <c r="AS23" i="98" s="1"/>
  <c r="AS19" i="98"/>
  <c r="AS22" i="98" s="1"/>
  <c r="AS24" i="98" s="1"/>
  <c r="H108" i="98"/>
  <c r="H97" i="98"/>
  <c r="H99" i="98" s="1"/>
  <c r="H100" i="98" s="1"/>
  <c r="H7" i="98" s="1"/>
  <c r="G107" i="98"/>
  <c r="F5" i="98"/>
  <c r="G97" i="98"/>
  <c r="G99" i="98" s="1"/>
  <c r="AQ19" i="98"/>
  <c r="F107" i="98"/>
  <c r="F108" i="98" s="1"/>
  <c r="AH105" i="98"/>
  <c r="D108" i="98"/>
  <c r="D97" i="98"/>
  <c r="D99" i="98" s="1"/>
  <c r="D100" i="98" s="1"/>
  <c r="D7" i="98" s="1"/>
  <c r="AO22" i="98"/>
  <c r="AO24" i="98" s="1"/>
  <c r="C107" i="98"/>
  <c r="AN23" i="98" s="1"/>
  <c r="C97" i="98"/>
  <c r="C99" i="98" s="1"/>
  <c r="AH120" i="98"/>
  <c r="C118" i="98"/>
  <c r="C108" i="98"/>
  <c r="C100" i="98"/>
  <c r="AN22" i="98"/>
  <c r="AN24" i="98" s="1"/>
  <c r="B107" i="98"/>
  <c r="B108" i="98" s="1"/>
  <c r="B97" i="98"/>
  <c r="B99" i="98" s="1"/>
  <c r="B100" i="98" s="1"/>
  <c r="AM17" i="98"/>
  <c r="AI102" i="98"/>
  <c r="AH103" i="98"/>
  <c r="AI58" i="98"/>
  <c r="BG84" i="98" a="1"/>
  <c r="AZ75" i="98"/>
  <c r="AP22" i="98"/>
  <c r="F97" i="98"/>
  <c r="F99" i="98" s="1"/>
  <c r="F100" i="98" s="1"/>
  <c r="F7" i="98" s="1"/>
  <c r="AV16" i="98"/>
  <c r="AV22" i="98" s="1"/>
  <c r="AV24" i="98" s="1"/>
  <c r="N97" i="98"/>
  <c r="N99" i="98" s="1"/>
  <c r="N100" i="98" s="1"/>
  <c r="N7" i="98" s="1"/>
  <c r="V7" i="98"/>
  <c r="AD97" i="98"/>
  <c r="AD99" i="98" s="1"/>
  <c r="AD100" i="98" s="1"/>
  <c r="AD7" i="98" s="1"/>
  <c r="AH58" i="98"/>
  <c r="AM16" i="98"/>
  <c r="AM22" i="98" s="1"/>
  <c r="AG6" i="98"/>
  <c r="AQ22" i="98"/>
  <c r="G100" i="98"/>
  <c r="G7" i="98" s="1"/>
  <c r="W7" i="98"/>
  <c r="AI80" i="98"/>
  <c r="AH80" i="98"/>
  <c r="D258" i="98"/>
  <c r="AL13" i="98"/>
  <c r="P97" i="98"/>
  <c r="P99" i="98" s="1"/>
  <c r="P100" i="98" s="1"/>
  <c r="P7" i="98" s="1"/>
  <c r="AX16" i="98"/>
  <c r="AX22" i="98" s="1"/>
  <c r="AX24" i="98" s="1"/>
  <c r="AH76" i="98"/>
  <c r="AI76" i="98"/>
  <c r="P108" i="98"/>
  <c r="AF108" i="98"/>
  <c r="AR23" i="98"/>
  <c r="G108" i="98"/>
  <c r="AW23" i="98"/>
  <c r="AW24" i="98" s="1"/>
  <c r="AI62" i="98"/>
  <c r="AH62" i="98"/>
  <c r="AI92" i="98"/>
  <c r="R108" i="98"/>
  <c r="AH92" i="98"/>
  <c r="AF5" i="98"/>
  <c r="AR16" i="98"/>
  <c r="AR22" i="98" s="1"/>
  <c r="I97" i="98"/>
  <c r="I99" i="98" s="1"/>
  <c r="I100" i="98" s="1"/>
  <c r="I7" i="98" s="1"/>
  <c r="Q97" i="98"/>
  <c r="Q99" i="98" s="1"/>
  <c r="Q100" i="98" s="1"/>
  <c r="Q7" i="98" s="1"/>
  <c r="Y7" i="98"/>
  <c r="AG97" i="98"/>
  <c r="L108" i="98"/>
  <c r="E107" i="98"/>
  <c r="AP23" i="98" s="1"/>
  <c r="M107" i="98"/>
  <c r="AU23" i="98" s="1"/>
  <c r="AU24" i="98" s="1"/>
  <c r="U7" i="98"/>
  <c r="AC107" i="98"/>
  <c r="AC108" i="98" s="1"/>
  <c r="E97" i="98"/>
  <c r="E99" i="98" s="1"/>
  <c r="D252" i="98"/>
  <c r="E247" i="98"/>
  <c r="E108" i="98"/>
  <c r="C7" i="98"/>
  <c r="K97" i="98"/>
  <c r="K99" i="98" s="1"/>
  <c r="K100" i="98" s="1"/>
  <c r="K7" i="98" s="1"/>
  <c r="S97" i="98"/>
  <c r="S99" i="98" s="1"/>
  <c r="S100" i="98" s="1"/>
  <c r="S7" i="98" s="1"/>
  <c r="AA7" i="98"/>
  <c r="AI105" i="98"/>
  <c r="D5" i="98"/>
  <c r="L5" i="98"/>
  <c r="T5" i="98"/>
  <c r="AB5" i="98"/>
  <c r="AH102" i="98"/>
  <c r="AI103" i="98"/>
  <c r="AI104" i="98"/>
  <c r="I108" i="98"/>
  <c r="Q108" i="98"/>
  <c r="AI101" i="98"/>
  <c r="J107" i="98"/>
  <c r="R107" i="98"/>
  <c r="Z7" i="98"/>
  <c r="G246" i="98"/>
  <c r="F118" i="98"/>
  <c r="AH101" i="98"/>
  <c r="AH104" i="98"/>
  <c r="AF108" i="97"/>
  <c r="AF97" i="97"/>
  <c r="AF99" i="97" s="1"/>
  <c r="AF100" i="97" s="1"/>
  <c r="AE107" i="97"/>
  <c r="AE100" i="97" s="1"/>
  <c r="AD107" i="97"/>
  <c r="AD108" i="97"/>
  <c r="AD97" i="97"/>
  <c r="AD99" i="97" s="1"/>
  <c r="AD100" i="97" s="1"/>
  <c r="AC108" i="97"/>
  <c r="AC97" i="97"/>
  <c r="AC99" i="97" s="1"/>
  <c r="AC100" i="97" s="1"/>
  <c r="AB108" i="97"/>
  <c r="AB97" i="97"/>
  <c r="AB99" i="97" s="1"/>
  <c r="AB100" i="97" s="1"/>
  <c r="S57" i="97"/>
  <c r="S58" i="97"/>
  <c r="S62" i="97"/>
  <c r="R123" i="97"/>
  <c r="R57" i="97"/>
  <c r="Q123" i="97"/>
  <c r="Q57" i="97"/>
  <c r="P123" i="97"/>
  <c r="P57" i="97"/>
  <c r="O123" i="97"/>
  <c r="O57" i="97"/>
  <c r="N123" i="97"/>
  <c r="N57" i="97"/>
  <c r="M57" i="97"/>
  <c r="M123" i="97"/>
  <c r="L123" i="97"/>
  <c r="L57" i="97"/>
  <c r="K123" i="97"/>
  <c r="K57" i="97"/>
  <c r="J123" i="97"/>
  <c r="J57" i="97"/>
  <c r="I123" i="97"/>
  <c r="I57" i="97"/>
  <c r="H123" i="97"/>
  <c r="H57" i="97"/>
  <c r="G123" i="97"/>
  <c r="G57" i="97"/>
  <c r="F123" i="97"/>
  <c r="F57" i="97"/>
  <c r="E123" i="97"/>
  <c r="E57" i="97"/>
  <c r="D123" i="97"/>
  <c r="D57" i="97"/>
  <c r="C123" i="97"/>
  <c r="C121" i="97"/>
  <c r="C57" i="97"/>
  <c r="I251" i="99" l="1"/>
  <c r="H252" i="99"/>
  <c r="H118" i="99"/>
  <c r="L246" i="99"/>
  <c r="AC100" i="98"/>
  <c r="AC7" i="98" s="1"/>
  <c r="AB100" i="98"/>
  <c r="AB7" i="98" s="1"/>
  <c r="R100" i="98"/>
  <c r="R7" i="98" s="1"/>
  <c r="M108" i="98"/>
  <c r="M100" i="98"/>
  <c r="M7" i="98" s="1"/>
  <c r="K108" i="98"/>
  <c r="J100" i="98"/>
  <c r="J7" i="98" s="1"/>
  <c r="AR24" i="98"/>
  <c r="AQ23" i="98"/>
  <c r="AQ24" i="98"/>
  <c r="E100" i="98"/>
  <c r="E7" i="98" s="1"/>
  <c r="AT8" i="98"/>
  <c r="AP24" i="98"/>
  <c r="BH107" i="98"/>
  <c r="BL105" i="98"/>
  <c r="BJ104" i="98"/>
  <c r="BH103" i="98"/>
  <c r="BL101" i="98"/>
  <c r="BJ100" i="98"/>
  <c r="BH99" i="98"/>
  <c r="BL97" i="98"/>
  <c r="BJ96" i="98"/>
  <c r="BH95" i="98"/>
  <c r="BL93" i="98"/>
  <c r="BJ92" i="98"/>
  <c r="BH91" i="98"/>
  <c r="BL89" i="98"/>
  <c r="BJ88" i="98"/>
  <c r="BH87" i="98"/>
  <c r="BL85" i="98"/>
  <c r="BJ84" i="98"/>
  <c r="BG107" i="98"/>
  <c r="BK105" i="98"/>
  <c r="BI104" i="98"/>
  <c r="BG103" i="98"/>
  <c r="BK101" i="98"/>
  <c r="BI100" i="98"/>
  <c r="BG99" i="98"/>
  <c r="BK97" i="98"/>
  <c r="BI96" i="98"/>
  <c r="BG95" i="98"/>
  <c r="BK93" i="98"/>
  <c r="BI92" i="98"/>
  <c r="BG91" i="98"/>
  <c r="BK89" i="98"/>
  <c r="BI88" i="98"/>
  <c r="BG87" i="98"/>
  <c r="BK85" i="98"/>
  <c r="BI84" i="98"/>
  <c r="BK106" i="98"/>
  <c r="BI105" i="98"/>
  <c r="BG104" i="98"/>
  <c r="BK102" i="98"/>
  <c r="BI101" i="98"/>
  <c r="BG100" i="98"/>
  <c r="BK98" i="98"/>
  <c r="BI97" i="98"/>
  <c r="BG96" i="98"/>
  <c r="BK94" i="98"/>
  <c r="BI93" i="98"/>
  <c r="BG92" i="98"/>
  <c r="BK90" i="98"/>
  <c r="BI89" i="98"/>
  <c r="BG88" i="98"/>
  <c r="BK86" i="98"/>
  <c r="BI85" i="98"/>
  <c r="BG84" i="98"/>
  <c r="BL107" i="98"/>
  <c r="BJ106" i="98"/>
  <c r="BH105" i="98"/>
  <c r="BL103" i="98"/>
  <c r="BJ102" i="98"/>
  <c r="BH101" i="98"/>
  <c r="BL99" i="98"/>
  <c r="BJ98" i="98"/>
  <c r="BH97" i="98"/>
  <c r="BL95" i="98"/>
  <c r="BJ94" i="98"/>
  <c r="BH93" i="98"/>
  <c r="BL91" i="98"/>
  <c r="BJ90" i="98"/>
  <c r="BH89" i="98"/>
  <c r="BL87" i="98"/>
  <c r="BJ86" i="98"/>
  <c r="BH85" i="98"/>
  <c r="BI107" i="98"/>
  <c r="BK104" i="98"/>
  <c r="BG102" i="98"/>
  <c r="BI99" i="98"/>
  <c r="BK96" i="98"/>
  <c r="BG94" i="98"/>
  <c r="BI91" i="98"/>
  <c r="BK88" i="98"/>
  <c r="BG86" i="98"/>
  <c r="BL106" i="98"/>
  <c r="BH104" i="98"/>
  <c r="BJ101" i="98"/>
  <c r="BL98" i="98"/>
  <c r="BH96" i="98"/>
  <c r="BJ93" i="98"/>
  <c r="BL90" i="98"/>
  <c r="BH88" i="98"/>
  <c r="BJ85" i="98"/>
  <c r="BI106" i="98"/>
  <c r="BK103" i="98"/>
  <c r="BG101" i="98"/>
  <c r="BI98" i="98"/>
  <c r="BK95" i="98"/>
  <c r="BG93" i="98"/>
  <c r="BI90" i="98"/>
  <c r="BK87" i="98"/>
  <c r="BG85" i="98"/>
  <c r="BH106" i="98"/>
  <c r="BJ103" i="98"/>
  <c r="BL100" i="98"/>
  <c r="BH98" i="98"/>
  <c r="BJ95" i="98"/>
  <c r="BL92" i="98"/>
  <c r="BH90" i="98"/>
  <c r="BJ87" i="98"/>
  <c r="BL84" i="98"/>
  <c r="BG106" i="98"/>
  <c r="BI103" i="98"/>
  <c r="BK100" i="98"/>
  <c r="BG98" i="98"/>
  <c r="BI95" i="98"/>
  <c r="BK92" i="98"/>
  <c r="BG90" i="98"/>
  <c r="BI87" i="98"/>
  <c r="BK84" i="98"/>
  <c r="BJ105" i="98"/>
  <c r="BL102" i="98"/>
  <c r="BH100" i="98"/>
  <c r="BJ97" i="98"/>
  <c r="BL94" i="98"/>
  <c r="BH92" i="98"/>
  <c r="BJ89" i="98"/>
  <c r="BL86" i="98"/>
  <c r="BH84" i="98"/>
  <c r="BK107" i="98"/>
  <c r="BG105" i="98"/>
  <c r="BI102" i="98"/>
  <c r="BK99" i="98"/>
  <c r="BG97" i="98"/>
  <c r="BI94" i="98"/>
  <c r="BK91" i="98"/>
  <c r="BG89" i="98"/>
  <c r="BI86" i="98"/>
  <c r="BJ107" i="98"/>
  <c r="BL104" i="98"/>
  <c r="BH102" i="98"/>
  <c r="BJ99" i="98"/>
  <c r="BL96" i="98"/>
  <c r="BH94" i="98"/>
  <c r="BJ91" i="98"/>
  <c r="BL88" i="98"/>
  <c r="BH86" i="98"/>
  <c r="AI107" i="98"/>
  <c r="AH107" i="98"/>
  <c r="AM23" i="98"/>
  <c r="AM24" i="98" s="1"/>
  <c r="AT9" i="98" s="1"/>
  <c r="J108" i="98"/>
  <c r="B256" i="98"/>
  <c r="AI97" i="98"/>
  <c r="AH97" i="98"/>
  <c r="C256" i="98"/>
  <c r="F247" i="98"/>
  <c r="E252" i="98"/>
  <c r="H246" i="98"/>
  <c r="G118" i="98"/>
  <c r="AE108" i="97"/>
  <c r="B123" i="97"/>
  <c r="B121" i="97"/>
  <c r="B57" i="97"/>
  <c r="AG252" i="97"/>
  <c r="C252" i="97"/>
  <c r="E251" i="97"/>
  <c r="D251" i="97"/>
  <c r="S250" i="97"/>
  <c r="T250" i="97" s="1"/>
  <c r="U250" i="97" s="1"/>
  <c r="V250" i="97" s="1"/>
  <c r="W250" i="97" s="1"/>
  <c r="X250" i="97" s="1"/>
  <c r="Y250" i="97" s="1"/>
  <c r="Z250" i="97" s="1"/>
  <c r="AA250" i="97" s="1"/>
  <c r="AB250" i="97" s="1"/>
  <c r="AC250" i="97" s="1"/>
  <c r="AD250" i="97" s="1"/>
  <c r="AE250" i="97" s="1"/>
  <c r="AF250" i="97" s="1"/>
  <c r="B250" i="97" s="1"/>
  <c r="E250" i="97"/>
  <c r="F250" i="97" s="1"/>
  <c r="G250" i="97" s="1"/>
  <c r="H250" i="97" s="1"/>
  <c r="I250" i="97" s="1"/>
  <c r="J250" i="97" s="1"/>
  <c r="K250" i="97" s="1"/>
  <c r="L250" i="97" s="1"/>
  <c r="M250" i="97" s="1"/>
  <c r="N250" i="97" s="1"/>
  <c r="O250" i="97" s="1"/>
  <c r="P250" i="97" s="1"/>
  <c r="Q250" i="97" s="1"/>
  <c r="R250" i="97" s="1"/>
  <c r="D250" i="97"/>
  <c r="E249" i="97"/>
  <c r="F249" i="97" s="1"/>
  <c r="G249" i="97" s="1"/>
  <c r="H249" i="97" s="1"/>
  <c r="I249" i="97" s="1"/>
  <c r="J249" i="97" s="1"/>
  <c r="K249" i="97" s="1"/>
  <c r="L249" i="97" s="1"/>
  <c r="M249" i="97" s="1"/>
  <c r="N249" i="97" s="1"/>
  <c r="O249" i="97" s="1"/>
  <c r="P249" i="97" s="1"/>
  <c r="Q249" i="97" s="1"/>
  <c r="R249" i="97" s="1"/>
  <c r="S249" i="97" s="1"/>
  <c r="T249" i="97" s="1"/>
  <c r="U249" i="97" s="1"/>
  <c r="V249" i="97" s="1"/>
  <c r="W249" i="97" s="1"/>
  <c r="X249" i="97" s="1"/>
  <c r="Y249" i="97" s="1"/>
  <c r="Z249" i="97" s="1"/>
  <c r="AA249" i="97" s="1"/>
  <c r="AB249" i="97" s="1"/>
  <c r="AC249" i="97" s="1"/>
  <c r="AD249" i="97" s="1"/>
  <c r="AE249" i="97" s="1"/>
  <c r="AF249" i="97" s="1"/>
  <c r="B249" i="97" s="1"/>
  <c r="D249" i="97"/>
  <c r="D248" i="97"/>
  <c r="E248" i="97" s="1"/>
  <c r="F248" i="97" s="1"/>
  <c r="G248" i="97" s="1"/>
  <c r="H248" i="97" s="1"/>
  <c r="I248" i="97" s="1"/>
  <c r="J248" i="97" s="1"/>
  <c r="K248" i="97" s="1"/>
  <c r="L248" i="97" s="1"/>
  <c r="M248" i="97" s="1"/>
  <c r="N248" i="97" s="1"/>
  <c r="O248" i="97" s="1"/>
  <c r="P248" i="97" s="1"/>
  <c r="Q248" i="97" s="1"/>
  <c r="R248" i="97" s="1"/>
  <c r="S248" i="97" s="1"/>
  <c r="T248" i="97" s="1"/>
  <c r="U248" i="97" s="1"/>
  <c r="V248" i="97" s="1"/>
  <c r="W248" i="97" s="1"/>
  <c r="X248" i="97" s="1"/>
  <c r="Y248" i="97" s="1"/>
  <c r="Z248" i="97" s="1"/>
  <c r="AA248" i="97" s="1"/>
  <c r="AB248" i="97" s="1"/>
  <c r="AC248" i="97" s="1"/>
  <c r="AD248" i="97" s="1"/>
  <c r="AE248" i="97" s="1"/>
  <c r="AF248" i="97" s="1"/>
  <c r="B248" i="97" s="1"/>
  <c r="D247" i="97"/>
  <c r="E247" i="97" s="1"/>
  <c r="F247" i="97" s="1"/>
  <c r="G246" i="97"/>
  <c r="E246" i="97"/>
  <c r="F246" i="97" s="1"/>
  <c r="D246" i="97"/>
  <c r="AG244" i="97"/>
  <c r="AF244" i="97"/>
  <c r="AE244" i="97"/>
  <c r="AD244" i="97"/>
  <c r="AC244" i="97"/>
  <c r="AB244" i="97"/>
  <c r="AA244" i="97"/>
  <c r="Z244" i="97"/>
  <c r="Z118" i="97" s="1"/>
  <c r="Y244" i="97"/>
  <c r="X244" i="97"/>
  <c r="W244" i="97"/>
  <c r="V244" i="97"/>
  <c r="U244" i="97"/>
  <c r="T244" i="97"/>
  <c r="S244" i="97"/>
  <c r="R244" i="97"/>
  <c r="Q244" i="97"/>
  <c r="P244" i="97"/>
  <c r="O244" i="97"/>
  <c r="N244" i="97"/>
  <c r="M244" i="97"/>
  <c r="L244" i="97"/>
  <c r="K244" i="97"/>
  <c r="J244" i="97"/>
  <c r="I244" i="97"/>
  <c r="H244" i="97"/>
  <c r="G244" i="97"/>
  <c r="F244" i="97"/>
  <c r="E244" i="97"/>
  <c r="D244" i="97"/>
  <c r="C244" i="97"/>
  <c r="B244" i="97"/>
  <c r="AI130" i="97"/>
  <c r="AH130" i="97"/>
  <c r="AI129" i="97"/>
  <c r="AH129" i="97"/>
  <c r="AI128" i="97"/>
  <c r="AH128" i="97"/>
  <c r="AI127" i="97"/>
  <c r="AH127" i="97"/>
  <c r="AI126" i="97"/>
  <c r="AH126" i="97"/>
  <c r="AI123" i="97"/>
  <c r="AH123" i="97"/>
  <c r="AI122" i="97"/>
  <c r="AH122" i="97"/>
  <c r="AI121" i="97"/>
  <c r="AH121" i="97"/>
  <c r="AI120" i="97"/>
  <c r="AH120" i="97"/>
  <c r="AI119" i="97"/>
  <c r="AH119" i="97"/>
  <c r="Y118" i="97"/>
  <c r="C118" i="97"/>
  <c r="AI117" i="97"/>
  <c r="AH117" i="97"/>
  <c r="AI116" i="97"/>
  <c r="AH116" i="97"/>
  <c r="AI115" i="97"/>
  <c r="AH115" i="97"/>
  <c r="AI114" i="97"/>
  <c r="AH114" i="97"/>
  <c r="AI113" i="97"/>
  <c r="AH113" i="97"/>
  <c r="AI112" i="97"/>
  <c r="AH112" i="97"/>
  <c r="AI111" i="97"/>
  <c r="AH111" i="97"/>
  <c r="AI110" i="97"/>
  <c r="AH110" i="97"/>
  <c r="AI109" i="97"/>
  <c r="AH109" i="97"/>
  <c r="AI106" i="97"/>
  <c r="AH106" i="97"/>
  <c r="AA105" i="97"/>
  <c r="Z105" i="97"/>
  <c r="Y105" i="97"/>
  <c r="X105" i="97"/>
  <c r="W105" i="97"/>
  <c r="V105" i="97"/>
  <c r="U105" i="97"/>
  <c r="T105" i="97"/>
  <c r="S105" i="97"/>
  <c r="R105" i="97"/>
  <c r="Q105" i="97"/>
  <c r="P105" i="97"/>
  <c r="O105" i="97"/>
  <c r="N105" i="97"/>
  <c r="M105" i="97"/>
  <c r="L105" i="97"/>
  <c r="K105" i="97"/>
  <c r="J105" i="97"/>
  <c r="I105" i="97"/>
  <c r="H105" i="97"/>
  <c r="G105" i="97"/>
  <c r="F105" i="97"/>
  <c r="E105" i="97"/>
  <c r="D105" i="97"/>
  <c r="C105" i="97"/>
  <c r="AA104" i="97"/>
  <c r="Z104" i="97"/>
  <c r="Y104" i="97"/>
  <c r="X104" i="97"/>
  <c r="W104" i="97"/>
  <c r="V104" i="97"/>
  <c r="U104" i="97"/>
  <c r="T104" i="97"/>
  <c r="S104" i="97"/>
  <c r="R104" i="97"/>
  <c r="Q104" i="97"/>
  <c r="P104" i="97"/>
  <c r="O104" i="97"/>
  <c r="N104" i="97"/>
  <c r="M104" i="97"/>
  <c r="L104" i="97"/>
  <c r="K104" i="97"/>
  <c r="J104" i="97"/>
  <c r="I104" i="97"/>
  <c r="H104" i="97"/>
  <c r="G104" i="97"/>
  <c r="F104" i="97"/>
  <c r="E104" i="97"/>
  <c r="D104" i="97"/>
  <c r="C104" i="97"/>
  <c r="AA103" i="97"/>
  <c r="Z103" i="97"/>
  <c r="Y103" i="97"/>
  <c r="X103" i="97"/>
  <c r="W103" i="97"/>
  <c r="V103" i="97"/>
  <c r="U103" i="97"/>
  <c r="T103" i="97"/>
  <c r="S103" i="97"/>
  <c r="R103" i="97"/>
  <c r="Q103" i="97"/>
  <c r="P103" i="97"/>
  <c r="O103" i="97"/>
  <c r="N103" i="97"/>
  <c r="M103" i="97"/>
  <c r="L103" i="97"/>
  <c r="K103" i="97"/>
  <c r="J103" i="97"/>
  <c r="I103" i="97"/>
  <c r="H103" i="97"/>
  <c r="G103" i="97"/>
  <c r="F103" i="97"/>
  <c r="E103" i="97"/>
  <c r="D103" i="97"/>
  <c r="C103" i="97"/>
  <c r="AA102" i="97"/>
  <c r="Z102" i="97"/>
  <c r="Y102" i="97"/>
  <c r="X102" i="97"/>
  <c r="W102" i="97"/>
  <c r="V102" i="97"/>
  <c r="U102" i="97"/>
  <c r="T102" i="97"/>
  <c r="S102" i="97"/>
  <c r="R102" i="97"/>
  <c r="Q102" i="97"/>
  <c r="P102" i="97"/>
  <c r="O102" i="97"/>
  <c r="N102" i="97"/>
  <c r="M102" i="97"/>
  <c r="L102" i="97"/>
  <c r="K102" i="97"/>
  <c r="J102" i="97"/>
  <c r="I102" i="97"/>
  <c r="H102" i="97"/>
  <c r="AI102" i="97" s="1"/>
  <c r="G102" i="97"/>
  <c r="F102" i="97"/>
  <c r="E102" i="97"/>
  <c r="D102" i="97"/>
  <c r="C102" i="97"/>
  <c r="AA101" i="97"/>
  <c r="AA107" i="97" s="1"/>
  <c r="Z101" i="97"/>
  <c r="Y101" i="97"/>
  <c r="X101" i="97"/>
  <c r="X107" i="97" s="1"/>
  <c r="W101" i="97"/>
  <c r="V101" i="97"/>
  <c r="U101" i="97"/>
  <c r="U107" i="97" s="1"/>
  <c r="T101" i="97"/>
  <c r="S101" i="97"/>
  <c r="R101" i="97"/>
  <c r="Q101" i="97"/>
  <c r="Q107" i="97" s="1"/>
  <c r="P101" i="97"/>
  <c r="O101" i="97"/>
  <c r="O107" i="97" s="1"/>
  <c r="AW23" i="97" s="1"/>
  <c r="N101" i="97"/>
  <c r="M101" i="97"/>
  <c r="M107" i="97" s="1"/>
  <c r="AU23" i="97" s="1"/>
  <c r="L101" i="97"/>
  <c r="K101" i="97"/>
  <c r="K107" i="97" s="1"/>
  <c r="J101" i="97"/>
  <c r="I101" i="97"/>
  <c r="H101" i="97"/>
  <c r="G101" i="97"/>
  <c r="F101" i="97"/>
  <c r="E101" i="97"/>
  <c r="E107" i="97" s="1"/>
  <c r="AP23" i="97" s="1"/>
  <c r="D101" i="97"/>
  <c r="C101" i="97"/>
  <c r="AI98" i="97"/>
  <c r="AH98" i="97"/>
  <c r="AI96" i="97"/>
  <c r="AH96" i="97"/>
  <c r="AG96" i="97"/>
  <c r="AI95" i="97"/>
  <c r="AH95" i="97"/>
  <c r="AI94" i="97"/>
  <c r="AH94" i="97"/>
  <c r="AI93" i="97"/>
  <c r="AH93" i="97"/>
  <c r="AG92" i="97"/>
  <c r="AA92" i="97"/>
  <c r="AA108" i="97" s="1"/>
  <c r="Z92" i="97"/>
  <c r="Y5" i="97" s="1"/>
  <c r="Y92" i="97"/>
  <c r="X5" i="97" s="1"/>
  <c r="X92" i="97"/>
  <c r="X108" i="97" s="1"/>
  <c r="W92" i="97"/>
  <c r="V5" i="97" s="1"/>
  <c r="V92" i="97"/>
  <c r="U5" i="97" s="1"/>
  <c r="U92" i="97"/>
  <c r="T5" i="97" s="1"/>
  <c r="T92" i="97"/>
  <c r="S92" i="97"/>
  <c r="R92" i="97"/>
  <c r="Q5" i="97" s="1"/>
  <c r="Q92" i="97"/>
  <c r="P5" i="97" s="1"/>
  <c r="P92" i="97"/>
  <c r="O5" i="97" s="1"/>
  <c r="O92" i="97"/>
  <c r="N5" i="97" s="1"/>
  <c r="N92" i="97"/>
  <c r="M5" i="97" s="1"/>
  <c r="M92" i="97"/>
  <c r="L5" i="97" s="1"/>
  <c r="L92" i="97"/>
  <c r="K5" i="97" s="1"/>
  <c r="K92" i="97"/>
  <c r="K108" i="97" s="1"/>
  <c r="J92" i="97"/>
  <c r="I92" i="97"/>
  <c r="AS19" i="97" s="1"/>
  <c r="H92" i="97"/>
  <c r="G92" i="97"/>
  <c r="F5" i="97" s="1"/>
  <c r="F92" i="97"/>
  <c r="AQ19" i="97" s="1"/>
  <c r="E92" i="97"/>
  <c r="D5" i="97" s="1"/>
  <c r="D92" i="97"/>
  <c r="C5" i="97" s="1"/>
  <c r="C92" i="97"/>
  <c r="B5" i="97" s="1"/>
  <c r="AI91" i="97"/>
  <c r="AH91" i="97"/>
  <c r="AI90" i="97"/>
  <c r="AH90" i="97"/>
  <c r="AI89" i="97"/>
  <c r="AH89" i="97"/>
  <c r="AI88" i="97"/>
  <c r="AH88" i="97"/>
  <c r="AI87" i="97"/>
  <c r="AH87" i="97"/>
  <c r="AI86" i="97"/>
  <c r="AH86" i="97"/>
  <c r="AI85" i="97"/>
  <c r="AH85" i="97"/>
  <c r="AI84" i="97"/>
  <c r="AH84" i="97"/>
  <c r="AI83" i="97"/>
  <c r="AH83" i="97"/>
  <c r="AI82" i="97"/>
  <c r="AH82" i="97"/>
  <c r="AI81" i="97"/>
  <c r="AH81" i="97"/>
  <c r="AG80" i="97"/>
  <c r="AG99" i="97" s="1"/>
  <c r="AA80" i="97"/>
  <c r="Z80" i="97"/>
  <c r="Y80" i="97"/>
  <c r="X80" i="97"/>
  <c r="W80" i="97"/>
  <c r="V80" i="97"/>
  <c r="U80" i="97"/>
  <c r="T80" i="97"/>
  <c r="S80" i="97"/>
  <c r="R80" i="97"/>
  <c r="Q80" i="97"/>
  <c r="P80" i="97"/>
  <c r="O80" i="97"/>
  <c r="N80" i="97"/>
  <c r="M80" i="97"/>
  <c r="L80" i="97"/>
  <c r="K80" i="97"/>
  <c r="J80" i="97"/>
  <c r="I80" i="97"/>
  <c r="AS20" i="97" s="1"/>
  <c r="H80" i="97"/>
  <c r="G80" i="97"/>
  <c r="AR20" i="97" s="1"/>
  <c r="F80" i="97"/>
  <c r="E80" i="97"/>
  <c r="D80" i="97"/>
  <c r="C80" i="97"/>
  <c r="BI79" i="97"/>
  <c r="BB79" i="97"/>
  <c r="AI79" i="97"/>
  <c r="AH79" i="97"/>
  <c r="BL78" i="97"/>
  <c r="AI78" i="97"/>
  <c r="AH78" i="97"/>
  <c r="BK77" i="97"/>
  <c r="BH77" i="97"/>
  <c r="AI77" i="97"/>
  <c r="AH77" i="97"/>
  <c r="BR76" i="97"/>
  <c r="BO76" i="97"/>
  <c r="BM76" i="97"/>
  <c r="BG76" i="97"/>
  <c r="BE76" i="97"/>
  <c r="AG76" i="97"/>
  <c r="AG3" i="97" s="1"/>
  <c r="AA76" i="97"/>
  <c r="Z76" i="97"/>
  <c r="Y76" i="97"/>
  <c r="X76" i="97"/>
  <c r="W76" i="97"/>
  <c r="V76" i="97"/>
  <c r="U76" i="97"/>
  <c r="T76" i="97"/>
  <c r="S76" i="97"/>
  <c r="R76" i="97"/>
  <c r="Q76" i="97"/>
  <c r="P76" i="97"/>
  <c r="AX18" i="97" s="1"/>
  <c r="O76" i="97"/>
  <c r="N76" i="97"/>
  <c r="M76" i="97"/>
  <c r="L76" i="97"/>
  <c r="K76" i="97"/>
  <c r="AT18" i="97" s="1"/>
  <c r="J76" i="97"/>
  <c r="I76" i="97"/>
  <c r="AS18" i="97" s="1"/>
  <c r="H76" i="97"/>
  <c r="G76" i="97"/>
  <c r="AR18" i="97" s="1"/>
  <c r="F76" i="97"/>
  <c r="AQ18" i="97" s="1"/>
  <c r="E76" i="97"/>
  <c r="D76" i="97"/>
  <c r="C76" i="97"/>
  <c r="AN18" i="97" s="1"/>
  <c r="AI75" i="97"/>
  <c r="AH75" i="97"/>
  <c r="AG75" i="97"/>
  <c r="AI74" i="97"/>
  <c r="AH74" i="97"/>
  <c r="BW73" i="97"/>
  <c r="BW80" i="97" s="1"/>
  <c r="BV73" i="97"/>
  <c r="BV80" i="97" s="1"/>
  <c r="BU73" i="97"/>
  <c r="BU80" i="97" s="1"/>
  <c r="BT73" i="97"/>
  <c r="BT80" i="97" s="1"/>
  <c r="BS73" i="97"/>
  <c r="BS80" i="97" s="1"/>
  <c r="BR73" i="97"/>
  <c r="BR80" i="97" s="1"/>
  <c r="BQ73" i="97"/>
  <c r="BQ80" i="97" s="1"/>
  <c r="BP73" i="97"/>
  <c r="BP80" i="97" s="1"/>
  <c r="BO73" i="97"/>
  <c r="BO80" i="97" s="1"/>
  <c r="BN73" i="97"/>
  <c r="BN80" i="97" s="1"/>
  <c r="BM73" i="97"/>
  <c r="BM80" i="97" s="1"/>
  <c r="BL73" i="97"/>
  <c r="BL80" i="97" s="1"/>
  <c r="BK73" i="97"/>
  <c r="BK80" i="97" s="1"/>
  <c r="BJ73" i="97"/>
  <c r="BJ80" i="97" s="1"/>
  <c r="BI73" i="97"/>
  <c r="BI80" i="97" s="1"/>
  <c r="BH73" i="97"/>
  <c r="BH80" i="97" s="1"/>
  <c r="BG73" i="97"/>
  <c r="BG80" i="97" s="1"/>
  <c r="BF73" i="97"/>
  <c r="BF80" i="97" s="1"/>
  <c r="BE73" i="97"/>
  <c r="BE80" i="97" s="1"/>
  <c r="BD73" i="97"/>
  <c r="BD80" i="97" s="1"/>
  <c r="BC73" i="97"/>
  <c r="BC80" i="97" s="1"/>
  <c r="BB73" i="97"/>
  <c r="BB80" i="97" s="1"/>
  <c r="BA73" i="97"/>
  <c r="BA80" i="97" s="1"/>
  <c r="AZ73" i="97"/>
  <c r="AZ80" i="97" s="1"/>
  <c r="AI73" i="97"/>
  <c r="AH73" i="97"/>
  <c r="BW72" i="97"/>
  <c r="BW79" i="97" s="1"/>
  <c r="BV72" i="97"/>
  <c r="BV79" i="97" s="1"/>
  <c r="BU72" i="97"/>
  <c r="BU79" i="97" s="1"/>
  <c r="BT72" i="97"/>
  <c r="BT79" i="97" s="1"/>
  <c r="BS72" i="97"/>
  <c r="BS79" i="97" s="1"/>
  <c r="BR72" i="97"/>
  <c r="BR79" i="97" s="1"/>
  <c r="BQ72" i="97"/>
  <c r="BQ79" i="97" s="1"/>
  <c r="BP72" i="97"/>
  <c r="BP79" i="97" s="1"/>
  <c r="BO72" i="97"/>
  <c r="BO79" i="97" s="1"/>
  <c r="BN72" i="97"/>
  <c r="BN79" i="97" s="1"/>
  <c r="BM72" i="97"/>
  <c r="BM79" i="97" s="1"/>
  <c r="BL72" i="97"/>
  <c r="BL79" i="97" s="1"/>
  <c r="BK72" i="97"/>
  <c r="BK79" i="97" s="1"/>
  <c r="BJ72" i="97"/>
  <c r="BJ79" i="97" s="1"/>
  <c r="BI72" i="97"/>
  <c r="BH72" i="97"/>
  <c r="BH79" i="97" s="1"/>
  <c r="BG72" i="97"/>
  <c r="BG79" i="97" s="1"/>
  <c r="BF72" i="97"/>
  <c r="BF79" i="97" s="1"/>
  <c r="BE72" i="97"/>
  <c r="BE79" i="97" s="1"/>
  <c r="BD72" i="97"/>
  <c r="BD79" i="97" s="1"/>
  <c r="BC72" i="97"/>
  <c r="BC79" i="97" s="1"/>
  <c r="BB72" i="97"/>
  <c r="BA72" i="97"/>
  <c r="BA79" i="97" s="1"/>
  <c r="AZ72" i="97"/>
  <c r="AZ79" i="97" s="1"/>
  <c r="AI72" i="97"/>
  <c r="AH72" i="97"/>
  <c r="BW71" i="97"/>
  <c r="BW78" i="97" s="1"/>
  <c r="BV71" i="97"/>
  <c r="BV78" i="97" s="1"/>
  <c r="BU71" i="97"/>
  <c r="BU78" i="97" s="1"/>
  <c r="BT71" i="97"/>
  <c r="BT78" i="97" s="1"/>
  <c r="BS71" i="97"/>
  <c r="BS78" i="97" s="1"/>
  <c r="BR71" i="97"/>
  <c r="BR78" i="97" s="1"/>
  <c r="BQ71" i="97"/>
  <c r="BQ78" i="97" s="1"/>
  <c r="BP71" i="97"/>
  <c r="BP78" i="97" s="1"/>
  <c r="BO71" i="97"/>
  <c r="BO78" i="97" s="1"/>
  <c r="BN71" i="97"/>
  <c r="BN78" i="97" s="1"/>
  <c r="BM71" i="97"/>
  <c r="BM78" i="97" s="1"/>
  <c r="BL71" i="97"/>
  <c r="BK71" i="97"/>
  <c r="BK78" i="97" s="1"/>
  <c r="BJ71" i="97"/>
  <c r="BJ78" i="97" s="1"/>
  <c r="BI71" i="97"/>
  <c r="BI78" i="97" s="1"/>
  <c r="BH71" i="97"/>
  <c r="BH78" i="97" s="1"/>
  <c r="BG71" i="97"/>
  <c r="BG78" i="97" s="1"/>
  <c r="BF71" i="97"/>
  <c r="BF78" i="97" s="1"/>
  <c r="BE71" i="97"/>
  <c r="BE78" i="97" s="1"/>
  <c r="BD71" i="97"/>
  <c r="BD78" i="97" s="1"/>
  <c r="BC71" i="97"/>
  <c r="BC78" i="97" s="1"/>
  <c r="BB71" i="97"/>
  <c r="BB78" i="97" s="1"/>
  <c r="BA71" i="97"/>
  <c r="BA78" i="97" s="1"/>
  <c r="AZ71" i="97"/>
  <c r="AZ78" i="97" s="1"/>
  <c r="AI71" i="97"/>
  <c r="AH71" i="97"/>
  <c r="BW70" i="97"/>
  <c r="BW77" i="97" s="1"/>
  <c r="BV70" i="97"/>
  <c r="BV77" i="97" s="1"/>
  <c r="BU70" i="97"/>
  <c r="BU77" i="97" s="1"/>
  <c r="BT70" i="97"/>
  <c r="BT77" i="97" s="1"/>
  <c r="BS70" i="97"/>
  <c r="BS77" i="97" s="1"/>
  <c r="BR70" i="97"/>
  <c r="BR77" i="97" s="1"/>
  <c r="BQ70" i="97"/>
  <c r="BQ77" i="97" s="1"/>
  <c r="BP70" i="97"/>
  <c r="BP77" i="97" s="1"/>
  <c r="BO70" i="97"/>
  <c r="BO77" i="97" s="1"/>
  <c r="BN70" i="97"/>
  <c r="BN77" i="97" s="1"/>
  <c r="BM70" i="97"/>
  <c r="BM77" i="97" s="1"/>
  <c r="BL70" i="97"/>
  <c r="BL77" i="97" s="1"/>
  <c r="BK70" i="97"/>
  <c r="BJ70" i="97"/>
  <c r="BJ77" i="97" s="1"/>
  <c r="BI70" i="97"/>
  <c r="BI77" i="97" s="1"/>
  <c r="BH70" i="97"/>
  <c r="BG70" i="97"/>
  <c r="BG77" i="97" s="1"/>
  <c r="BF70" i="97"/>
  <c r="BF77" i="97" s="1"/>
  <c r="BE70" i="97"/>
  <c r="BE77" i="97" s="1"/>
  <c r="BD70" i="97"/>
  <c r="BD77" i="97" s="1"/>
  <c r="BC70" i="97"/>
  <c r="BC77" i="97" s="1"/>
  <c r="BB70" i="97"/>
  <c r="BB77" i="97" s="1"/>
  <c r="BA70" i="97"/>
  <c r="BA77" i="97" s="1"/>
  <c r="AZ70" i="97"/>
  <c r="AZ77" i="97" s="1"/>
  <c r="AI70" i="97"/>
  <c r="AH70" i="97"/>
  <c r="BW69" i="97"/>
  <c r="BW76" i="97" s="1"/>
  <c r="BV69" i="97"/>
  <c r="BV76" i="97" s="1"/>
  <c r="BU69" i="97"/>
  <c r="BU76" i="97" s="1"/>
  <c r="BT69" i="97"/>
  <c r="BT76" i="97" s="1"/>
  <c r="BS69" i="97"/>
  <c r="BS76" i="97" s="1"/>
  <c r="BR69" i="97"/>
  <c r="BQ69" i="97"/>
  <c r="BQ76" i="97" s="1"/>
  <c r="BP69" i="97"/>
  <c r="BP76" i="97" s="1"/>
  <c r="BO69" i="97"/>
  <c r="BN69" i="97"/>
  <c r="BN76" i="97" s="1"/>
  <c r="BM69" i="97"/>
  <c r="BL69" i="97"/>
  <c r="BL76" i="97" s="1"/>
  <c r="BK69" i="97"/>
  <c r="BK76" i="97" s="1"/>
  <c r="BJ69" i="97"/>
  <c r="BJ76" i="97" s="1"/>
  <c r="BI69" i="97"/>
  <c r="BI76" i="97" s="1"/>
  <c r="BH69" i="97"/>
  <c r="BH76" i="97" s="1"/>
  <c r="BG69" i="97"/>
  <c r="BF69" i="97"/>
  <c r="BF76" i="97" s="1"/>
  <c r="BE69" i="97"/>
  <c r="BD69" i="97"/>
  <c r="BD76" i="97" s="1"/>
  <c r="BC69" i="97"/>
  <c r="BC76" i="97" s="1"/>
  <c r="BB69" i="97"/>
  <c r="BB76" i="97" s="1"/>
  <c r="BA69" i="97"/>
  <c r="BA76" i="97" s="1"/>
  <c r="AZ69" i="97"/>
  <c r="AZ76" i="97" s="1"/>
  <c r="AI69" i="97"/>
  <c r="AH69" i="97"/>
  <c r="BW68" i="97"/>
  <c r="BW75" i="97" s="1"/>
  <c r="BV68" i="97"/>
  <c r="BV75" i="97" s="1"/>
  <c r="BU68" i="97"/>
  <c r="BU75" i="97" s="1"/>
  <c r="BT68" i="97"/>
  <c r="BT75" i="97" s="1"/>
  <c r="BS68" i="97"/>
  <c r="BS75" i="97" s="1"/>
  <c r="BR68" i="97"/>
  <c r="BR75" i="97" s="1"/>
  <c r="BQ68" i="97"/>
  <c r="BQ75" i="97" s="1"/>
  <c r="BP68" i="97"/>
  <c r="BP75" i="97" s="1"/>
  <c r="BO68" i="97"/>
  <c r="BO75" i="97" s="1"/>
  <c r="BN68" i="97"/>
  <c r="BN75" i="97" s="1"/>
  <c r="BM68" i="97"/>
  <c r="BM75" i="97" s="1"/>
  <c r="BL68" i="97"/>
  <c r="BL75" i="97" s="1"/>
  <c r="BK68" i="97"/>
  <c r="BK75" i="97" s="1"/>
  <c r="BJ68" i="97"/>
  <c r="BJ75" i="97" s="1"/>
  <c r="BI68" i="97"/>
  <c r="BI75" i="97" s="1"/>
  <c r="BH68" i="97"/>
  <c r="BH75" i="97" s="1"/>
  <c r="BG68" i="97"/>
  <c r="BG75" i="97" s="1"/>
  <c r="BF68" i="97"/>
  <c r="BF75" i="97" s="1"/>
  <c r="BE68" i="97"/>
  <c r="BE75" i="97" s="1"/>
  <c r="BD68" i="97"/>
  <c r="BD75" i="97" s="1"/>
  <c r="BC68" i="97"/>
  <c r="BC75" i="97" s="1"/>
  <c r="BB68" i="97"/>
  <c r="BB75" i="97" s="1"/>
  <c r="BA68" i="97"/>
  <c r="BA75" i="97" s="1"/>
  <c r="AZ68" i="97"/>
  <c r="AI68" i="97"/>
  <c r="AH68" i="97"/>
  <c r="AI67" i="97"/>
  <c r="AH67" i="97"/>
  <c r="AI66" i="97"/>
  <c r="AH66" i="97"/>
  <c r="AI65" i="97"/>
  <c r="AH65" i="97"/>
  <c r="AI64" i="97"/>
  <c r="AH64" i="97"/>
  <c r="AI63" i="97"/>
  <c r="AH63" i="97"/>
  <c r="AG62" i="97"/>
  <c r="AA62" i="97"/>
  <c r="Z62" i="97"/>
  <c r="Y62" i="97"/>
  <c r="X62" i="97"/>
  <c r="W62" i="97"/>
  <c r="V62" i="97"/>
  <c r="U62" i="97"/>
  <c r="T62" i="97"/>
  <c r="R62" i="97"/>
  <c r="Q62" i="97"/>
  <c r="P62" i="97"/>
  <c r="O62" i="97"/>
  <c r="AW17" i="97" s="1"/>
  <c r="N62" i="97"/>
  <c r="M62" i="97"/>
  <c r="AU17" i="97" s="1"/>
  <c r="L62" i="97"/>
  <c r="K62" i="97"/>
  <c r="AT17" i="97" s="1"/>
  <c r="J62" i="97"/>
  <c r="I62" i="97"/>
  <c r="H62" i="97"/>
  <c r="G62" i="97"/>
  <c r="AR17" i="97" s="1"/>
  <c r="F62" i="97"/>
  <c r="AQ17" i="97" s="1"/>
  <c r="E62" i="97"/>
  <c r="AP17" i="97" s="1"/>
  <c r="D62" i="97"/>
  <c r="AO17" i="97" s="1"/>
  <c r="C62" i="97"/>
  <c r="AN17" i="97" s="1"/>
  <c r="AI61" i="97"/>
  <c r="AH61" i="97"/>
  <c r="AI60" i="97"/>
  <c r="AH60" i="97"/>
  <c r="AI59" i="97"/>
  <c r="AH59" i="97"/>
  <c r="AG58" i="97"/>
  <c r="AF7" i="97"/>
  <c r="AE7" i="97"/>
  <c r="AA58" i="97"/>
  <c r="Z58" i="97"/>
  <c r="Y58" i="97"/>
  <c r="X58" i="97"/>
  <c r="W58" i="97"/>
  <c r="V58" i="97"/>
  <c r="U58" i="97"/>
  <c r="T58" i="97"/>
  <c r="R58" i="97"/>
  <c r="Q58" i="97"/>
  <c r="P58" i="97"/>
  <c r="O58" i="97"/>
  <c r="N58" i="97"/>
  <c r="AV16" i="97" s="1"/>
  <c r="M58" i="97"/>
  <c r="L58" i="97"/>
  <c r="K58" i="97"/>
  <c r="J58" i="97"/>
  <c r="I58" i="97"/>
  <c r="AS16" i="97" s="1"/>
  <c r="H58" i="97"/>
  <c r="G58" i="97"/>
  <c r="AR16" i="97" s="1"/>
  <c r="F58" i="97"/>
  <c r="E58" i="97"/>
  <c r="D58" i="97"/>
  <c r="C58" i="97"/>
  <c r="AN16" i="97" s="1"/>
  <c r="AI57" i="97"/>
  <c r="AH57" i="97"/>
  <c r="AI56" i="97"/>
  <c r="AH56" i="97"/>
  <c r="AI55" i="97"/>
  <c r="AH55" i="97"/>
  <c r="AI54" i="97"/>
  <c r="AH54" i="97"/>
  <c r="AI53" i="97"/>
  <c r="AH53" i="97"/>
  <c r="AI52" i="97"/>
  <c r="AH52" i="97"/>
  <c r="AI51" i="97"/>
  <c r="AH51" i="97"/>
  <c r="AI50" i="97"/>
  <c r="AH50" i="97"/>
  <c r="AI49" i="97"/>
  <c r="AH49" i="97"/>
  <c r="AI48" i="97"/>
  <c r="AH48" i="97"/>
  <c r="AI47" i="97"/>
  <c r="AH47" i="97"/>
  <c r="AI46" i="97"/>
  <c r="AH46" i="97"/>
  <c r="AI45" i="97"/>
  <c r="AH45" i="97"/>
  <c r="AI44" i="97"/>
  <c r="AH44" i="97"/>
  <c r="AI43" i="97"/>
  <c r="AH43" i="97"/>
  <c r="AI42" i="97"/>
  <c r="AH42" i="97"/>
  <c r="AI41" i="97"/>
  <c r="AH41" i="97"/>
  <c r="AI40" i="97"/>
  <c r="AH40" i="97"/>
  <c r="AI39" i="97"/>
  <c r="AH39" i="97"/>
  <c r="AI38" i="97"/>
  <c r="AH38" i="97"/>
  <c r="AI37" i="97"/>
  <c r="AH37" i="97"/>
  <c r="AI36" i="97"/>
  <c r="AH36" i="97"/>
  <c r="AI35" i="97"/>
  <c r="AH35" i="97"/>
  <c r="AI34" i="97"/>
  <c r="AH34" i="97"/>
  <c r="AI33" i="97"/>
  <c r="AH33" i="97"/>
  <c r="AI32" i="97"/>
  <c r="AH32" i="97"/>
  <c r="AI31" i="97"/>
  <c r="AH31" i="97"/>
  <c r="AI30" i="97"/>
  <c r="AH30" i="97"/>
  <c r="AI29" i="97"/>
  <c r="AH29" i="97"/>
  <c r="AI28" i="97"/>
  <c r="AH28" i="97"/>
  <c r="AI27" i="97"/>
  <c r="AH27" i="97"/>
  <c r="AI26" i="97"/>
  <c r="AH26" i="97"/>
  <c r="AI25" i="97"/>
  <c r="AH25" i="97"/>
  <c r="AI24" i="97"/>
  <c r="AH24" i="97"/>
  <c r="AT23" i="97"/>
  <c r="AI23" i="97"/>
  <c r="AH23" i="97"/>
  <c r="AI22" i="97"/>
  <c r="AH22" i="97"/>
  <c r="AX21" i="97"/>
  <c r="AW21" i="97"/>
  <c r="AV21" i="97"/>
  <c r="AU21" i="97"/>
  <c r="AT21" i="97"/>
  <c r="AS21" i="97"/>
  <c r="AR21" i="97"/>
  <c r="AQ21" i="97"/>
  <c r="AP21" i="97"/>
  <c r="AO21" i="97"/>
  <c r="AN21" i="97"/>
  <c r="AM21" i="97"/>
  <c r="AI21" i="97"/>
  <c r="AH21" i="97"/>
  <c r="AX20" i="97"/>
  <c r="AW20" i="97"/>
  <c r="AV20" i="97"/>
  <c r="AU20" i="97"/>
  <c r="AT20" i="97"/>
  <c r="AQ20" i="97"/>
  <c r="AP20" i="97"/>
  <c r="AO20" i="97"/>
  <c r="AN20" i="97"/>
  <c r="AM20" i="97"/>
  <c r="AI20" i="97"/>
  <c r="AH20" i="97"/>
  <c r="AP19" i="97"/>
  <c r="AM19" i="97"/>
  <c r="AI19" i="97"/>
  <c r="AH19" i="97"/>
  <c r="AW18" i="97"/>
  <c r="AV18" i="97"/>
  <c r="AU18" i="97"/>
  <c r="AP18" i="97"/>
  <c r="AO18" i="97"/>
  <c r="AM18" i="97"/>
  <c r="AI18" i="97"/>
  <c r="AH18" i="97"/>
  <c r="AX17" i="97"/>
  <c r="AV17" i="97"/>
  <c r="AS17" i="97"/>
  <c r="AM17" i="97"/>
  <c r="AI17" i="97"/>
  <c r="AH17" i="97"/>
  <c r="AU16" i="97"/>
  <c r="AT16" i="97"/>
  <c r="AM16" i="97"/>
  <c r="AI16" i="97"/>
  <c r="AH16" i="97"/>
  <c r="AI15" i="97"/>
  <c r="AH15" i="97"/>
  <c r="AI14" i="97"/>
  <c r="AH14" i="97"/>
  <c r="AI13" i="97"/>
  <c r="AH13" i="97"/>
  <c r="AL12" i="97"/>
  <c r="AI12" i="97"/>
  <c r="AH12" i="97"/>
  <c r="AI11" i="97"/>
  <c r="AH11" i="97"/>
  <c r="AF5" i="97"/>
  <c r="AD5" i="97"/>
  <c r="AC5" i="97"/>
  <c r="AB5" i="97"/>
  <c r="AA5" i="97"/>
  <c r="S5" i="97"/>
  <c r="R5" i="97"/>
  <c r="J5" i="97"/>
  <c r="I5" i="97"/>
  <c r="E5" i="97"/>
  <c r="AG4" i="97"/>
  <c r="K4" i="97"/>
  <c r="E4" i="97"/>
  <c r="H4" i="97" s="1"/>
  <c r="B4" i="97"/>
  <c r="D258" i="97" s="1"/>
  <c r="AG2" i="97"/>
  <c r="AG6" i="97" s="1"/>
  <c r="AF123" i="96"/>
  <c r="AF121" i="96"/>
  <c r="AF57" i="96"/>
  <c r="AE123" i="96"/>
  <c r="AE121" i="96"/>
  <c r="AD123" i="96"/>
  <c r="AD121" i="96"/>
  <c r="AC123" i="96"/>
  <c r="AC121" i="96"/>
  <c r="AC85" i="96"/>
  <c r="AC57" i="96"/>
  <c r="AB123" i="96"/>
  <c r="AB121" i="96"/>
  <c r="AB57" i="96"/>
  <c r="AA123" i="96"/>
  <c r="Z123" i="96"/>
  <c r="Y123" i="96"/>
  <c r="X58" i="96"/>
  <c r="X62" i="96"/>
  <c r="X76" i="96"/>
  <c r="X80" i="96"/>
  <c r="X92" i="96"/>
  <c r="X101" i="96"/>
  <c r="X102" i="96"/>
  <c r="X103" i="96"/>
  <c r="X104" i="96"/>
  <c r="X105" i="96"/>
  <c r="X118" i="96"/>
  <c r="W58" i="96"/>
  <c r="W62" i="96"/>
  <c r="W76" i="96"/>
  <c r="W80" i="96"/>
  <c r="W92" i="96"/>
  <c r="W108" i="96" s="1"/>
  <c r="W101" i="96"/>
  <c r="W102" i="96"/>
  <c r="W103" i="96"/>
  <c r="W104" i="96"/>
  <c r="W105" i="96"/>
  <c r="W107" i="96"/>
  <c r="W118" i="96"/>
  <c r="T123" i="96"/>
  <c r="S123" i="96"/>
  <c r="R123" i="96"/>
  <c r="M246" i="99" l="1"/>
  <c r="J251" i="99"/>
  <c r="I252" i="99"/>
  <c r="I118" i="99"/>
  <c r="G247" i="98"/>
  <c r="F252" i="98"/>
  <c r="AI99" i="98"/>
  <c r="AH99" i="98"/>
  <c r="AI108" i="98"/>
  <c r="AH108" i="98"/>
  <c r="I246" i="98"/>
  <c r="H118" i="98"/>
  <c r="K6" i="98"/>
  <c r="Z5" i="97"/>
  <c r="Z107" i="97"/>
  <c r="AI80" i="97"/>
  <c r="Y107" i="97"/>
  <c r="Y108" i="97"/>
  <c r="Z97" i="97"/>
  <c r="Z99" i="97" s="1"/>
  <c r="Z100" i="97" s="1"/>
  <c r="Z7" i="97" s="1"/>
  <c r="W107" i="97"/>
  <c r="W97" i="97"/>
  <c r="W99" i="97" s="1"/>
  <c r="W100" i="97" s="1"/>
  <c r="W7" i="97" s="1"/>
  <c r="V107" i="97"/>
  <c r="U97" i="97"/>
  <c r="U99" i="97" s="1"/>
  <c r="U100" i="97" s="1"/>
  <c r="U7" i="97" s="1"/>
  <c r="T107" i="97"/>
  <c r="T97" i="97"/>
  <c r="T99" i="97" s="1"/>
  <c r="S107" i="97"/>
  <c r="S108" i="97"/>
  <c r="R107" i="97"/>
  <c r="R108" i="97" s="1"/>
  <c r="R97" i="97"/>
  <c r="R99" i="97" s="1"/>
  <c r="Q108" i="97"/>
  <c r="P107" i="97"/>
  <c r="AX23" i="97" s="1"/>
  <c r="AW19" i="97"/>
  <c r="O97" i="97"/>
  <c r="O99" i="97" s="1"/>
  <c r="O100" i="97" s="1"/>
  <c r="O7" i="97" s="1"/>
  <c r="AW16" i="97"/>
  <c r="N107" i="97"/>
  <c r="AV23" i="97" s="1"/>
  <c r="N108" i="97"/>
  <c r="AV19" i="97"/>
  <c r="AU19" i="97"/>
  <c r="AU22" i="97"/>
  <c r="AH105" i="97"/>
  <c r="L97" i="97"/>
  <c r="L99" i="97" s="1"/>
  <c r="AT19" i="97"/>
  <c r="AT22" i="97" s="1"/>
  <c r="AT24" i="97" s="1"/>
  <c r="AI104" i="97"/>
  <c r="J107" i="97"/>
  <c r="J97" i="97"/>
  <c r="J99" i="97" s="1"/>
  <c r="H5" i="97"/>
  <c r="I107" i="97"/>
  <c r="I108" i="97" s="1"/>
  <c r="AS23" i="97"/>
  <c r="AS22" i="97"/>
  <c r="AS24" i="97" s="1"/>
  <c r="H107" i="97"/>
  <c r="H108" i="97" s="1"/>
  <c r="H97" i="97"/>
  <c r="H99" i="97" s="1"/>
  <c r="H100" i="97" s="1"/>
  <c r="H7" i="97" s="1"/>
  <c r="G107" i="97"/>
  <c r="AR23" i="97" s="1"/>
  <c r="AH103" i="97"/>
  <c r="AR19" i="97"/>
  <c r="G97" i="97"/>
  <c r="G99" i="97" s="1"/>
  <c r="G100" i="97" s="1"/>
  <c r="G7" i="97" s="1"/>
  <c r="AR22" i="97"/>
  <c r="AR24" i="97" s="1"/>
  <c r="F107" i="97"/>
  <c r="AQ23" i="97" s="1"/>
  <c r="D107" i="97"/>
  <c r="AO23" i="97" s="1"/>
  <c r="AO19" i="97"/>
  <c r="AO22" i="97" s="1"/>
  <c r="AO24" i="97" s="1"/>
  <c r="D97" i="97"/>
  <c r="D99" i="97" s="1"/>
  <c r="D100" i="97" s="1"/>
  <c r="D7" i="97" s="1"/>
  <c r="AO16" i="97"/>
  <c r="C107" i="97"/>
  <c r="AN23" i="97" s="1"/>
  <c r="AM22" i="97"/>
  <c r="AU24" i="97"/>
  <c r="E97" i="97"/>
  <c r="E99" i="97" s="1"/>
  <c r="E100" i="97" s="1"/>
  <c r="E7" i="97" s="1"/>
  <c r="AP16" i="97"/>
  <c r="AP22" i="97" s="1"/>
  <c r="AP24" i="97" s="1"/>
  <c r="M97" i="97"/>
  <c r="M99" i="97" s="1"/>
  <c r="M100" i="97" s="1"/>
  <c r="M7" i="97" s="1"/>
  <c r="AC7" i="97"/>
  <c r="AI92" i="97"/>
  <c r="BG84" i="97" a="1"/>
  <c r="AZ75" i="97"/>
  <c r="F97" i="97"/>
  <c r="F99" i="97" s="1"/>
  <c r="F100" i="97" s="1"/>
  <c r="F7" i="97" s="1"/>
  <c r="N97" i="97"/>
  <c r="N99" i="97" s="1"/>
  <c r="N100" i="97" s="1"/>
  <c r="N7" i="97" s="1"/>
  <c r="V97" i="97"/>
  <c r="V99" i="97" s="1"/>
  <c r="V100" i="97" s="1"/>
  <c r="V7" i="97" s="1"/>
  <c r="AD7" i="97"/>
  <c r="AH76" i="97"/>
  <c r="AV22" i="97"/>
  <c r="AV24" i="97" s="1"/>
  <c r="G5" i="97"/>
  <c r="W5" i="97"/>
  <c r="AE5" i="97"/>
  <c r="AL13" i="97"/>
  <c r="AW22" i="97"/>
  <c r="AW24" i="97" s="1"/>
  <c r="AM23" i="97"/>
  <c r="AM24" i="97" s="1"/>
  <c r="E108" i="97"/>
  <c r="M108" i="97"/>
  <c r="U108" i="97"/>
  <c r="T100" i="97"/>
  <c r="T7" i="97" s="1"/>
  <c r="E252" i="97"/>
  <c r="P97" i="97"/>
  <c r="P99" i="97" s="1"/>
  <c r="P100" i="97" s="1"/>
  <c r="P7" i="97" s="1"/>
  <c r="AX16" i="97"/>
  <c r="X97" i="97"/>
  <c r="X99" i="97" s="1"/>
  <c r="X100" i="97" s="1"/>
  <c r="X7" i="97" s="1"/>
  <c r="AH62" i="97"/>
  <c r="L107" i="97"/>
  <c r="AB7" i="97"/>
  <c r="P108" i="97"/>
  <c r="AX19" i="97"/>
  <c r="F251" i="97"/>
  <c r="E118" i="97"/>
  <c r="AQ16" i="97"/>
  <c r="AQ22" i="97" s="1"/>
  <c r="AQ24" i="97" s="1"/>
  <c r="AI62" i="97"/>
  <c r="G247" i="97"/>
  <c r="H247" i="97" s="1"/>
  <c r="I247" i="97" s="1"/>
  <c r="J247" i="97" s="1"/>
  <c r="K247" i="97" s="1"/>
  <c r="L247" i="97" s="1"/>
  <c r="M247" i="97" s="1"/>
  <c r="N247" i="97" s="1"/>
  <c r="O247" i="97" s="1"/>
  <c r="P247" i="97" s="1"/>
  <c r="Q247" i="97" s="1"/>
  <c r="R247" i="97" s="1"/>
  <c r="S247" i="97" s="1"/>
  <c r="T247" i="97" s="1"/>
  <c r="U247" i="97" s="1"/>
  <c r="V247" i="97" s="1"/>
  <c r="W247" i="97" s="1"/>
  <c r="X247" i="97" s="1"/>
  <c r="Y247" i="97" s="1"/>
  <c r="Z247" i="97" s="1"/>
  <c r="AA247" i="97" s="1"/>
  <c r="AB247" i="97" s="1"/>
  <c r="AC247" i="97" s="1"/>
  <c r="AD247" i="97" s="1"/>
  <c r="AE247" i="97" s="1"/>
  <c r="AF247" i="97" s="1"/>
  <c r="B247" i="97" s="1"/>
  <c r="F252" i="97"/>
  <c r="D252" i="97"/>
  <c r="AN19" i="97"/>
  <c r="AN22" i="97" s="1"/>
  <c r="AN24" i="97" s="1"/>
  <c r="J108" i="97"/>
  <c r="Z108" i="97"/>
  <c r="AH92" i="97"/>
  <c r="AI76" i="97"/>
  <c r="H246" i="97"/>
  <c r="I97" i="97"/>
  <c r="I99" i="97" s="1"/>
  <c r="I100" i="97" s="1"/>
  <c r="I7" i="97" s="1"/>
  <c r="Q97" i="97"/>
  <c r="Q99" i="97" s="1"/>
  <c r="Q100" i="97" s="1"/>
  <c r="Q7" i="97" s="1"/>
  <c r="Y97" i="97"/>
  <c r="Y99" i="97" s="1"/>
  <c r="Y100" i="97" s="1"/>
  <c r="Y7" i="97" s="1"/>
  <c r="AG97" i="97"/>
  <c r="AH80" i="97"/>
  <c r="D108" i="97"/>
  <c r="T108" i="97"/>
  <c r="AH58" i="97"/>
  <c r="AH101" i="97"/>
  <c r="C97" i="97"/>
  <c r="C99" i="97" s="1"/>
  <c r="C100" i="97" s="1"/>
  <c r="C7" i="97" s="1"/>
  <c r="K97" i="97"/>
  <c r="K99" i="97" s="1"/>
  <c r="K100" i="97" s="1"/>
  <c r="K7" i="97" s="1"/>
  <c r="S97" i="97"/>
  <c r="S99" i="97" s="1"/>
  <c r="S100" i="97" s="1"/>
  <c r="S7" i="97" s="1"/>
  <c r="AA97" i="97"/>
  <c r="AA99" i="97" s="1"/>
  <c r="AA100" i="97" s="1"/>
  <c r="AA7" i="97" s="1"/>
  <c r="AI58" i="97"/>
  <c r="F108" i="97"/>
  <c r="V108" i="97"/>
  <c r="AI101" i="97"/>
  <c r="AH102" i="97"/>
  <c r="AI103" i="97"/>
  <c r="AH104" i="97"/>
  <c r="AI105" i="97"/>
  <c r="G108" i="97"/>
  <c r="O108" i="97"/>
  <c r="W108" i="97"/>
  <c r="D118" i="97"/>
  <c r="X107" i="96"/>
  <c r="X108" i="96" s="1"/>
  <c r="X97" i="96"/>
  <c r="X99" i="96" s="1"/>
  <c r="W97" i="96"/>
  <c r="W99" i="96" s="1"/>
  <c r="W100" i="96" s="1"/>
  <c r="K251" i="99" l="1"/>
  <c r="J252" i="99"/>
  <c r="J118" i="99"/>
  <c r="N246" i="99"/>
  <c r="I118" i="98"/>
  <c r="J246" i="98"/>
  <c r="AI100" i="98"/>
  <c r="AH100" i="98"/>
  <c r="B7" i="98"/>
  <c r="A7" i="98" s="1"/>
  <c r="H247" i="98"/>
  <c r="G252" i="98"/>
  <c r="AI107" i="97"/>
  <c r="R100" i="97"/>
  <c r="R7" i="97" s="1"/>
  <c r="J100" i="97"/>
  <c r="J7" i="97" s="1"/>
  <c r="C108" i="97"/>
  <c r="AI97" i="97"/>
  <c r="BJ107" i="97"/>
  <c r="BH106" i="97"/>
  <c r="BL104" i="97"/>
  <c r="BJ103" i="97"/>
  <c r="BH102" i="97"/>
  <c r="BL100" i="97"/>
  <c r="BJ99" i="97"/>
  <c r="BH98" i="97"/>
  <c r="BL96" i="97"/>
  <c r="BJ95" i="97"/>
  <c r="BH94" i="97"/>
  <c r="BL92" i="97"/>
  <c r="BJ91" i="97"/>
  <c r="BH90" i="97"/>
  <c r="BL88" i="97"/>
  <c r="BJ87" i="97"/>
  <c r="BH86" i="97"/>
  <c r="BL84" i="97"/>
  <c r="BK106" i="97"/>
  <c r="BI105" i="97"/>
  <c r="BG104" i="97"/>
  <c r="BK102" i="97"/>
  <c r="BI101" i="97"/>
  <c r="BG100" i="97"/>
  <c r="BK98" i="97"/>
  <c r="BI97" i="97"/>
  <c r="BG96" i="97"/>
  <c r="BK94" i="97"/>
  <c r="BI93" i="97"/>
  <c r="BG92" i="97"/>
  <c r="BK90" i="97"/>
  <c r="BI89" i="97"/>
  <c r="BG88" i="97"/>
  <c r="BK86" i="97"/>
  <c r="BI85" i="97"/>
  <c r="BG84" i="97"/>
  <c r="BG107" i="97"/>
  <c r="BH105" i="97"/>
  <c r="BI103" i="97"/>
  <c r="BK101" i="97"/>
  <c r="BL99" i="97"/>
  <c r="BG98" i="97"/>
  <c r="BI96" i="97"/>
  <c r="BJ94" i="97"/>
  <c r="BK92" i="97"/>
  <c r="BG91" i="97"/>
  <c r="BH89" i="97"/>
  <c r="BI87" i="97"/>
  <c r="BK85" i="97"/>
  <c r="BL106" i="97"/>
  <c r="BG105" i="97"/>
  <c r="BH103" i="97"/>
  <c r="BJ101" i="97"/>
  <c r="BK99" i="97"/>
  <c r="BL97" i="97"/>
  <c r="BH96" i="97"/>
  <c r="BI94" i="97"/>
  <c r="BJ92" i="97"/>
  <c r="BL90" i="97"/>
  <c r="BG89" i="97"/>
  <c r="BH87" i="97"/>
  <c r="BJ85" i="97"/>
  <c r="BJ106" i="97"/>
  <c r="BK104" i="97"/>
  <c r="BG103" i="97"/>
  <c r="BH101" i="97"/>
  <c r="BI99" i="97"/>
  <c r="BK97" i="97"/>
  <c r="BL95" i="97"/>
  <c r="BG94" i="97"/>
  <c r="BI92" i="97"/>
  <c r="BJ90" i="97"/>
  <c r="BK88" i="97"/>
  <c r="BG87" i="97"/>
  <c r="BH85" i="97"/>
  <c r="BI106" i="97"/>
  <c r="BJ104" i="97"/>
  <c r="BL102" i="97"/>
  <c r="BG101" i="97"/>
  <c r="BH99" i="97"/>
  <c r="BJ97" i="97"/>
  <c r="BK95" i="97"/>
  <c r="BL93" i="97"/>
  <c r="BH92" i="97"/>
  <c r="BI90" i="97"/>
  <c r="BJ88" i="97"/>
  <c r="BL86" i="97"/>
  <c r="BG85" i="97"/>
  <c r="BL107" i="97"/>
  <c r="BG106" i="97"/>
  <c r="BI104" i="97"/>
  <c r="BJ102" i="97"/>
  <c r="BK100" i="97"/>
  <c r="BG99" i="97"/>
  <c r="BH97" i="97"/>
  <c r="BI95" i="97"/>
  <c r="BK93" i="97"/>
  <c r="BL91" i="97"/>
  <c r="BG90" i="97"/>
  <c r="BI88" i="97"/>
  <c r="BJ86" i="97"/>
  <c r="BK84" i="97"/>
  <c r="BK107" i="97"/>
  <c r="BL105" i="97"/>
  <c r="BH104" i="97"/>
  <c r="BI102" i="97"/>
  <c r="BJ100" i="97"/>
  <c r="BL98" i="97"/>
  <c r="BG97" i="97"/>
  <c r="BH95" i="97"/>
  <c r="BJ93" i="97"/>
  <c r="BK91" i="97"/>
  <c r="BL89" i="97"/>
  <c r="BH88" i="97"/>
  <c r="BI86" i="97"/>
  <c r="BJ84" i="97"/>
  <c r="BL103" i="97"/>
  <c r="BK96" i="97"/>
  <c r="BK89" i="97"/>
  <c r="BH100" i="97"/>
  <c r="BK103" i="97"/>
  <c r="BJ96" i="97"/>
  <c r="BJ89" i="97"/>
  <c r="BG93" i="97"/>
  <c r="BI98" i="97"/>
  <c r="BG102" i="97"/>
  <c r="BG95" i="97"/>
  <c r="BL87" i="97"/>
  <c r="BH107" i="97"/>
  <c r="BL85" i="97"/>
  <c r="BK105" i="97"/>
  <c r="BJ98" i="97"/>
  <c r="BI91" i="97"/>
  <c r="BI84" i="97"/>
  <c r="BJ105" i="97"/>
  <c r="BH91" i="97"/>
  <c r="BH84" i="97"/>
  <c r="BL101" i="97"/>
  <c r="BL94" i="97"/>
  <c r="BK87" i="97"/>
  <c r="BI107" i="97"/>
  <c r="BI100" i="97"/>
  <c r="BH93" i="97"/>
  <c r="BG86" i="97"/>
  <c r="AH97" i="97"/>
  <c r="AH99" i="97"/>
  <c r="AI99" i="97"/>
  <c r="B256" i="97"/>
  <c r="I246" i="97"/>
  <c r="C256" i="97"/>
  <c r="F118" i="97"/>
  <c r="G251" i="97"/>
  <c r="AX22" i="97"/>
  <c r="AX24" i="97" s="1"/>
  <c r="AT9" i="97" s="1"/>
  <c r="AH107" i="97"/>
  <c r="L100" i="97"/>
  <c r="L7" i="97" s="1"/>
  <c r="L108" i="97"/>
  <c r="AI108" i="97" s="1"/>
  <c r="X100" i="96"/>
  <c r="O246" i="99" l="1"/>
  <c r="L251" i="99"/>
  <c r="K252" i="99"/>
  <c r="K118" i="99"/>
  <c r="J118" i="98"/>
  <c r="K246" i="98"/>
  <c r="I247" i="98"/>
  <c r="H252" i="98"/>
  <c r="AT8" i="97"/>
  <c r="AH108" i="97"/>
  <c r="K6" i="97"/>
  <c r="AI100" i="97"/>
  <c r="AH100" i="97"/>
  <c r="B7" i="97"/>
  <c r="A7" i="97" s="1"/>
  <c r="H251" i="97"/>
  <c r="G118" i="97"/>
  <c r="G252" i="97"/>
  <c r="J246" i="97"/>
  <c r="M251" i="99" l="1"/>
  <c r="L252" i="99"/>
  <c r="L118" i="99"/>
  <c r="P246" i="99"/>
  <c r="J247" i="98"/>
  <c r="I252" i="98"/>
  <c r="L246" i="98"/>
  <c r="K118" i="98"/>
  <c r="I251" i="97"/>
  <c r="H118" i="97"/>
  <c r="H252" i="97"/>
  <c r="K246" i="97"/>
  <c r="Q246" i="99" l="1"/>
  <c r="N251" i="99"/>
  <c r="M118" i="99"/>
  <c r="M252" i="99"/>
  <c r="M246" i="98"/>
  <c r="L118" i="98"/>
  <c r="K247" i="98"/>
  <c r="J252" i="98"/>
  <c r="L246" i="97"/>
  <c r="J251" i="97"/>
  <c r="I252" i="97"/>
  <c r="I118" i="97"/>
  <c r="O251" i="99" l="1"/>
  <c r="N118" i="99"/>
  <c r="N252" i="99"/>
  <c r="R246" i="99"/>
  <c r="L247" i="98"/>
  <c r="K252" i="98"/>
  <c r="N246" i="98"/>
  <c r="M118" i="98"/>
  <c r="K251" i="97"/>
  <c r="J118" i="97"/>
  <c r="J252" i="97"/>
  <c r="M246" i="97"/>
  <c r="S246" i="99" l="1"/>
  <c r="P251" i="99"/>
  <c r="O252" i="99"/>
  <c r="O118" i="99"/>
  <c r="O246" i="98"/>
  <c r="N118" i="98"/>
  <c r="M247" i="98"/>
  <c r="L252" i="98"/>
  <c r="N246" i="97"/>
  <c r="L251" i="97"/>
  <c r="K252" i="97"/>
  <c r="K118" i="97"/>
  <c r="Q251" i="99" l="1"/>
  <c r="P252" i="99"/>
  <c r="T246" i="99"/>
  <c r="N247" i="98"/>
  <c r="M252" i="98"/>
  <c r="P246" i="98"/>
  <c r="O118" i="98"/>
  <c r="M251" i="97"/>
  <c r="L252" i="97"/>
  <c r="L118" i="97"/>
  <c r="O246" i="97"/>
  <c r="U246" i="99" l="1"/>
  <c r="R251" i="99"/>
  <c r="Q252" i="99"/>
  <c r="Q118" i="99"/>
  <c r="Q246" i="98"/>
  <c r="O247" i="98"/>
  <c r="N252" i="98"/>
  <c r="P246" i="97"/>
  <c r="N251" i="97"/>
  <c r="M252" i="97"/>
  <c r="M118" i="97"/>
  <c r="S251" i="99" l="1"/>
  <c r="R252" i="99"/>
  <c r="R118" i="99"/>
  <c r="V246" i="99"/>
  <c r="P247" i="98"/>
  <c r="O252" i="98"/>
  <c r="R246" i="98"/>
  <c r="Q118" i="98"/>
  <c r="O251" i="97"/>
  <c r="N252" i="97"/>
  <c r="N118" i="97"/>
  <c r="Q246" i="97"/>
  <c r="W246" i="99" l="1"/>
  <c r="T251" i="99"/>
  <c r="S252" i="99"/>
  <c r="R118" i="98"/>
  <c r="S246" i="98"/>
  <c r="Q247" i="98"/>
  <c r="P252" i="98"/>
  <c r="R246" i="97"/>
  <c r="P251" i="97"/>
  <c r="O252" i="97"/>
  <c r="O118" i="97"/>
  <c r="U251" i="99" l="1"/>
  <c r="T252" i="99"/>
  <c r="X246" i="99"/>
  <c r="R247" i="98"/>
  <c r="Q252" i="98"/>
  <c r="S118" i="98"/>
  <c r="T246" i="98"/>
  <c r="Q251" i="97"/>
  <c r="P252" i="97"/>
  <c r="S246" i="97"/>
  <c r="Y246" i="99" l="1"/>
  <c r="V251" i="99"/>
  <c r="U252" i="99"/>
  <c r="U246" i="98"/>
  <c r="S247" i="98"/>
  <c r="R252" i="98"/>
  <c r="T246" i="97"/>
  <c r="R251" i="97"/>
  <c r="Q118" i="97"/>
  <c r="Q252" i="97"/>
  <c r="W251" i="99" l="1"/>
  <c r="V252" i="99"/>
  <c r="Z246" i="99"/>
  <c r="T247" i="98"/>
  <c r="S252" i="98"/>
  <c r="V246" i="98"/>
  <c r="S251" i="97"/>
  <c r="R118" i="97"/>
  <c r="R252" i="97"/>
  <c r="U246" i="97"/>
  <c r="AA246" i="99" l="1"/>
  <c r="X251" i="99"/>
  <c r="W252" i="99"/>
  <c r="U247" i="98"/>
  <c r="T252" i="98"/>
  <c r="W246" i="98"/>
  <c r="V246" i="97"/>
  <c r="T251" i="97"/>
  <c r="S252" i="97"/>
  <c r="S118" i="97"/>
  <c r="AB246" i="99" l="1"/>
  <c r="Y251" i="99"/>
  <c r="X252" i="99"/>
  <c r="X246" i="98"/>
  <c r="V247" i="98"/>
  <c r="U252" i="98"/>
  <c r="U251" i="97"/>
  <c r="T252" i="97"/>
  <c r="T118" i="97"/>
  <c r="W246" i="97"/>
  <c r="Z251" i="99" l="1"/>
  <c r="Y252" i="99"/>
  <c r="AC246" i="99"/>
  <c r="W247" i="98"/>
  <c r="V252" i="98"/>
  <c r="Y246" i="98"/>
  <c r="X246" i="97"/>
  <c r="V251" i="97"/>
  <c r="U118" i="97"/>
  <c r="U252" i="97"/>
  <c r="AD246" i="99" l="1"/>
  <c r="AA251" i="99"/>
  <c r="Z252" i="99"/>
  <c r="Z246" i="98"/>
  <c r="X247" i="98"/>
  <c r="W252" i="98"/>
  <c r="W251" i="97"/>
  <c r="V118" i="97"/>
  <c r="V252" i="97"/>
  <c r="Y246" i="97"/>
  <c r="AB251" i="99" l="1"/>
  <c r="AA252" i="99"/>
  <c r="AE246" i="99"/>
  <c r="Y247" i="98"/>
  <c r="X252" i="98"/>
  <c r="AA246" i="98"/>
  <c r="Z246" i="97"/>
  <c r="X251" i="97"/>
  <c r="W252" i="97"/>
  <c r="W118" i="97"/>
  <c r="AF246" i="99" l="1"/>
  <c r="AC251" i="99"/>
  <c r="AB252" i="99"/>
  <c r="AB118" i="99"/>
  <c r="AB246" i="98"/>
  <c r="Z247" i="98"/>
  <c r="Y252" i="98"/>
  <c r="Y251" i="97"/>
  <c r="X118" i="97"/>
  <c r="X252" i="97"/>
  <c r="AA246" i="97"/>
  <c r="AD251" i="99" l="1"/>
  <c r="AC252" i="99"/>
  <c r="B246" i="99"/>
  <c r="AA247" i="98"/>
  <c r="Z252" i="98"/>
  <c r="AC246" i="98"/>
  <c r="AB118" i="98"/>
  <c r="AB246" i="97"/>
  <c r="Z251" i="97"/>
  <c r="Y252" i="97"/>
  <c r="AE251" i="99" l="1"/>
  <c r="AD252" i="99"/>
  <c r="AD118" i="99"/>
  <c r="AD246" i="98"/>
  <c r="AC118" i="98"/>
  <c r="AB247" i="98"/>
  <c r="AA252" i="98"/>
  <c r="AA251" i="97"/>
  <c r="Z252" i="97"/>
  <c r="AC246" i="97"/>
  <c r="AF251" i="99" l="1"/>
  <c r="AE252" i="99"/>
  <c r="AE246" i="98"/>
  <c r="AD118" i="98"/>
  <c r="AC247" i="98"/>
  <c r="AB252" i="98"/>
  <c r="AB251" i="97"/>
  <c r="AA252" i="97"/>
  <c r="AA118" i="97"/>
  <c r="AD246" i="97"/>
  <c r="B251" i="99" l="1"/>
  <c r="AF252" i="99"/>
  <c r="AF118" i="99"/>
  <c r="AD247" i="98"/>
  <c r="AC252" i="98"/>
  <c r="AF246" i="98"/>
  <c r="AE118" i="98"/>
  <c r="AE246" i="97"/>
  <c r="AC251" i="97"/>
  <c r="AB252" i="97"/>
  <c r="B252" i="99" l="1"/>
  <c r="B118" i="99"/>
  <c r="AF118" i="98"/>
  <c r="B246" i="98"/>
  <c r="AE247" i="98"/>
  <c r="AD252" i="98"/>
  <c r="AD251" i="97"/>
  <c r="AC252" i="97"/>
  <c r="AF246" i="97"/>
  <c r="AI118" i="99" l="1"/>
  <c r="AH118" i="99"/>
  <c r="AF247" i="98"/>
  <c r="AE252" i="98"/>
  <c r="B246" i="97"/>
  <c r="AE251" i="97"/>
  <c r="AD252" i="97"/>
  <c r="AI118" i="98" l="1"/>
  <c r="AH118" i="98"/>
  <c r="B247" i="98"/>
  <c r="B252" i="98" s="1"/>
  <c r="AF252" i="98"/>
  <c r="AF251" i="97"/>
  <c r="AE252" i="97"/>
  <c r="B251" i="97" l="1"/>
  <c r="AF252" i="97"/>
  <c r="B252" i="97" l="1"/>
  <c r="B118" i="97"/>
  <c r="AI118" i="97" l="1"/>
  <c r="AH118" i="97"/>
  <c r="P123" i="96" l="1"/>
  <c r="P121" i="96"/>
  <c r="P57" i="96"/>
  <c r="O123" i="96" l="1"/>
  <c r="O121" i="96"/>
  <c r="O57" i="96"/>
  <c r="N123" i="96"/>
  <c r="N121" i="96"/>
  <c r="N57" i="96"/>
  <c r="M123" i="96" l="1"/>
  <c r="AH123" i="96" s="1"/>
  <c r="M121" i="96"/>
  <c r="M57" i="96"/>
  <c r="L123" i="96"/>
  <c r="AH125" i="96"/>
  <c r="AI125" i="96"/>
  <c r="AH124" i="96"/>
  <c r="AI124" i="96"/>
  <c r="AG252" i="96"/>
  <c r="AG75" i="96" s="1"/>
  <c r="AG76" i="96" s="1"/>
  <c r="AG3" i="96" s="1"/>
  <c r="C252" i="96"/>
  <c r="D251" i="96"/>
  <c r="E251" i="96" s="1"/>
  <c r="F251" i="96" s="1"/>
  <c r="G251" i="96" s="1"/>
  <c r="H251" i="96" s="1"/>
  <c r="I251" i="96" s="1"/>
  <c r="J251" i="96" s="1"/>
  <c r="K251" i="96" s="1"/>
  <c r="L251" i="96" s="1"/>
  <c r="M251" i="96" s="1"/>
  <c r="N251" i="96" s="1"/>
  <c r="O251" i="96" s="1"/>
  <c r="P251" i="96" s="1"/>
  <c r="Q251" i="96" s="1"/>
  <c r="R251" i="96" s="1"/>
  <c r="S251" i="96" s="1"/>
  <c r="T251" i="96" s="1"/>
  <c r="U251" i="96" s="1"/>
  <c r="V251" i="96" s="1"/>
  <c r="W251" i="96" s="1"/>
  <c r="X251" i="96" s="1"/>
  <c r="Y251" i="96" s="1"/>
  <c r="Z251" i="96" s="1"/>
  <c r="AA251" i="96" s="1"/>
  <c r="AB251" i="96" s="1"/>
  <c r="AC251" i="96" s="1"/>
  <c r="AD251" i="96" s="1"/>
  <c r="AE251" i="96" s="1"/>
  <c r="AF251" i="96" s="1"/>
  <c r="B251" i="96" s="1"/>
  <c r="D250" i="96"/>
  <c r="E250" i="96" s="1"/>
  <c r="F250" i="96" s="1"/>
  <c r="G250" i="96" s="1"/>
  <c r="H250" i="96" s="1"/>
  <c r="I250" i="96" s="1"/>
  <c r="J250" i="96" s="1"/>
  <c r="K250" i="96" s="1"/>
  <c r="L250" i="96" s="1"/>
  <c r="M250" i="96" s="1"/>
  <c r="N250" i="96" s="1"/>
  <c r="O250" i="96" s="1"/>
  <c r="P250" i="96" s="1"/>
  <c r="Q250" i="96" s="1"/>
  <c r="R250" i="96" s="1"/>
  <c r="S250" i="96" s="1"/>
  <c r="T250" i="96" s="1"/>
  <c r="U250" i="96" s="1"/>
  <c r="V250" i="96" s="1"/>
  <c r="W250" i="96" s="1"/>
  <c r="X250" i="96" s="1"/>
  <c r="Y250" i="96" s="1"/>
  <c r="Z250" i="96" s="1"/>
  <c r="AA250" i="96" s="1"/>
  <c r="AB250" i="96" s="1"/>
  <c r="AC250" i="96" s="1"/>
  <c r="AD250" i="96" s="1"/>
  <c r="AE250" i="96" s="1"/>
  <c r="AF250" i="96" s="1"/>
  <c r="B250" i="96" s="1"/>
  <c r="D249" i="96"/>
  <c r="E249" i="96" s="1"/>
  <c r="F249" i="96" s="1"/>
  <c r="G249" i="96" s="1"/>
  <c r="H249" i="96" s="1"/>
  <c r="I249" i="96" s="1"/>
  <c r="J249" i="96" s="1"/>
  <c r="K249" i="96" s="1"/>
  <c r="L249" i="96" s="1"/>
  <c r="M249" i="96" s="1"/>
  <c r="N249" i="96" s="1"/>
  <c r="O249" i="96" s="1"/>
  <c r="P249" i="96" s="1"/>
  <c r="Q249" i="96" s="1"/>
  <c r="R249" i="96" s="1"/>
  <c r="S249" i="96" s="1"/>
  <c r="T249" i="96" s="1"/>
  <c r="U249" i="96" s="1"/>
  <c r="V249" i="96" s="1"/>
  <c r="W249" i="96" s="1"/>
  <c r="X249" i="96" s="1"/>
  <c r="Y249" i="96" s="1"/>
  <c r="Z249" i="96" s="1"/>
  <c r="AA249" i="96" s="1"/>
  <c r="AB249" i="96" s="1"/>
  <c r="AC249" i="96" s="1"/>
  <c r="AD249" i="96" s="1"/>
  <c r="AE249" i="96" s="1"/>
  <c r="AF249" i="96" s="1"/>
  <c r="B249" i="96" s="1"/>
  <c r="D248" i="96"/>
  <c r="E248" i="96" s="1"/>
  <c r="F248" i="96" s="1"/>
  <c r="G248" i="96" s="1"/>
  <c r="H248" i="96" s="1"/>
  <c r="I248" i="96" s="1"/>
  <c r="J248" i="96" s="1"/>
  <c r="K248" i="96" s="1"/>
  <c r="L248" i="96" s="1"/>
  <c r="M248" i="96" s="1"/>
  <c r="N248" i="96" s="1"/>
  <c r="O248" i="96" s="1"/>
  <c r="P248" i="96" s="1"/>
  <c r="Q248" i="96" s="1"/>
  <c r="R248" i="96" s="1"/>
  <c r="S248" i="96" s="1"/>
  <c r="T248" i="96" s="1"/>
  <c r="U248" i="96" s="1"/>
  <c r="V248" i="96" s="1"/>
  <c r="W248" i="96" s="1"/>
  <c r="X248" i="96" s="1"/>
  <c r="Y248" i="96" s="1"/>
  <c r="Z248" i="96" s="1"/>
  <c r="AA248" i="96" s="1"/>
  <c r="AB248" i="96" s="1"/>
  <c r="AC248" i="96" s="1"/>
  <c r="AD248" i="96" s="1"/>
  <c r="AE248" i="96" s="1"/>
  <c r="AF248" i="96" s="1"/>
  <c r="B248" i="96" s="1"/>
  <c r="D247" i="96"/>
  <c r="E247" i="96" s="1"/>
  <c r="F247" i="96" s="1"/>
  <c r="G247" i="96" s="1"/>
  <c r="H247" i="96" s="1"/>
  <c r="I247" i="96" s="1"/>
  <c r="J247" i="96" s="1"/>
  <c r="K247" i="96" s="1"/>
  <c r="L247" i="96" s="1"/>
  <c r="M247" i="96" s="1"/>
  <c r="N247" i="96" s="1"/>
  <c r="O247" i="96" s="1"/>
  <c r="P247" i="96" s="1"/>
  <c r="Q247" i="96" s="1"/>
  <c r="R247" i="96" s="1"/>
  <c r="S247" i="96" s="1"/>
  <c r="T247" i="96" s="1"/>
  <c r="U247" i="96" s="1"/>
  <c r="V247" i="96" s="1"/>
  <c r="W247" i="96" s="1"/>
  <c r="X247" i="96" s="1"/>
  <c r="Y247" i="96" s="1"/>
  <c r="Z247" i="96" s="1"/>
  <c r="AA247" i="96" s="1"/>
  <c r="AB247" i="96" s="1"/>
  <c r="AC247" i="96" s="1"/>
  <c r="AD247" i="96" s="1"/>
  <c r="AE247" i="96" s="1"/>
  <c r="AF247" i="96" s="1"/>
  <c r="B247" i="96" s="1"/>
  <c r="D246" i="96"/>
  <c r="AG244" i="96"/>
  <c r="AF244" i="96"/>
  <c r="AE244" i="96"/>
  <c r="AD244" i="96"/>
  <c r="AC244" i="96"/>
  <c r="AB244" i="96"/>
  <c r="AA244" i="96"/>
  <c r="Z244" i="96"/>
  <c r="Z118" i="96" s="1"/>
  <c r="Y244" i="96"/>
  <c r="Y118" i="96" s="1"/>
  <c r="X244" i="96"/>
  <c r="W244" i="96"/>
  <c r="V244" i="96"/>
  <c r="U244" i="96"/>
  <c r="T244" i="96"/>
  <c r="S244" i="96"/>
  <c r="R244" i="96"/>
  <c r="Q244" i="96"/>
  <c r="P244" i="96"/>
  <c r="O244" i="96"/>
  <c r="N244" i="96"/>
  <c r="M244" i="96"/>
  <c r="L244" i="96"/>
  <c r="K244" i="96"/>
  <c r="J244" i="96"/>
  <c r="I244" i="96"/>
  <c r="H244" i="96"/>
  <c r="G244" i="96"/>
  <c r="F244" i="96"/>
  <c r="E244" i="96"/>
  <c r="D244" i="96"/>
  <c r="C244" i="96"/>
  <c r="B244" i="96"/>
  <c r="AI130" i="96"/>
  <c r="AH130" i="96"/>
  <c r="AI129" i="96"/>
  <c r="AH129" i="96"/>
  <c r="AI128" i="96"/>
  <c r="AH128" i="96"/>
  <c r="AI127" i="96"/>
  <c r="AH127" i="96"/>
  <c r="AI126" i="96"/>
  <c r="AH126" i="96"/>
  <c r="AI122" i="96"/>
  <c r="AH122" i="96"/>
  <c r="AI121" i="96"/>
  <c r="AH121" i="96"/>
  <c r="AI120" i="96"/>
  <c r="AH120" i="96"/>
  <c r="AI119" i="96"/>
  <c r="AH119" i="96"/>
  <c r="C118" i="96"/>
  <c r="AI117" i="96"/>
  <c r="AH117" i="96"/>
  <c r="AI116" i="96"/>
  <c r="AH116" i="96"/>
  <c r="AI115" i="96"/>
  <c r="AH115" i="96"/>
  <c r="AI114" i="96"/>
  <c r="AH114" i="96"/>
  <c r="AI113" i="96"/>
  <c r="AH113" i="96"/>
  <c r="AI112" i="96"/>
  <c r="AH112" i="96"/>
  <c r="AI111" i="96"/>
  <c r="AH111" i="96"/>
  <c r="AI110" i="96"/>
  <c r="AH110" i="96"/>
  <c r="AI109" i="96"/>
  <c r="AH109" i="96"/>
  <c r="AI106" i="96"/>
  <c r="AH106" i="96"/>
  <c r="AF105" i="96"/>
  <c r="AE105" i="96"/>
  <c r="AD105" i="96"/>
  <c r="AC105" i="96"/>
  <c r="AB105" i="96"/>
  <c r="AA105" i="96"/>
  <c r="Z105" i="96"/>
  <c r="Y105" i="96"/>
  <c r="V105" i="96"/>
  <c r="U105" i="96"/>
  <c r="T105" i="96"/>
  <c r="S105" i="96"/>
  <c r="R105" i="96"/>
  <c r="Q105" i="96"/>
  <c r="P105" i="96"/>
  <c r="O105" i="96"/>
  <c r="N105" i="96"/>
  <c r="M105" i="96"/>
  <c r="L105" i="96"/>
  <c r="K105" i="96"/>
  <c r="J105" i="96"/>
  <c r="I105" i="96"/>
  <c r="H105" i="96"/>
  <c r="G105" i="96"/>
  <c r="F105" i="96"/>
  <c r="E105" i="96"/>
  <c r="D105" i="96"/>
  <c r="C105" i="96"/>
  <c r="B105" i="96"/>
  <c r="AF104" i="96"/>
  <c r="AE104" i="96"/>
  <c r="AD104" i="96"/>
  <c r="AC104" i="96"/>
  <c r="AB104" i="96"/>
  <c r="AA104" i="96"/>
  <c r="Z104" i="96"/>
  <c r="Y104" i="96"/>
  <c r="V104" i="96"/>
  <c r="U104" i="96"/>
  <c r="T104" i="96"/>
  <c r="S104" i="96"/>
  <c r="R104" i="96"/>
  <c r="Q104" i="96"/>
  <c r="P104" i="96"/>
  <c r="O104" i="96"/>
  <c r="N104" i="96"/>
  <c r="M104" i="96"/>
  <c r="L104" i="96"/>
  <c r="K104" i="96"/>
  <c r="J104" i="96"/>
  <c r="I104" i="96"/>
  <c r="H104" i="96"/>
  <c r="G104" i="96"/>
  <c r="F104" i="96"/>
  <c r="E104" i="96"/>
  <c r="D104" i="96"/>
  <c r="C104" i="96"/>
  <c r="B104" i="96"/>
  <c r="AF103" i="96"/>
  <c r="AE103" i="96"/>
  <c r="AD103" i="96"/>
  <c r="AC103" i="96"/>
  <c r="AB103" i="96"/>
  <c r="AA103" i="96"/>
  <c r="Z103" i="96"/>
  <c r="Y103" i="96"/>
  <c r="V103" i="96"/>
  <c r="U103" i="96"/>
  <c r="T103" i="96"/>
  <c r="S103" i="96"/>
  <c r="R103" i="96"/>
  <c r="Q103" i="96"/>
  <c r="P103" i="96"/>
  <c r="O103" i="96"/>
  <c r="N103" i="96"/>
  <c r="M103" i="96"/>
  <c r="L103" i="96"/>
  <c r="K103" i="96"/>
  <c r="J103" i="96"/>
  <c r="I103" i="96"/>
  <c r="H103" i="96"/>
  <c r="G103" i="96"/>
  <c r="F103" i="96"/>
  <c r="E103" i="96"/>
  <c r="D103" i="96"/>
  <c r="C103" i="96"/>
  <c r="B103" i="96"/>
  <c r="AF102" i="96"/>
  <c r="AE102" i="96"/>
  <c r="AD102" i="96"/>
  <c r="AC102" i="96"/>
  <c r="AB102" i="96"/>
  <c r="AA102" i="96"/>
  <c r="Z102" i="96"/>
  <c r="Y102" i="96"/>
  <c r="V102" i="96"/>
  <c r="U102" i="96"/>
  <c r="T102" i="96"/>
  <c r="S102" i="96"/>
  <c r="R102" i="96"/>
  <c r="Q102" i="96"/>
  <c r="P102" i="96"/>
  <c r="O102" i="96"/>
  <c r="N102" i="96"/>
  <c r="M102" i="96"/>
  <c r="L102" i="96"/>
  <c r="K102" i="96"/>
  <c r="J102" i="96"/>
  <c r="I102" i="96"/>
  <c r="H102" i="96"/>
  <c r="G102" i="96"/>
  <c r="F102" i="96"/>
  <c r="E102" i="96"/>
  <c r="D102" i="96"/>
  <c r="C102" i="96"/>
  <c r="B102" i="96"/>
  <c r="AF101" i="96"/>
  <c r="AE101" i="96"/>
  <c r="AD101" i="96"/>
  <c r="AC101" i="96"/>
  <c r="AB101" i="96"/>
  <c r="AA101" i="96"/>
  <c r="Z101" i="96"/>
  <c r="Y101" i="96"/>
  <c r="V101" i="96"/>
  <c r="U101" i="96"/>
  <c r="T101" i="96"/>
  <c r="S101" i="96"/>
  <c r="R101" i="96"/>
  <c r="Q101" i="96"/>
  <c r="P101" i="96"/>
  <c r="O101" i="96"/>
  <c r="N101" i="96"/>
  <c r="M101" i="96"/>
  <c r="L101" i="96"/>
  <c r="K101" i="96"/>
  <c r="J101" i="96"/>
  <c r="I101" i="96"/>
  <c r="H101" i="96"/>
  <c r="G101" i="96"/>
  <c r="F101" i="96"/>
  <c r="E101" i="96"/>
  <c r="D101" i="96"/>
  <c r="C101" i="96"/>
  <c r="B101" i="96"/>
  <c r="AI98" i="96"/>
  <c r="AH98" i="96"/>
  <c r="AI96" i="96"/>
  <c r="AH96" i="96"/>
  <c r="AG96" i="96"/>
  <c r="AI95" i="96"/>
  <c r="AH95" i="96"/>
  <c r="AI94" i="96"/>
  <c r="AH94" i="96"/>
  <c r="AI93" i="96"/>
  <c r="AH93" i="96"/>
  <c r="AG92" i="96"/>
  <c r="AF92" i="96"/>
  <c r="AE5" i="96" s="1"/>
  <c r="AE92" i="96"/>
  <c r="AD5" i="96" s="1"/>
  <c r="AD92" i="96"/>
  <c r="AC92" i="96"/>
  <c r="AB5" i="96" s="1"/>
  <c r="AB92" i="96"/>
  <c r="AA92" i="96"/>
  <c r="Z5" i="96" s="1"/>
  <c r="Z92" i="96"/>
  <c r="Y5" i="96" s="1"/>
  <c r="Y92" i="96"/>
  <c r="V92" i="96"/>
  <c r="U92" i="96"/>
  <c r="T5" i="96" s="1"/>
  <c r="T92" i="96"/>
  <c r="S5" i="96" s="1"/>
  <c r="S92" i="96"/>
  <c r="R92" i="96"/>
  <c r="Q92" i="96"/>
  <c r="P92" i="96"/>
  <c r="O5" i="96" s="1"/>
  <c r="O92" i="96"/>
  <c r="N92" i="96"/>
  <c r="M92" i="96"/>
  <c r="AU19" i="96" s="1"/>
  <c r="L92" i="96"/>
  <c r="K92" i="96"/>
  <c r="J5" i="96" s="1"/>
  <c r="J92" i="96"/>
  <c r="I5" i="96" s="1"/>
  <c r="I92" i="96"/>
  <c r="H5" i="96" s="1"/>
  <c r="H92" i="96"/>
  <c r="G5" i="96" s="1"/>
  <c r="G92" i="96"/>
  <c r="F5" i="96" s="1"/>
  <c r="F92" i="96"/>
  <c r="E92" i="96"/>
  <c r="AP19" i="96" s="1"/>
  <c r="D92" i="96"/>
  <c r="C92" i="96"/>
  <c r="AN19" i="96" s="1"/>
  <c r="B92" i="96"/>
  <c r="AM19" i="96" s="1"/>
  <c r="AI91" i="96"/>
  <c r="AH91" i="96"/>
  <c r="AI90" i="96"/>
  <c r="AH90" i="96"/>
  <c r="AI89" i="96"/>
  <c r="AH89" i="96"/>
  <c r="AI88" i="96"/>
  <c r="AH88" i="96"/>
  <c r="AI87" i="96"/>
  <c r="AH87" i="96"/>
  <c r="AI86" i="96"/>
  <c r="AH86" i="96"/>
  <c r="AI85" i="96"/>
  <c r="AH85" i="96"/>
  <c r="AI84" i="96"/>
  <c r="AH84" i="96"/>
  <c r="AI83" i="96"/>
  <c r="AH83" i="96"/>
  <c r="AI82" i="96"/>
  <c r="AH82" i="96"/>
  <c r="AI81" i="96"/>
  <c r="AH81" i="96"/>
  <c r="AG80" i="96"/>
  <c r="AF80" i="96"/>
  <c r="AE80" i="96"/>
  <c r="AD80" i="96"/>
  <c r="AC80" i="96"/>
  <c r="AB80" i="96"/>
  <c r="AA80" i="96"/>
  <c r="Z80" i="96"/>
  <c r="Y80" i="96"/>
  <c r="V80" i="96"/>
  <c r="U80" i="96"/>
  <c r="T80" i="96"/>
  <c r="S80" i="96"/>
  <c r="R80" i="96"/>
  <c r="Q80" i="96"/>
  <c r="P80" i="96"/>
  <c r="O80" i="96"/>
  <c r="AW20" i="96" s="1"/>
  <c r="N80" i="96"/>
  <c r="M80" i="96"/>
  <c r="AU20" i="96" s="1"/>
  <c r="L80" i="96"/>
  <c r="K80" i="96"/>
  <c r="J80" i="96"/>
  <c r="I80" i="96"/>
  <c r="H80" i="96"/>
  <c r="G80" i="96"/>
  <c r="AR20" i="96" s="1"/>
  <c r="F80" i="96"/>
  <c r="AQ20" i="96" s="1"/>
  <c r="E80" i="96"/>
  <c r="AP20" i="96" s="1"/>
  <c r="D80" i="96"/>
  <c r="C80" i="96"/>
  <c r="B80" i="96"/>
  <c r="AI79" i="96"/>
  <c r="AH79" i="96"/>
  <c r="AI78" i="96"/>
  <c r="AH78" i="96"/>
  <c r="AI77" i="96"/>
  <c r="AH77" i="96"/>
  <c r="AF76" i="96"/>
  <c r="AE76" i="96"/>
  <c r="AD76" i="96"/>
  <c r="AC76" i="96"/>
  <c r="AB76" i="96"/>
  <c r="AA76" i="96"/>
  <c r="Z76" i="96"/>
  <c r="Y76" i="96"/>
  <c r="V76" i="96"/>
  <c r="U76" i="96"/>
  <c r="T76" i="96"/>
  <c r="S76" i="96"/>
  <c r="R76" i="96"/>
  <c r="Q76" i="96"/>
  <c r="P76" i="96"/>
  <c r="AX18" i="96" s="1"/>
  <c r="O76" i="96"/>
  <c r="AW18" i="96" s="1"/>
  <c r="N76" i="96"/>
  <c r="AV18" i="96" s="1"/>
  <c r="M76" i="96"/>
  <c r="AU18" i="96" s="1"/>
  <c r="L76" i="96"/>
  <c r="K76" i="96"/>
  <c r="J76" i="96"/>
  <c r="I76" i="96"/>
  <c r="H76" i="96"/>
  <c r="G76" i="96"/>
  <c r="AR18" i="96" s="1"/>
  <c r="F76" i="96"/>
  <c r="AQ18" i="96" s="1"/>
  <c r="E76" i="96"/>
  <c r="D76" i="96"/>
  <c r="AO18" i="96" s="1"/>
  <c r="C76" i="96"/>
  <c r="AN18" i="96" s="1"/>
  <c r="B76" i="96"/>
  <c r="AI75" i="96"/>
  <c r="AH75" i="96"/>
  <c r="AI74" i="96"/>
  <c r="AH74" i="96"/>
  <c r="BW73" i="96"/>
  <c r="BW80" i="96" s="1"/>
  <c r="BV73" i="96"/>
  <c r="BV80" i="96" s="1"/>
  <c r="BU73" i="96"/>
  <c r="BU80" i="96" s="1"/>
  <c r="BT73" i="96"/>
  <c r="BT80" i="96" s="1"/>
  <c r="BS73" i="96"/>
  <c r="BS80" i="96" s="1"/>
  <c r="BR73" i="96"/>
  <c r="BR80" i="96" s="1"/>
  <c r="BQ73" i="96"/>
  <c r="BQ80" i="96" s="1"/>
  <c r="BP73" i="96"/>
  <c r="BP80" i="96" s="1"/>
  <c r="BO73" i="96"/>
  <c r="BO80" i="96" s="1"/>
  <c r="BN73" i="96"/>
  <c r="BN80" i="96" s="1"/>
  <c r="BM73" i="96"/>
  <c r="BM80" i="96" s="1"/>
  <c r="BL73" i="96"/>
  <c r="BL80" i="96" s="1"/>
  <c r="BK73" i="96"/>
  <c r="BK80" i="96" s="1"/>
  <c r="BJ73" i="96"/>
  <c r="BJ80" i="96" s="1"/>
  <c r="BI73" i="96"/>
  <c r="BI80" i="96" s="1"/>
  <c r="BH73" i="96"/>
  <c r="BH80" i="96" s="1"/>
  <c r="BG73" i="96"/>
  <c r="BG80" i="96" s="1"/>
  <c r="BF73" i="96"/>
  <c r="BF80" i="96" s="1"/>
  <c r="BE73" i="96"/>
  <c r="BE80" i="96" s="1"/>
  <c r="BD73" i="96"/>
  <c r="BD80" i="96" s="1"/>
  <c r="BC73" i="96"/>
  <c r="BC80" i="96" s="1"/>
  <c r="BB73" i="96"/>
  <c r="BB80" i="96" s="1"/>
  <c r="BA73" i="96"/>
  <c r="BA80" i="96" s="1"/>
  <c r="AZ73" i="96"/>
  <c r="AZ80" i="96" s="1"/>
  <c r="AI73" i="96"/>
  <c r="AH73" i="96"/>
  <c r="BW72" i="96"/>
  <c r="BW79" i="96" s="1"/>
  <c r="BV72" i="96"/>
  <c r="BV79" i="96" s="1"/>
  <c r="BU72" i="96"/>
  <c r="BU79" i="96" s="1"/>
  <c r="BT72" i="96"/>
  <c r="BT79" i="96" s="1"/>
  <c r="BS72" i="96"/>
  <c r="BS79" i="96" s="1"/>
  <c r="BR72" i="96"/>
  <c r="BR79" i="96" s="1"/>
  <c r="BQ72" i="96"/>
  <c r="BQ79" i="96" s="1"/>
  <c r="BP72" i="96"/>
  <c r="BP79" i="96" s="1"/>
  <c r="BO72" i="96"/>
  <c r="BO79" i="96" s="1"/>
  <c r="BN72" i="96"/>
  <c r="BN79" i="96" s="1"/>
  <c r="BM72" i="96"/>
  <c r="BM79" i="96" s="1"/>
  <c r="BL72" i="96"/>
  <c r="BL79" i="96" s="1"/>
  <c r="BK72" i="96"/>
  <c r="BK79" i="96" s="1"/>
  <c r="BJ72" i="96"/>
  <c r="BJ79" i="96" s="1"/>
  <c r="BI72" i="96"/>
  <c r="BI79" i="96" s="1"/>
  <c r="BH72" i="96"/>
  <c r="BH79" i="96" s="1"/>
  <c r="BG72" i="96"/>
  <c r="BG79" i="96" s="1"/>
  <c r="BF72" i="96"/>
  <c r="BF79" i="96" s="1"/>
  <c r="BE72" i="96"/>
  <c r="BE79" i="96" s="1"/>
  <c r="BD72" i="96"/>
  <c r="BD79" i="96" s="1"/>
  <c r="BC72" i="96"/>
  <c r="BC79" i="96" s="1"/>
  <c r="BB72" i="96"/>
  <c r="BB79" i="96" s="1"/>
  <c r="BA72" i="96"/>
  <c r="BA79" i="96" s="1"/>
  <c r="AZ72" i="96"/>
  <c r="AZ79" i="96" s="1"/>
  <c r="AI72" i="96"/>
  <c r="AH72" i="96"/>
  <c r="BW71" i="96"/>
  <c r="BW78" i="96" s="1"/>
  <c r="BV71" i="96"/>
  <c r="BV78" i="96" s="1"/>
  <c r="BU71" i="96"/>
  <c r="BU78" i="96" s="1"/>
  <c r="BT71" i="96"/>
  <c r="BT78" i="96" s="1"/>
  <c r="BS71" i="96"/>
  <c r="BS78" i="96" s="1"/>
  <c r="BR71" i="96"/>
  <c r="BR78" i="96" s="1"/>
  <c r="BQ71" i="96"/>
  <c r="BQ78" i="96" s="1"/>
  <c r="BP71" i="96"/>
  <c r="BP78" i="96" s="1"/>
  <c r="BO71" i="96"/>
  <c r="BO78" i="96" s="1"/>
  <c r="BN71" i="96"/>
  <c r="BN78" i="96" s="1"/>
  <c r="BM71" i="96"/>
  <c r="BM78" i="96" s="1"/>
  <c r="BL71" i="96"/>
  <c r="BL78" i="96" s="1"/>
  <c r="BK71" i="96"/>
  <c r="BK78" i="96" s="1"/>
  <c r="BJ71" i="96"/>
  <c r="BJ78" i="96" s="1"/>
  <c r="BI71" i="96"/>
  <c r="BI78" i="96" s="1"/>
  <c r="BH71" i="96"/>
  <c r="BH78" i="96" s="1"/>
  <c r="BG71" i="96"/>
  <c r="BG78" i="96" s="1"/>
  <c r="BF71" i="96"/>
  <c r="BF78" i="96" s="1"/>
  <c r="BE71" i="96"/>
  <c r="BE78" i="96" s="1"/>
  <c r="BD71" i="96"/>
  <c r="BD78" i="96" s="1"/>
  <c r="BC71" i="96"/>
  <c r="BC78" i="96" s="1"/>
  <c r="BB71" i="96"/>
  <c r="BB78" i="96" s="1"/>
  <c r="BA71" i="96"/>
  <c r="BA78" i="96" s="1"/>
  <c r="AZ71" i="96"/>
  <c r="AZ78" i="96" s="1"/>
  <c r="AI71" i="96"/>
  <c r="AH71" i="96"/>
  <c r="BW70" i="96"/>
  <c r="BW77" i="96" s="1"/>
  <c r="BV70" i="96"/>
  <c r="BV77" i="96" s="1"/>
  <c r="BU70" i="96"/>
  <c r="BU77" i="96" s="1"/>
  <c r="BT70" i="96"/>
  <c r="BT77" i="96" s="1"/>
  <c r="BS70" i="96"/>
  <c r="BS77" i="96" s="1"/>
  <c r="BR70" i="96"/>
  <c r="BR77" i="96" s="1"/>
  <c r="BQ70" i="96"/>
  <c r="BQ77" i="96" s="1"/>
  <c r="BP70" i="96"/>
  <c r="BP77" i="96" s="1"/>
  <c r="BO70" i="96"/>
  <c r="BO77" i="96" s="1"/>
  <c r="BN70" i="96"/>
  <c r="BN77" i="96" s="1"/>
  <c r="BM70" i="96"/>
  <c r="BM77" i="96" s="1"/>
  <c r="BL70" i="96"/>
  <c r="BL77" i="96" s="1"/>
  <c r="BK70" i="96"/>
  <c r="BK77" i="96" s="1"/>
  <c r="BJ70" i="96"/>
  <c r="BJ77" i="96" s="1"/>
  <c r="BI70" i="96"/>
  <c r="BI77" i="96" s="1"/>
  <c r="BH70" i="96"/>
  <c r="BH77" i="96" s="1"/>
  <c r="BG70" i="96"/>
  <c r="BG77" i="96" s="1"/>
  <c r="BF70" i="96"/>
  <c r="BF77" i="96" s="1"/>
  <c r="BE70" i="96"/>
  <c r="BE77" i="96" s="1"/>
  <c r="BD70" i="96"/>
  <c r="BD77" i="96" s="1"/>
  <c r="BC70" i="96"/>
  <c r="BC77" i="96" s="1"/>
  <c r="BB70" i="96"/>
  <c r="BB77" i="96" s="1"/>
  <c r="BA70" i="96"/>
  <c r="AZ70" i="96"/>
  <c r="AZ77" i="96" s="1"/>
  <c r="AI70" i="96"/>
  <c r="AH70" i="96"/>
  <c r="BW69" i="96"/>
  <c r="BW76" i="96" s="1"/>
  <c r="BV69" i="96"/>
  <c r="BV76" i="96" s="1"/>
  <c r="BU69" i="96"/>
  <c r="BU76" i="96" s="1"/>
  <c r="BT69" i="96"/>
  <c r="BT76" i="96" s="1"/>
  <c r="BS69" i="96"/>
  <c r="BS76" i="96" s="1"/>
  <c r="BR69" i="96"/>
  <c r="BR76" i="96" s="1"/>
  <c r="BQ69" i="96"/>
  <c r="BQ76" i="96" s="1"/>
  <c r="BP69" i="96"/>
  <c r="BP76" i="96" s="1"/>
  <c r="BO69" i="96"/>
  <c r="BO76" i="96" s="1"/>
  <c r="BN69" i="96"/>
  <c r="BN76" i="96" s="1"/>
  <c r="BM69" i="96"/>
  <c r="BM76" i="96" s="1"/>
  <c r="BL69" i="96"/>
  <c r="BL76" i="96" s="1"/>
  <c r="BK69" i="96"/>
  <c r="BK76" i="96" s="1"/>
  <c r="BJ69" i="96"/>
  <c r="BJ76" i="96" s="1"/>
  <c r="BI69" i="96"/>
  <c r="BI76" i="96" s="1"/>
  <c r="BH69" i="96"/>
  <c r="BH76" i="96" s="1"/>
  <c r="BG69" i="96"/>
  <c r="BG76" i="96" s="1"/>
  <c r="BF69" i="96"/>
  <c r="BF76" i="96" s="1"/>
  <c r="BE69" i="96"/>
  <c r="BE76" i="96" s="1"/>
  <c r="BD69" i="96"/>
  <c r="BD76" i="96" s="1"/>
  <c r="BC69" i="96"/>
  <c r="BC76" i="96" s="1"/>
  <c r="BB69" i="96"/>
  <c r="BB76" i="96" s="1"/>
  <c r="BA69" i="96"/>
  <c r="BA76" i="96" s="1"/>
  <c r="AZ69" i="96"/>
  <c r="AZ76" i="96" s="1"/>
  <c r="AI69" i="96"/>
  <c r="AH69" i="96"/>
  <c r="BW68" i="96"/>
  <c r="BW75" i="96" s="1"/>
  <c r="BV68" i="96"/>
  <c r="BV75" i="96" s="1"/>
  <c r="BU68" i="96"/>
  <c r="BU75" i="96" s="1"/>
  <c r="BT68" i="96"/>
  <c r="BT75" i="96" s="1"/>
  <c r="BS68" i="96"/>
  <c r="BS75" i="96" s="1"/>
  <c r="BR68" i="96"/>
  <c r="BR75" i="96" s="1"/>
  <c r="BQ68" i="96"/>
  <c r="BQ75" i="96" s="1"/>
  <c r="BP68" i="96"/>
  <c r="BP75" i="96" s="1"/>
  <c r="BO68" i="96"/>
  <c r="BO75" i="96" s="1"/>
  <c r="BN68" i="96"/>
  <c r="BN75" i="96" s="1"/>
  <c r="BM68" i="96"/>
  <c r="BM75" i="96" s="1"/>
  <c r="BL68" i="96"/>
  <c r="BL75" i="96" s="1"/>
  <c r="BK68" i="96"/>
  <c r="BK75" i="96" s="1"/>
  <c r="BJ68" i="96"/>
  <c r="BJ75" i="96" s="1"/>
  <c r="BI68" i="96"/>
  <c r="BI75" i="96" s="1"/>
  <c r="BH68" i="96"/>
  <c r="BH75" i="96" s="1"/>
  <c r="BG68" i="96"/>
  <c r="BG75" i="96" s="1"/>
  <c r="BF68" i="96"/>
  <c r="BF75" i="96" s="1"/>
  <c r="BE68" i="96"/>
  <c r="BE75" i="96" s="1"/>
  <c r="BD68" i="96"/>
  <c r="BD75" i="96" s="1"/>
  <c r="BC68" i="96"/>
  <c r="BC75" i="96" s="1"/>
  <c r="BB68" i="96"/>
  <c r="BB75" i="96" s="1"/>
  <c r="BA68" i="96"/>
  <c r="BA75" i="96" s="1"/>
  <c r="AZ68" i="96"/>
  <c r="AZ75" i="96" s="1"/>
  <c r="AI68" i="96"/>
  <c r="AH68" i="96"/>
  <c r="AI67" i="96"/>
  <c r="AH67" i="96"/>
  <c r="AI66" i="96"/>
  <c r="AH66" i="96"/>
  <c r="AI65" i="96"/>
  <c r="AH65" i="96"/>
  <c r="AI64" i="96"/>
  <c r="AH64" i="96"/>
  <c r="AI63" i="96"/>
  <c r="AH63" i="96"/>
  <c r="AG62" i="96"/>
  <c r="AF62" i="96"/>
  <c r="AE62" i="96"/>
  <c r="AD62" i="96"/>
  <c r="AC62" i="96"/>
  <c r="AB62" i="96"/>
  <c r="AA62" i="96"/>
  <c r="Z62" i="96"/>
  <c r="Y62" i="96"/>
  <c r="V62" i="96"/>
  <c r="U62" i="96"/>
  <c r="T62" i="96"/>
  <c r="S62" i="96"/>
  <c r="R62" i="96"/>
  <c r="Q62" i="96"/>
  <c r="P62" i="96"/>
  <c r="AX17" i="96" s="1"/>
  <c r="O62" i="96"/>
  <c r="N62" i="96"/>
  <c r="AV17" i="96" s="1"/>
  <c r="M62" i="96"/>
  <c r="AU17" i="96" s="1"/>
  <c r="L62" i="96"/>
  <c r="K62" i="96"/>
  <c r="AT17" i="96" s="1"/>
  <c r="J62" i="96"/>
  <c r="I62" i="96"/>
  <c r="AS17" i="96" s="1"/>
  <c r="H62" i="96"/>
  <c r="G62" i="96"/>
  <c r="AR17" i="96" s="1"/>
  <c r="F62" i="96"/>
  <c r="AQ17" i="96" s="1"/>
  <c r="E62" i="96"/>
  <c r="AP17" i="96" s="1"/>
  <c r="D62" i="96"/>
  <c r="AO17" i="96" s="1"/>
  <c r="C62" i="96"/>
  <c r="B62" i="96"/>
  <c r="AI61" i="96"/>
  <c r="AH61" i="96"/>
  <c r="AI60" i="96"/>
  <c r="AH60" i="96"/>
  <c r="AI59" i="96"/>
  <c r="AH59" i="96"/>
  <c r="AG58" i="96"/>
  <c r="AF58" i="96"/>
  <c r="AE58" i="96"/>
  <c r="AD58" i="96"/>
  <c r="AC58" i="96"/>
  <c r="AB58" i="96"/>
  <c r="AA58" i="96"/>
  <c r="Z58" i="96"/>
  <c r="Y58" i="96"/>
  <c r="V58" i="96"/>
  <c r="U58" i="96"/>
  <c r="T58" i="96"/>
  <c r="S58" i="96"/>
  <c r="R58" i="96"/>
  <c r="Q58" i="96"/>
  <c r="P58" i="96"/>
  <c r="AX16" i="96" s="1"/>
  <c r="O58" i="96"/>
  <c r="N58" i="96"/>
  <c r="AV16" i="96" s="1"/>
  <c r="M58" i="96"/>
  <c r="L58" i="96"/>
  <c r="K58" i="96"/>
  <c r="J58" i="96"/>
  <c r="I58" i="96"/>
  <c r="H58" i="96"/>
  <c r="G58" i="96"/>
  <c r="F58" i="96"/>
  <c r="AQ16" i="96" s="1"/>
  <c r="E58" i="96"/>
  <c r="AP16" i="96" s="1"/>
  <c r="D58" i="96"/>
  <c r="AO16" i="96" s="1"/>
  <c r="C58" i="96"/>
  <c r="AN16" i="96" s="1"/>
  <c r="B58" i="96"/>
  <c r="AI57" i="96"/>
  <c r="AH57" i="96"/>
  <c r="AI56" i="96"/>
  <c r="AH56" i="96"/>
  <c r="AI55" i="96"/>
  <c r="AH55" i="96"/>
  <c r="AI54" i="96"/>
  <c r="AH54" i="96"/>
  <c r="AI53" i="96"/>
  <c r="AH53" i="96"/>
  <c r="AI52" i="96"/>
  <c r="AH52" i="96"/>
  <c r="AI51" i="96"/>
  <c r="AH51" i="96"/>
  <c r="AI50" i="96"/>
  <c r="AH50" i="96"/>
  <c r="AI49" i="96"/>
  <c r="AH49" i="96"/>
  <c r="AI48" i="96"/>
  <c r="AH48" i="96"/>
  <c r="AI47" i="96"/>
  <c r="AH47" i="96"/>
  <c r="AI46" i="96"/>
  <c r="AH46" i="96"/>
  <c r="AI45" i="96"/>
  <c r="AH45" i="96"/>
  <c r="AI44" i="96"/>
  <c r="AH44" i="96"/>
  <c r="AI43" i="96"/>
  <c r="AH43" i="96"/>
  <c r="AI42" i="96"/>
  <c r="AH42" i="96"/>
  <c r="AI41" i="96"/>
  <c r="AH41" i="96"/>
  <c r="AI40" i="96"/>
  <c r="AH40" i="96"/>
  <c r="AI39" i="96"/>
  <c r="AH39" i="96"/>
  <c r="AI38" i="96"/>
  <c r="AH38" i="96"/>
  <c r="AI37" i="96"/>
  <c r="AH37" i="96"/>
  <c r="AI36" i="96"/>
  <c r="AH36" i="96"/>
  <c r="AI35" i="96"/>
  <c r="AH35" i="96"/>
  <c r="AI34" i="96"/>
  <c r="AH34" i="96"/>
  <c r="AI33" i="96"/>
  <c r="AH33" i="96"/>
  <c r="AI32" i="96"/>
  <c r="AH32" i="96"/>
  <c r="AI31" i="96"/>
  <c r="AH31" i="96"/>
  <c r="AI30" i="96"/>
  <c r="AH30" i="96"/>
  <c r="AI29" i="96"/>
  <c r="AH29" i="96"/>
  <c r="AI28" i="96"/>
  <c r="AH28" i="96"/>
  <c r="AI27" i="96"/>
  <c r="AH27" i="96"/>
  <c r="AI26" i="96"/>
  <c r="AH26" i="96"/>
  <c r="AI25" i="96"/>
  <c r="AH25" i="96"/>
  <c r="AI24" i="96"/>
  <c r="AH24" i="96"/>
  <c r="AI23" i="96"/>
  <c r="AH23" i="96"/>
  <c r="AI22" i="96"/>
  <c r="AH22" i="96"/>
  <c r="AX21" i="96"/>
  <c r="AW21" i="96"/>
  <c r="AV21" i="96"/>
  <c r="AU21" i="96"/>
  <c r="AT21" i="96"/>
  <c r="AS21" i="96"/>
  <c r="AR21" i="96"/>
  <c r="AQ21" i="96"/>
  <c r="AP21" i="96"/>
  <c r="AO21" i="96"/>
  <c r="AN21" i="96"/>
  <c r="AM21" i="96"/>
  <c r="AI21" i="96"/>
  <c r="AH21" i="96"/>
  <c r="AX20" i="96"/>
  <c r="AV20" i="96"/>
  <c r="AT20" i="96"/>
  <c r="AS20" i="96"/>
  <c r="AO20" i="96"/>
  <c r="AN20" i="96"/>
  <c r="AM20" i="96"/>
  <c r="AI20" i="96"/>
  <c r="AH20" i="96"/>
  <c r="AW19" i="96"/>
  <c r="AI19" i="96"/>
  <c r="AH19" i="96"/>
  <c r="AT18" i="96"/>
  <c r="AS18" i="96"/>
  <c r="AP18" i="96"/>
  <c r="AI18" i="96"/>
  <c r="AH18" i="96"/>
  <c r="AW17" i="96"/>
  <c r="AN17" i="96"/>
  <c r="AM17" i="96"/>
  <c r="AI17" i="96"/>
  <c r="AH17" i="96"/>
  <c r="AW16" i="96"/>
  <c r="AU16" i="96"/>
  <c r="AR16" i="96"/>
  <c r="AM16" i="96"/>
  <c r="AI16" i="96"/>
  <c r="AH16" i="96"/>
  <c r="AI15" i="96"/>
  <c r="AH15" i="96"/>
  <c r="AI14" i="96"/>
  <c r="AH14" i="96"/>
  <c r="AI13" i="96"/>
  <c r="AH13" i="96"/>
  <c r="AL12" i="96"/>
  <c r="AI12" i="96"/>
  <c r="AH12" i="96"/>
  <c r="AI11" i="96"/>
  <c r="AH11" i="96"/>
  <c r="AF5" i="96"/>
  <c r="AA5" i="96"/>
  <c r="W5" i="96"/>
  <c r="V5" i="96"/>
  <c r="R5" i="96"/>
  <c r="Q5" i="96"/>
  <c r="N5" i="96"/>
  <c r="K5" i="96"/>
  <c r="AG4" i="96"/>
  <c r="K4" i="96"/>
  <c r="E4" i="96"/>
  <c r="H4" i="96" s="1"/>
  <c r="B4" i="96"/>
  <c r="D258" i="96" s="1"/>
  <c r="AG2" i="96"/>
  <c r="AF57" i="95"/>
  <c r="AE123" i="95"/>
  <c r="AE57" i="95"/>
  <c r="AD57" i="95"/>
  <c r="AC123" i="95"/>
  <c r="AC85" i="95"/>
  <c r="AC57" i="95"/>
  <c r="AB123" i="95"/>
  <c r="AB57" i="95"/>
  <c r="AA123" i="95"/>
  <c r="AA57" i="95"/>
  <c r="AA58" i="95"/>
  <c r="AA62" i="95"/>
  <c r="AA76" i="95"/>
  <c r="AA80" i="95"/>
  <c r="AA92" i="95"/>
  <c r="AA101" i="95"/>
  <c r="AA102" i="95"/>
  <c r="AA103" i="95"/>
  <c r="AA104" i="95"/>
  <c r="AA105" i="95"/>
  <c r="AA118" i="95"/>
  <c r="Z123" i="95"/>
  <c r="Z118" i="95"/>
  <c r="Z105" i="95"/>
  <c r="Z104" i="95"/>
  <c r="Z103" i="95"/>
  <c r="Z102" i="95"/>
  <c r="Z101" i="95"/>
  <c r="Z107" i="95" s="1"/>
  <c r="Z92" i="95"/>
  <c r="Z80" i="95"/>
  <c r="Z76" i="95"/>
  <c r="Z62" i="95"/>
  <c r="Z58" i="95"/>
  <c r="Z57" i="95"/>
  <c r="Y123" i="95"/>
  <c r="Y57" i="95"/>
  <c r="Y58" i="95"/>
  <c r="Y62" i="95"/>
  <c r="Y76" i="95"/>
  <c r="Y80" i="95"/>
  <c r="Y92" i="95"/>
  <c r="Y101" i="95"/>
  <c r="Y102" i="95"/>
  <c r="Y103" i="95"/>
  <c r="Y104" i="95"/>
  <c r="Y105" i="95"/>
  <c r="Y118" i="95"/>
  <c r="X123" i="95"/>
  <c r="X57" i="95"/>
  <c r="X58" i="95"/>
  <c r="X62" i="95"/>
  <c r="X76" i="95"/>
  <c r="X80" i="95"/>
  <c r="X92" i="95"/>
  <c r="X101" i="95"/>
  <c r="X102" i="95"/>
  <c r="X103" i="95"/>
  <c r="X104" i="95"/>
  <c r="X105" i="95"/>
  <c r="X118" i="95"/>
  <c r="W123" i="95"/>
  <c r="W57" i="95"/>
  <c r="W58" i="95"/>
  <c r="W62" i="95"/>
  <c r="W76" i="95"/>
  <c r="W80" i="95"/>
  <c r="W92" i="95"/>
  <c r="W101" i="95"/>
  <c r="W102" i="95"/>
  <c r="W103" i="95"/>
  <c r="W104" i="95"/>
  <c r="W105" i="95"/>
  <c r="W118" i="95"/>
  <c r="V123" i="95"/>
  <c r="V57" i="95"/>
  <c r="V58" i="95"/>
  <c r="V62" i="95"/>
  <c r="V76" i="95"/>
  <c r="V80" i="95"/>
  <c r="V92" i="95"/>
  <c r="V101" i="95"/>
  <c r="V102" i="95"/>
  <c r="V103" i="95"/>
  <c r="V104" i="95"/>
  <c r="V105" i="95"/>
  <c r="V118" i="95"/>
  <c r="U123" i="95"/>
  <c r="U57" i="95"/>
  <c r="T123" i="95"/>
  <c r="T118" i="95" s="1"/>
  <c r="T57" i="95"/>
  <c r="T58" i="95"/>
  <c r="T62" i="95"/>
  <c r="T76" i="95"/>
  <c r="T80" i="95"/>
  <c r="T92" i="95"/>
  <c r="T101" i="95"/>
  <c r="T107" i="95" s="1"/>
  <c r="T102" i="95"/>
  <c r="T103" i="95"/>
  <c r="T104" i="95"/>
  <c r="T105" i="95"/>
  <c r="S123" i="95"/>
  <c r="S57" i="95"/>
  <c r="S58" i="95"/>
  <c r="S62" i="95"/>
  <c r="S76" i="95"/>
  <c r="S80" i="95"/>
  <c r="S92" i="95"/>
  <c r="S101" i="95"/>
  <c r="S102" i="95"/>
  <c r="S103" i="95"/>
  <c r="S104" i="95"/>
  <c r="S105" i="95"/>
  <c r="S118" i="95"/>
  <c r="R123" i="95"/>
  <c r="R121" i="95"/>
  <c r="R57" i="95"/>
  <c r="Q123" i="95"/>
  <c r="Q121" i="95"/>
  <c r="Q57" i="95"/>
  <c r="U107" i="96" l="1"/>
  <c r="Y97" i="96"/>
  <c r="Y99" i="96" s="1"/>
  <c r="AF107" i="96"/>
  <c r="AF108" i="96" s="1"/>
  <c r="Q107" i="96"/>
  <c r="Q108" i="96" s="1"/>
  <c r="AX19" i="96"/>
  <c r="S97" i="96"/>
  <c r="S99" i="96" s="1"/>
  <c r="AA97" i="96"/>
  <c r="AA99" i="96" s="1"/>
  <c r="S107" i="96"/>
  <c r="S108" i="96" s="1"/>
  <c r="AA107" i="96"/>
  <c r="AC107" i="96"/>
  <c r="T107" i="96"/>
  <c r="T108" i="96" s="1"/>
  <c r="AB107" i="96"/>
  <c r="AB108" i="96" s="1"/>
  <c r="AG6" i="96"/>
  <c r="AD97" i="96"/>
  <c r="AD99" i="96" s="1"/>
  <c r="Y107" i="96"/>
  <c r="Y108" i="96" s="1"/>
  <c r="AE97" i="96"/>
  <c r="AE99" i="96" s="1"/>
  <c r="Q97" i="96"/>
  <c r="Q99" i="96" s="1"/>
  <c r="Q100" i="96" s="1"/>
  <c r="Q7" i="96" s="1"/>
  <c r="AE107" i="96"/>
  <c r="AE108" i="96" s="1"/>
  <c r="AI123" i="96"/>
  <c r="X7" i="96"/>
  <c r="AF97" i="96"/>
  <c r="AF99" i="96" s="1"/>
  <c r="AF100" i="96" s="1"/>
  <c r="AF7" i="96" s="1"/>
  <c r="P107" i="96"/>
  <c r="Y100" i="96"/>
  <c r="Y7" i="96" s="1"/>
  <c r="R97" i="96"/>
  <c r="R99" i="96" s="1"/>
  <c r="Z97" i="96"/>
  <c r="Z99" i="96" s="1"/>
  <c r="AX22" i="96"/>
  <c r="P97" i="96"/>
  <c r="P99" i="96" s="1"/>
  <c r="O107" i="96"/>
  <c r="O97" i="96"/>
  <c r="O99" i="96" s="1"/>
  <c r="M107" i="96"/>
  <c r="AU23" i="96" s="1"/>
  <c r="L5" i="96"/>
  <c r="L107" i="96"/>
  <c r="L108" i="96" s="1"/>
  <c r="AT19" i="96"/>
  <c r="K107" i="96"/>
  <c r="AT23" i="96" s="1"/>
  <c r="K97" i="96"/>
  <c r="K99" i="96" s="1"/>
  <c r="K100" i="96" s="1"/>
  <c r="K7" i="96" s="1"/>
  <c r="J107" i="96"/>
  <c r="J108" i="96" s="1"/>
  <c r="AS19" i="96"/>
  <c r="I107" i="96"/>
  <c r="AS23" i="96" s="1"/>
  <c r="H107" i="96"/>
  <c r="H108" i="96" s="1"/>
  <c r="H97" i="96"/>
  <c r="H99" i="96" s="1"/>
  <c r="G107" i="96"/>
  <c r="G108" i="96" s="1"/>
  <c r="AR19" i="96"/>
  <c r="E107" i="96"/>
  <c r="AP23" i="96" s="1"/>
  <c r="D5" i="96"/>
  <c r="AH105" i="96"/>
  <c r="G97" i="96"/>
  <c r="G99" i="96" s="1"/>
  <c r="D107" i="96"/>
  <c r="AO23" i="96" s="1"/>
  <c r="AI104" i="96"/>
  <c r="AI105" i="96"/>
  <c r="C5" i="96"/>
  <c r="B5" i="96"/>
  <c r="BG84" i="96" a="1"/>
  <c r="BK101" i="96" s="1"/>
  <c r="C97" i="96"/>
  <c r="C99" i="96" s="1"/>
  <c r="B107" i="96"/>
  <c r="B108" i="96" s="1"/>
  <c r="AH104" i="96"/>
  <c r="AL13" i="96"/>
  <c r="AN22" i="96"/>
  <c r="AI80" i="96"/>
  <c r="AQ19" i="96"/>
  <c r="AQ22" i="96" s="1"/>
  <c r="E5" i="96"/>
  <c r="AV19" i="96"/>
  <c r="AV22" i="96" s="1"/>
  <c r="M5" i="96"/>
  <c r="U5" i="96"/>
  <c r="AC5" i="96"/>
  <c r="AP22" i="96"/>
  <c r="AR22" i="96"/>
  <c r="AS16" i="96"/>
  <c r="AS22" i="96" s="1"/>
  <c r="I97" i="96"/>
  <c r="I99" i="96" s="1"/>
  <c r="AG97" i="96"/>
  <c r="AH62" i="96"/>
  <c r="AI62" i="96"/>
  <c r="BA77" i="96"/>
  <c r="F107" i="96"/>
  <c r="AQ23" i="96" s="1"/>
  <c r="N107" i="96"/>
  <c r="AV23" i="96" s="1"/>
  <c r="V107" i="96"/>
  <c r="V108" i="96" s="1"/>
  <c r="AD107" i="96"/>
  <c r="AD100" i="96" s="1"/>
  <c r="AD7" i="96" s="1"/>
  <c r="B97" i="96"/>
  <c r="J97" i="96"/>
  <c r="J99" i="96" s="1"/>
  <c r="AI58" i="96"/>
  <c r="AW23" i="96"/>
  <c r="O108" i="96"/>
  <c r="AI103" i="96"/>
  <c r="AI92" i="96"/>
  <c r="AI102" i="96"/>
  <c r="AH103" i="96"/>
  <c r="P5" i="96"/>
  <c r="X5" i="96"/>
  <c r="AT16" i="96"/>
  <c r="AT22" i="96" s="1"/>
  <c r="AT24" i="96" s="1"/>
  <c r="D97" i="96"/>
  <c r="D99" i="96" s="1"/>
  <c r="L97" i="96"/>
  <c r="L99" i="96" s="1"/>
  <c r="T97" i="96"/>
  <c r="T99" i="96" s="1"/>
  <c r="T100" i="96" s="1"/>
  <c r="T7" i="96" s="1"/>
  <c r="AB97" i="96"/>
  <c r="AB99" i="96" s="1"/>
  <c r="AB100" i="96" s="1"/>
  <c r="AB7" i="96" s="1"/>
  <c r="AU22" i="96"/>
  <c r="AU24" i="96" s="1"/>
  <c r="E97" i="96"/>
  <c r="E99" i="96" s="1"/>
  <c r="E100" i="96" s="1"/>
  <c r="E7" i="96" s="1"/>
  <c r="M97" i="96"/>
  <c r="M99" i="96" s="1"/>
  <c r="U97" i="96"/>
  <c r="U99" i="96" s="1"/>
  <c r="U100" i="96" s="1"/>
  <c r="U7" i="96" s="1"/>
  <c r="AC97" i="96"/>
  <c r="AC99" i="96" s="1"/>
  <c r="AC100" i="96" s="1"/>
  <c r="AC7" i="96" s="1"/>
  <c r="AH80" i="96"/>
  <c r="AA108" i="96"/>
  <c r="AI101" i="96"/>
  <c r="R107" i="96"/>
  <c r="R100" i="96" s="1"/>
  <c r="R7" i="96" s="1"/>
  <c r="Z107" i="96"/>
  <c r="Z100" i="96" s="1"/>
  <c r="Z7" i="96" s="1"/>
  <c r="AH102" i="96"/>
  <c r="C107" i="96"/>
  <c r="N97" i="96"/>
  <c r="N99" i="96" s="1"/>
  <c r="V97" i="96"/>
  <c r="V99" i="96" s="1"/>
  <c r="F97" i="96"/>
  <c r="F99" i="96" s="1"/>
  <c r="AW22" i="96"/>
  <c r="AI76" i="96"/>
  <c r="AM18" i="96"/>
  <c r="AM22" i="96" s="1"/>
  <c r="AH76" i="96"/>
  <c r="D252" i="96"/>
  <c r="AH92" i="96"/>
  <c r="AG99" i="96"/>
  <c r="E246" i="96"/>
  <c r="AO19" i="96"/>
  <c r="AO22" i="96" s="1"/>
  <c r="AH101" i="96"/>
  <c r="AH58" i="96"/>
  <c r="U108" i="96"/>
  <c r="AC108" i="96"/>
  <c r="D118" i="96"/>
  <c r="Z97" i="95"/>
  <c r="Z99" i="95" s="1"/>
  <c r="AA97" i="95"/>
  <c r="AA99" i="95" s="1"/>
  <c r="AA107" i="95"/>
  <c r="AA108" i="95" s="1"/>
  <c r="Z108" i="95"/>
  <c r="Z100" i="95"/>
  <c r="Y97" i="95"/>
  <c r="Y99" i="95" s="1"/>
  <c r="Y107" i="95"/>
  <c r="Y108" i="95" s="1"/>
  <c r="X107" i="95"/>
  <c r="X108" i="95" s="1"/>
  <c r="X97" i="95"/>
  <c r="X99" i="95" s="1"/>
  <c r="X100" i="95" s="1"/>
  <c r="W107" i="95"/>
  <c r="W108" i="95" s="1"/>
  <c r="W97" i="95"/>
  <c r="W99" i="95" s="1"/>
  <c r="V97" i="95"/>
  <c r="V99" i="95" s="1"/>
  <c r="V107" i="95"/>
  <c r="V108" i="95" s="1"/>
  <c r="T97" i="95"/>
  <c r="T99" i="95" s="1"/>
  <c r="T100" i="95" s="1"/>
  <c r="T108" i="95"/>
  <c r="S107" i="95"/>
  <c r="S97" i="95"/>
  <c r="S99" i="95" s="1"/>
  <c r="S100" i="95" s="1"/>
  <c r="S108" i="95"/>
  <c r="AE100" i="96" l="1"/>
  <c r="AE7" i="96" s="1"/>
  <c r="O100" i="96"/>
  <c r="O7" i="96" s="1"/>
  <c r="V100" i="96"/>
  <c r="V7" i="96" s="1"/>
  <c r="J100" i="96"/>
  <c r="J7" i="96" s="1"/>
  <c r="Z108" i="96"/>
  <c r="I100" i="96"/>
  <c r="I7" i="96" s="1"/>
  <c r="P108" i="96"/>
  <c r="AX23" i="96"/>
  <c r="W7" i="96"/>
  <c r="L100" i="96"/>
  <c r="L7" i="96" s="1"/>
  <c r="D100" i="96"/>
  <c r="D7" i="96" s="1"/>
  <c r="AP24" i="96"/>
  <c r="P100" i="96"/>
  <c r="P7" i="96" s="1"/>
  <c r="AA100" i="96"/>
  <c r="AA7" i="96" s="1"/>
  <c r="E108" i="96"/>
  <c r="AX24" i="96"/>
  <c r="S100" i="96"/>
  <c r="S7" i="96" s="1"/>
  <c r="AW24" i="96"/>
  <c r="AV24" i="96"/>
  <c r="M108" i="96"/>
  <c r="M100" i="96"/>
  <c r="M7" i="96" s="1"/>
  <c r="K108" i="96"/>
  <c r="AS24" i="96"/>
  <c r="I108" i="96"/>
  <c r="H100" i="96"/>
  <c r="H7" i="96" s="1"/>
  <c r="G100" i="96"/>
  <c r="G7" i="96" s="1"/>
  <c r="AR23" i="96"/>
  <c r="AR24" i="96" s="1"/>
  <c r="AQ24" i="96"/>
  <c r="F100" i="96"/>
  <c r="F7" i="96" s="1"/>
  <c r="AO24" i="96"/>
  <c r="D108" i="96"/>
  <c r="BJ85" i="96"/>
  <c r="BG84" i="96"/>
  <c r="BH86" i="96"/>
  <c r="BG100" i="96"/>
  <c r="BL103" i="96"/>
  <c r="BI101" i="96"/>
  <c r="BJ101" i="96"/>
  <c r="BK105" i="96"/>
  <c r="BJ95" i="96"/>
  <c r="BK95" i="96"/>
  <c r="BL86" i="96"/>
  <c r="BH101" i="96"/>
  <c r="BL89" i="96"/>
  <c r="BJ100" i="96"/>
  <c r="BI87" i="96"/>
  <c r="BG98" i="96"/>
  <c r="BI90" i="96"/>
  <c r="BK90" i="96"/>
  <c r="BG89" i="96"/>
  <c r="BL90" i="96"/>
  <c r="BK86" i="96"/>
  <c r="BI84" i="96"/>
  <c r="BG85" i="96"/>
  <c r="BG95" i="96"/>
  <c r="BL84" i="96"/>
  <c r="BL98" i="96"/>
  <c r="BG99" i="96"/>
  <c r="BJ90" i="96"/>
  <c r="BL104" i="96"/>
  <c r="BJ92" i="96"/>
  <c r="BH103" i="96"/>
  <c r="BG90" i="96"/>
  <c r="BK100" i="96"/>
  <c r="BL92" i="96"/>
  <c r="BG93" i="96"/>
  <c r="BG91" i="96"/>
  <c r="BH93" i="96"/>
  <c r="BH89" i="96"/>
  <c r="BG87" i="96"/>
  <c r="BJ87" i="96"/>
  <c r="BG97" i="96"/>
  <c r="BJ86" i="96"/>
  <c r="BL100" i="96"/>
  <c r="BG101" i="96"/>
  <c r="BH92" i="96"/>
  <c r="BJ106" i="96"/>
  <c r="BL93" i="96"/>
  <c r="BJ104" i="96"/>
  <c r="BI91" i="96"/>
  <c r="BG102" i="96"/>
  <c r="BK94" i="96"/>
  <c r="BI85" i="96"/>
  <c r="BH96" i="96"/>
  <c r="BJ102" i="96"/>
  <c r="BH94" i="96"/>
  <c r="BJ84" i="96"/>
  <c r="BL105" i="96"/>
  <c r="BI103" i="96"/>
  <c r="BH95" i="96"/>
  <c r="BJ98" i="96"/>
  <c r="BK99" i="96"/>
  <c r="BI96" i="96"/>
  <c r="BL99" i="96"/>
  <c r="BK93" i="96"/>
  <c r="BK91" i="96"/>
  <c r="BG92" i="96"/>
  <c r="BI100" i="96"/>
  <c r="BH90" i="96"/>
  <c r="BH104" i="96"/>
  <c r="BI104" i="96"/>
  <c r="BL95" i="96"/>
  <c r="BL85" i="96"/>
  <c r="BJ96" i="96"/>
  <c r="BH107" i="96"/>
  <c r="BG94" i="96"/>
  <c r="BK104" i="96"/>
  <c r="BI92" i="96"/>
  <c r="BK89" i="96"/>
  <c r="BL94" i="96"/>
  <c r="BG96" i="96"/>
  <c r="BI93" i="96"/>
  <c r="BJ91" i="96"/>
  <c r="BI89" i="96"/>
  <c r="BJ89" i="96"/>
  <c r="BK98" i="96"/>
  <c r="BH88" i="96"/>
  <c r="BK92" i="96"/>
  <c r="BH102" i="96"/>
  <c r="BG103" i="96"/>
  <c r="BK103" i="96"/>
  <c r="BJ103" i="96"/>
  <c r="BL96" i="96"/>
  <c r="BI94" i="96"/>
  <c r="BJ94" i="96"/>
  <c r="BI102" i="96"/>
  <c r="BL91" i="96"/>
  <c r="BH106" i="96"/>
  <c r="BI106" i="96"/>
  <c r="BJ97" i="96"/>
  <c r="BH87" i="96"/>
  <c r="BL97" i="96"/>
  <c r="BK84" i="96"/>
  <c r="BI95" i="96"/>
  <c r="BG106" i="96"/>
  <c r="BK102" i="96"/>
  <c r="BI105" i="96"/>
  <c r="BJ105" i="96"/>
  <c r="BK106" i="96"/>
  <c r="BG107" i="96"/>
  <c r="BL106" i="96"/>
  <c r="BH100" i="96"/>
  <c r="BK97" i="96"/>
  <c r="BH98" i="96"/>
  <c r="BG104" i="96"/>
  <c r="BJ93" i="96"/>
  <c r="BL107" i="96"/>
  <c r="BH85" i="96"/>
  <c r="BJ99" i="96"/>
  <c r="BJ88" i="96"/>
  <c r="BH99" i="96"/>
  <c r="BG86" i="96"/>
  <c r="BK96" i="96"/>
  <c r="BI107" i="96"/>
  <c r="BK85" i="96"/>
  <c r="BI98" i="96"/>
  <c r="BL87" i="96"/>
  <c r="BG88" i="96"/>
  <c r="BI86" i="96"/>
  <c r="BI88" i="96"/>
  <c r="BH84" i="96"/>
  <c r="BJ107" i="96"/>
  <c r="BG105" i="96"/>
  <c r="BH105" i="96"/>
  <c r="BK107" i="96"/>
  <c r="BH97" i="96"/>
  <c r="BI97" i="96"/>
  <c r="BL88" i="96"/>
  <c r="BL102" i="96"/>
  <c r="BH91" i="96"/>
  <c r="BL101" i="96"/>
  <c r="BK88" i="96"/>
  <c r="BI99" i="96"/>
  <c r="BK87" i="96"/>
  <c r="AM23" i="96"/>
  <c r="AT8" i="96"/>
  <c r="AM24" i="96"/>
  <c r="AH97" i="96"/>
  <c r="B99" i="96"/>
  <c r="AI97" i="96"/>
  <c r="R108" i="96"/>
  <c r="N100" i="96"/>
  <c r="N7" i="96" s="1"/>
  <c r="C256" i="96"/>
  <c r="N108" i="96"/>
  <c r="C108" i="96"/>
  <c r="AN23" i="96"/>
  <c r="AN24" i="96" s="1"/>
  <c r="C100" i="96"/>
  <c r="C7" i="96" s="1"/>
  <c r="E252" i="96"/>
  <c r="F246" i="96"/>
  <c r="E118" i="96"/>
  <c r="B256" i="96"/>
  <c r="AH107" i="96"/>
  <c r="AD108" i="96"/>
  <c r="F108" i="96"/>
  <c r="AI107" i="96"/>
  <c r="AA100" i="95"/>
  <c r="Y100" i="95"/>
  <c r="W100" i="95"/>
  <c r="V100" i="95"/>
  <c r="P123" i="95"/>
  <c r="P121" i="95"/>
  <c r="P57" i="95"/>
  <c r="O123" i="95"/>
  <c r="O121" i="95"/>
  <c r="O57" i="95"/>
  <c r="N123" i="95"/>
  <c r="N121" i="95"/>
  <c r="N57" i="95"/>
  <c r="K6" i="96" l="1"/>
  <c r="AI108" i="96"/>
  <c r="B100" i="96"/>
  <c r="AI99" i="96"/>
  <c r="AH99" i="96"/>
  <c r="AT9" i="96"/>
  <c r="AH108" i="96"/>
  <c r="G246" i="96"/>
  <c r="F118" i="96"/>
  <c r="F252" i="96"/>
  <c r="H246" i="96" l="1"/>
  <c r="G118" i="96"/>
  <c r="G252" i="96"/>
  <c r="AI100" i="96"/>
  <c r="AH100" i="96"/>
  <c r="B7" i="96"/>
  <c r="A7" i="96" s="1"/>
  <c r="I246" i="96" l="1"/>
  <c r="H118" i="96"/>
  <c r="H252" i="96"/>
  <c r="J246" i="96" l="1"/>
  <c r="I118" i="96"/>
  <c r="I252" i="96"/>
  <c r="J252" i="96" l="1"/>
  <c r="J118" i="96"/>
  <c r="K246" i="96"/>
  <c r="K252" i="96" l="1"/>
  <c r="K118" i="96"/>
  <c r="L246" i="96"/>
  <c r="L252" i="96" l="1"/>
  <c r="L118" i="96"/>
  <c r="M246" i="96"/>
  <c r="M118" i="96" l="1"/>
  <c r="M252" i="96"/>
  <c r="N246" i="96"/>
  <c r="O246" i="96" l="1"/>
  <c r="N118" i="96"/>
  <c r="N252" i="96"/>
  <c r="P246" i="96" l="1"/>
  <c r="O252" i="96"/>
  <c r="O118" i="96"/>
  <c r="Q246" i="96" l="1"/>
  <c r="P252" i="96"/>
  <c r="R246" i="96" l="1"/>
  <c r="Q252" i="96"/>
  <c r="Q118" i="96"/>
  <c r="R252" i="96" l="1"/>
  <c r="S246" i="96"/>
  <c r="R118" i="96"/>
  <c r="S252" i="96" l="1"/>
  <c r="S118" i="96"/>
  <c r="T246" i="96"/>
  <c r="T252" i="96" l="1"/>
  <c r="T118" i="96"/>
  <c r="U246" i="96"/>
  <c r="V246" i="96" l="1"/>
  <c r="U118" i="96"/>
  <c r="U252" i="96"/>
  <c r="W246" i="96" l="1"/>
  <c r="V118" i="96"/>
  <c r="V252" i="96"/>
  <c r="X246" i="96" l="1"/>
  <c r="W252" i="96"/>
  <c r="Y246" i="96" l="1"/>
  <c r="X252" i="96"/>
  <c r="Y252" i="96" l="1"/>
  <c r="Z246" i="96"/>
  <c r="Z252" i="96" l="1"/>
  <c r="AA246" i="96"/>
  <c r="AA252" i="96" l="1"/>
  <c r="AA118" i="96"/>
  <c r="AB246" i="96"/>
  <c r="AB252" i="96" l="1"/>
  <c r="AB118" i="96"/>
  <c r="AC246" i="96"/>
  <c r="AC118" i="96" l="1"/>
  <c r="AC252" i="96"/>
  <c r="AD246" i="96"/>
  <c r="AE246" i="96" l="1"/>
  <c r="AD252" i="96"/>
  <c r="AD118" i="96"/>
  <c r="AF246" i="96" l="1"/>
  <c r="AE252" i="96"/>
  <c r="AE118" i="96"/>
  <c r="AF252" i="96" l="1"/>
  <c r="AF118" i="96"/>
  <c r="B246" i="96"/>
  <c r="B252" i="96" l="1"/>
  <c r="B118" i="96"/>
  <c r="AI118" i="96" l="1"/>
  <c r="AH118" i="96"/>
  <c r="M123" i="95" l="1"/>
  <c r="M121" i="95"/>
  <c r="D123" i="95"/>
  <c r="C123" i="95"/>
  <c r="C118" i="95" s="1"/>
  <c r="B123" i="95"/>
  <c r="AG252" i="95"/>
  <c r="C252" i="95"/>
  <c r="D251" i="95"/>
  <c r="E251" i="95" s="1"/>
  <c r="F251" i="95" s="1"/>
  <c r="G251" i="95" s="1"/>
  <c r="H251" i="95" s="1"/>
  <c r="I251" i="95" s="1"/>
  <c r="J251" i="95" s="1"/>
  <c r="K251" i="95" s="1"/>
  <c r="L251" i="95" s="1"/>
  <c r="M251" i="95" s="1"/>
  <c r="N251" i="95" s="1"/>
  <c r="O251" i="95" s="1"/>
  <c r="P251" i="95" s="1"/>
  <c r="Q251" i="95" s="1"/>
  <c r="R251" i="95" s="1"/>
  <c r="S251" i="95" s="1"/>
  <c r="T251" i="95" s="1"/>
  <c r="U251" i="95" s="1"/>
  <c r="V251" i="95" s="1"/>
  <c r="W251" i="95" s="1"/>
  <c r="X251" i="95" s="1"/>
  <c r="Y251" i="95" s="1"/>
  <c r="Z251" i="95" s="1"/>
  <c r="AA251" i="95" s="1"/>
  <c r="AB251" i="95" s="1"/>
  <c r="AC251" i="95" s="1"/>
  <c r="AD251" i="95" s="1"/>
  <c r="AE251" i="95" s="1"/>
  <c r="AF251" i="95" s="1"/>
  <c r="B251" i="95" s="1"/>
  <c r="D250" i="95"/>
  <c r="E250" i="95" s="1"/>
  <c r="F250" i="95" s="1"/>
  <c r="G250" i="95" s="1"/>
  <c r="H250" i="95" s="1"/>
  <c r="I250" i="95" s="1"/>
  <c r="J250" i="95" s="1"/>
  <c r="K250" i="95" s="1"/>
  <c r="L250" i="95" s="1"/>
  <c r="M250" i="95" s="1"/>
  <c r="N250" i="95" s="1"/>
  <c r="O250" i="95" s="1"/>
  <c r="P250" i="95" s="1"/>
  <c r="Q250" i="95" s="1"/>
  <c r="R250" i="95" s="1"/>
  <c r="S250" i="95" s="1"/>
  <c r="T250" i="95" s="1"/>
  <c r="U250" i="95" s="1"/>
  <c r="V250" i="95" s="1"/>
  <c r="W250" i="95" s="1"/>
  <c r="X250" i="95" s="1"/>
  <c r="Y250" i="95" s="1"/>
  <c r="Z250" i="95" s="1"/>
  <c r="AA250" i="95" s="1"/>
  <c r="AB250" i="95" s="1"/>
  <c r="AC250" i="95" s="1"/>
  <c r="AD250" i="95" s="1"/>
  <c r="AE250" i="95" s="1"/>
  <c r="AF250" i="95" s="1"/>
  <c r="B250" i="95" s="1"/>
  <c r="D249" i="95"/>
  <c r="E249" i="95" s="1"/>
  <c r="F249" i="95" s="1"/>
  <c r="G249" i="95" s="1"/>
  <c r="H249" i="95" s="1"/>
  <c r="I249" i="95" s="1"/>
  <c r="J249" i="95" s="1"/>
  <c r="K249" i="95" s="1"/>
  <c r="L249" i="95" s="1"/>
  <c r="M249" i="95" s="1"/>
  <c r="N249" i="95" s="1"/>
  <c r="O249" i="95" s="1"/>
  <c r="P249" i="95" s="1"/>
  <c r="Q249" i="95" s="1"/>
  <c r="R249" i="95" s="1"/>
  <c r="S249" i="95" s="1"/>
  <c r="T249" i="95" s="1"/>
  <c r="U249" i="95" s="1"/>
  <c r="V249" i="95" s="1"/>
  <c r="W249" i="95" s="1"/>
  <c r="X249" i="95" s="1"/>
  <c r="Y249" i="95" s="1"/>
  <c r="Z249" i="95" s="1"/>
  <c r="AA249" i="95" s="1"/>
  <c r="AB249" i="95" s="1"/>
  <c r="AC249" i="95" s="1"/>
  <c r="AD249" i="95" s="1"/>
  <c r="AE249" i="95" s="1"/>
  <c r="AF249" i="95" s="1"/>
  <c r="B249" i="95" s="1"/>
  <c r="F248" i="95"/>
  <c r="G248" i="95" s="1"/>
  <c r="H248" i="95" s="1"/>
  <c r="I248" i="95" s="1"/>
  <c r="J248" i="95" s="1"/>
  <c r="K248" i="95" s="1"/>
  <c r="L248" i="95" s="1"/>
  <c r="M248" i="95" s="1"/>
  <c r="N248" i="95" s="1"/>
  <c r="O248" i="95" s="1"/>
  <c r="P248" i="95" s="1"/>
  <c r="Q248" i="95" s="1"/>
  <c r="R248" i="95" s="1"/>
  <c r="S248" i="95" s="1"/>
  <c r="T248" i="95" s="1"/>
  <c r="U248" i="95" s="1"/>
  <c r="V248" i="95" s="1"/>
  <c r="W248" i="95" s="1"/>
  <c r="X248" i="95" s="1"/>
  <c r="Y248" i="95" s="1"/>
  <c r="Z248" i="95" s="1"/>
  <c r="AA248" i="95" s="1"/>
  <c r="AB248" i="95" s="1"/>
  <c r="AC248" i="95" s="1"/>
  <c r="AD248" i="95" s="1"/>
  <c r="AE248" i="95" s="1"/>
  <c r="AF248" i="95" s="1"/>
  <c r="B248" i="95" s="1"/>
  <c r="D248" i="95"/>
  <c r="E248" i="95" s="1"/>
  <c r="D247" i="95"/>
  <c r="E247" i="95" s="1"/>
  <c r="F247" i="95" s="1"/>
  <c r="G247" i="95" s="1"/>
  <c r="H247" i="95" s="1"/>
  <c r="I247" i="95" s="1"/>
  <c r="J247" i="95" s="1"/>
  <c r="K247" i="95" s="1"/>
  <c r="L247" i="95" s="1"/>
  <c r="M247" i="95" s="1"/>
  <c r="N247" i="95" s="1"/>
  <c r="O247" i="95" s="1"/>
  <c r="P247" i="95" s="1"/>
  <c r="Q247" i="95" s="1"/>
  <c r="R247" i="95" s="1"/>
  <c r="S247" i="95" s="1"/>
  <c r="T247" i="95" s="1"/>
  <c r="U247" i="95" s="1"/>
  <c r="V247" i="95" s="1"/>
  <c r="W247" i="95" s="1"/>
  <c r="X247" i="95" s="1"/>
  <c r="Y247" i="95" s="1"/>
  <c r="Z247" i="95" s="1"/>
  <c r="AA247" i="95" s="1"/>
  <c r="AB247" i="95" s="1"/>
  <c r="AC247" i="95" s="1"/>
  <c r="AD247" i="95" s="1"/>
  <c r="AE247" i="95" s="1"/>
  <c r="AF247" i="95" s="1"/>
  <c r="B247" i="95" s="1"/>
  <c r="D246" i="95"/>
  <c r="AG244" i="95"/>
  <c r="AF244" i="95"/>
  <c r="AE244" i="95"/>
  <c r="AD244" i="95"/>
  <c r="AC244" i="95"/>
  <c r="AB244" i="95"/>
  <c r="AA244" i="95"/>
  <c r="Z244" i="95"/>
  <c r="Y244" i="95"/>
  <c r="X244" i="95"/>
  <c r="W244" i="95"/>
  <c r="V244" i="95"/>
  <c r="U244" i="95"/>
  <c r="T244" i="95"/>
  <c r="S244" i="95"/>
  <c r="R244" i="95"/>
  <c r="Q244" i="95"/>
  <c r="P244" i="95"/>
  <c r="O244" i="95"/>
  <c r="N244" i="95"/>
  <c r="M244" i="95"/>
  <c r="L244" i="95"/>
  <c r="K244" i="95"/>
  <c r="J244" i="95"/>
  <c r="I244" i="95"/>
  <c r="H244" i="95"/>
  <c r="G244" i="95"/>
  <c r="F244" i="95"/>
  <c r="E244" i="95"/>
  <c r="D244" i="95"/>
  <c r="C244" i="95"/>
  <c r="B244" i="95"/>
  <c r="AI130" i="95"/>
  <c r="AH130" i="95"/>
  <c r="AI129" i="95"/>
  <c r="AH129" i="95"/>
  <c r="AI128" i="95"/>
  <c r="AH128" i="95"/>
  <c r="AI127" i="95"/>
  <c r="AH127" i="95"/>
  <c r="AI126" i="95"/>
  <c r="AH126" i="95"/>
  <c r="AI122" i="95"/>
  <c r="AH122" i="95"/>
  <c r="AI121" i="95"/>
  <c r="AH121" i="95"/>
  <c r="AI120" i="95"/>
  <c r="AH120" i="95"/>
  <c r="AI119" i="95"/>
  <c r="AH119" i="95"/>
  <c r="AI117" i="95"/>
  <c r="AH117" i="95"/>
  <c r="AI116" i="95"/>
  <c r="AH116" i="95"/>
  <c r="AI115" i="95"/>
  <c r="AH115" i="95"/>
  <c r="AI114" i="95"/>
  <c r="AH114" i="95"/>
  <c r="AI113" i="95"/>
  <c r="AH113" i="95"/>
  <c r="AI112" i="95"/>
  <c r="AH112" i="95"/>
  <c r="AI111" i="95"/>
  <c r="AH111" i="95"/>
  <c r="AI110" i="95"/>
  <c r="AH110" i="95"/>
  <c r="AI109" i="95"/>
  <c r="AH109" i="95"/>
  <c r="AI106" i="95"/>
  <c r="AH106" i="95"/>
  <c r="AF105" i="95"/>
  <c r="AE105" i="95"/>
  <c r="AD105" i="95"/>
  <c r="AC105" i="95"/>
  <c r="AB105" i="95"/>
  <c r="U105" i="95"/>
  <c r="R105" i="95"/>
  <c r="Q105" i="95"/>
  <c r="P105" i="95"/>
  <c r="O105" i="95"/>
  <c r="N105" i="95"/>
  <c r="M105" i="95"/>
  <c r="L105" i="95"/>
  <c r="K105" i="95"/>
  <c r="J105" i="95"/>
  <c r="I105" i="95"/>
  <c r="H105" i="95"/>
  <c r="G105" i="95"/>
  <c r="F105" i="95"/>
  <c r="E105" i="95"/>
  <c r="D105" i="95"/>
  <c r="C105" i="95"/>
  <c r="B105" i="95"/>
  <c r="AF104" i="95"/>
  <c r="AE104" i="95"/>
  <c r="AD104" i="95"/>
  <c r="AC104" i="95"/>
  <c r="AB104" i="95"/>
  <c r="U104" i="95"/>
  <c r="R104" i="95"/>
  <c r="Q104" i="95"/>
  <c r="P104" i="95"/>
  <c r="O104" i="95"/>
  <c r="N104" i="95"/>
  <c r="M104" i="95"/>
  <c r="L104" i="95"/>
  <c r="K104" i="95"/>
  <c r="J104" i="95"/>
  <c r="I104" i="95"/>
  <c r="H104" i="95"/>
  <c r="G104" i="95"/>
  <c r="F104" i="95"/>
  <c r="E104" i="95"/>
  <c r="D104" i="95"/>
  <c r="C104" i="95"/>
  <c r="B104" i="95"/>
  <c r="AF103" i="95"/>
  <c r="AE103" i="95"/>
  <c r="AD103" i="95"/>
  <c r="AC103" i="95"/>
  <c r="AB103" i="95"/>
  <c r="U103" i="95"/>
  <c r="R103" i="95"/>
  <c r="Q103" i="95"/>
  <c r="P103" i="95"/>
  <c r="O103" i="95"/>
  <c r="N103" i="95"/>
  <c r="M103" i="95"/>
  <c r="L103" i="95"/>
  <c r="K103" i="95"/>
  <c r="J103" i="95"/>
  <c r="I103" i="95"/>
  <c r="H103" i="95"/>
  <c r="G103" i="95"/>
  <c r="F103" i="95"/>
  <c r="E103" i="95"/>
  <c r="D103" i="95"/>
  <c r="C103" i="95"/>
  <c r="B103" i="95"/>
  <c r="AF102" i="95"/>
  <c r="AE102" i="95"/>
  <c r="AD102" i="95"/>
  <c r="AC102" i="95"/>
  <c r="AB102" i="95"/>
  <c r="U102" i="95"/>
  <c r="R102" i="95"/>
  <c r="Q102" i="95"/>
  <c r="P102" i="95"/>
  <c r="O102" i="95"/>
  <c r="N102" i="95"/>
  <c r="M102" i="95"/>
  <c r="L102" i="95"/>
  <c r="K102" i="95"/>
  <c r="J102" i="95"/>
  <c r="I102" i="95"/>
  <c r="H102" i="95"/>
  <c r="G102" i="95"/>
  <c r="F102" i="95"/>
  <c r="E102" i="95"/>
  <c r="D102" i="95"/>
  <c r="C102" i="95"/>
  <c r="B102" i="95"/>
  <c r="AF101" i="95"/>
  <c r="AE101" i="95"/>
  <c r="AD101" i="95"/>
  <c r="AC101" i="95"/>
  <c r="AB101" i="95"/>
  <c r="U101" i="95"/>
  <c r="R101" i="95"/>
  <c r="Q101" i="95"/>
  <c r="P101" i="95"/>
  <c r="O101" i="95"/>
  <c r="N101" i="95"/>
  <c r="M101" i="95"/>
  <c r="L101" i="95"/>
  <c r="K101" i="95"/>
  <c r="J101" i="95"/>
  <c r="I101" i="95"/>
  <c r="H101" i="95"/>
  <c r="G101" i="95"/>
  <c r="F101" i="95"/>
  <c r="E101" i="95"/>
  <c r="D101" i="95"/>
  <c r="C101" i="95"/>
  <c r="B101" i="95"/>
  <c r="AI98" i="95"/>
  <c r="AH98" i="95"/>
  <c r="AI96" i="95"/>
  <c r="AH96" i="95"/>
  <c r="AG96" i="95"/>
  <c r="AI95" i="95"/>
  <c r="AH95" i="95"/>
  <c r="AI94" i="95"/>
  <c r="AH94" i="95"/>
  <c r="AI93" i="95"/>
  <c r="AH93" i="95"/>
  <c r="AG92" i="95"/>
  <c r="AF92" i="95"/>
  <c r="AE5" i="95" s="1"/>
  <c r="AE92" i="95"/>
  <c r="AD5" i="95" s="1"/>
  <c r="AD92" i="95"/>
  <c r="AC5" i="95" s="1"/>
  <c r="AC92" i="95"/>
  <c r="AB5" i="95" s="1"/>
  <c r="AB92" i="95"/>
  <c r="AA5" i="95" s="1"/>
  <c r="Z5" i="95"/>
  <c r="Y5" i="95"/>
  <c r="X5" i="95"/>
  <c r="U92" i="95"/>
  <c r="T5" i="95" s="1"/>
  <c r="R5" i="95"/>
  <c r="R92" i="95"/>
  <c r="Q5" i="95" s="1"/>
  <c r="Q92" i="95"/>
  <c r="P92" i="95"/>
  <c r="AX19" i="95" s="1"/>
  <c r="O92" i="95"/>
  <c r="N92" i="95"/>
  <c r="M92" i="95"/>
  <c r="AU19" i="95" s="1"/>
  <c r="L92" i="95"/>
  <c r="K5" i="95" s="1"/>
  <c r="K92" i="95"/>
  <c r="J5" i="95" s="1"/>
  <c r="J92" i="95"/>
  <c r="I5" i="95" s="1"/>
  <c r="I92" i="95"/>
  <c r="H5" i="95" s="1"/>
  <c r="H92" i="95"/>
  <c r="G5" i="95" s="1"/>
  <c r="G92" i="95"/>
  <c r="F5" i="95" s="1"/>
  <c r="F92" i="95"/>
  <c r="AQ19" i="95" s="1"/>
  <c r="E92" i="95"/>
  <c r="D5" i="95" s="1"/>
  <c r="D92" i="95"/>
  <c r="C5" i="95" s="1"/>
  <c r="C92" i="95"/>
  <c r="AN19" i="95" s="1"/>
  <c r="B92" i="95"/>
  <c r="AF5" i="95" s="1"/>
  <c r="AI91" i="95"/>
  <c r="AH91" i="95"/>
  <c r="AI90" i="95"/>
  <c r="AH90" i="95"/>
  <c r="AI89" i="95"/>
  <c r="AH89" i="95"/>
  <c r="AI88" i="95"/>
  <c r="AH88" i="95"/>
  <c r="AI87" i="95"/>
  <c r="AH87" i="95"/>
  <c r="AI86" i="95"/>
  <c r="AH86" i="95"/>
  <c r="AI85" i="95"/>
  <c r="AH85" i="95"/>
  <c r="AI84" i="95"/>
  <c r="AH84" i="95"/>
  <c r="AI83" i="95"/>
  <c r="AH83" i="95"/>
  <c r="AI82" i="95"/>
  <c r="AH82" i="95"/>
  <c r="AI81" i="95"/>
  <c r="AH81" i="95"/>
  <c r="BU80" i="95"/>
  <c r="AG80" i="95"/>
  <c r="AF80" i="95"/>
  <c r="AE80" i="95"/>
  <c r="AD80" i="95"/>
  <c r="AC80" i="95"/>
  <c r="AB80" i="95"/>
  <c r="U80" i="95"/>
  <c r="R80" i="95"/>
  <c r="Q80" i="95"/>
  <c r="P80" i="95"/>
  <c r="O80" i="95"/>
  <c r="N80" i="95"/>
  <c r="AV20" i="95" s="1"/>
  <c r="M80" i="95"/>
  <c r="AU20" i="95" s="1"/>
  <c r="L80" i="95"/>
  <c r="K80" i="95"/>
  <c r="J80" i="95"/>
  <c r="I80" i="95"/>
  <c r="H80" i="95"/>
  <c r="G80" i="95"/>
  <c r="F80" i="95"/>
  <c r="E80" i="95"/>
  <c r="D80" i="95"/>
  <c r="AO20" i="95" s="1"/>
  <c r="C80" i="95"/>
  <c r="B80" i="95"/>
  <c r="AI79" i="95"/>
  <c r="AH79" i="95"/>
  <c r="BA78" i="95"/>
  <c r="AI78" i="95"/>
  <c r="AH78" i="95"/>
  <c r="AI77" i="95"/>
  <c r="AH77" i="95"/>
  <c r="BU76" i="95"/>
  <c r="BR76" i="95"/>
  <c r="BB76" i="95"/>
  <c r="AF76" i="95"/>
  <c r="AE76" i="95"/>
  <c r="AD76" i="95"/>
  <c r="AC76" i="95"/>
  <c r="AB76" i="95"/>
  <c r="U76" i="95"/>
  <c r="R76" i="95"/>
  <c r="Q76" i="95"/>
  <c r="P76" i="95"/>
  <c r="AX18" i="95" s="1"/>
  <c r="O76" i="95"/>
  <c r="AW18" i="95" s="1"/>
  <c r="N76" i="95"/>
  <c r="AV18" i="95" s="1"/>
  <c r="M76" i="95"/>
  <c r="AU18" i="95" s="1"/>
  <c r="L76" i="95"/>
  <c r="K76" i="95"/>
  <c r="AT18" i="95" s="1"/>
  <c r="J76" i="95"/>
  <c r="I76" i="95"/>
  <c r="AS18" i="95" s="1"/>
  <c r="H76" i="95"/>
  <c r="G76" i="95"/>
  <c r="AR18" i="95" s="1"/>
  <c r="F76" i="95"/>
  <c r="AQ18" i="95" s="1"/>
  <c r="E76" i="95"/>
  <c r="AP18" i="95" s="1"/>
  <c r="D76" i="95"/>
  <c r="AO18" i="95" s="1"/>
  <c r="C76" i="95"/>
  <c r="AN18" i="95" s="1"/>
  <c r="B76" i="95"/>
  <c r="AM18" i="95" s="1"/>
  <c r="AI75" i="95"/>
  <c r="AH75" i="95"/>
  <c r="AG75" i="95"/>
  <c r="AG76" i="95" s="1"/>
  <c r="AG3" i="95" s="1"/>
  <c r="AI74" i="95"/>
  <c r="AH74" i="95"/>
  <c r="BW73" i="95"/>
  <c r="BW80" i="95" s="1"/>
  <c r="BV73" i="95"/>
  <c r="BV80" i="95" s="1"/>
  <c r="BU73" i="95"/>
  <c r="BT73" i="95"/>
  <c r="BT80" i="95" s="1"/>
  <c r="BS73" i="95"/>
  <c r="BS80" i="95" s="1"/>
  <c r="BR73" i="95"/>
  <c r="BR80" i="95" s="1"/>
  <c r="BQ73" i="95"/>
  <c r="BQ80" i="95" s="1"/>
  <c r="BP73" i="95"/>
  <c r="BP80" i="95" s="1"/>
  <c r="BO73" i="95"/>
  <c r="BO80" i="95" s="1"/>
  <c r="BN73" i="95"/>
  <c r="BN80" i="95" s="1"/>
  <c r="BM73" i="95"/>
  <c r="BM80" i="95" s="1"/>
  <c r="BL73" i="95"/>
  <c r="BL80" i="95" s="1"/>
  <c r="BK73" i="95"/>
  <c r="BK80" i="95" s="1"/>
  <c r="BJ73" i="95"/>
  <c r="BJ80" i="95" s="1"/>
  <c r="BI73" i="95"/>
  <c r="BI80" i="95" s="1"/>
  <c r="BH73" i="95"/>
  <c r="BH80" i="95" s="1"/>
  <c r="BG73" i="95"/>
  <c r="BG80" i="95" s="1"/>
  <c r="BF73" i="95"/>
  <c r="BF80" i="95" s="1"/>
  <c r="BE73" i="95"/>
  <c r="BE80" i="95" s="1"/>
  <c r="BD73" i="95"/>
  <c r="BD80" i="95" s="1"/>
  <c r="BC73" i="95"/>
  <c r="BC80" i="95" s="1"/>
  <c r="BB73" i="95"/>
  <c r="BB80" i="95" s="1"/>
  <c r="BA73" i="95"/>
  <c r="BA80" i="95" s="1"/>
  <c r="AZ73" i="95"/>
  <c r="AZ80" i="95" s="1"/>
  <c r="AI73" i="95"/>
  <c r="AH73" i="95"/>
  <c r="BW72" i="95"/>
  <c r="BW79" i="95" s="1"/>
  <c r="BV72" i="95"/>
  <c r="BV79" i="95" s="1"/>
  <c r="BU72" i="95"/>
  <c r="BU79" i="95" s="1"/>
  <c r="BT72" i="95"/>
  <c r="BT79" i="95" s="1"/>
  <c r="BS72" i="95"/>
  <c r="BS79" i="95" s="1"/>
  <c r="BR72" i="95"/>
  <c r="BR79" i="95" s="1"/>
  <c r="BQ72" i="95"/>
  <c r="BQ79" i="95" s="1"/>
  <c r="BP72" i="95"/>
  <c r="BP79" i="95" s="1"/>
  <c r="BO72" i="95"/>
  <c r="BO79" i="95" s="1"/>
  <c r="BN72" i="95"/>
  <c r="BN79" i="95" s="1"/>
  <c r="BM72" i="95"/>
  <c r="BM79" i="95" s="1"/>
  <c r="BL72" i="95"/>
  <c r="BL79" i="95" s="1"/>
  <c r="BK72" i="95"/>
  <c r="BK79" i="95" s="1"/>
  <c r="BJ72" i="95"/>
  <c r="BJ79" i="95" s="1"/>
  <c r="BI72" i="95"/>
  <c r="BI79" i="95" s="1"/>
  <c r="BH72" i="95"/>
  <c r="BH79" i="95" s="1"/>
  <c r="BG72" i="95"/>
  <c r="BG79" i="95" s="1"/>
  <c r="BF72" i="95"/>
  <c r="BF79" i="95" s="1"/>
  <c r="BE72" i="95"/>
  <c r="BE79" i="95" s="1"/>
  <c r="BD72" i="95"/>
  <c r="BD79" i="95" s="1"/>
  <c r="BC72" i="95"/>
  <c r="BC79" i="95" s="1"/>
  <c r="BB72" i="95"/>
  <c r="BB79" i="95" s="1"/>
  <c r="BA72" i="95"/>
  <c r="BA79" i="95" s="1"/>
  <c r="AZ72" i="95"/>
  <c r="AZ79" i="95" s="1"/>
  <c r="AI72" i="95"/>
  <c r="AH72" i="95"/>
  <c r="BW71" i="95"/>
  <c r="BW78" i="95" s="1"/>
  <c r="BV71" i="95"/>
  <c r="BV78" i="95" s="1"/>
  <c r="BU71" i="95"/>
  <c r="BU78" i="95" s="1"/>
  <c r="BT71" i="95"/>
  <c r="BT78" i="95" s="1"/>
  <c r="BS71" i="95"/>
  <c r="BS78" i="95" s="1"/>
  <c r="BR71" i="95"/>
  <c r="BR78" i="95" s="1"/>
  <c r="BQ71" i="95"/>
  <c r="BQ78" i="95" s="1"/>
  <c r="BP71" i="95"/>
  <c r="BP78" i="95" s="1"/>
  <c r="BO71" i="95"/>
  <c r="BO78" i="95" s="1"/>
  <c r="BN71" i="95"/>
  <c r="BN78" i="95" s="1"/>
  <c r="BM71" i="95"/>
  <c r="BM78" i="95" s="1"/>
  <c r="BL71" i="95"/>
  <c r="BL78" i="95" s="1"/>
  <c r="BK71" i="95"/>
  <c r="BK78" i="95" s="1"/>
  <c r="BJ71" i="95"/>
  <c r="BJ78" i="95" s="1"/>
  <c r="BI71" i="95"/>
  <c r="BI78" i="95" s="1"/>
  <c r="BH71" i="95"/>
  <c r="BH78" i="95" s="1"/>
  <c r="BG71" i="95"/>
  <c r="BG78" i="95" s="1"/>
  <c r="BF71" i="95"/>
  <c r="BF78" i="95" s="1"/>
  <c r="BE71" i="95"/>
  <c r="BE78" i="95" s="1"/>
  <c r="BD71" i="95"/>
  <c r="BD78" i="95" s="1"/>
  <c r="BC71" i="95"/>
  <c r="BC78" i="95" s="1"/>
  <c r="BB71" i="95"/>
  <c r="BB78" i="95" s="1"/>
  <c r="BA71" i="95"/>
  <c r="AZ71" i="95"/>
  <c r="AZ78" i="95" s="1"/>
  <c r="AI71" i="95"/>
  <c r="AH71" i="95"/>
  <c r="BW70" i="95"/>
  <c r="BW77" i="95" s="1"/>
  <c r="BV70" i="95"/>
  <c r="BV77" i="95" s="1"/>
  <c r="BU70" i="95"/>
  <c r="BU77" i="95" s="1"/>
  <c r="BT70" i="95"/>
  <c r="BT77" i="95" s="1"/>
  <c r="BS70" i="95"/>
  <c r="BS77" i="95" s="1"/>
  <c r="BR70" i="95"/>
  <c r="BR77" i="95" s="1"/>
  <c r="BQ70" i="95"/>
  <c r="BQ77" i="95" s="1"/>
  <c r="BP70" i="95"/>
  <c r="BP77" i="95" s="1"/>
  <c r="BO70" i="95"/>
  <c r="BO77" i="95" s="1"/>
  <c r="BN70" i="95"/>
  <c r="BN77" i="95" s="1"/>
  <c r="BM70" i="95"/>
  <c r="BM77" i="95" s="1"/>
  <c r="BL70" i="95"/>
  <c r="BL77" i="95" s="1"/>
  <c r="BK70" i="95"/>
  <c r="BK77" i="95" s="1"/>
  <c r="BJ70" i="95"/>
  <c r="BJ77" i="95" s="1"/>
  <c r="BI70" i="95"/>
  <c r="BI77" i="95" s="1"/>
  <c r="BH70" i="95"/>
  <c r="BH77" i="95" s="1"/>
  <c r="BG70" i="95"/>
  <c r="BG77" i="95" s="1"/>
  <c r="BF70" i="95"/>
  <c r="BF77" i="95" s="1"/>
  <c r="BE70" i="95"/>
  <c r="BE77" i="95" s="1"/>
  <c r="BD70" i="95"/>
  <c r="BD77" i="95" s="1"/>
  <c r="BC70" i="95"/>
  <c r="BC77" i="95" s="1"/>
  <c r="BB70" i="95"/>
  <c r="BB77" i="95" s="1"/>
  <c r="BA70" i="95"/>
  <c r="BA77" i="95" s="1"/>
  <c r="AZ70" i="95"/>
  <c r="AZ77" i="95" s="1"/>
  <c r="AI70" i="95"/>
  <c r="AH70" i="95"/>
  <c r="BW69" i="95"/>
  <c r="BW76" i="95" s="1"/>
  <c r="BV69" i="95"/>
  <c r="BV76" i="95" s="1"/>
  <c r="BU69" i="95"/>
  <c r="BT69" i="95"/>
  <c r="BT76" i="95" s="1"/>
  <c r="BS69" i="95"/>
  <c r="BS76" i="95" s="1"/>
  <c r="BR69" i="95"/>
  <c r="BQ69" i="95"/>
  <c r="BQ76" i="95" s="1"/>
  <c r="BP69" i="95"/>
  <c r="BP76" i="95" s="1"/>
  <c r="BO69" i="95"/>
  <c r="BO76" i="95" s="1"/>
  <c r="BN69" i="95"/>
  <c r="BN76" i="95" s="1"/>
  <c r="BM69" i="95"/>
  <c r="BM76" i="95" s="1"/>
  <c r="BL69" i="95"/>
  <c r="BL76" i="95" s="1"/>
  <c r="BK69" i="95"/>
  <c r="BK76" i="95" s="1"/>
  <c r="BJ69" i="95"/>
  <c r="BJ76" i="95" s="1"/>
  <c r="BI69" i="95"/>
  <c r="BI76" i="95" s="1"/>
  <c r="BH69" i="95"/>
  <c r="BH76" i="95" s="1"/>
  <c r="BG69" i="95"/>
  <c r="BG76" i="95" s="1"/>
  <c r="BF69" i="95"/>
  <c r="BF76" i="95" s="1"/>
  <c r="BE69" i="95"/>
  <c r="BE76" i="95" s="1"/>
  <c r="BD69" i="95"/>
  <c r="BD76" i="95" s="1"/>
  <c r="BC69" i="95"/>
  <c r="BC76" i="95" s="1"/>
  <c r="BB69" i="95"/>
  <c r="BA69" i="95"/>
  <c r="BA76" i="95" s="1"/>
  <c r="AZ69" i="95"/>
  <c r="AZ76" i="95" s="1"/>
  <c r="AI69" i="95"/>
  <c r="AH69" i="95"/>
  <c r="BW68" i="95"/>
  <c r="BW75" i="95" s="1"/>
  <c r="BV68" i="95"/>
  <c r="BV75" i="95" s="1"/>
  <c r="BU68" i="95"/>
  <c r="BU75" i="95" s="1"/>
  <c r="BT68" i="95"/>
  <c r="BT75" i="95" s="1"/>
  <c r="BS68" i="95"/>
  <c r="BS75" i="95" s="1"/>
  <c r="BR68" i="95"/>
  <c r="BR75" i="95" s="1"/>
  <c r="BQ68" i="95"/>
  <c r="BQ75" i="95" s="1"/>
  <c r="BP68" i="95"/>
  <c r="BP75" i="95" s="1"/>
  <c r="BO68" i="95"/>
  <c r="BO75" i="95" s="1"/>
  <c r="BN68" i="95"/>
  <c r="BN75" i="95" s="1"/>
  <c r="BM68" i="95"/>
  <c r="BM75" i="95" s="1"/>
  <c r="BL68" i="95"/>
  <c r="BL75" i="95" s="1"/>
  <c r="BK68" i="95"/>
  <c r="BK75" i="95" s="1"/>
  <c r="BJ68" i="95"/>
  <c r="BJ75" i="95" s="1"/>
  <c r="BI68" i="95"/>
  <c r="BI75" i="95" s="1"/>
  <c r="BH68" i="95"/>
  <c r="BH75" i="95" s="1"/>
  <c r="BG68" i="95"/>
  <c r="BG75" i="95" s="1"/>
  <c r="BF68" i="95"/>
  <c r="BF75" i="95" s="1"/>
  <c r="BE68" i="95"/>
  <c r="BE75" i="95" s="1"/>
  <c r="BD68" i="95"/>
  <c r="BD75" i="95" s="1"/>
  <c r="BC68" i="95"/>
  <c r="BC75" i="95" s="1"/>
  <c r="BB68" i="95"/>
  <c r="BB75" i="95" s="1"/>
  <c r="BA68" i="95"/>
  <c r="BA75" i="95" s="1"/>
  <c r="AZ68" i="95"/>
  <c r="AZ75" i="95" s="1"/>
  <c r="AI68" i="95"/>
  <c r="AH68" i="95"/>
  <c r="AI67" i="95"/>
  <c r="AH67" i="95"/>
  <c r="AI66" i="95"/>
  <c r="AH66" i="95"/>
  <c r="AI65" i="95"/>
  <c r="AH65" i="95"/>
  <c r="AI64" i="95"/>
  <c r="AH64" i="95"/>
  <c r="AI63" i="95"/>
  <c r="AH63" i="95"/>
  <c r="AG62" i="95"/>
  <c r="AF62" i="95"/>
  <c r="AE62" i="95"/>
  <c r="AD62" i="95"/>
  <c r="AC62" i="95"/>
  <c r="AB62" i="95"/>
  <c r="U62" i="95"/>
  <c r="R62" i="95"/>
  <c r="Q62" i="95"/>
  <c r="P62" i="95"/>
  <c r="AX17" i="95" s="1"/>
  <c r="O62" i="95"/>
  <c r="AW17" i="95" s="1"/>
  <c r="N62" i="95"/>
  <c r="AV17" i="95" s="1"/>
  <c r="M62" i="95"/>
  <c r="AU17" i="95" s="1"/>
  <c r="L62" i="95"/>
  <c r="K62" i="95"/>
  <c r="AT17" i="95" s="1"/>
  <c r="J62" i="95"/>
  <c r="I62" i="95"/>
  <c r="AS17" i="95" s="1"/>
  <c r="H62" i="95"/>
  <c r="G62" i="95"/>
  <c r="AR17" i="95" s="1"/>
  <c r="F62" i="95"/>
  <c r="AQ17" i="95" s="1"/>
  <c r="E62" i="95"/>
  <c r="D62" i="95"/>
  <c r="C62" i="95"/>
  <c r="B62" i="95"/>
  <c r="AI61" i="95"/>
  <c r="AH61" i="95"/>
  <c r="AI60" i="95"/>
  <c r="AH60" i="95"/>
  <c r="AI59" i="95"/>
  <c r="AH59" i="95"/>
  <c r="AG58" i="95"/>
  <c r="AF58" i="95"/>
  <c r="AE58" i="95"/>
  <c r="AD58" i="95"/>
  <c r="AC58" i="95"/>
  <c r="AB58" i="95"/>
  <c r="U58" i="95"/>
  <c r="R58" i="95"/>
  <c r="Q58" i="95"/>
  <c r="P58" i="95"/>
  <c r="O58" i="95"/>
  <c r="AW16" i="95" s="1"/>
  <c r="M58" i="95"/>
  <c r="L58" i="95"/>
  <c r="K58" i="95"/>
  <c r="J58" i="95"/>
  <c r="I58" i="95"/>
  <c r="H58" i="95"/>
  <c r="G58" i="95"/>
  <c r="AR16" i="95" s="1"/>
  <c r="F58" i="95"/>
  <c r="AQ16" i="95" s="1"/>
  <c r="E58" i="95"/>
  <c r="D58" i="95"/>
  <c r="C58" i="95"/>
  <c r="B58" i="95"/>
  <c r="AI57" i="95"/>
  <c r="AH57" i="95"/>
  <c r="AI56" i="95"/>
  <c r="AH56" i="95"/>
  <c r="AI55" i="95"/>
  <c r="AH55" i="95"/>
  <c r="AI54" i="95"/>
  <c r="AH54" i="95"/>
  <c r="AI53" i="95"/>
  <c r="AH53" i="95"/>
  <c r="AI52" i="95"/>
  <c r="AH52" i="95"/>
  <c r="AI51" i="95"/>
  <c r="AH51" i="95"/>
  <c r="AI50" i="95"/>
  <c r="AH50" i="95"/>
  <c r="AI49" i="95"/>
  <c r="AH49" i="95"/>
  <c r="AI48" i="95"/>
  <c r="AH48" i="95"/>
  <c r="AI47" i="95"/>
  <c r="AH47" i="95"/>
  <c r="AI46" i="95"/>
  <c r="AH46" i="95"/>
  <c r="AI45" i="95"/>
  <c r="AH45" i="95"/>
  <c r="AI44" i="95"/>
  <c r="AH44" i="95"/>
  <c r="AI43" i="95"/>
  <c r="AH43" i="95"/>
  <c r="AI42" i="95"/>
  <c r="AH42" i="95"/>
  <c r="AI41" i="95"/>
  <c r="AH41" i="95"/>
  <c r="AI40" i="95"/>
  <c r="AH40" i="95"/>
  <c r="AI39" i="95"/>
  <c r="AH39" i="95"/>
  <c r="AI38" i="95"/>
  <c r="AH38" i="95"/>
  <c r="AI37" i="95"/>
  <c r="AH37" i="95"/>
  <c r="AI36" i="95"/>
  <c r="AH36" i="95"/>
  <c r="AI35" i="95"/>
  <c r="AH35" i="95"/>
  <c r="AI34" i="95"/>
  <c r="AH34" i="95"/>
  <c r="AI33" i="95"/>
  <c r="AH33" i="95"/>
  <c r="AI32" i="95"/>
  <c r="AH32" i="95"/>
  <c r="AI31" i="95"/>
  <c r="AH31" i="95"/>
  <c r="AI30" i="95"/>
  <c r="AH30" i="95"/>
  <c r="AI29" i="95"/>
  <c r="AH29" i="95"/>
  <c r="AI28" i="95"/>
  <c r="AH28" i="95"/>
  <c r="AI27" i="95"/>
  <c r="AH27" i="95"/>
  <c r="AI26" i="95"/>
  <c r="AH26" i="95"/>
  <c r="AI25" i="95"/>
  <c r="AH25" i="95"/>
  <c r="AI24" i="95"/>
  <c r="AH24" i="95"/>
  <c r="AI23" i="95"/>
  <c r="AH23" i="95"/>
  <c r="AI22" i="95"/>
  <c r="AH22" i="95"/>
  <c r="AX21" i="95"/>
  <c r="AW21" i="95"/>
  <c r="AV21" i="95"/>
  <c r="AU21" i="95"/>
  <c r="AT21" i="95"/>
  <c r="AS21" i="95"/>
  <c r="AR21" i="95"/>
  <c r="AQ21" i="95"/>
  <c r="AP21" i="95"/>
  <c r="AO21" i="95"/>
  <c r="AN21" i="95"/>
  <c r="AM21" i="95"/>
  <c r="AI21" i="95"/>
  <c r="AH21" i="95"/>
  <c r="AX20" i="95"/>
  <c r="AW20" i="95"/>
  <c r="AT20" i="95"/>
  <c r="AS20" i="95"/>
  <c r="AR20" i="95"/>
  <c r="AQ20" i="95"/>
  <c r="AP20" i="95"/>
  <c r="AN20" i="95"/>
  <c r="AM20" i="95"/>
  <c r="AI20" i="95"/>
  <c r="AH20" i="95"/>
  <c r="AI19" i="95"/>
  <c r="AH19" i="95"/>
  <c r="AI18" i="95"/>
  <c r="AH18" i="95"/>
  <c r="AP17" i="95"/>
  <c r="AO17" i="95"/>
  <c r="AI17" i="95"/>
  <c r="AH17" i="95"/>
  <c r="AT16" i="95"/>
  <c r="AS16" i="95"/>
  <c r="AO16" i="95"/>
  <c r="AI16" i="95"/>
  <c r="AH16" i="95"/>
  <c r="AI15" i="95"/>
  <c r="AH15" i="95"/>
  <c r="AI14" i="95"/>
  <c r="AH14" i="95"/>
  <c r="AI13" i="95"/>
  <c r="AH13" i="95"/>
  <c r="AL12" i="95"/>
  <c r="AI12" i="95"/>
  <c r="AH12" i="95"/>
  <c r="W5" i="95"/>
  <c r="V5" i="95"/>
  <c r="U5" i="95"/>
  <c r="S5" i="95"/>
  <c r="AG4" i="95"/>
  <c r="K4" i="95"/>
  <c r="E4" i="95"/>
  <c r="H4" i="95" s="1"/>
  <c r="B4" i="95"/>
  <c r="D258" i="95" s="1"/>
  <c r="AC107" i="95" l="1"/>
  <c r="AC97" i="95"/>
  <c r="AC99" i="95" s="1"/>
  <c r="AC100" i="95" s="1"/>
  <c r="AC7" i="95" s="1"/>
  <c r="U107" i="95"/>
  <c r="U97" i="95"/>
  <c r="U99" i="95" s="1"/>
  <c r="U100" i="95" s="1"/>
  <c r="U7" i="95" s="1"/>
  <c r="Q107" i="95"/>
  <c r="O5" i="95"/>
  <c r="M107" i="95"/>
  <c r="AU23" i="95" s="1"/>
  <c r="L5" i="95"/>
  <c r="M97" i="95"/>
  <c r="M99" i="95" s="1"/>
  <c r="M100" i="95" s="1"/>
  <c r="M7" i="95" s="1"/>
  <c r="AT19" i="95"/>
  <c r="AR19" i="95"/>
  <c r="E5" i="95"/>
  <c r="E107" i="95"/>
  <c r="AP23" i="95" s="1"/>
  <c r="AP19" i="95"/>
  <c r="AO19" i="95"/>
  <c r="E97" i="95"/>
  <c r="E99" i="95" s="1"/>
  <c r="B5" i="95"/>
  <c r="AI123" i="95"/>
  <c r="Q108" i="95"/>
  <c r="AE97" i="95"/>
  <c r="AE99" i="95" s="1"/>
  <c r="J97" i="95"/>
  <c r="J99" i="95" s="1"/>
  <c r="F107" i="95"/>
  <c r="AQ23" i="95" s="1"/>
  <c r="N107" i="95"/>
  <c r="AV23" i="95" s="1"/>
  <c r="AD107" i="95"/>
  <c r="AD108" i="95" s="1"/>
  <c r="G107" i="95"/>
  <c r="AR23" i="95" s="1"/>
  <c r="W7" i="95"/>
  <c r="AE107" i="95"/>
  <c r="AH105" i="95"/>
  <c r="AM19" i="95"/>
  <c r="H97" i="95"/>
  <c r="H99" i="95" s="1"/>
  <c r="P97" i="95"/>
  <c r="P99" i="95" s="1"/>
  <c r="AF97" i="95"/>
  <c r="AF99" i="95" s="1"/>
  <c r="P5" i="95"/>
  <c r="I97" i="95"/>
  <c r="I99" i="95" s="1"/>
  <c r="Q97" i="95"/>
  <c r="Q99" i="95" s="1"/>
  <c r="Q100" i="95" s="1"/>
  <c r="Q7" i="95" s="1"/>
  <c r="Y7" i="95"/>
  <c r="AG97" i="95"/>
  <c r="AH62" i="95"/>
  <c r="H107" i="95"/>
  <c r="H108" i="95" s="1"/>
  <c r="P107" i="95"/>
  <c r="AX23" i="95" s="1"/>
  <c r="AF107" i="95"/>
  <c r="I107" i="95"/>
  <c r="AS23" i="95" s="1"/>
  <c r="AH104" i="95"/>
  <c r="K107" i="95"/>
  <c r="AT23" i="95" s="1"/>
  <c r="B97" i="95"/>
  <c r="B99" i="95" s="1"/>
  <c r="AI102" i="95"/>
  <c r="AR22" i="95"/>
  <c r="AS19" i="95"/>
  <c r="G97" i="95"/>
  <c r="G99" i="95" s="1"/>
  <c r="R97" i="95"/>
  <c r="R99" i="95" s="1"/>
  <c r="AM17" i="95"/>
  <c r="AE108" i="95"/>
  <c r="Z7" i="95"/>
  <c r="AI80" i="95"/>
  <c r="X7" i="95"/>
  <c r="AO22" i="95"/>
  <c r="AF108" i="95"/>
  <c r="O107" i="95"/>
  <c r="AW23" i="95" s="1"/>
  <c r="AW19" i="95"/>
  <c r="O97" i="95"/>
  <c r="O99" i="95" s="1"/>
  <c r="N5" i="95"/>
  <c r="AH123" i="95"/>
  <c r="AI101" i="95"/>
  <c r="M5" i="95"/>
  <c r="AV19" i="95"/>
  <c r="AH76" i="95"/>
  <c r="AI76" i="95"/>
  <c r="AI62" i="95"/>
  <c r="AT22" i="95"/>
  <c r="C97" i="95"/>
  <c r="C99" i="95" s="1"/>
  <c r="AN16" i="95"/>
  <c r="K97" i="95"/>
  <c r="K99" i="95" s="1"/>
  <c r="AA7" i="95"/>
  <c r="AW22" i="95"/>
  <c r="AS22" i="95"/>
  <c r="AS24" i="95" s="1"/>
  <c r="AG99" i="95"/>
  <c r="AQ22" i="95"/>
  <c r="AQ24" i="95" s="1"/>
  <c r="AN17" i="95"/>
  <c r="AI105" i="95"/>
  <c r="I108" i="95"/>
  <c r="AG2" i="95"/>
  <c r="AG6" i="95" s="1"/>
  <c r="AM16" i="95"/>
  <c r="AU16" i="95"/>
  <c r="AU22" i="95" s="1"/>
  <c r="AU24" i="95" s="1"/>
  <c r="D97" i="95"/>
  <c r="D99" i="95" s="1"/>
  <c r="L97" i="95"/>
  <c r="L99" i="95" s="1"/>
  <c r="AB97" i="95"/>
  <c r="AB99" i="95" s="1"/>
  <c r="AI92" i="95"/>
  <c r="AH92" i="95"/>
  <c r="AH102" i="95"/>
  <c r="AI104" i="95"/>
  <c r="AL13" i="95"/>
  <c r="B107" i="95"/>
  <c r="AH101" i="95"/>
  <c r="J107" i="95"/>
  <c r="J108" i="95" s="1"/>
  <c r="R107" i="95"/>
  <c r="R108" i="95" s="1"/>
  <c r="AI103" i="95"/>
  <c r="C107" i="95"/>
  <c r="AN23" i="95" s="1"/>
  <c r="F97" i="95"/>
  <c r="F99" i="95" s="1"/>
  <c r="F100" i="95" s="1"/>
  <c r="F7" i="95" s="1"/>
  <c r="D252" i="95"/>
  <c r="D118" i="95"/>
  <c r="E246" i="95"/>
  <c r="AD97" i="95"/>
  <c r="AD99" i="95" s="1"/>
  <c r="AP16" i="95"/>
  <c r="AP22" i="95" s="1"/>
  <c r="AP24" i="95" s="1"/>
  <c r="AX16" i="95"/>
  <c r="AX22" i="95" s="1"/>
  <c r="E108" i="95"/>
  <c r="M108" i="95"/>
  <c r="U108" i="95"/>
  <c r="AC108" i="95"/>
  <c r="D107" i="95"/>
  <c r="AO23" i="95" s="1"/>
  <c r="L107" i="95"/>
  <c r="L108" i="95" s="1"/>
  <c r="AB107" i="95"/>
  <c r="AB108" i="95" s="1"/>
  <c r="AH103" i="95"/>
  <c r="BG84" i="95" a="1"/>
  <c r="AH80" i="95"/>
  <c r="AD100" i="95" l="1"/>
  <c r="AD7" i="95" s="1"/>
  <c r="P100" i="95"/>
  <c r="P7" i="95" s="1"/>
  <c r="P108" i="95"/>
  <c r="AX24" i="95"/>
  <c r="AT24" i="95"/>
  <c r="H100" i="95"/>
  <c r="H7" i="95" s="1"/>
  <c r="G100" i="95"/>
  <c r="G7" i="95" s="1"/>
  <c r="G108" i="95"/>
  <c r="AR24" i="95"/>
  <c r="F108" i="95"/>
  <c r="E100" i="95"/>
  <c r="E7" i="95" s="1"/>
  <c r="AO24" i="95"/>
  <c r="AW24" i="95"/>
  <c r="AM22" i="95"/>
  <c r="V7" i="95"/>
  <c r="O100" i="95"/>
  <c r="O7" i="95" s="1"/>
  <c r="I100" i="95"/>
  <c r="I7" i="95" s="1"/>
  <c r="AE100" i="95"/>
  <c r="AE7" i="95" s="1"/>
  <c r="S7" i="95"/>
  <c r="K108" i="95"/>
  <c r="K100" i="95"/>
  <c r="K7" i="95" s="1"/>
  <c r="N108" i="95"/>
  <c r="AF100" i="95"/>
  <c r="AF7" i="95" s="1"/>
  <c r="C108" i="95"/>
  <c r="L100" i="95"/>
  <c r="L7" i="95" s="1"/>
  <c r="O108" i="95"/>
  <c r="D100" i="95"/>
  <c r="D7" i="95" s="1"/>
  <c r="D108" i="95"/>
  <c r="AI107" i="95"/>
  <c r="AM23" i="95"/>
  <c r="B108" i="95"/>
  <c r="AH107" i="95"/>
  <c r="R100" i="95"/>
  <c r="R7" i="95" s="1"/>
  <c r="F246" i="95"/>
  <c r="E118" i="95"/>
  <c r="E252" i="95"/>
  <c r="J100" i="95"/>
  <c r="J7" i="95" s="1"/>
  <c r="B100" i="95"/>
  <c r="AB100" i="95"/>
  <c r="AB7" i="95" s="1"/>
  <c r="AN22" i="95"/>
  <c r="AN24" i="95" s="1"/>
  <c r="BJ107" i="95"/>
  <c r="BH106" i="95"/>
  <c r="BL104" i="95"/>
  <c r="BJ103" i="95"/>
  <c r="BH102" i="95"/>
  <c r="BL100" i="95"/>
  <c r="BJ99" i="95"/>
  <c r="BH98" i="95"/>
  <c r="BL96" i="95"/>
  <c r="BJ95" i="95"/>
  <c r="BH94" i="95"/>
  <c r="BL92" i="95"/>
  <c r="BJ91" i="95"/>
  <c r="BH90" i="95"/>
  <c r="BL88" i="95"/>
  <c r="BJ87" i="95"/>
  <c r="BH86" i="95"/>
  <c r="BL84" i="95"/>
  <c r="BH107" i="95"/>
  <c r="BL105" i="95"/>
  <c r="BJ104" i="95"/>
  <c r="BH103" i="95"/>
  <c r="BL101" i="95"/>
  <c r="BJ100" i="95"/>
  <c r="BH99" i="95"/>
  <c r="BL97" i="95"/>
  <c r="BJ96" i="95"/>
  <c r="BH95" i="95"/>
  <c r="BL93" i="95"/>
  <c r="BJ92" i="95"/>
  <c r="BH91" i="95"/>
  <c r="BL89" i="95"/>
  <c r="BJ88" i="95"/>
  <c r="BH87" i="95"/>
  <c r="BL85" i="95"/>
  <c r="BJ84" i="95"/>
  <c r="BL107" i="95"/>
  <c r="BJ106" i="95"/>
  <c r="BH105" i="95"/>
  <c r="BL103" i="95"/>
  <c r="BJ102" i="95"/>
  <c r="BH101" i="95"/>
  <c r="BL99" i="95"/>
  <c r="BJ98" i="95"/>
  <c r="BH97" i="95"/>
  <c r="BL95" i="95"/>
  <c r="BJ94" i="95"/>
  <c r="BH93" i="95"/>
  <c r="BL91" i="95"/>
  <c r="BJ90" i="95"/>
  <c r="BH89" i="95"/>
  <c r="BL87" i="95"/>
  <c r="BJ86" i="95"/>
  <c r="BH85" i="95"/>
  <c r="BK106" i="95"/>
  <c r="BI104" i="95"/>
  <c r="BI102" i="95"/>
  <c r="BH100" i="95"/>
  <c r="BG98" i="95"/>
  <c r="BG96" i="95"/>
  <c r="BK93" i="95"/>
  <c r="BK91" i="95"/>
  <c r="BJ89" i="95"/>
  <c r="BI87" i="95"/>
  <c r="BI85" i="95"/>
  <c r="BI106" i="95"/>
  <c r="BH104" i="95"/>
  <c r="BG102" i="95"/>
  <c r="BG100" i="95"/>
  <c r="BK97" i="95"/>
  <c r="BK95" i="95"/>
  <c r="BJ93" i="95"/>
  <c r="BI91" i="95"/>
  <c r="BI89" i="95"/>
  <c r="BG87" i="95"/>
  <c r="BG85" i="95"/>
  <c r="BG106" i="95"/>
  <c r="BG104" i="95"/>
  <c r="BK101" i="95"/>
  <c r="BK99" i="95"/>
  <c r="BJ97" i="95"/>
  <c r="BI95" i="95"/>
  <c r="BI93" i="95"/>
  <c r="BG91" i="95"/>
  <c r="BG89" i="95"/>
  <c r="BL86" i="95"/>
  <c r="BK84" i="95"/>
  <c r="BK105" i="95"/>
  <c r="BK103" i="95"/>
  <c r="BJ101" i="95"/>
  <c r="BI99" i="95"/>
  <c r="BI97" i="95"/>
  <c r="BG95" i="95"/>
  <c r="BG93" i="95"/>
  <c r="BL90" i="95"/>
  <c r="BK88" i="95"/>
  <c r="BK86" i="95"/>
  <c r="BI84" i="95"/>
  <c r="BK107" i="95"/>
  <c r="BJ105" i="95"/>
  <c r="BI103" i="95"/>
  <c r="BI101" i="95"/>
  <c r="BG99" i="95"/>
  <c r="BG97" i="95"/>
  <c r="BL94" i="95"/>
  <c r="BK92" i="95"/>
  <c r="BK90" i="95"/>
  <c r="BI88" i="95"/>
  <c r="BI86" i="95"/>
  <c r="BH84" i="95"/>
  <c r="BI107" i="95"/>
  <c r="BI105" i="95"/>
  <c r="BG103" i="95"/>
  <c r="BG101" i="95"/>
  <c r="BL98" i="95"/>
  <c r="BK96" i="95"/>
  <c r="BK94" i="95"/>
  <c r="BI92" i="95"/>
  <c r="BI90" i="95"/>
  <c r="BH88" i="95"/>
  <c r="BG86" i="95"/>
  <c r="BG84" i="95"/>
  <c r="BG107" i="95"/>
  <c r="BG105" i="95"/>
  <c r="BL102" i="95"/>
  <c r="BK100" i="95"/>
  <c r="BK98" i="95"/>
  <c r="BI96" i="95"/>
  <c r="BI94" i="95"/>
  <c r="BH92" i="95"/>
  <c r="BG90" i="95"/>
  <c r="BG88" i="95"/>
  <c r="BK85" i="95"/>
  <c r="BL106" i="95"/>
  <c r="BK104" i="95"/>
  <c r="BK102" i="95"/>
  <c r="BI100" i="95"/>
  <c r="BI98" i="95"/>
  <c r="BH96" i="95"/>
  <c r="BG94" i="95"/>
  <c r="BG92" i="95"/>
  <c r="BK89" i="95"/>
  <c r="BK87" i="95"/>
  <c r="BJ85" i="95"/>
  <c r="T7" i="95"/>
  <c r="C100" i="95"/>
  <c r="C7" i="95" s="1"/>
  <c r="AM24" i="95" l="1"/>
  <c r="AH108" i="95"/>
  <c r="AI108" i="95"/>
  <c r="G246" i="95"/>
  <c r="F252" i="95"/>
  <c r="F118" i="95"/>
  <c r="B7" i="95"/>
  <c r="H246" i="95" l="1"/>
  <c r="G252" i="95"/>
  <c r="G118" i="95"/>
  <c r="I246" i="95" l="1"/>
  <c r="H252" i="95"/>
  <c r="H118" i="95"/>
  <c r="I252" i="95" l="1"/>
  <c r="I118" i="95"/>
  <c r="J246" i="95"/>
  <c r="J252" i="95" l="1"/>
  <c r="J118" i="95"/>
  <c r="K246" i="95"/>
  <c r="K252" i="95" l="1"/>
  <c r="K118" i="95"/>
  <c r="L246" i="95"/>
  <c r="AF57" i="94"/>
  <c r="AF123" i="94"/>
  <c r="AE123" i="94"/>
  <c r="AE57" i="94"/>
  <c r="AD123" i="94"/>
  <c r="AD57" i="94"/>
  <c r="AC123" i="94"/>
  <c r="AC57" i="94"/>
  <c r="AB123" i="94"/>
  <c r="AB57" i="94"/>
  <c r="AA123" i="94"/>
  <c r="AA58" i="94"/>
  <c r="AA62" i="94"/>
  <c r="AA76" i="94"/>
  <c r="AA80" i="94"/>
  <c r="AA92" i="94"/>
  <c r="AA101" i="94"/>
  <c r="AA102" i="94"/>
  <c r="AA103" i="94"/>
  <c r="AA104" i="94"/>
  <c r="AA105" i="94"/>
  <c r="AA118" i="94"/>
  <c r="Z123" i="94"/>
  <c r="Z118" i="94"/>
  <c r="Z105" i="94"/>
  <c r="Z104" i="94"/>
  <c r="Z103" i="94"/>
  <c r="Z102" i="94"/>
  <c r="Z101" i="94"/>
  <c r="Z107" i="94" s="1"/>
  <c r="Z92" i="94"/>
  <c r="Z80" i="94"/>
  <c r="Z76" i="94"/>
  <c r="Z62" i="94"/>
  <c r="Z58" i="94"/>
  <c r="Y123" i="94"/>
  <c r="Y58" i="94"/>
  <c r="Y62" i="94"/>
  <c r="Y76" i="94"/>
  <c r="Y80" i="94"/>
  <c r="Y92" i="94"/>
  <c r="Y101" i="94"/>
  <c r="Y107" i="94" s="1"/>
  <c r="Y102" i="94"/>
  <c r="Y103" i="94"/>
  <c r="Y104" i="94"/>
  <c r="Y105" i="94"/>
  <c r="Y118" i="94"/>
  <c r="X123" i="94"/>
  <c r="X58" i="94"/>
  <c r="X62" i="94"/>
  <c r="X76" i="94"/>
  <c r="X80" i="94"/>
  <c r="X92" i="94"/>
  <c r="X101" i="94"/>
  <c r="X102" i="94"/>
  <c r="X103" i="94"/>
  <c r="X104" i="94"/>
  <c r="X105" i="94"/>
  <c r="X118" i="94"/>
  <c r="W123" i="94"/>
  <c r="W58" i="94"/>
  <c r="W62" i="94"/>
  <c r="W76" i="94"/>
  <c r="W80" i="94"/>
  <c r="W92" i="94"/>
  <c r="W101" i="94"/>
  <c r="W102" i="94"/>
  <c r="W103" i="94"/>
  <c r="W104" i="94"/>
  <c r="W105" i="94"/>
  <c r="W118" i="94"/>
  <c r="V123" i="94"/>
  <c r="V58" i="94"/>
  <c r="V62" i="94"/>
  <c r="V76" i="94"/>
  <c r="V80" i="94"/>
  <c r="V92" i="94"/>
  <c r="V101" i="94"/>
  <c r="V107" i="94" s="1"/>
  <c r="V102" i="94"/>
  <c r="V103" i="94"/>
  <c r="V104" i="94"/>
  <c r="V105" i="94"/>
  <c r="V118" i="94"/>
  <c r="U123" i="94"/>
  <c r="U58" i="94"/>
  <c r="U62" i="94"/>
  <c r="U76" i="94"/>
  <c r="U80" i="94"/>
  <c r="U92" i="94"/>
  <c r="U101" i="94"/>
  <c r="U102" i="94"/>
  <c r="U103" i="94"/>
  <c r="U104" i="94"/>
  <c r="U105" i="94"/>
  <c r="U118" i="94"/>
  <c r="T123" i="94"/>
  <c r="T58" i="94"/>
  <c r="T62" i="94"/>
  <c r="T76" i="94"/>
  <c r="T80" i="94"/>
  <c r="T92" i="94"/>
  <c r="T101" i="94"/>
  <c r="T102" i="94"/>
  <c r="T103" i="94"/>
  <c r="T104" i="94"/>
  <c r="T105" i="94"/>
  <c r="T107" i="94"/>
  <c r="T118" i="94"/>
  <c r="L252" i="95" l="1"/>
  <c r="L118" i="95"/>
  <c r="M246" i="95"/>
  <c r="AA97" i="94"/>
  <c r="AA99" i="94" s="1"/>
  <c r="AA100" i="94" s="1"/>
  <c r="AA107" i="94"/>
  <c r="AA108" i="94"/>
  <c r="Z108" i="94"/>
  <c r="Z97" i="94"/>
  <c r="Z99" i="94" s="1"/>
  <c r="Z100" i="94" s="1"/>
  <c r="Y108" i="94"/>
  <c r="Y97" i="94"/>
  <c r="Y99" i="94" s="1"/>
  <c r="Y100" i="94" s="1"/>
  <c r="X97" i="94"/>
  <c r="X99" i="94" s="1"/>
  <c r="X107" i="94"/>
  <c r="V97" i="94"/>
  <c r="V99" i="94" s="1"/>
  <c r="U97" i="94"/>
  <c r="U99" i="94" s="1"/>
  <c r="W97" i="94"/>
  <c r="W99" i="94" s="1"/>
  <c r="W107" i="94"/>
  <c r="W108" i="94"/>
  <c r="V100" i="94"/>
  <c r="V108" i="94"/>
  <c r="U107" i="94"/>
  <c r="T97" i="94"/>
  <c r="T99" i="94" s="1"/>
  <c r="T100" i="94" s="1"/>
  <c r="T108" i="94"/>
  <c r="S123" i="94"/>
  <c r="S58" i="94"/>
  <c r="S62" i="94"/>
  <c r="S76" i="94"/>
  <c r="S80" i="94"/>
  <c r="S92" i="94"/>
  <c r="S101" i="94"/>
  <c r="S102" i="94"/>
  <c r="S103" i="94"/>
  <c r="S104" i="94"/>
  <c r="S105" i="94"/>
  <c r="S118" i="94"/>
  <c r="R123" i="94"/>
  <c r="Q123" i="94"/>
  <c r="O123" i="94"/>
  <c r="N123" i="94"/>
  <c r="N246" i="95" l="1"/>
  <c r="M252" i="95"/>
  <c r="M118" i="95"/>
  <c r="X100" i="94"/>
  <c r="X108" i="94"/>
  <c r="U100" i="94"/>
  <c r="W100" i="94"/>
  <c r="U108" i="94"/>
  <c r="S107" i="94"/>
  <c r="S108" i="94"/>
  <c r="S97" i="94"/>
  <c r="S99" i="94" s="1"/>
  <c r="O246" i="95" l="1"/>
  <c r="N252" i="95"/>
  <c r="N118" i="95"/>
  <c r="S100" i="94"/>
  <c r="P246" i="95" l="1"/>
  <c r="O252" i="95"/>
  <c r="O118" i="95"/>
  <c r="M123" i="94"/>
  <c r="L123" i="94"/>
  <c r="L58" i="94"/>
  <c r="L62" i="94"/>
  <c r="L76" i="94"/>
  <c r="L80" i="94"/>
  <c r="L92" i="94"/>
  <c r="L101" i="94"/>
  <c r="L102" i="94"/>
  <c r="L103" i="94"/>
  <c r="L104" i="94"/>
  <c r="L105" i="94"/>
  <c r="L118" i="94"/>
  <c r="K123" i="94"/>
  <c r="K58" i="94"/>
  <c r="K62" i="94"/>
  <c r="K76" i="94"/>
  <c r="AT18" i="94" s="1"/>
  <c r="K80" i="94"/>
  <c r="K92" i="94"/>
  <c r="J5" i="94" s="1"/>
  <c r="K101" i="94"/>
  <c r="K102" i="94"/>
  <c r="K103" i="94"/>
  <c r="K104" i="94"/>
  <c r="K105" i="94"/>
  <c r="K118" i="94"/>
  <c r="K151" i="94"/>
  <c r="J151" i="94"/>
  <c r="K150" i="94"/>
  <c r="K146" i="94"/>
  <c r="K147" i="94"/>
  <c r="K148" i="94"/>
  <c r="K149" i="94"/>
  <c r="K145" i="94"/>
  <c r="J123" i="94"/>
  <c r="J58" i="94"/>
  <c r="J62" i="94"/>
  <c r="J76" i="94"/>
  <c r="J80" i="94"/>
  <c r="J92" i="94"/>
  <c r="I5" i="94" s="1"/>
  <c r="J101" i="94"/>
  <c r="J102" i="94"/>
  <c r="J103" i="94"/>
  <c r="J104" i="94"/>
  <c r="J105" i="94"/>
  <c r="J118" i="94"/>
  <c r="I123" i="94"/>
  <c r="I118" i="94" s="1"/>
  <c r="I58" i="94"/>
  <c r="I62" i="94"/>
  <c r="I76" i="94"/>
  <c r="I80" i="94"/>
  <c r="I92" i="94"/>
  <c r="AS19" i="94" s="1"/>
  <c r="I101" i="94"/>
  <c r="I102" i="94"/>
  <c r="I103" i="94"/>
  <c r="I104" i="94"/>
  <c r="I105" i="94"/>
  <c r="H123" i="94"/>
  <c r="H58" i="94"/>
  <c r="H62" i="94"/>
  <c r="H76" i="94"/>
  <c r="H80" i="94"/>
  <c r="H92" i="94"/>
  <c r="H101" i="94"/>
  <c r="H102" i="94"/>
  <c r="H103" i="94"/>
  <c r="H104" i="94"/>
  <c r="H105" i="94"/>
  <c r="H118" i="94"/>
  <c r="G123" i="94"/>
  <c r="G58" i="94"/>
  <c r="G62" i="94"/>
  <c r="G76" i="94"/>
  <c r="G80" i="94"/>
  <c r="G92" i="94"/>
  <c r="G101" i="94"/>
  <c r="G102" i="94"/>
  <c r="G103" i="94"/>
  <c r="G104" i="94"/>
  <c r="G105" i="94"/>
  <c r="F123" i="94"/>
  <c r="F58" i="94"/>
  <c r="F62" i="94"/>
  <c r="F76" i="94"/>
  <c r="F80" i="94"/>
  <c r="AQ20" i="94" s="1"/>
  <c r="F92" i="94"/>
  <c r="F101" i="94"/>
  <c r="F102" i="94"/>
  <c r="F103" i="94"/>
  <c r="F104" i="94"/>
  <c r="F105" i="94"/>
  <c r="F118" i="94"/>
  <c r="E123" i="94"/>
  <c r="E58" i="94"/>
  <c r="E62" i="94"/>
  <c r="AP17" i="94" s="1"/>
  <c r="E76" i="94"/>
  <c r="E80" i="94"/>
  <c r="E92" i="94"/>
  <c r="D5" i="94" s="1"/>
  <c r="E101" i="94"/>
  <c r="E107" i="94" s="1"/>
  <c r="E102" i="94"/>
  <c r="E103" i="94"/>
  <c r="E104" i="94"/>
  <c r="E105" i="94"/>
  <c r="E118" i="94"/>
  <c r="D62" i="94"/>
  <c r="AH125" i="94"/>
  <c r="AI125" i="94"/>
  <c r="AH124" i="94"/>
  <c r="AI124" i="94"/>
  <c r="C58" i="94"/>
  <c r="C62" i="94"/>
  <c r="C76" i="94"/>
  <c r="AN18" i="94" s="1"/>
  <c r="C80" i="94"/>
  <c r="AN20" i="94" s="1"/>
  <c r="C92" i="94"/>
  <c r="AN19" i="94" s="1"/>
  <c r="C101" i="94"/>
  <c r="C102" i="94"/>
  <c r="C103" i="94"/>
  <c r="C104" i="94"/>
  <c r="C105" i="94"/>
  <c r="C118" i="94"/>
  <c r="B105" i="94"/>
  <c r="B104" i="94"/>
  <c r="B103" i="94"/>
  <c r="B102" i="94"/>
  <c r="B101" i="94"/>
  <c r="B92" i="94"/>
  <c r="B108" i="94" s="1"/>
  <c r="B80" i="94"/>
  <c r="AM20" i="94" s="1"/>
  <c r="B76" i="94"/>
  <c r="AM18" i="94" s="1"/>
  <c r="B62" i="94"/>
  <c r="AM17" i="94" s="1"/>
  <c r="B58" i="94"/>
  <c r="AM16" i="94" s="1"/>
  <c r="AG252" i="94"/>
  <c r="C252" i="94"/>
  <c r="D251" i="94"/>
  <c r="E251" i="94" s="1"/>
  <c r="E250" i="94"/>
  <c r="F250" i="94" s="1"/>
  <c r="G250" i="94" s="1"/>
  <c r="H250" i="94" s="1"/>
  <c r="I250" i="94" s="1"/>
  <c r="J250" i="94" s="1"/>
  <c r="K250" i="94" s="1"/>
  <c r="L250" i="94" s="1"/>
  <c r="M250" i="94" s="1"/>
  <c r="N250" i="94" s="1"/>
  <c r="O250" i="94" s="1"/>
  <c r="P250" i="94" s="1"/>
  <c r="Q250" i="94" s="1"/>
  <c r="R250" i="94" s="1"/>
  <c r="S250" i="94" s="1"/>
  <c r="T250" i="94" s="1"/>
  <c r="U250" i="94" s="1"/>
  <c r="V250" i="94" s="1"/>
  <c r="W250" i="94" s="1"/>
  <c r="X250" i="94" s="1"/>
  <c r="Y250" i="94" s="1"/>
  <c r="Z250" i="94" s="1"/>
  <c r="AA250" i="94" s="1"/>
  <c r="AB250" i="94" s="1"/>
  <c r="AC250" i="94" s="1"/>
  <c r="AD250" i="94" s="1"/>
  <c r="AE250" i="94" s="1"/>
  <c r="AF250" i="94" s="1"/>
  <c r="B250" i="94" s="1"/>
  <c r="D250" i="94"/>
  <c r="D249" i="94"/>
  <c r="E249" i="94" s="1"/>
  <c r="F249" i="94" s="1"/>
  <c r="G249" i="94" s="1"/>
  <c r="H249" i="94" s="1"/>
  <c r="I249" i="94" s="1"/>
  <c r="J249" i="94" s="1"/>
  <c r="K249" i="94" s="1"/>
  <c r="L249" i="94" s="1"/>
  <c r="M249" i="94" s="1"/>
  <c r="N249" i="94" s="1"/>
  <c r="O249" i="94" s="1"/>
  <c r="P249" i="94" s="1"/>
  <c r="Q249" i="94" s="1"/>
  <c r="R249" i="94" s="1"/>
  <c r="S249" i="94" s="1"/>
  <c r="T249" i="94" s="1"/>
  <c r="U249" i="94" s="1"/>
  <c r="V249" i="94" s="1"/>
  <c r="W249" i="94" s="1"/>
  <c r="X249" i="94" s="1"/>
  <c r="Y249" i="94" s="1"/>
  <c r="Z249" i="94" s="1"/>
  <c r="AA249" i="94" s="1"/>
  <c r="AB249" i="94" s="1"/>
  <c r="AC249" i="94" s="1"/>
  <c r="AD249" i="94" s="1"/>
  <c r="AE249" i="94" s="1"/>
  <c r="AF249" i="94" s="1"/>
  <c r="B249" i="94" s="1"/>
  <c r="D248" i="94"/>
  <c r="D247" i="94"/>
  <c r="E247" i="94" s="1"/>
  <c r="F247" i="94" s="1"/>
  <c r="G247" i="94" s="1"/>
  <c r="H247" i="94" s="1"/>
  <c r="I247" i="94" s="1"/>
  <c r="J247" i="94" s="1"/>
  <c r="K247" i="94" s="1"/>
  <c r="L247" i="94" s="1"/>
  <c r="M247" i="94" s="1"/>
  <c r="N247" i="94" s="1"/>
  <c r="O247" i="94" s="1"/>
  <c r="P247" i="94" s="1"/>
  <c r="Q247" i="94" s="1"/>
  <c r="R247" i="94" s="1"/>
  <c r="S247" i="94" s="1"/>
  <c r="T247" i="94" s="1"/>
  <c r="U247" i="94" s="1"/>
  <c r="V247" i="94" s="1"/>
  <c r="W247" i="94" s="1"/>
  <c r="X247" i="94" s="1"/>
  <c r="Y247" i="94" s="1"/>
  <c r="Z247" i="94" s="1"/>
  <c r="AA247" i="94" s="1"/>
  <c r="AB247" i="94" s="1"/>
  <c r="AC247" i="94" s="1"/>
  <c r="AD247" i="94" s="1"/>
  <c r="AE247" i="94" s="1"/>
  <c r="AF247" i="94" s="1"/>
  <c r="B247" i="94" s="1"/>
  <c r="D246" i="94"/>
  <c r="E246" i="94" s="1"/>
  <c r="F246" i="94" s="1"/>
  <c r="G246" i="94" s="1"/>
  <c r="AG244" i="94"/>
  <c r="AF244" i="94"/>
  <c r="AE244" i="94"/>
  <c r="AD244" i="94"/>
  <c r="AC244" i="94"/>
  <c r="AB244" i="94"/>
  <c r="AA244" i="94"/>
  <c r="Z244" i="94"/>
  <c r="Y244" i="94"/>
  <c r="X244" i="94"/>
  <c r="W244" i="94"/>
  <c r="V244" i="94"/>
  <c r="U244" i="94"/>
  <c r="T244" i="94"/>
  <c r="S244" i="94"/>
  <c r="R244" i="94"/>
  <c r="Q244" i="94"/>
  <c r="P244" i="94"/>
  <c r="O244" i="94"/>
  <c r="N244" i="94"/>
  <c r="M244" i="94"/>
  <c r="L244" i="94"/>
  <c r="J244" i="94"/>
  <c r="I244" i="94"/>
  <c r="H244" i="94"/>
  <c r="G244" i="94"/>
  <c r="F244" i="94"/>
  <c r="E244" i="94"/>
  <c r="D244" i="94"/>
  <c r="C244" i="94"/>
  <c r="B244" i="94"/>
  <c r="AI130" i="94"/>
  <c r="AH130" i="94"/>
  <c r="AI129" i="94"/>
  <c r="AH129" i="94"/>
  <c r="AI128" i="94"/>
  <c r="AH128" i="94"/>
  <c r="AI127" i="94"/>
  <c r="AH127" i="94"/>
  <c r="AI126" i="94"/>
  <c r="AH126" i="94"/>
  <c r="AI123" i="94"/>
  <c r="AI122" i="94"/>
  <c r="AH122" i="94"/>
  <c r="AI121" i="94"/>
  <c r="AH121" i="94"/>
  <c r="AI120" i="94"/>
  <c r="AH120" i="94"/>
  <c r="AI119" i="94"/>
  <c r="AH119" i="94"/>
  <c r="AI117" i="94"/>
  <c r="AH117" i="94"/>
  <c r="AI116" i="94"/>
  <c r="AH116" i="94"/>
  <c r="AI115" i="94"/>
  <c r="AH115" i="94"/>
  <c r="AI114" i="94"/>
  <c r="AH114" i="94"/>
  <c r="AI113" i="94"/>
  <c r="AH113" i="94"/>
  <c r="AI112" i="94"/>
  <c r="AH112" i="94"/>
  <c r="AI111" i="94"/>
  <c r="AH111" i="94"/>
  <c r="AI110" i="94"/>
  <c r="AH110" i="94"/>
  <c r="AI109" i="94"/>
  <c r="AH109" i="94"/>
  <c r="AM23" i="94"/>
  <c r="AI106" i="94"/>
  <c r="AH106" i="94"/>
  <c r="AF105" i="94"/>
  <c r="AE105" i="94"/>
  <c r="AD105" i="94"/>
  <c r="AC105" i="94"/>
  <c r="AB105" i="94"/>
  <c r="R105" i="94"/>
  <c r="Q105" i="94"/>
  <c r="P105" i="94"/>
  <c r="O105" i="94"/>
  <c r="N105" i="94"/>
  <c r="M105" i="94"/>
  <c r="D105" i="94"/>
  <c r="AF104" i="94"/>
  <c r="AE104" i="94"/>
  <c r="AD104" i="94"/>
  <c r="AC104" i="94"/>
  <c r="AB104" i="94"/>
  <c r="R104" i="94"/>
  <c r="Q104" i="94"/>
  <c r="P104" i="94"/>
  <c r="O104" i="94"/>
  <c r="N104" i="94"/>
  <c r="M104" i="94"/>
  <c r="D104" i="94"/>
  <c r="AF103" i="94"/>
  <c r="AE103" i="94"/>
  <c r="AD103" i="94"/>
  <c r="AC103" i="94"/>
  <c r="AB103" i="94"/>
  <c r="R103" i="94"/>
  <c r="Q103" i="94"/>
  <c r="P103" i="94"/>
  <c r="O103" i="94"/>
  <c r="N103" i="94"/>
  <c r="M103" i="94"/>
  <c r="D103" i="94"/>
  <c r="AF102" i="94"/>
  <c r="AE102" i="94"/>
  <c r="AD102" i="94"/>
  <c r="AC102" i="94"/>
  <c r="AB102" i="94"/>
  <c r="R102" i="94"/>
  <c r="Q102" i="94"/>
  <c r="P102" i="94"/>
  <c r="O102" i="94"/>
  <c r="N102" i="94"/>
  <c r="M102" i="94"/>
  <c r="D102" i="94"/>
  <c r="AF101" i="94"/>
  <c r="AE101" i="94"/>
  <c r="AD101" i="94"/>
  <c r="AC101" i="94"/>
  <c r="AB101" i="94"/>
  <c r="R101" i="94"/>
  <c r="Q101" i="94"/>
  <c r="P101" i="94"/>
  <c r="O101" i="94"/>
  <c r="N101" i="94"/>
  <c r="M101" i="94"/>
  <c r="D101" i="94"/>
  <c r="AI98" i="94"/>
  <c r="AH98" i="94"/>
  <c r="AI96" i="94"/>
  <c r="AH96" i="94"/>
  <c r="AG96" i="94"/>
  <c r="AI95" i="94"/>
  <c r="AH95" i="94"/>
  <c r="AI94" i="94"/>
  <c r="AH94" i="94"/>
  <c r="AI93" i="94"/>
  <c r="AH93" i="94"/>
  <c r="AG92" i="94"/>
  <c r="AF92" i="94"/>
  <c r="AE5" i="94" s="1"/>
  <c r="AE92" i="94"/>
  <c r="AD5" i="94" s="1"/>
  <c r="AD92" i="94"/>
  <c r="AC5" i="94" s="1"/>
  <c r="AC92" i="94"/>
  <c r="AB5" i="94" s="1"/>
  <c r="AB92" i="94"/>
  <c r="AA5" i="94" s="1"/>
  <c r="Z5" i="94"/>
  <c r="Y5" i="94"/>
  <c r="X5" i="94"/>
  <c r="T5" i="94"/>
  <c r="R5" i="94"/>
  <c r="R92" i="94"/>
  <c r="Q5" i="94" s="1"/>
  <c r="Q92" i="94"/>
  <c r="P92" i="94"/>
  <c r="AX19" i="94" s="1"/>
  <c r="O92" i="94"/>
  <c r="N5" i="94" s="1"/>
  <c r="N92" i="94"/>
  <c r="AV19" i="94" s="1"/>
  <c r="M92" i="94"/>
  <c r="AU19" i="94" s="1"/>
  <c r="D92" i="94"/>
  <c r="AO19" i="94" s="1"/>
  <c r="AI91" i="94"/>
  <c r="AH91" i="94"/>
  <c r="AI90" i="94"/>
  <c r="AH90" i="94"/>
  <c r="AI89" i="94"/>
  <c r="AH89" i="94"/>
  <c r="AI88" i="94"/>
  <c r="AH88" i="94"/>
  <c r="AI87" i="94"/>
  <c r="AH87" i="94"/>
  <c r="AI86" i="94"/>
  <c r="AH86" i="94"/>
  <c r="AI85" i="94"/>
  <c r="AH85" i="94"/>
  <c r="AI84" i="94"/>
  <c r="AH84" i="94"/>
  <c r="AI83" i="94"/>
  <c r="AH83" i="94"/>
  <c r="AI82" i="94"/>
  <c r="AH82" i="94"/>
  <c r="AI81" i="94"/>
  <c r="AH81" i="94"/>
  <c r="AG80" i="94"/>
  <c r="AF80" i="94"/>
  <c r="AE80" i="94"/>
  <c r="AD80" i="94"/>
  <c r="AC80" i="94"/>
  <c r="AB80" i="94"/>
  <c r="R80" i="94"/>
  <c r="Q80" i="94"/>
  <c r="P80" i="94"/>
  <c r="AX20" i="94" s="1"/>
  <c r="O80" i="94"/>
  <c r="N80" i="94"/>
  <c r="AV20" i="94" s="1"/>
  <c r="M80" i="94"/>
  <c r="AS20" i="94"/>
  <c r="D80" i="94"/>
  <c r="AO20" i="94" s="1"/>
  <c r="AI79" i="94"/>
  <c r="AH79" i="94"/>
  <c r="AI78" i="94"/>
  <c r="AH78" i="94"/>
  <c r="AI77" i="94"/>
  <c r="AH77" i="94"/>
  <c r="AF76" i="94"/>
  <c r="AE76" i="94"/>
  <c r="AD76" i="94"/>
  <c r="AC76" i="94"/>
  <c r="AB76" i="94"/>
  <c r="R76" i="94"/>
  <c r="Q76" i="94"/>
  <c r="P76" i="94"/>
  <c r="AX18" i="94" s="1"/>
  <c r="O76" i="94"/>
  <c r="AW18" i="94" s="1"/>
  <c r="N76" i="94"/>
  <c r="AV18" i="94" s="1"/>
  <c r="M76" i="94"/>
  <c r="AU18" i="94" s="1"/>
  <c r="AR18" i="94"/>
  <c r="AQ18" i="94"/>
  <c r="AP18" i="94"/>
  <c r="D76" i="94"/>
  <c r="AO18" i="94" s="1"/>
  <c r="AI75" i="94"/>
  <c r="AH75" i="94"/>
  <c r="AG75" i="94"/>
  <c r="AG76" i="94" s="1"/>
  <c r="AG3" i="94" s="1"/>
  <c r="AI74" i="94"/>
  <c r="AH74" i="94"/>
  <c r="BW73" i="94"/>
  <c r="BW80" i="94" s="1"/>
  <c r="BV73" i="94"/>
  <c r="BV80" i="94" s="1"/>
  <c r="BU73" i="94"/>
  <c r="BU80" i="94" s="1"/>
  <c r="BT73" i="94"/>
  <c r="BT80" i="94" s="1"/>
  <c r="BS73" i="94"/>
  <c r="BS80" i="94" s="1"/>
  <c r="BR73" i="94"/>
  <c r="BR80" i="94" s="1"/>
  <c r="BQ73" i="94"/>
  <c r="BQ80" i="94" s="1"/>
  <c r="BP73" i="94"/>
  <c r="BP80" i="94" s="1"/>
  <c r="BO73" i="94"/>
  <c r="BO80" i="94" s="1"/>
  <c r="BN73" i="94"/>
  <c r="BN80" i="94" s="1"/>
  <c r="BM73" i="94"/>
  <c r="BM80" i="94" s="1"/>
  <c r="BL73" i="94"/>
  <c r="BL80" i="94" s="1"/>
  <c r="BK73" i="94"/>
  <c r="BK80" i="94" s="1"/>
  <c r="BJ73" i="94"/>
  <c r="BJ80" i="94" s="1"/>
  <c r="BI73" i="94"/>
  <c r="BI80" i="94" s="1"/>
  <c r="BH73" i="94"/>
  <c r="BH80" i="94" s="1"/>
  <c r="BG73" i="94"/>
  <c r="BG80" i="94" s="1"/>
  <c r="BF73" i="94"/>
  <c r="BF80" i="94" s="1"/>
  <c r="BE73" i="94"/>
  <c r="BE80" i="94" s="1"/>
  <c r="BD73" i="94"/>
  <c r="BD80" i="94" s="1"/>
  <c r="BC73" i="94"/>
  <c r="BC80" i="94" s="1"/>
  <c r="BB73" i="94"/>
  <c r="BB80" i="94" s="1"/>
  <c r="BA73" i="94"/>
  <c r="BA80" i="94" s="1"/>
  <c r="AZ73" i="94"/>
  <c r="AZ80" i="94" s="1"/>
  <c r="AI73" i="94"/>
  <c r="AH73" i="94"/>
  <c r="BW72" i="94"/>
  <c r="BW79" i="94" s="1"/>
  <c r="BV72" i="94"/>
  <c r="BV79" i="94" s="1"/>
  <c r="BU72" i="94"/>
  <c r="BU79" i="94" s="1"/>
  <c r="BT72" i="94"/>
  <c r="BT79" i="94" s="1"/>
  <c r="BS72" i="94"/>
  <c r="BS79" i="94" s="1"/>
  <c r="BR72" i="94"/>
  <c r="BR79" i="94" s="1"/>
  <c r="BQ72" i="94"/>
  <c r="BQ79" i="94" s="1"/>
  <c r="BP72" i="94"/>
  <c r="BP79" i="94" s="1"/>
  <c r="BO72" i="94"/>
  <c r="BO79" i="94" s="1"/>
  <c r="BN72" i="94"/>
  <c r="BN79" i="94" s="1"/>
  <c r="BM72" i="94"/>
  <c r="BM79" i="94" s="1"/>
  <c r="BL72" i="94"/>
  <c r="BL79" i="94" s="1"/>
  <c r="BK72" i="94"/>
  <c r="BK79" i="94" s="1"/>
  <c r="BJ72" i="94"/>
  <c r="BJ79" i="94" s="1"/>
  <c r="BI72" i="94"/>
  <c r="BI79" i="94" s="1"/>
  <c r="BH72" i="94"/>
  <c r="BH79" i="94" s="1"/>
  <c r="BG72" i="94"/>
  <c r="BG79" i="94" s="1"/>
  <c r="BF72" i="94"/>
  <c r="BF79" i="94" s="1"/>
  <c r="BE72" i="94"/>
  <c r="BE79" i="94" s="1"/>
  <c r="BD72" i="94"/>
  <c r="BD79" i="94" s="1"/>
  <c r="BC72" i="94"/>
  <c r="BC79" i="94" s="1"/>
  <c r="BB72" i="94"/>
  <c r="BB79" i="94" s="1"/>
  <c r="BA72" i="94"/>
  <c r="BA79" i="94" s="1"/>
  <c r="AZ72" i="94"/>
  <c r="AZ79" i="94" s="1"/>
  <c r="AI72" i="94"/>
  <c r="AH72" i="94"/>
  <c r="BW71" i="94"/>
  <c r="BW78" i="94" s="1"/>
  <c r="BV71" i="94"/>
  <c r="BV78" i="94" s="1"/>
  <c r="BU71" i="94"/>
  <c r="BU78" i="94" s="1"/>
  <c r="BT71" i="94"/>
  <c r="BT78" i="94" s="1"/>
  <c r="BS71" i="94"/>
  <c r="BS78" i="94" s="1"/>
  <c r="BR71" i="94"/>
  <c r="BR78" i="94" s="1"/>
  <c r="BQ71" i="94"/>
  <c r="BQ78" i="94" s="1"/>
  <c r="BP71" i="94"/>
  <c r="BP78" i="94" s="1"/>
  <c r="BO71" i="94"/>
  <c r="BO78" i="94" s="1"/>
  <c r="BN71" i="94"/>
  <c r="BN78" i="94" s="1"/>
  <c r="BM71" i="94"/>
  <c r="BM78" i="94" s="1"/>
  <c r="BL71" i="94"/>
  <c r="BL78" i="94" s="1"/>
  <c r="BK71" i="94"/>
  <c r="BK78" i="94" s="1"/>
  <c r="BJ71" i="94"/>
  <c r="BJ78" i="94" s="1"/>
  <c r="BI71" i="94"/>
  <c r="BI78" i="94" s="1"/>
  <c r="BH71" i="94"/>
  <c r="BH78" i="94" s="1"/>
  <c r="BG71" i="94"/>
  <c r="BG78" i="94" s="1"/>
  <c r="BF71" i="94"/>
  <c r="BF78" i="94" s="1"/>
  <c r="BE71" i="94"/>
  <c r="BE78" i="94" s="1"/>
  <c r="BD71" i="94"/>
  <c r="BD78" i="94" s="1"/>
  <c r="BC71" i="94"/>
  <c r="BC78" i="94" s="1"/>
  <c r="BB71" i="94"/>
  <c r="BB78" i="94" s="1"/>
  <c r="BA71" i="94"/>
  <c r="BA78" i="94" s="1"/>
  <c r="AZ71" i="94"/>
  <c r="AZ78" i="94" s="1"/>
  <c r="AI71" i="94"/>
  <c r="AH71" i="94"/>
  <c r="BW70" i="94"/>
  <c r="BW77" i="94" s="1"/>
  <c r="BV70" i="94"/>
  <c r="BV77" i="94" s="1"/>
  <c r="BU70" i="94"/>
  <c r="BU77" i="94" s="1"/>
  <c r="BT70" i="94"/>
  <c r="BT77" i="94" s="1"/>
  <c r="BS70" i="94"/>
  <c r="BS77" i="94" s="1"/>
  <c r="BR70" i="94"/>
  <c r="BR77" i="94" s="1"/>
  <c r="BQ70" i="94"/>
  <c r="BQ77" i="94" s="1"/>
  <c r="BP70" i="94"/>
  <c r="BP77" i="94" s="1"/>
  <c r="BO70" i="94"/>
  <c r="BO77" i="94" s="1"/>
  <c r="BN70" i="94"/>
  <c r="BN77" i="94" s="1"/>
  <c r="BM70" i="94"/>
  <c r="BM77" i="94" s="1"/>
  <c r="BL70" i="94"/>
  <c r="BL77" i="94" s="1"/>
  <c r="BK70" i="94"/>
  <c r="BK77" i="94" s="1"/>
  <c r="BJ70" i="94"/>
  <c r="BJ77" i="94" s="1"/>
  <c r="BI70" i="94"/>
  <c r="BI77" i="94" s="1"/>
  <c r="BH70" i="94"/>
  <c r="BH77" i="94" s="1"/>
  <c r="BG70" i="94"/>
  <c r="BG77" i="94" s="1"/>
  <c r="BF70" i="94"/>
  <c r="BF77" i="94" s="1"/>
  <c r="BE70" i="94"/>
  <c r="BE77" i="94" s="1"/>
  <c r="BD70" i="94"/>
  <c r="BD77" i="94" s="1"/>
  <c r="BC70" i="94"/>
  <c r="BC77" i="94" s="1"/>
  <c r="BB70" i="94"/>
  <c r="BB77" i="94" s="1"/>
  <c r="BA70" i="94"/>
  <c r="BA77" i="94" s="1"/>
  <c r="AZ70" i="94"/>
  <c r="AZ77" i="94" s="1"/>
  <c r="AI70" i="94"/>
  <c r="AH70" i="94"/>
  <c r="BW69" i="94"/>
  <c r="BW76" i="94" s="1"/>
  <c r="BV69" i="94"/>
  <c r="BV76" i="94" s="1"/>
  <c r="BU69" i="94"/>
  <c r="BU76" i="94" s="1"/>
  <c r="BT69" i="94"/>
  <c r="BT76" i="94" s="1"/>
  <c r="BS69" i="94"/>
  <c r="BS76" i="94" s="1"/>
  <c r="BR69" i="94"/>
  <c r="BR76" i="94" s="1"/>
  <c r="BQ69" i="94"/>
  <c r="BQ76" i="94" s="1"/>
  <c r="BP69" i="94"/>
  <c r="BP76" i="94" s="1"/>
  <c r="BO69" i="94"/>
  <c r="BO76" i="94" s="1"/>
  <c r="BN69" i="94"/>
  <c r="BN76" i="94" s="1"/>
  <c r="BM69" i="94"/>
  <c r="BM76" i="94" s="1"/>
  <c r="BL69" i="94"/>
  <c r="BL76" i="94" s="1"/>
  <c r="BK69" i="94"/>
  <c r="BK76" i="94" s="1"/>
  <c r="BJ69" i="94"/>
  <c r="BJ76" i="94" s="1"/>
  <c r="BI69" i="94"/>
  <c r="BI76" i="94" s="1"/>
  <c r="BH69" i="94"/>
  <c r="BH76" i="94" s="1"/>
  <c r="BG69" i="94"/>
  <c r="BG76" i="94" s="1"/>
  <c r="BF69" i="94"/>
  <c r="BF76" i="94" s="1"/>
  <c r="BE69" i="94"/>
  <c r="BE76" i="94" s="1"/>
  <c r="BD69" i="94"/>
  <c r="BD76" i="94" s="1"/>
  <c r="BC69" i="94"/>
  <c r="BC76" i="94" s="1"/>
  <c r="BB69" i="94"/>
  <c r="BB76" i="94" s="1"/>
  <c r="BA69" i="94"/>
  <c r="BA76" i="94" s="1"/>
  <c r="AZ69" i="94"/>
  <c r="AZ76" i="94" s="1"/>
  <c r="AI69" i="94"/>
  <c r="AH69" i="94"/>
  <c r="BW68" i="94"/>
  <c r="BW75" i="94" s="1"/>
  <c r="BV68" i="94"/>
  <c r="BV75" i="94" s="1"/>
  <c r="BU68" i="94"/>
  <c r="BU75" i="94" s="1"/>
  <c r="BT68" i="94"/>
  <c r="BT75" i="94" s="1"/>
  <c r="BS68" i="94"/>
  <c r="BS75" i="94" s="1"/>
  <c r="BR68" i="94"/>
  <c r="BR75" i="94" s="1"/>
  <c r="BQ68" i="94"/>
  <c r="BQ75" i="94" s="1"/>
  <c r="BP68" i="94"/>
  <c r="BP75" i="94" s="1"/>
  <c r="BO68" i="94"/>
  <c r="BO75" i="94" s="1"/>
  <c r="BN68" i="94"/>
  <c r="BN75" i="94" s="1"/>
  <c r="BM68" i="94"/>
  <c r="BM75" i="94" s="1"/>
  <c r="BL68" i="94"/>
  <c r="BL75" i="94" s="1"/>
  <c r="BK68" i="94"/>
  <c r="BK75" i="94" s="1"/>
  <c r="BJ68" i="94"/>
  <c r="BJ75" i="94" s="1"/>
  <c r="BI68" i="94"/>
  <c r="BI75" i="94" s="1"/>
  <c r="BH68" i="94"/>
  <c r="BH75" i="94" s="1"/>
  <c r="BG68" i="94"/>
  <c r="BG75" i="94" s="1"/>
  <c r="BF68" i="94"/>
  <c r="BF75" i="94" s="1"/>
  <c r="BE68" i="94"/>
  <c r="BE75" i="94" s="1"/>
  <c r="BD68" i="94"/>
  <c r="BD75" i="94" s="1"/>
  <c r="BC68" i="94"/>
  <c r="BC75" i="94" s="1"/>
  <c r="BB68" i="94"/>
  <c r="BB75" i="94" s="1"/>
  <c r="BA68" i="94"/>
  <c r="BA75" i="94" s="1"/>
  <c r="AZ68" i="94"/>
  <c r="AZ75" i="94" s="1"/>
  <c r="AI68" i="94"/>
  <c r="AH68" i="94"/>
  <c r="AI67" i="94"/>
  <c r="AH67" i="94"/>
  <c r="AI66" i="94"/>
  <c r="AH66" i="94"/>
  <c r="AI65" i="94"/>
  <c r="AH65" i="94"/>
  <c r="AI64" i="94"/>
  <c r="AH64" i="94"/>
  <c r="AI63" i="94"/>
  <c r="AH63" i="94"/>
  <c r="AG62" i="94"/>
  <c r="AF62" i="94"/>
  <c r="AE62" i="94"/>
  <c r="AD62" i="94"/>
  <c r="AC62" i="94"/>
  <c r="AB62" i="94"/>
  <c r="R62" i="94"/>
  <c r="Q62" i="94"/>
  <c r="P62" i="94"/>
  <c r="AX17" i="94" s="1"/>
  <c r="O62" i="94"/>
  <c r="AW17" i="94" s="1"/>
  <c r="N62" i="94"/>
  <c r="AV17" i="94" s="1"/>
  <c r="M62" i="94"/>
  <c r="AU17" i="94" s="1"/>
  <c r="AT17" i="94"/>
  <c r="AS17" i="94"/>
  <c r="AR17" i="94"/>
  <c r="AI61" i="94"/>
  <c r="AH61" i="94"/>
  <c r="AI60" i="94"/>
  <c r="AH60" i="94"/>
  <c r="AI59" i="94"/>
  <c r="AH59" i="94"/>
  <c r="AG58" i="94"/>
  <c r="AF58" i="94"/>
  <c r="AE58" i="94"/>
  <c r="AD58" i="94"/>
  <c r="AC58" i="94"/>
  <c r="AB58" i="94"/>
  <c r="R58" i="94"/>
  <c r="Q58" i="94"/>
  <c r="P58" i="94"/>
  <c r="O58" i="94"/>
  <c r="N58" i="94"/>
  <c r="AV16" i="94" s="1"/>
  <c r="M58" i="94"/>
  <c r="AU16" i="94" s="1"/>
  <c r="AQ16" i="94"/>
  <c r="AP16" i="94"/>
  <c r="D58" i="94"/>
  <c r="AI57" i="94"/>
  <c r="AH57" i="94"/>
  <c r="AI56" i="94"/>
  <c r="AH56" i="94"/>
  <c r="AI55" i="94"/>
  <c r="AH55" i="94"/>
  <c r="AI54" i="94"/>
  <c r="AH54" i="94"/>
  <c r="AI53" i="94"/>
  <c r="AH53" i="94"/>
  <c r="AI52" i="94"/>
  <c r="AH52" i="94"/>
  <c r="AI51" i="94"/>
  <c r="AH51" i="94"/>
  <c r="AI50" i="94"/>
  <c r="AH50" i="94"/>
  <c r="AI49" i="94"/>
  <c r="AH49" i="94"/>
  <c r="AI48" i="94"/>
  <c r="AH48" i="94"/>
  <c r="AI47" i="94"/>
  <c r="AH47" i="94"/>
  <c r="AI46" i="94"/>
  <c r="AH46" i="94"/>
  <c r="AI45" i="94"/>
  <c r="AH45" i="94"/>
  <c r="AI44" i="94"/>
  <c r="AH44" i="94"/>
  <c r="AI43" i="94"/>
  <c r="AH43" i="94"/>
  <c r="AI42" i="94"/>
  <c r="AH42" i="94"/>
  <c r="AI41" i="94"/>
  <c r="AH41" i="94"/>
  <c r="AI40" i="94"/>
  <c r="AH40" i="94"/>
  <c r="AI39" i="94"/>
  <c r="AH39" i="94"/>
  <c r="AI38" i="94"/>
  <c r="AH38" i="94"/>
  <c r="AI37" i="94"/>
  <c r="AH37" i="94"/>
  <c r="AI36" i="94"/>
  <c r="AH36" i="94"/>
  <c r="AI35" i="94"/>
  <c r="AH35" i="94"/>
  <c r="AI34" i="94"/>
  <c r="AH34" i="94"/>
  <c r="AI33" i="94"/>
  <c r="AH33" i="94"/>
  <c r="AI32" i="94"/>
  <c r="AH32" i="94"/>
  <c r="AI31" i="94"/>
  <c r="AH31" i="94"/>
  <c r="AI30" i="94"/>
  <c r="AH30" i="94"/>
  <c r="AI29" i="94"/>
  <c r="AH29" i="94"/>
  <c r="AI28" i="94"/>
  <c r="AH28" i="94"/>
  <c r="AI27" i="94"/>
  <c r="AH27" i="94"/>
  <c r="AI26" i="94"/>
  <c r="AH26" i="94"/>
  <c r="AI25" i="94"/>
  <c r="AH25" i="94"/>
  <c r="AI24" i="94"/>
  <c r="AH24" i="94"/>
  <c r="AN23" i="94"/>
  <c r="AI23" i="94"/>
  <c r="AH23" i="94"/>
  <c r="AI22" i="94"/>
  <c r="AH22" i="94"/>
  <c r="AX21" i="94"/>
  <c r="AW21" i="94"/>
  <c r="AV21" i="94"/>
  <c r="AU21" i="94"/>
  <c r="AT21" i="94"/>
  <c r="AS21" i="94"/>
  <c r="AR21" i="94"/>
  <c r="AQ21" i="94"/>
  <c r="AP21" i="94"/>
  <c r="AO21" i="94"/>
  <c r="AN21" i="94"/>
  <c r="AM21" i="94"/>
  <c r="AI21" i="94"/>
  <c r="AH21" i="94"/>
  <c r="AW20" i="94"/>
  <c r="AT20" i="94"/>
  <c r="AR20" i="94"/>
  <c r="AI20" i="94"/>
  <c r="AH20" i="94"/>
  <c r="AR19" i="94"/>
  <c r="AQ19" i="94"/>
  <c r="AI19" i="94"/>
  <c r="AH19" i="94"/>
  <c r="AS18" i="94"/>
  <c r="AI18" i="94"/>
  <c r="AH18" i="94"/>
  <c r="AQ17" i="94"/>
  <c r="AO17" i="94"/>
  <c r="AN17" i="94"/>
  <c r="AI17" i="94"/>
  <c r="AH17" i="94"/>
  <c r="AI16" i="94"/>
  <c r="AH16" i="94"/>
  <c r="AI15" i="94"/>
  <c r="AH15" i="94"/>
  <c r="AI14" i="94"/>
  <c r="AH14" i="94"/>
  <c r="AI13" i="94"/>
  <c r="AH13" i="94"/>
  <c r="AL12" i="94"/>
  <c r="AI12" i="94"/>
  <c r="AH12" i="94"/>
  <c r="AI11" i="94"/>
  <c r="AH11" i="94"/>
  <c r="AF5" i="94"/>
  <c r="V5" i="94"/>
  <c r="U5" i="94"/>
  <c r="S5" i="94"/>
  <c r="E5" i="94"/>
  <c r="AG4" i="94"/>
  <c r="AG6" i="94" s="1"/>
  <c r="K4" i="94"/>
  <c r="E4" i="94"/>
  <c r="H4" i="94" s="1"/>
  <c r="B4" i="94"/>
  <c r="D258" i="94" s="1"/>
  <c r="AG2" i="94"/>
  <c r="AF58" i="93"/>
  <c r="AF62" i="93"/>
  <c r="AF76" i="93"/>
  <c r="AF80" i="93"/>
  <c r="AF92" i="93"/>
  <c r="AF97" i="93" s="1"/>
  <c r="AF99" i="93" s="1"/>
  <c r="AF100" i="93" s="1"/>
  <c r="AF101" i="93"/>
  <c r="AF102" i="93"/>
  <c r="AF103" i="93"/>
  <c r="AF104" i="93"/>
  <c r="AF105" i="93"/>
  <c r="AF118" i="93"/>
  <c r="AE58" i="93"/>
  <c r="AE62" i="93"/>
  <c r="AE76" i="93"/>
  <c r="AE80" i="93"/>
  <c r="AE92" i="93"/>
  <c r="AE108" i="93" s="1"/>
  <c r="AE101" i="93"/>
  <c r="AE102" i="93"/>
  <c r="AE103" i="93"/>
  <c r="AE104" i="93"/>
  <c r="AE105" i="93"/>
  <c r="AE118" i="93"/>
  <c r="AD58" i="93"/>
  <c r="AD62" i="93"/>
  <c r="AD76" i="93"/>
  <c r="AD80" i="93"/>
  <c r="AD92" i="93"/>
  <c r="AD101" i="93"/>
  <c r="AD102" i="93"/>
  <c r="AD103" i="93"/>
  <c r="AD104" i="93"/>
  <c r="AD105" i="93"/>
  <c r="AD118" i="93"/>
  <c r="AC58" i="93"/>
  <c r="AC62" i="93"/>
  <c r="AC76" i="93"/>
  <c r="AC80" i="93"/>
  <c r="AC92" i="93"/>
  <c r="AC101" i="93"/>
  <c r="AC102" i="93"/>
  <c r="AC103" i="93"/>
  <c r="AC104" i="93"/>
  <c r="AC105" i="93"/>
  <c r="AC118" i="93"/>
  <c r="AA123" i="93"/>
  <c r="Z123" i="93"/>
  <c r="Y123" i="93"/>
  <c r="V57" i="93"/>
  <c r="V123" i="93"/>
  <c r="U123" i="93"/>
  <c r="U57" i="93"/>
  <c r="Q246" i="95" l="1"/>
  <c r="P252" i="95"/>
  <c r="AC97" i="94"/>
  <c r="AC99" i="94" s="1"/>
  <c r="O5" i="94"/>
  <c r="AW19" i="94"/>
  <c r="O97" i="94"/>
  <c r="O99" i="94" s="1"/>
  <c r="M5" i="94"/>
  <c r="L97" i="94"/>
  <c r="L99" i="94" s="1"/>
  <c r="K5" i="94"/>
  <c r="L107" i="94"/>
  <c r="K107" i="94"/>
  <c r="AT19" i="94"/>
  <c r="K97" i="94"/>
  <c r="K99" i="94" s="1"/>
  <c r="K100" i="94" s="1"/>
  <c r="K108" i="94"/>
  <c r="K244" i="94"/>
  <c r="J107" i="94"/>
  <c r="J108" i="94" s="1"/>
  <c r="J97" i="94"/>
  <c r="J99" i="94" s="1"/>
  <c r="J100" i="94" s="1"/>
  <c r="I107" i="94"/>
  <c r="I97" i="94"/>
  <c r="I99" i="94" s="1"/>
  <c r="I100" i="94" s="1"/>
  <c r="I108" i="94"/>
  <c r="AH123" i="94"/>
  <c r="H97" i="94"/>
  <c r="H99" i="94" s="1"/>
  <c r="H107" i="94"/>
  <c r="H108" i="94" s="1"/>
  <c r="G118" i="94"/>
  <c r="G107" i="94"/>
  <c r="G108" i="94"/>
  <c r="G97" i="94"/>
  <c r="G99" i="94" s="1"/>
  <c r="G100" i="94" s="1"/>
  <c r="F5" i="94"/>
  <c r="F107" i="94"/>
  <c r="F108" i="94" s="1"/>
  <c r="F97" i="94"/>
  <c r="F99" i="94" s="1"/>
  <c r="AP19" i="94"/>
  <c r="E97" i="94"/>
  <c r="E99" i="94" s="1"/>
  <c r="E100" i="94" s="1"/>
  <c r="E108" i="94"/>
  <c r="AC107" i="94"/>
  <c r="AC100" i="94" s="1"/>
  <c r="AC7" i="94" s="1"/>
  <c r="AI62" i="94"/>
  <c r="AF97" i="94"/>
  <c r="AF99" i="94" s="1"/>
  <c r="AR23" i="94"/>
  <c r="D118" i="94"/>
  <c r="AR16" i="94"/>
  <c r="AR22" i="94" s="1"/>
  <c r="P97" i="94"/>
  <c r="P99" i="94" s="1"/>
  <c r="AH62" i="94"/>
  <c r="AQ22" i="94"/>
  <c r="AS23" i="94"/>
  <c r="Q107" i="94"/>
  <c r="Q108" i="94" s="1"/>
  <c r="O107" i="94"/>
  <c r="AW23" i="94" s="1"/>
  <c r="AE107" i="94"/>
  <c r="AE108" i="94" s="1"/>
  <c r="P5" i="94"/>
  <c r="Q97" i="94"/>
  <c r="Q99" i="94" s="1"/>
  <c r="AP23" i="94"/>
  <c r="M107" i="94"/>
  <c r="AU23" i="94" s="1"/>
  <c r="AV22" i="94"/>
  <c r="H5" i="94"/>
  <c r="AG99" i="94"/>
  <c r="AT23" i="94"/>
  <c r="AH104" i="94"/>
  <c r="D252" i="94"/>
  <c r="AX16" i="94"/>
  <c r="AX22" i="94" s="1"/>
  <c r="R107" i="94"/>
  <c r="R108" i="94" s="1"/>
  <c r="C97" i="94"/>
  <c r="C99" i="94" s="1"/>
  <c r="C100" i="94" s="1"/>
  <c r="C7" i="94" s="1"/>
  <c r="AI103" i="94"/>
  <c r="C5" i="94"/>
  <c r="D97" i="94"/>
  <c r="D99" i="94" s="1"/>
  <c r="AH105" i="94"/>
  <c r="B5" i="94"/>
  <c r="C108" i="94"/>
  <c r="AM19" i="94"/>
  <c r="AI92" i="94"/>
  <c r="AM22" i="94"/>
  <c r="AM24" i="94" s="1"/>
  <c r="BG84" i="94" a="1"/>
  <c r="BH96" i="94" s="1"/>
  <c r="B97" i="94"/>
  <c r="B99" i="94" s="1"/>
  <c r="B100" i="94" s="1"/>
  <c r="AP20" i="94"/>
  <c r="AP22" i="94" s="1"/>
  <c r="AU20" i="94"/>
  <c r="AU22" i="94" s="1"/>
  <c r="M97" i="94"/>
  <c r="M99" i="94" s="1"/>
  <c r="AN16" i="94"/>
  <c r="AN22" i="94" s="1"/>
  <c r="AN24" i="94" s="1"/>
  <c r="AT16" i="94"/>
  <c r="AT22" i="94" s="1"/>
  <c r="AI76" i="94"/>
  <c r="AI58" i="94"/>
  <c r="AQ23" i="94"/>
  <c r="N107" i="94"/>
  <c r="AV23" i="94" s="1"/>
  <c r="AD107" i="94"/>
  <c r="AD108" i="94" s="1"/>
  <c r="AB97" i="94"/>
  <c r="AB99" i="94" s="1"/>
  <c r="L5" i="94"/>
  <c r="AL13" i="94"/>
  <c r="F251" i="94"/>
  <c r="AO16" i="94"/>
  <c r="AO22" i="94" s="1"/>
  <c r="AW16" i="94"/>
  <c r="AW22" i="94" s="1"/>
  <c r="N97" i="94"/>
  <c r="N99" i="94" s="1"/>
  <c r="AD97" i="94"/>
  <c r="AD99" i="94" s="1"/>
  <c r="P107" i="94"/>
  <c r="AX23" i="94" s="1"/>
  <c r="X7" i="94"/>
  <c r="AF107" i="94"/>
  <c r="AI105" i="94"/>
  <c r="AE97" i="94"/>
  <c r="AE99" i="94" s="1"/>
  <c r="AH76" i="94"/>
  <c r="AH101" i="94"/>
  <c r="AH103" i="94"/>
  <c r="AI104" i="94"/>
  <c r="G5" i="94"/>
  <c r="W5" i="94"/>
  <c r="AI80" i="94"/>
  <c r="AH80" i="94"/>
  <c r="AI101" i="94"/>
  <c r="AI102" i="94"/>
  <c r="H246" i="94"/>
  <c r="AG97" i="94"/>
  <c r="AS16" i="94"/>
  <c r="AS22" i="94" s="1"/>
  <c r="J7" i="94"/>
  <c r="R97" i="94"/>
  <c r="R99" i="94" s="1"/>
  <c r="Z7" i="94"/>
  <c r="AH58" i="94"/>
  <c r="D107" i="94"/>
  <c r="AB107" i="94"/>
  <c r="AB108" i="94" s="1"/>
  <c r="AH92" i="94"/>
  <c r="AH102" i="94"/>
  <c r="E248" i="94"/>
  <c r="F248" i="94" s="1"/>
  <c r="AF108" i="93"/>
  <c r="AE97" i="93"/>
  <c r="AE99" i="93" s="1"/>
  <c r="AE100" i="93" s="1"/>
  <c r="AD97" i="93"/>
  <c r="AD99" i="93" s="1"/>
  <c r="AD100" i="93" s="1"/>
  <c r="AD108" i="93"/>
  <c r="AC108" i="93"/>
  <c r="AC97" i="93"/>
  <c r="AC99" i="93" s="1"/>
  <c r="AC100" i="93" s="1"/>
  <c r="Q252" i="95" l="1"/>
  <c r="Q118" i="95"/>
  <c r="R246" i="95"/>
  <c r="AF100" i="94"/>
  <c r="AF7" i="94" s="1"/>
  <c r="AE100" i="94"/>
  <c r="AE7" i="94" s="1"/>
  <c r="AC108" i="94"/>
  <c r="R100" i="94"/>
  <c r="R7" i="94" s="1"/>
  <c r="AX24" i="94"/>
  <c r="AV24" i="94"/>
  <c r="AU24" i="94"/>
  <c r="M108" i="94"/>
  <c r="L100" i="94"/>
  <c r="L7" i="94" s="1"/>
  <c r="L108" i="94"/>
  <c r="AT24" i="94"/>
  <c r="AS24" i="94"/>
  <c r="H100" i="94"/>
  <c r="F100" i="94"/>
  <c r="F7" i="94" s="1"/>
  <c r="AP24" i="94"/>
  <c r="S7" i="94"/>
  <c r="E7" i="94"/>
  <c r="Q100" i="94"/>
  <c r="Q7" i="94" s="1"/>
  <c r="W7" i="94"/>
  <c r="G7" i="94"/>
  <c r="AA7" i="94"/>
  <c r="AD100" i="94"/>
  <c r="AD7" i="94" s="1"/>
  <c r="AR24" i="94"/>
  <c r="P100" i="94"/>
  <c r="P7" i="94" s="1"/>
  <c r="Y7" i="94"/>
  <c r="O108" i="94"/>
  <c r="H7" i="94"/>
  <c r="AW24" i="94"/>
  <c r="K7" i="94"/>
  <c r="I7" i="94"/>
  <c r="U7" i="94"/>
  <c r="AQ24" i="94"/>
  <c r="P108" i="94"/>
  <c r="M100" i="94"/>
  <c r="M7" i="94" s="1"/>
  <c r="O100" i="94"/>
  <c r="O7" i="94" s="1"/>
  <c r="D100" i="94"/>
  <c r="D7" i="94" s="1"/>
  <c r="BK94" i="94"/>
  <c r="BJ98" i="94"/>
  <c r="BL91" i="94"/>
  <c r="BH85" i="94"/>
  <c r="BG98" i="94"/>
  <c r="BH100" i="94"/>
  <c r="BG104" i="94"/>
  <c r="BI97" i="94"/>
  <c r="BK88" i="94"/>
  <c r="BG85" i="94"/>
  <c r="BJ92" i="94"/>
  <c r="BG84" i="94"/>
  <c r="BL87" i="94"/>
  <c r="BK105" i="94"/>
  <c r="BL84" i="94"/>
  <c r="BJ90" i="94"/>
  <c r="BG96" i="94"/>
  <c r="BG97" i="94"/>
  <c r="BL93" i="94"/>
  <c r="BI103" i="94"/>
  <c r="BK85" i="94"/>
  <c r="BG100" i="94"/>
  <c r="BJ89" i="94"/>
  <c r="BL103" i="94"/>
  <c r="BI93" i="94"/>
  <c r="BJ107" i="94"/>
  <c r="BH97" i="94"/>
  <c r="BK86" i="94"/>
  <c r="BL100" i="94"/>
  <c r="BI99" i="94"/>
  <c r="BL95" i="94"/>
  <c r="BK97" i="94"/>
  <c r="BK87" i="94"/>
  <c r="BI98" i="94"/>
  <c r="BJ84" i="94"/>
  <c r="BH95" i="94"/>
  <c r="BL105" i="94"/>
  <c r="BI87" i="94"/>
  <c r="BH105" i="94"/>
  <c r="BH89" i="94"/>
  <c r="BG86" i="94"/>
  <c r="BK89" i="94"/>
  <c r="BL107" i="94"/>
  <c r="BG94" i="94"/>
  <c r="BH94" i="94"/>
  <c r="BK95" i="94"/>
  <c r="BI106" i="94"/>
  <c r="BH103" i="94"/>
  <c r="BH98" i="94"/>
  <c r="BG102" i="94"/>
  <c r="BJ91" i="94"/>
  <c r="BI95" i="94"/>
  <c r="BG99" i="94"/>
  <c r="BJ97" i="94"/>
  <c r="BI86" i="94"/>
  <c r="BK107" i="94"/>
  <c r="BJ104" i="94"/>
  <c r="BJ87" i="94"/>
  <c r="BK101" i="94"/>
  <c r="BI91" i="94"/>
  <c r="BJ105" i="94"/>
  <c r="BG95" i="94"/>
  <c r="BK84" i="94"/>
  <c r="BL98" i="94"/>
  <c r="BI88" i="94"/>
  <c r="BK102" i="94"/>
  <c r="BH101" i="94"/>
  <c r="BI85" i="94"/>
  <c r="BJ99" i="94"/>
  <c r="BG89" i="94"/>
  <c r="BK99" i="94"/>
  <c r="BL85" i="94"/>
  <c r="BJ96" i="94"/>
  <c r="BH107" i="94"/>
  <c r="BL90" i="94"/>
  <c r="BH102" i="94"/>
  <c r="BJ93" i="94"/>
  <c r="BI89" i="94"/>
  <c r="BJ103" i="94"/>
  <c r="BH93" i="94"/>
  <c r="BI107" i="94"/>
  <c r="BL96" i="94"/>
  <c r="BJ86" i="94"/>
  <c r="BK100" i="94"/>
  <c r="BH90" i="94"/>
  <c r="BI104" i="94"/>
  <c r="BL102" i="94"/>
  <c r="BG87" i="94"/>
  <c r="BI101" i="94"/>
  <c r="BI90" i="94"/>
  <c r="BG101" i="94"/>
  <c r="BH87" i="94"/>
  <c r="BL97" i="94"/>
  <c r="BL106" i="94"/>
  <c r="BL99" i="94"/>
  <c r="BL94" i="94"/>
  <c r="BJ85" i="94"/>
  <c r="BH84" i="94"/>
  <c r="BG88" i="94"/>
  <c r="BJ95" i="94"/>
  <c r="BI96" i="94"/>
  <c r="BG91" i="94"/>
  <c r="BI105" i="94"/>
  <c r="BI84" i="94"/>
  <c r="BK98" i="94"/>
  <c r="BH88" i="94"/>
  <c r="BJ102" i="94"/>
  <c r="BG92" i="94"/>
  <c r="BH106" i="94"/>
  <c r="BK104" i="94"/>
  <c r="BL88" i="94"/>
  <c r="BG103" i="94"/>
  <c r="BK91" i="94"/>
  <c r="BI102" i="94"/>
  <c r="BJ88" i="94"/>
  <c r="BH99" i="94"/>
  <c r="BJ101" i="94"/>
  <c r="BK92" i="94"/>
  <c r="BL92" i="94"/>
  <c r="BG107" i="94"/>
  <c r="BK96" i="94"/>
  <c r="BH86" i="94"/>
  <c r="BI100" i="94"/>
  <c r="BG90" i="94"/>
  <c r="BH104" i="94"/>
  <c r="BK93" i="94"/>
  <c r="BL86" i="94"/>
  <c r="BJ106" i="94"/>
  <c r="BK90" i="94"/>
  <c r="BL104" i="94"/>
  <c r="BG93" i="94"/>
  <c r="BK103" i="94"/>
  <c r="BL89" i="94"/>
  <c r="BJ100" i="94"/>
  <c r="BJ94" i="94"/>
  <c r="BG106" i="94"/>
  <c r="BH92" i="94"/>
  <c r="BI92" i="94"/>
  <c r="BK106" i="94"/>
  <c r="BI94" i="94"/>
  <c r="BG105" i="94"/>
  <c r="BH91" i="94"/>
  <c r="BL101" i="94"/>
  <c r="V7" i="94"/>
  <c r="AI107" i="94"/>
  <c r="G251" i="94"/>
  <c r="I246" i="94"/>
  <c r="AH107" i="94"/>
  <c r="N100" i="94"/>
  <c r="N7" i="94" s="1"/>
  <c r="AF108" i="94"/>
  <c r="AT8" i="94"/>
  <c r="AB100" i="94"/>
  <c r="AB7" i="94" s="1"/>
  <c r="B256" i="94"/>
  <c r="AH97" i="94"/>
  <c r="AI97" i="94"/>
  <c r="N108" i="94"/>
  <c r="AO23" i="94"/>
  <c r="AO24" i="94" s="1"/>
  <c r="D108" i="94"/>
  <c r="E252" i="94"/>
  <c r="C256" i="94"/>
  <c r="T7" i="94"/>
  <c r="G248" i="94"/>
  <c r="F252" i="94"/>
  <c r="R252" i="95" l="1"/>
  <c r="R118" i="95"/>
  <c r="S246" i="95"/>
  <c r="AT9" i="94"/>
  <c r="AI108" i="94"/>
  <c r="AH108" i="94"/>
  <c r="J246" i="94"/>
  <c r="K6" i="94"/>
  <c r="H248" i="94"/>
  <c r="G252" i="94"/>
  <c r="H251" i="94"/>
  <c r="AH99" i="94"/>
  <c r="AI99" i="94"/>
  <c r="S252" i="95" l="1"/>
  <c r="T246" i="95"/>
  <c r="I251" i="94"/>
  <c r="I248" i="94"/>
  <c r="H252" i="94"/>
  <c r="AH100" i="94"/>
  <c r="AI100" i="94"/>
  <c r="B7" i="94"/>
  <c r="A7" i="94" s="1"/>
  <c r="K246" i="94"/>
  <c r="T252" i="95" l="1"/>
  <c r="U246" i="95"/>
  <c r="L246" i="94"/>
  <c r="J248" i="94"/>
  <c r="I252" i="94"/>
  <c r="J251" i="94"/>
  <c r="U118" i="95" l="1"/>
  <c r="V246" i="95"/>
  <c r="U252" i="95"/>
  <c r="K251" i="94"/>
  <c r="K248" i="94"/>
  <c r="J252" i="94"/>
  <c r="M246" i="94"/>
  <c r="W246" i="95" l="1"/>
  <c r="V252" i="95"/>
  <c r="N246" i="94"/>
  <c r="L248" i="94"/>
  <c r="K252" i="94"/>
  <c r="L251" i="94"/>
  <c r="T57" i="93"/>
  <c r="T123" i="93"/>
  <c r="S123" i="93"/>
  <c r="S57" i="93"/>
  <c r="X246" i="95" l="1"/>
  <c r="W252" i="95"/>
  <c r="M251" i="94"/>
  <c r="M248" i="94"/>
  <c r="L252" i="94"/>
  <c r="O246" i="94"/>
  <c r="Q92" i="93"/>
  <c r="R123" i="93"/>
  <c r="R57" i="93"/>
  <c r="Y246" i="95" l="1"/>
  <c r="X252" i="95"/>
  <c r="P246" i="94"/>
  <c r="N248" i="94"/>
  <c r="M252" i="94"/>
  <c r="N251" i="94"/>
  <c r="M118" i="94"/>
  <c r="P123" i="93"/>
  <c r="P57" i="93"/>
  <c r="O123" i="93"/>
  <c r="O57" i="93"/>
  <c r="N123" i="93"/>
  <c r="N57" i="93"/>
  <c r="M123" i="93"/>
  <c r="M57" i="93"/>
  <c r="L123" i="93"/>
  <c r="K123" i="93"/>
  <c r="K121" i="93"/>
  <c r="L57" i="93"/>
  <c r="I123" i="93"/>
  <c r="J123" i="93"/>
  <c r="J57" i="93"/>
  <c r="AH57" i="93" s="1"/>
  <c r="K57" i="93"/>
  <c r="I57" i="93"/>
  <c r="H123" i="93"/>
  <c r="H57" i="93"/>
  <c r="G123" i="93"/>
  <c r="G57" i="93"/>
  <c r="F123" i="93"/>
  <c r="F121" i="93"/>
  <c r="AH121" i="93" s="1"/>
  <c r="F57" i="93"/>
  <c r="E123" i="93"/>
  <c r="E121" i="93"/>
  <c r="E57" i="93"/>
  <c r="D123" i="93"/>
  <c r="C123" i="93"/>
  <c r="B123" i="93"/>
  <c r="AG252" i="93"/>
  <c r="AG75" i="93" s="1"/>
  <c r="AG76" i="93" s="1"/>
  <c r="C252" i="93"/>
  <c r="D251" i="93"/>
  <c r="E251" i="93" s="1"/>
  <c r="F251" i="93" s="1"/>
  <c r="G251" i="93" s="1"/>
  <c r="H251" i="93" s="1"/>
  <c r="I251" i="93" s="1"/>
  <c r="J251" i="93" s="1"/>
  <c r="K251" i="93" s="1"/>
  <c r="L251" i="93" s="1"/>
  <c r="M251" i="93" s="1"/>
  <c r="N251" i="93" s="1"/>
  <c r="O251" i="93" s="1"/>
  <c r="P251" i="93" s="1"/>
  <c r="Q251" i="93" s="1"/>
  <c r="R251" i="93" s="1"/>
  <c r="S251" i="93" s="1"/>
  <c r="T251" i="93" s="1"/>
  <c r="U251" i="93" s="1"/>
  <c r="V251" i="93" s="1"/>
  <c r="W251" i="93" s="1"/>
  <c r="X251" i="93" s="1"/>
  <c r="Y251" i="93" s="1"/>
  <c r="Z251" i="93" s="1"/>
  <c r="AA251" i="93" s="1"/>
  <c r="AB251" i="93" s="1"/>
  <c r="AC251" i="93" s="1"/>
  <c r="AD251" i="93" s="1"/>
  <c r="AE251" i="93" s="1"/>
  <c r="AF251" i="93" s="1"/>
  <c r="B251" i="93" s="1"/>
  <c r="D250" i="93"/>
  <c r="E250" i="93" s="1"/>
  <c r="F250" i="93" s="1"/>
  <c r="G250" i="93" s="1"/>
  <c r="H250" i="93" s="1"/>
  <c r="I250" i="93" s="1"/>
  <c r="J250" i="93" s="1"/>
  <c r="K250" i="93" s="1"/>
  <c r="L250" i="93" s="1"/>
  <c r="M250" i="93" s="1"/>
  <c r="N250" i="93" s="1"/>
  <c r="O250" i="93" s="1"/>
  <c r="P250" i="93" s="1"/>
  <c r="Q250" i="93" s="1"/>
  <c r="R250" i="93" s="1"/>
  <c r="S250" i="93" s="1"/>
  <c r="T250" i="93" s="1"/>
  <c r="U250" i="93" s="1"/>
  <c r="V250" i="93" s="1"/>
  <c r="W250" i="93" s="1"/>
  <c r="X250" i="93" s="1"/>
  <c r="Y250" i="93" s="1"/>
  <c r="Z250" i="93" s="1"/>
  <c r="AA250" i="93" s="1"/>
  <c r="AB250" i="93" s="1"/>
  <c r="AC250" i="93" s="1"/>
  <c r="AD250" i="93" s="1"/>
  <c r="AE250" i="93" s="1"/>
  <c r="AF250" i="93" s="1"/>
  <c r="B250" i="93" s="1"/>
  <c r="D249" i="93"/>
  <c r="E249" i="93" s="1"/>
  <c r="F249" i="93" s="1"/>
  <c r="G249" i="93" s="1"/>
  <c r="H249" i="93" s="1"/>
  <c r="I249" i="93" s="1"/>
  <c r="J249" i="93" s="1"/>
  <c r="K249" i="93" s="1"/>
  <c r="L249" i="93" s="1"/>
  <c r="M249" i="93" s="1"/>
  <c r="N249" i="93" s="1"/>
  <c r="O249" i="93" s="1"/>
  <c r="P249" i="93" s="1"/>
  <c r="Q249" i="93" s="1"/>
  <c r="R249" i="93" s="1"/>
  <c r="S249" i="93" s="1"/>
  <c r="T249" i="93" s="1"/>
  <c r="U249" i="93" s="1"/>
  <c r="V249" i="93" s="1"/>
  <c r="W249" i="93" s="1"/>
  <c r="X249" i="93" s="1"/>
  <c r="Y249" i="93" s="1"/>
  <c r="Z249" i="93" s="1"/>
  <c r="AA249" i="93" s="1"/>
  <c r="AB249" i="93" s="1"/>
  <c r="AC249" i="93" s="1"/>
  <c r="AD249" i="93" s="1"/>
  <c r="AE249" i="93" s="1"/>
  <c r="AF249" i="93" s="1"/>
  <c r="B249" i="93" s="1"/>
  <c r="F248" i="93"/>
  <c r="G248" i="93" s="1"/>
  <c r="H248" i="93" s="1"/>
  <c r="I248" i="93" s="1"/>
  <c r="J248" i="93" s="1"/>
  <c r="K248" i="93" s="1"/>
  <c r="L248" i="93" s="1"/>
  <c r="M248" i="93" s="1"/>
  <c r="N248" i="93" s="1"/>
  <c r="O248" i="93" s="1"/>
  <c r="P248" i="93" s="1"/>
  <c r="Q248" i="93" s="1"/>
  <c r="R248" i="93" s="1"/>
  <c r="S248" i="93" s="1"/>
  <c r="T248" i="93" s="1"/>
  <c r="U248" i="93" s="1"/>
  <c r="V248" i="93" s="1"/>
  <c r="W248" i="93" s="1"/>
  <c r="X248" i="93" s="1"/>
  <c r="Y248" i="93" s="1"/>
  <c r="Z248" i="93" s="1"/>
  <c r="AA248" i="93" s="1"/>
  <c r="AB248" i="93" s="1"/>
  <c r="AC248" i="93" s="1"/>
  <c r="AD248" i="93" s="1"/>
  <c r="AE248" i="93" s="1"/>
  <c r="AF248" i="93" s="1"/>
  <c r="B248" i="93" s="1"/>
  <c r="D248" i="93"/>
  <c r="E248" i="93" s="1"/>
  <c r="D247" i="93"/>
  <c r="E247" i="93" s="1"/>
  <c r="F247" i="93" s="1"/>
  <c r="G247" i="93" s="1"/>
  <c r="H247" i="93" s="1"/>
  <c r="I247" i="93" s="1"/>
  <c r="J247" i="93" s="1"/>
  <c r="K247" i="93" s="1"/>
  <c r="L247" i="93" s="1"/>
  <c r="M247" i="93" s="1"/>
  <c r="N247" i="93" s="1"/>
  <c r="O247" i="93" s="1"/>
  <c r="P247" i="93" s="1"/>
  <c r="Q247" i="93" s="1"/>
  <c r="R247" i="93" s="1"/>
  <c r="S247" i="93" s="1"/>
  <c r="T247" i="93" s="1"/>
  <c r="U247" i="93" s="1"/>
  <c r="V247" i="93" s="1"/>
  <c r="W247" i="93" s="1"/>
  <c r="X247" i="93" s="1"/>
  <c r="Y247" i="93" s="1"/>
  <c r="Z247" i="93" s="1"/>
  <c r="AA247" i="93" s="1"/>
  <c r="AB247" i="93" s="1"/>
  <c r="AC247" i="93" s="1"/>
  <c r="AD247" i="93" s="1"/>
  <c r="AE247" i="93" s="1"/>
  <c r="AF247" i="93" s="1"/>
  <c r="B247" i="93" s="1"/>
  <c r="D246" i="93"/>
  <c r="AG244" i="93"/>
  <c r="AF244" i="93"/>
  <c r="AE244" i="93"/>
  <c r="AD244" i="93"/>
  <c r="AC244" i="93"/>
  <c r="AB244" i="93"/>
  <c r="AA244" i="93"/>
  <c r="Z244" i="93"/>
  <c r="Z118" i="93" s="1"/>
  <c r="Y244" i="93"/>
  <c r="Y118" i="93" s="1"/>
  <c r="X244" i="93"/>
  <c r="W244" i="93"/>
  <c r="V244" i="93"/>
  <c r="U244" i="93"/>
  <c r="T244" i="93"/>
  <c r="S244" i="93"/>
  <c r="R244" i="93"/>
  <c r="Q244" i="93"/>
  <c r="P244" i="93"/>
  <c r="O244" i="93"/>
  <c r="N244" i="93"/>
  <c r="M244" i="93"/>
  <c r="L244" i="93"/>
  <c r="K244" i="93"/>
  <c r="J244" i="93"/>
  <c r="I244" i="93"/>
  <c r="H244" i="93"/>
  <c r="G244" i="93"/>
  <c r="F244" i="93"/>
  <c r="E244" i="93"/>
  <c r="D244" i="93"/>
  <c r="C244" i="93"/>
  <c r="B244" i="93"/>
  <c r="AI130" i="93"/>
  <c r="AH130" i="93"/>
  <c r="AI129" i="93"/>
  <c r="AH129" i="93"/>
  <c r="AI128" i="93"/>
  <c r="AH128" i="93"/>
  <c r="AI127" i="93"/>
  <c r="AH127" i="93"/>
  <c r="AI126" i="93"/>
  <c r="AH126" i="93"/>
  <c r="AI122" i="93"/>
  <c r="AH122" i="93"/>
  <c r="AI121" i="93"/>
  <c r="AI120" i="93"/>
  <c r="AH120" i="93"/>
  <c r="AI119" i="93"/>
  <c r="AH119" i="93"/>
  <c r="C118" i="93"/>
  <c r="AI117" i="93"/>
  <c r="AH117" i="93"/>
  <c r="AI116" i="93"/>
  <c r="AH116" i="93"/>
  <c r="AI115" i="93"/>
  <c r="AH115" i="93"/>
  <c r="AI114" i="93"/>
  <c r="AH114" i="93"/>
  <c r="AI113" i="93"/>
  <c r="AH113" i="93"/>
  <c r="AI112" i="93"/>
  <c r="AH112" i="93"/>
  <c r="AI111" i="93"/>
  <c r="AH111" i="93"/>
  <c r="AI110" i="93"/>
  <c r="AH110" i="93"/>
  <c r="AI109" i="93"/>
  <c r="AH109" i="93"/>
  <c r="AI106" i="93"/>
  <c r="AH106" i="93"/>
  <c r="AB105" i="93"/>
  <c r="AA105" i="93"/>
  <c r="Z105" i="93"/>
  <c r="Y105" i="93"/>
  <c r="X105" i="93"/>
  <c r="W105" i="93"/>
  <c r="V105" i="93"/>
  <c r="U105" i="93"/>
  <c r="T105" i="93"/>
  <c r="S105" i="93"/>
  <c r="R105" i="93"/>
  <c r="Q105" i="93"/>
  <c r="P105" i="93"/>
  <c r="O105" i="93"/>
  <c r="N105" i="93"/>
  <c r="M105" i="93"/>
  <c r="L105" i="93"/>
  <c r="K105" i="93"/>
  <c r="J105" i="93"/>
  <c r="I105" i="93"/>
  <c r="H105" i="93"/>
  <c r="G105" i="93"/>
  <c r="F105" i="93"/>
  <c r="E105" i="93"/>
  <c r="D105" i="93"/>
  <c r="C105" i="93"/>
  <c r="B105" i="93"/>
  <c r="AB104" i="93"/>
  <c r="AA104" i="93"/>
  <c r="Z104" i="93"/>
  <c r="Y104" i="93"/>
  <c r="X104" i="93"/>
  <c r="W104" i="93"/>
  <c r="V104" i="93"/>
  <c r="U104" i="93"/>
  <c r="T104" i="93"/>
  <c r="S104" i="93"/>
  <c r="R104" i="93"/>
  <c r="Q104" i="93"/>
  <c r="P104" i="93"/>
  <c r="O104" i="93"/>
  <c r="N104" i="93"/>
  <c r="M104" i="93"/>
  <c r="L104" i="93"/>
  <c r="K104" i="93"/>
  <c r="J104" i="93"/>
  <c r="I104" i="93"/>
  <c r="H104" i="93"/>
  <c r="G104" i="93"/>
  <c r="F104" i="93"/>
  <c r="E104" i="93"/>
  <c r="D104" i="93"/>
  <c r="C104" i="93"/>
  <c r="B104" i="93"/>
  <c r="AB103" i="93"/>
  <c r="AA103" i="93"/>
  <c r="Z103" i="93"/>
  <c r="Y103" i="93"/>
  <c r="X103" i="93"/>
  <c r="W103" i="93"/>
  <c r="V103" i="93"/>
  <c r="U103" i="93"/>
  <c r="T103" i="93"/>
  <c r="S103" i="93"/>
  <c r="R103" i="93"/>
  <c r="Q103" i="93"/>
  <c r="P103" i="93"/>
  <c r="O103" i="93"/>
  <c r="N103" i="93"/>
  <c r="M103" i="93"/>
  <c r="L103" i="93"/>
  <c r="K103" i="93"/>
  <c r="J103" i="93"/>
  <c r="I103" i="93"/>
  <c r="H103" i="93"/>
  <c r="G103" i="93"/>
  <c r="F103" i="93"/>
  <c r="E103" i="93"/>
  <c r="D103" i="93"/>
  <c r="C103" i="93"/>
  <c r="B103" i="93"/>
  <c r="AB102" i="93"/>
  <c r="AA102" i="93"/>
  <c r="Z102" i="93"/>
  <c r="Y102" i="93"/>
  <c r="X102" i="93"/>
  <c r="W102" i="93"/>
  <c r="V102" i="93"/>
  <c r="U102" i="93"/>
  <c r="T102" i="93"/>
  <c r="S102" i="93"/>
  <c r="R102" i="93"/>
  <c r="Q102" i="93"/>
  <c r="P102" i="93"/>
  <c r="O102" i="93"/>
  <c r="N102" i="93"/>
  <c r="M102" i="93"/>
  <c r="L102" i="93"/>
  <c r="K102" i="93"/>
  <c r="J102" i="93"/>
  <c r="I102" i="93"/>
  <c r="H102" i="93"/>
  <c r="G102" i="93"/>
  <c r="F102" i="93"/>
  <c r="E102" i="93"/>
  <c r="D102" i="93"/>
  <c r="C102" i="93"/>
  <c r="B102" i="93"/>
  <c r="AB101" i="93"/>
  <c r="AA101" i="93"/>
  <c r="Z101" i="93"/>
  <c r="Y101" i="93"/>
  <c r="X101" i="93"/>
  <c r="W101" i="93"/>
  <c r="V101" i="93"/>
  <c r="U101" i="93"/>
  <c r="T101" i="93"/>
  <c r="S101" i="93"/>
  <c r="R101" i="93"/>
  <c r="Q101" i="93"/>
  <c r="P101" i="93"/>
  <c r="O101" i="93"/>
  <c r="N101" i="93"/>
  <c r="M101" i="93"/>
  <c r="L101" i="93"/>
  <c r="K101" i="93"/>
  <c r="J101" i="93"/>
  <c r="I101" i="93"/>
  <c r="H101" i="93"/>
  <c r="G101" i="93"/>
  <c r="F101" i="93"/>
  <c r="E101" i="93"/>
  <c r="D101" i="93"/>
  <c r="C101" i="93"/>
  <c r="B101" i="93"/>
  <c r="AI98" i="93"/>
  <c r="AH98" i="93"/>
  <c r="AI96" i="93"/>
  <c r="AH96" i="93"/>
  <c r="AG96" i="93"/>
  <c r="AI95" i="93"/>
  <c r="AH95" i="93"/>
  <c r="AI94" i="93"/>
  <c r="AH94" i="93"/>
  <c r="AI93" i="93"/>
  <c r="AH93" i="93"/>
  <c r="AG92" i="93"/>
  <c r="AE5" i="93"/>
  <c r="AC5" i="93"/>
  <c r="AB92" i="93"/>
  <c r="AA92" i="93"/>
  <c r="Z5" i="93" s="1"/>
  <c r="Z92" i="93"/>
  <c r="Y5" i="93" s="1"/>
  <c r="Y92" i="93"/>
  <c r="X5" i="93" s="1"/>
  <c r="X92" i="93"/>
  <c r="W92" i="93"/>
  <c r="V5" i="93" s="1"/>
  <c r="V92" i="93"/>
  <c r="U5" i="93" s="1"/>
  <c r="U92" i="93"/>
  <c r="T5" i="93" s="1"/>
  <c r="T92" i="93"/>
  <c r="S5" i="93" s="1"/>
  <c r="S92" i="93"/>
  <c r="R5" i="93" s="1"/>
  <c r="R92" i="93"/>
  <c r="Q5" i="93" s="1"/>
  <c r="P5" i="93"/>
  <c r="P92" i="93"/>
  <c r="O92" i="93"/>
  <c r="AW19" i="93" s="1"/>
  <c r="N92" i="93"/>
  <c r="M5" i="93" s="1"/>
  <c r="M92" i="93"/>
  <c r="AU19" i="93" s="1"/>
  <c r="L92" i="93"/>
  <c r="K5" i="93" s="1"/>
  <c r="K92" i="93"/>
  <c r="AT19" i="93" s="1"/>
  <c r="J92" i="93"/>
  <c r="I5" i="93" s="1"/>
  <c r="I92" i="93"/>
  <c r="H5" i="93" s="1"/>
  <c r="H92" i="93"/>
  <c r="G92" i="93"/>
  <c r="F92" i="93"/>
  <c r="AQ19" i="93" s="1"/>
  <c r="E92" i="93"/>
  <c r="D5" i="93" s="1"/>
  <c r="D92" i="93"/>
  <c r="AO19" i="93" s="1"/>
  <c r="C92" i="93"/>
  <c r="AN19" i="93" s="1"/>
  <c r="B92" i="93"/>
  <c r="AF5" i="93" s="1"/>
  <c r="AI91" i="93"/>
  <c r="AH91" i="93"/>
  <c r="AI90" i="93"/>
  <c r="AH90" i="93"/>
  <c r="AI89" i="93"/>
  <c r="AH89" i="93"/>
  <c r="AI88" i="93"/>
  <c r="AH88" i="93"/>
  <c r="AI87" i="93"/>
  <c r="AH87" i="93"/>
  <c r="AI86" i="93"/>
  <c r="AH86" i="93"/>
  <c r="AI85" i="93"/>
  <c r="AH85" i="93"/>
  <c r="AI84" i="93"/>
  <c r="AH84" i="93"/>
  <c r="AI83" i="93"/>
  <c r="AH83" i="93"/>
  <c r="AI82" i="93"/>
  <c r="AH82" i="93"/>
  <c r="AI81" i="93"/>
  <c r="AH81" i="93"/>
  <c r="BW80" i="93"/>
  <c r="AG80" i="93"/>
  <c r="AG4" i="93" s="1"/>
  <c r="AB80" i="93"/>
  <c r="AA80" i="93"/>
  <c r="Z80" i="93"/>
  <c r="Y80" i="93"/>
  <c r="X80" i="93"/>
  <c r="W80" i="93"/>
  <c r="V80" i="93"/>
  <c r="U80" i="93"/>
  <c r="T80" i="93"/>
  <c r="S80" i="93"/>
  <c r="R80" i="93"/>
  <c r="Q80" i="93"/>
  <c r="P80" i="93"/>
  <c r="O80" i="93"/>
  <c r="N80" i="93"/>
  <c r="M80" i="93"/>
  <c r="L80" i="93"/>
  <c r="K80" i="93"/>
  <c r="AT20" i="93" s="1"/>
  <c r="J80" i="93"/>
  <c r="I80" i="93"/>
  <c r="AS20" i="93" s="1"/>
  <c r="H80" i="93"/>
  <c r="G80" i="93"/>
  <c r="F80" i="93"/>
  <c r="E80" i="93"/>
  <c r="D80" i="93"/>
  <c r="C80" i="93"/>
  <c r="B80" i="93"/>
  <c r="AM20" i="93" s="1"/>
  <c r="AI79" i="93"/>
  <c r="AH79" i="93"/>
  <c r="BO78" i="93"/>
  <c r="AI78" i="93"/>
  <c r="AH78" i="93"/>
  <c r="AI77" i="93"/>
  <c r="AH77" i="93"/>
  <c r="AB76" i="93"/>
  <c r="AA76" i="93"/>
  <c r="Z76" i="93"/>
  <c r="Y76" i="93"/>
  <c r="X76" i="93"/>
  <c r="W76" i="93"/>
  <c r="V76" i="93"/>
  <c r="U76" i="93"/>
  <c r="T76" i="93"/>
  <c r="S76" i="93"/>
  <c r="R76" i="93"/>
  <c r="Q76" i="93"/>
  <c r="P76" i="93"/>
  <c r="O76" i="93"/>
  <c r="AW18" i="93" s="1"/>
  <c r="N76" i="93"/>
  <c r="AV18" i="93" s="1"/>
  <c r="M76" i="93"/>
  <c r="L76" i="93"/>
  <c r="K76" i="93"/>
  <c r="AT18" i="93" s="1"/>
  <c r="J76" i="93"/>
  <c r="I76" i="93"/>
  <c r="AS18" i="93" s="1"/>
  <c r="H76" i="93"/>
  <c r="G76" i="93"/>
  <c r="AR18" i="93" s="1"/>
  <c r="F76" i="93"/>
  <c r="AQ18" i="93" s="1"/>
  <c r="E76" i="93"/>
  <c r="D76" i="93"/>
  <c r="AO18" i="93" s="1"/>
  <c r="C76" i="93"/>
  <c r="AN18" i="93" s="1"/>
  <c r="B76" i="93"/>
  <c r="BD75" i="93"/>
  <c r="BB75" i="93"/>
  <c r="AI75" i="93"/>
  <c r="AH75" i="93"/>
  <c r="AI74" i="93"/>
  <c r="AH74" i="93"/>
  <c r="BW73" i="93"/>
  <c r="BV73" i="93"/>
  <c r="BV80" i="93" s="1"/>
  <c r="BU73" i="93"/>
  <c r="BU80" i="93" s="1"/>
  <c r="BT73" i="93"/>
  <c r="BT80" i="93" s="1"/>
  <c r="BS73" i="93"/>
  <c r="BS80" i="93" s="1"/>
  <c r="BR73" i="93"/>
  <c r="BR80" i="93" s="1"/>
  <c r="BQ73" i="93"/>
  <c r="BQ80" i="93" s="1"/>
  <c r="BP73" i="93"/>
  <c r="BP80" i="93" s="1"/>
  <c r="BO73" i="93"/>
  <c r="BO80" i="93" s="1"/>
  <c r="BN73" i="93"/>
  <c r="BN80" i="93" s="1"/>
  <c r="BM73" i="93"/>
  <c r="BM80" i="93" s="1"/>
  <c r="BL73" i="93"/>
  <c r="BL80" i="93" s="1"/>
  <c r="BK73" i="93"/>
  <c r="BK80" i="93" s="1"/>
  <c r="BJ73" i="93"/>
  <c r="BJ80" i="93" s="1"/>
  <c r="BI73" i="93"/>
  <c r="BI80" i="93" s="1"/>
  <c r="BH73" i="93"/>
  <c r="BH80" i="93" s="1"/>
  <c r="BG73" i="93"/>
  <c r="BG80" i="93" s="1"/>
  <c r="BF73" i="93"/>
  <c r="BF80" i="93" s="1"/>
  <c r="BE73" i="93"/>
  <c r="BE80" i="93" s="1"/>
  <c r="BD73" i="93"/>
  <c r="BD80" i="93" s="1"/>
  <c r="BC73" i="93"/>
  <c r="BC80" i="93" s="1"/>
  <c r="BB73" i="93"/>
  <c r="BB80" i="93" s="1"/>
  <c r="BA73" i="93"/>
  <c r="BA80" i="93" s="1"/>
  <c r="AZ73" i="93"/>
  <c r="AZ80" i="93" s="1"/>
  <c r="AI73" i="93"/>
  <c r="AH73" i="93"/>
  <c r="BW72" i="93"/>
  <c r="BW79" i="93" s="1"/>
  <c r="BV72" i="93"/>
  <c r="BV79" i="93" s="1"/>
  <c r="BU72" i="93"/>
  <c r="BU79" i="93" s="1"/>
  <c r="BT72" i="93"/>
  <c r="BT79" i="93" s="1"/>
  <c r="BS72" i="93"/>
  <c r="BS79" i="93" s="1"/>
  <c r="BR72" i="93"/>
  <c r="BR79" i="93" s="1"/>
  <c r="BQ72" i="93"/>
  <c r="BQ79" i="93" s="1"/>
  <c r="BP72" i="93"/>
  <c r="BP79" i="93" s="1"/>
  <c r="BO72" i="93"/>
  <c r="BO79" i="93" s="1"/>
  <c r="BN72" i="93"/>
  <c r="BN79" i="93" s="1"/>
  <c r="BM72" i="93"/>
  <c r="BM79" i="93" s="1"/>
  <c r="BL72" i="93"/>
  <c r="BL79" i="93" s="1"/>
  <c r="BK72" i="93"/>
  <c r="BK79" i="93" s="1"/>
  <c r="BJ72" i="93"/>
  <c r="BJ79" i="93" s="1"/>
  <c r="BI72" i="93"/>
  <c r="BI79" i="93" s="1"/>
  <c r="BH72" i="93"/>
  <c r="BH79" i="93" s="1"/>
  <c r="BG72" i="93"/>
  <c r="BG79" i="93" s="1"/>
  <c r="BF72" i="93"/>
  <c r="BF79" i="93" s="1"/>
  <c r="BE72" i="93"/>
  <c r="BE79" i="93" s="1"/>
  <c r="BD72" i="93"/>
  <c r="BD79" i="93" s="1"/>
  <c r="BC72" i="93"/>
  <c r="BC79" i="93" s="1"/>
  <c r="BB72" i="93"/>
  <c r="BB79" i="93" s="1"/>
  <c r="BA72" i="93"/>
  <c r="BA79" i="93" s="1"/>
  <c r="AZ72" i="93"/>
  <c r="AZ79" i="93" s="1"/>
  <c r="AI72" i="93"/>
  <c r="AH72" i="93"/>
  <c r="BW71" i="93"/>
  <c r="BW78" i="93" s="1"/>
  <c r="BV71" i="93"/>
  <c r="BV78" i="93" s="1"/>
  <c r="BU71" i="93"/>
  <c r="BU78" i="93" s="1"/>
  <c r="BT71" i="93"/>
  <c r="BT78" i="93" s="1"/>
  <c r="BS71" i="93"/>
  <c r="BS78" i="93" s="1"/>
  <c r="BR71" i="93"/>
  <c r="BR78" i="93" s="1"/>
  <c r="BQ71" i="93"/>
  <c r="BQ78" i="93" s="1"/>
  <c r="BP71" i="93"/>
  <c r="BP78" i="93" s="1"/>
  <c r="BO71" i="93"/>
  <c r="BN71" i="93"/>
  <c r="BN78" i="93" s="1"/>
  <c r="BM71" i="93"/>
  <c r="BM78" i="93" s="1"/>
  <c r="BL71" i="93"/>
  <c r="BL78" i="93" s="1"/>
  <c r="BK71" i="93"/>
  <c r="BK78" i="93" s="1"/>
  <c r="BJ71" i="93"/>
  <c r="BJ78" i="93" s="1"/>
  <c r="BI71" i="93"/>
  <c r="BI78" i="93" s="1"/>
  <c r="BH71" i="93"/>
  <c r="BH78" i="93" s="1"/>
  <c r="BG71" i="93"/>
  <c r="BG78" i="93" s="1"/>
  <c r="BF71" i="93"/>
  <c r="BF78" i="93" s="1"/>
  <c r="BE71" i="93"/>
  <c r="BE78" i="93" s="1"/>
  <c r="BD71" i="93"/>
  <c r="BD78" i="93" s="1"/>
  <c r="BC71" i="93"/>
  <c r="BC78" i="93" s="1"/>
  <c r="BB71" i="93"/>
  <c r="BB78" i="93" s="1"/>
  <c r="BA71" i="93"/>
  <c r="BA78" i="93" s="1"/>
  <c r="AZ71" i="93"/>
  <c r="AZ78" i="93" s="1"/>
  <c r="AI71" i="93"/>
  <c r="AH71" i="93"/>
  <c r="BW70" i="93"/>
  <c r="BW77" i="93" s="1"/>
  <c r="BV70" i="93"/>
  <c r="BV77" i="93" s="1"/>
  <c r="BU70" i="93"/>
  <c r="BU77" i="93" s="1"/>
  <c r="BT70" i="93"/>
  <c r="BT77" i="93" s="1"/>
  <c r="BS70" i="93"/>
  <c r="BS77" i="93" s="1"/>
  <c r="BR70" i="93"/>
  <c r="BR77" i="93" s="1"/>
  <c r="BQ70" i="93"/>
  <c r="BQ77" i="93" s="1"/>
  <c r="BP70" i="93"/>
  <c r="BP77" i="93" s="1"/>
  <c r="BO70" i="93"/>
  <c r="BO77" i="93" s="1"/>
  <c r="BN70" i="93"/>
  <c r="BN77" i="93" s="1"/>
  <c r="BM70" i="93"/>
  <c r="BM77" i="93" s="1"/>
  <c r="BL70" i="93"/>
  <c r="BL77" i="93" s="1"/>
  <c r="BK70" i="93"/>
  <c r="BK77" i="93" s="1"/>
  <c r="BJ70" i="93"/>
  <c r="BJ77" i="93" s="1"/>
  <c r="BI70" i="93"/>
  <c r="BI77" i="93" s="1"/>
  <c r="BH70" i="93"/>
  <c r="BH77" i="93" s="1"/>
  <c r="BG70" i="93"/>
  <c r="BG77" i="93" s="1"/>
  <c r="BF70" i="93"/>
  <c r="BF77" i="93" s="1"/>
  <c r="BE70" i="93"/>
  <c r="BE77" i="93" s="1"/>
  <c r="BD70" i="93"/>
  <c r="BD77" i="93" s="1"/>
  <c r="BC70" i="93"/>
  <c r="BC77" i="93" s="1"/>
  <c r="BB70" i="93"/>
  <c r="BB77" i="93" s="1"/>
  <c r="BA70" i="93"/>
  <c r="BA77" i="93" s="1"/>
  <c r="AZ70" i="93"/>
  <c r="AI70" i="93"/>
  <c r="AH70" i="93"/>
  <c r="BW69" i="93"/>
  <c r="BW76" i="93" s="1"/>
  <c r="BV69" i="93"/>
  <c r="BV76" i="93" s="1"/>
  <c r="BU69" i="93"/>
  <c r="BU76" i="93" s="1"/>
  <c r="BT69" i="93"/>
  <c r="BT76" i="93" s="1"/>
  <c r="BS69" i="93"/>
  <c r="BS76" i="93" s="1"/>
  <c r="BR69" i="93"/>
  <c r="BR76" i="93" s="1"/>
  <c r="BQ69" i="93"/>
  <c r="BQ76" i="93" s="1"/>
  <c r="BP69" i="93"/>
  <c r="BP76" i="93" s="1"/>
  <c r="BO69" i="93"/>
  <c r="BO76" i="93" s="1"/>
  <c r="BN69" i="93"/>
  <c r="BN76" i="93" s="1"/>
  <c r="BM69" i="93"/>
  <c r="BM76" i="93" s="1"/>
  <c r="BL69" i="93"/>
  <c r="BL76" i="93" s="1"/>
  <c r="BK69" i="93"/>
  <c r="BK76" i="93" s="1"/>
  <c r="BJ69" i="93"/>
  <c r="BJ76" i="93" s="1"/>
  <c r="BI69" i="93"/>
  <c r="BI76" i="93" s="1"/>
  <c r="BH69" i="93"/>
  <c r="BH76" i="93" s="1"/>
  <c r="BG69" i="93"/>
  <c r="BG76" i="93" s="1"/>
  <c r="BF69" i="93"/>
  <c r="BF76" i="93" s="1"/>
  <c r="BE69" i="93"/>
  <c r="BE76" i="93" s="1"/>
  <c r="BD69" i="93"/>
  <c r="BD76" i="93" s="1"/>
  <c r="BC69" i="93"/>
  <c r="BC76" i="93" s="1"/>
  <c r="BB69" i="93"/>
  <c r="BB76" i="93" s="1"/>
  <c r="BA69" i="93"/>
  <c r="BA76" i="93" s="1"/>
  <c r="AZ69" i="93"/>
  <c r="AZ76" i="93" s="1"/>
  <c r="AI69" i="93"/>
  <c r="AH69" i="93"/>
  <c r="BW68" i="93"/>
  <c r="BW75" i="93" s="1"/>
  <c r="BV68" i="93"/>
  <c r="BV75" i="93" s="1"/>
  <c r="BU68" i="93"/>
  <c r="BU75" i="93" s="1"/>
  <c r="BT68" i="93"/>
  <c r="BT75" i="93" s="1"/>
  <c r="BS68" i="93"/>
  <c r="BS75" i="93" s="1"/>
  <c r="BR68" i="93"/>
  <c r="BR75" i="93" s="1"/>
  <c r="BQ68" i="93"/>
  <c r="BQ75" i="93" s="1"/>
  <c r="BP68" i="93"/>
  <c r="BP75" i="93" s="1"/>
  <c r="BO68" i="93"/>
  <c r="BO75" i="93" s="1"/>
  <c r="BN68" i="93"/>
  <c r="BN75" i="93" s="1"/>
  <c r="BM68" i="93"/>
  <c r="BM75" i="93" s="1"/>
  <c r="BL68" i="93"/>
  <c r="BL75" i="93" s="1"/>
  <c r="BK68" i="93"/>
  <c r="BK75" i="93" s="1"/>
  <c r="BJ68" i="93"/>
  <c r="BJ75" i="93" s="1"/>
  <c r="BI68" i="93"/>
  <c r="BI75" i="93" s="1"/>
  <c r="BH68" i="93"/>
  <c r="BH75" i="93" s="1"/>
  <c r="BG68" i="93"/>
  <c r="BG75" i="93" s="1"/>
  <c r="BF68" i="93"/>
  <c r="BF75" i="93" s="1"/>
  <c r="BE68" i="93"/>
  <c r="BE75" i="93" s="1"/>
  <c r="BD68" i="93"/>
  <c r="BC68" i="93"/>
  <c r="BC75" i="93" s="1"/>
  <c r="BB68" i="93"/>
  <c r="BA68" i="93"/>
  <c r="BA75" i="93" s="1"/>
  <c r="AZ68" i="93"/>
  <c r="AZ75" i="93" s="1"/>
  <c r="AI68" i="93"/>
  <c r="AH68" i="93"/>
  <c r="AI67" i="93"/>
  <c r="AH67" i="93"/>
  <c r="AI66" i="93"/>
  <c r="AH66" i="93"/>
  <c r="AI65" i="93"/>
  <c r="AH65" i="93"/>
  <c r="AI64" i="93"/>
  <c r="AH64" i="93"/>
  <c r="AI63" i="93"/>
  <c r="AH63" i="93"/>
  <c r="AG62" i="93"/>
  <c r="AB62" i="93"/>
  <c r="AA62" i="93"/>
  <c r="Z62" i="93"/>
  <c r="Y62" i="93"/>
  <c r="X62" i="93"/>
  <c r="W62" i="93"/>
  <c r="V62" i="93"/>
  <c r="U62" i="93"/>
  <c r="T62" i="93"/>
  <c r="S62" i="93"/>
  <c r="R62" i="93"/>
  <c r="Q62" i="93"/>
  <c r="P62" i="93"/>
  <c r="O62" i="93"/>
  <c r="AW17" i="93" s="1"/>
  <c r="N62" i="93"/>
  <c r="M62" i="93"/>
  <c r="AU17" i="93" s="1"/>
  <c r="L62" i="93"/>
  <c r="K62" i="93"/>
  <c r="AT17" i="93" s="1"/>
  <c r="J62" i="93"/>
  <c r="I62" i="93"/>
  <c r="AS17" i="93" s="1"/>
  <c r="H62" i="93"/>
  <c r="G62" i="93"/>
  <c r="AR17" i="93" s="1"/>
  <c r="F62" i="93"/>
  <c r="AQ17" i="93" s="1"/>
  <c r="E62" i="93"/>
  <c r="AP17" i="93" s="1"/>
  <c r="D62" i="93"/>
  <c r="C62" i="93"/>
  <c r="AN17" i="93" s="1"/>
  <c r="B62" i="93"/>
  <c r="AI61" i="93"/>
  <c r="AH61" i="93"/>
  <c r="AI60" i="93"/>
  <c r="AH60" i="93"/>
  <c r="AI59" i="93"/>
  <c r="AH59" i="93"/>
  <c r="AG58" i="93"/>
  <c r="AB58" i="93"/>
  <c r="AA58" i="93"/>
  <c r="Z58" i="93"/>
  <c r="Y58" i="93"/>
  <c r="X58" i="93"/>
  <c r="W58" i="93"/>
  <c r="V58" i="93"/>
  <c r="U58" i="93"/>
  <c r="T58" i="93"/>
  <c r="S58" i="93"/>
  <c r="R58" i="93"/>
  <c r="Q58" i="93"/>
  <c r="P58" i="93"/>
  <c r="O58" i="93"/>
  <c r="N58" i="93"/>
  <c r="M58" i="93"/>
  <c r="AU16" i="93" s="1"/>
  <c r="L58" i="93"/>
  <c r="K58" i="93"/>
  <c r="AT16" i="93" s="1"/>
  <c r="J58" i="93"/>
  <c r="I58" i="93"/>
  <c r="H58" i="93"/>
  <c r="G58" i="93"/>
  <c r="AR16" i="93" s="1"/>
  <c r="F58" i="93"/>
  <c r="E58" i="93"/>
  <c r="AP16" i="93" s="1"/>
  <c r="D58" i="93"/>
  <c r="C58" i="93"/>
  <c r="AN16" i="93" s="1"/>
  <c r="B58" i="93"/>
  <c r="AI56" i="93"/>
  <c r="AH56" i="93"/>
  <c r="AI55" i="93"/>
  <c r="AH55" i="93"/>
  <c r="AI54" i="93"/>
  <c r="AH54" i="93"/>
  <c r="AI53" i="93"/>
  <c r="AH53" i="93"/>
  <c r="AI52" i="93"/>
  <c r="AH52" i="93"/>
  <c r="AI51" i="93"/>
  <c r="AH51" i="93"/>
  <c r="AI50" i="93"/>
  <c r="AH50" i="93"/>
  <c r="AI49" i="93"/>
  <c r="AH49" i="93"/>
  <c r="AI48" i="93"/>
  <c r="AH48" i="93"/>
  <c r="AI47" i="93"/>
  <c r="AH47" i="93"/>
  <c r="AI46" i="93"/>
  <c r="AH46" i="93"/>
  <c r="AI45" i="93"/>
  <c r="AH45" i="93"/>
  <c r="AI44" i="93"/>
  <c r="AH44" i="93"/>
  <c r="AI43" i="93"/>
  <c r="AH43" i="93"/>
  <c r="AI42" i="93"/>
  <c r="AH42" i="93"/>
  <c r="AI41" i="93"/>
  <c r="AH41" i="93"/>
  <c r="AI40" i="93"/>
  <c r="AH40" i="93"/>
  <c r="AI39" i="93"/>
  <c r="AH39" i="93"/>
  <c r="AI38" i="93"/>
  <c r="AH38" i="93"/>
  <c r="AI37" i="93"/>
  <c r="AH37" i="93"/>
  <c r="AI36" i="93"/>
  <c r="AH36" i="93"/>
  <c r="AI35" i="93"/>
  <c r="AH35" i="93"/>
  <c r="AI34" i="93"/>
  <c r="AH34" i="93"/>
  <c r="AI33" i="93"/>
  <c r="AH33" i="93"/>
  <c r="AI32" i="93"/>
  <c r="AH32" i="93"/>
  <c r="AI31" i="93"/>
  <c r="AH31" i="93"/>
  <c r="AI30" i="93"/>
  <c r="AH30" i="93"/>
  <c r="AI29" i="93"/>
  <c r="AH29" i="93"/>
  <c r="AI28" i="93"/>
  <c r="AH28" i="93"/>
  <c r="AI27" i="93"/>
  <c r="AH27" i="93"/>
  <c r="AI26" i="93"/>
  <c r="AH26" i="93"/>
  <c r="AI25" i="93"/>
  <c r="AH25" i="93"/>
  <c r="AI24" i="93"/>
  <c r="AH24" i="93"/>
  <c r="AI23" i="93"/>
  <c r="AH23" i="93"/>
  <c r="AI22" i="93"/>
  <c r="AH22" i="93"/>
  <c r="AX21" i="93"/>
  <c r="AW21" i="93"/>
  <c r="AV21" i="93"/>
  <c r="AU21" i="93"/>
  <c r="AT21" i="93"/>
  <c r="AS21" i="93"/>
  <c r="AR21" i="93"/>
  <c r="AQ21" i="93"/>
  <c r="AP21" i="93"/>
  <c r="AO21" i="93"/>
  <c r="AN21" i="93"/>
  <c r="AM21" i="93"/>
  <c r="AI21" i="93"/>
  <c r="AH21" i="93"/>
  <c r="AX20" i="93"/>
  <c r="AW20" i="93"/>
  <c r="AV20" i="93"/>
  <c r="AU20" i="93"/>
  <c r="AR20" i="93"/>
  <c r="AQ20" i="93"/>
  <c r="AP20" i="93"/>
  <c r="AO20" i="93"/>
  <c r="AN20" i="93"/>
  <c r="AI20" i="93"/>
  <c r="AH20" i="93"/>
  <c r="AI19" i="93"/>
  <c r="AH19" i="93"/>
  <c r="AX18" i="93"/>
  <c r="AU18" i="93"/>
  <c r="AP18" i="93"/>
  <c r="AM18" i="93"/>
  <c r="AI18" i="93"/>
  <c r="AH18" i="93"/>
  <c r="AX17" i="93"/>
  <c r="AO17" i="93"/>
  <c r="AI17" i="93"/>
  <c r="AH17" i="93"/>
  <c r="AW16" i="93"/>
  <c r="AS16" i="93"/>
  <c r="AI16" i="93"/>
  <c r="AH16" i="93"/>
  <c r="AI15" i="93"/>
  <c r="AH15" i="93"/>
  <c r="AI14" i="93"/>
  <c r="AH14" i="93"/>
  <c r="AI13" i="93"/>
  <c r="AH13" i="93"/>
  <c r="AL12" i="93"/>
  <c r="AI12" i="93"/>
  <c r="AH12" i="93"/>
  <c r="AI11" i="93"/>
  <c r="AH11" i="93"/>
  <c r="AD5" i="93"/>
  <c r="AB5" i="93"/>
  <c r="AA5" i="93"/>
  <c r="K4" i="93"/>
  <c r="E4" i="93"/>
  <c r="H4" i="93" s="1"/>
  <c r="B4" i="93"/>
  <c r="D258" i="93" s="1"/>
  <c r="AG2" i="93"/>
  <c r="AF123" i="92"/>
  <c r="AE123" i="92"/>
  <c r="AD123" i="92"/>
  <c r="AC123" i="92"/>
  <c r="AB123" i="92"/>
  <c r="AA123" i="92"/>
  <c r="AA57" i="92"/>
  <c r="AA58" i="92"/>
  <c r="AA62" i="92"/>
  <c r="AA76" i="92"/>
  <c r="AA80" i="92"/>
  <c r="AA92" i="92"/>
  <c r="AA102" i="92"/>
  <c r="AA103" i="92"/>
  <c r="AA104" i="92"/>
  <c r="AA105" i="92"/>
  <c r="AA107" i="92" s="1"/>
  <c r="AA118" i="92"/>
  <c r="Y123" i="92"/>
  <c r="Y118" i="92"/>
  <c r="Y105" i="92"/>
  <c r="Y104" i="92"/>
  <c r="Y103" i="92"/>
  <c r="Y102" i="92"/>
  <c r="Y107" i="92" s="1"/>
  <c r="Y92" i="92"/>
  <c r="Y108" i="92" s="1"/>
  <c r="Y80" i="92"/>
  <c r="Y76" i="92"/>
  <c r="Y62" i="92"/>
  <c r="Y58" i="92"/>
  <c r="Y57" i="92"/>
  <c r="Z57" i="92"/>
  <c r="Z58" i="92"/>
  <c r="Z62" i="92"/>
  <c r="Z76" i="92"/>
  <c r="Z80" i="92"/>
  <c r="Z97" i="92" s="1"/>
  <c r="Z99" i="92" s="1"/>
  <c r="Z92" i="92"/>
  <c r="Z102" i="92"/>
  <c r="Z103" i="92"/>
  <c r="Z104" i="92"/>
  <c r="Z105" i="92"/>
  <c r="Z107" i="92"/>
  <c r="Z108" i="92" s="1"/>
  <c r="Z118" i="92"/>
  <c r="Z123" i="92"/>
  <c r="Y252" i="95" l="1"/>
  <c r="Z246" i="95"/>
  <c r="O251" i="94"/>
  <c r="N118" i="94"/>
  <c r="O248" i="94"/>
  <c r="N252" i="94"/>
  <c r="Q246" i="94"/>
  <c r="B97" i="93"/>
  <c r="Z97" i="93"/>
  <c r="Z99" i="93" s="1"/>
  <c r="AM16" i="93"/>
  <c r="AM19" i="93"/>
  <c r="AI57" i="93"/>
  <c r="AI123" i="93"/>
  <c r="AE7" i="93"/>
  <c r="Y97" i="93"/>
  <c r="Y99" i="93" s="1"/>
  <c r="W107" i="93"/>
  <c r="W97" i="93"/>
  <c r="W99" i="93" s="1"/>
  <c r="W100" i="93" s="1"/>
  <c r="W7" i="93" s="1"/>
  <c r="V97" i="93"/>
  <c r="V99" i="93" s="1"/>
  <c r="U97" i="93"/>
  <c r="U99" i="93" s="1"/>
  <c r="Z107" i="93"/>
  <c r="Z108" i="93" s="1"/>
  <c r="AA107" i="93"/>
  <c r="AA108" i="93" s="1"/>
  <c r="W108" i="93"/>
  <c r="U107" i="93"/>
  <c r="Y107" i="93"/>
  <c r="Y108" i="93" s="1"/>
  <c r="R107" i="93"/>
  <c r="R108" i="93" s="1"/>
  <c r="R97" i="93"/>
  <c r="R99" i="93" s="1"/>
  <c r="Q107" i="93"/>
  <c r="Q108" i="93" s="1"/>
  <c r="Q97" i="93"/>
  <c r="Q99" i="93" s="1"/>
  <c r="O107" i="93"/>
  <c r="AW23" i="93" s="1"/>
  <c r="N5" i="93"/>
  <c r="O97" i="93"/>
  <c r="O99" i="93" s="1"/>
  <c r="L5" i="93"/>
  <c r="M107" i="93"/>
  <c r="AU23" i="93" s="1"/>
  <c r="K107" i="93"/>
  <c r="AT23" i="93" s="1"/>
  <c r="J5" i="93"/>
  <c r="AT22" i="93"/>
  <c r="AH123" i="93"/>
  <c r="AS19" i="93"/>
  <c r="AS22" i="93" s="1"/>
  <c r="I107" i="93"/>
  <c r="I108" i="93" s="1"/>
  <c r="J107" i="93"/>
  <c r="J108" i="93" s="1"/>
  <c r="J97" i="93"/>
  <c r="J99" i="93" s="1"/>
  <c r="H97" i="93"/>
  <c r="H99" i="93" s="1"/>
  <c r="G107" i="93"/>
  <c r="AR23" i="93" s="1"/>
  <c r="G108" i="93"/>
  <c r="F5" i="93"/>
  <c r="AR19" i="93"/>
  <c r="AR22" i="93" s="1"/>
  <c r="G97" i="93"/>
  <c r="G99" i="93" s="1"/>
  <c r="E5" i="93"/>
  <c r="AI101" i="93"/>
  <c r="E107" i="93"/>
  <c r="AP23" i="93" s="1"/>
  <c r="AP19" i="93"/>
  <c r="AP22" i="93" s="1"/>
  <c r="AH62" i="93"/>
  <c r="E97" i="93"/>
  <c r="E99" i="93" s="1"/>
  <c r="C5" i="93"/>
  <c r="AI102" i="93"/>
  <c r="AI105" i="93"/>
  <c r="B5" i="93"/>
  <c r="BG84" i="93" a="1"/>
  <c r="BJ99" i="93" s="1"/>
  <c r="AI62" i="93"/>
  <c r="AM17" i="93"/>
  <c r="AH103" i="93"/>
  <c r="AH101" i="93"/>
  <c r="AV19" i="93"/>
  <c r="N97" i="93"/>
  <c r="N99" i="93" s="1"/>
  <c r="AV17" i="93"/>
  <c r="AH76" i="93"/>
  <c r="AI58" i="93"/>
  <c r="AV16" i="93"/>
  <c r="AG99" i="93"/>
  <c r="AG3" i="93"/>
  <c r="AG6" i="93" s="1"/>
  <c r="AN22" i="93"/>
  <c r="G5" i="93"/>
  <c r="X97" i="93"/>
  <c r="X99" i="93" s="1"/>
  <c r="AW22" i="93"/>
  <c r="AW24" i="93" s="1"/>
  <c r="B99" i="93"/>
  <c r="AM22" i="93"/>
  <c r="K97" i="93"/>
  <c r="K99" i="93" s="1"/>
  <c r="AA97" i="93"/>
  <c r="AA99" i="93" s="1"/>
  <c r="AI80" i="93"/>
  <c r="AL13" i="93"/>
  <c r="D97" i="93"/>
  <c r="D99" i="93" s="1"/>
  <c r="L97" i="93"/>
  <c r="L99" i="93" s="1"/>
  <c r="T97" i="93"/>
  <c r="T99" i="93" s="1"/>
  <c r="AB97" i="93"/>
  <c r="AB99" i="93" s="1"/>
  <c r="AG97" i="93"/>
  <c r="AH105" i="93"/>
  <c r="W5" i="93"/>
  <c r="AU22" i="93"/>
  <c r="AU24" i="93" s="1"/>
  <c r="P97" i="93"/>
  <c r="P99" i="93" s="1"/>
  <c r="C97" i="93"/>
  <c r="C99" i="93" s="1"/>
  <c r="S97" i="93"/>
  <c r="S99" i="93" s="1"/>
  <c r="AH80" i="93"/>
  <c r="AH102" i="93"/>
  <c r="AO16" i="93"/>
  <c r="AO22" i="93" s="1"/>
  <c r="M97" i="93"/>
  <c r="M99" i="93" s="1"/>
  <c r="M100" i="93" s="1"/>
  <c r="M7" i="93" s="1"/>
  <c r="AC7" i="93"/>
  <c r="AZ77" i="93"/>
  <c r="I97" i="93"/>
  <c r="I99" i="93" s="1"/>
  <c r="I100" i="93" s="1"/>
  <c r="I7" i="93" s="1"/>
  <c r="C107" i="93"/>
  <c r="AN23" i="93" s="1"/>
  <c r="S107" i="93"/>
  <c r="S108" i="93" s="1"/>
  <c r="AI103" i="93"/>
  <c r="AI104" i="93"/>
  <c r="O5" i="93"/>
  <c r="AX19" i="93"/>
  <c r="F97" i="93"/>
  <c r="F99" i="93" s="1"/>
  <c r="AQ16" i="93"/>
  <c r="AQ22" i="93" s="1"/>
  <c r="O108" i="93"/>
  <c r="B107" i="93"/>
  <c r="B108" i="93" s="1"/>
  <c r="AX16" i="93"/>
  <c r="AH92" i="93"/>
  <c r="F107" i="93"/>
  <c r="N107" i="93"/>
  <c r="V107" i="93"/>
  <c r="V108" i="93" s="1"/>
  <c r="D107" i="93"/>
  <c r="AO23" i="93" s="1"/>
  <c r="L107" i="93"/>
  <c r="L108" i="93" s="1"/>
  <c r="T107" i="93"/>
  <c r="T108" i="93" s="1"/>
  <c r="AB107" i="93"/>
  <c r="AB108" i="93" s="1"/>
  <c r="D252" i="93"/>
  <c r="D118" i="93"/>
  <c r="E246" i="93"/>
  <c r="AI76" i="93"/>
  <c r="AI92" i="93"/>
  <c r="H107" i="93"/>
  <c r="H108" i="93" s="1"/>
  <c r="P107" i="93"/>
  <c r="AX23" i="93" s="1"/>
  <c r="X107" i="93"/>
  <c r="X108" i="93" s="1"/>
  <c r="AH58" i="93"/>
  <c r="M108" i="93"/>
  <c r="U108" i="93"/>
  <c r="AH104" i="93"/>
  <c r="AA108" i="92"/>
  <c r="Z100" i="92"/>
  <c r="AA97" i="92"/>
  <c r="AA99" i="92" s="1"/>
  <c r="AA100" i="92" s="1"/>
  <c r="Y97" i="92"/>
  <c r="Y99" i="92" s="1"/>
  <c r="Y100" i="92" s="1"/>
  <c r="Z252" i="95" l="1"/>
  <c r="AA246" i="95"/>
  <c r="R246" i="94"/>
  <c r="P248" i="94"/>
  <c r="O252" i="94"/>
  <c r="P251" i="94"/>
  <c r="Q251" i="94" s="1"/>
  <c r="R251" i="94" s="1"/>
  <c r="S251" i="94" s="1"/>
  <c r="T251" i="94" s="1"/>
  <c r="U251" i="94" s="1"/>
  <c r="V251" i="94" s="1"/>
  <c r="W251" i="94" s="1"/>
  <c r="X251" i="94" s="1"/>
  <c r="Y251" i="94" s="1"/>
  <c r="Z251" i="94" s="1"/>
  <c r="AA251" i="94" s="1"/>
  <c r="AB251" i="94" s="1"/>
  <c r="AC251" i="94" s="1"/>
  <c r="AD251" i="94" s="1"/>
  <c r="AE251" i="94" s="1"/>
  <c r="AF251" i="94" s="1"/>
  <c r="B251" i="94" s="1"/>
  <c r="O118" i="94"/>
  <c r="J100" i="93"/>
  <c r="J7" i="93" s="1"/>
  <c r="G100" i="93"/>
  <c r="G7" i="93" s="1"/>
  <c r="AA100" i="93"/>
  <c r="AA7" i="93" s="1"/>
  <c r="AR24" i="93"/>
  <c r="U100" i="93"/>
  <c r="U7" i="93" s="1"/>
  <c r="E100" i="93"/>
  <c r="E7" i="93" s="1"/>
  <c r="S100" i="93"/>
  <c r="S7" i="93" s="1"/>
  <c r="AP24" i="93"/>
  <c r="X100" i="93"/>
  <c r="X7" i="93" s="1"/>
  <c r="AD7" i="93"/>
  <c r="E108" i="93"/>
  <c r="O100" i="93"/>
  <c r="O7" i="93" s="1"/>
  <c r="Z100" i="93"/>
  <c r="Z7" i="93" s="1"/>
  <c r="Y100" i="93"/>
  <c r="Y7" i="93" s="1"/>
  <c r="R100" i="93"/>
  <c r="R7" i="93" s="1"/>
  <c r="Q100" i="93"/>
  <c r="Q7" i="93" s="1"/>
  <c r="AX22" i="93"/>
  <c r="K108" i="93"/>
  <c r="K100" i="93"/>
  <c r="K7" i="93" s="1"/>
  <c r="AT24" i="93"/>
  <c r="AS23" i="93"/>
  <c r="AS24" i="93" s="1"/>
  <c r="H100" i="93"/>
  <c r="H7" i="93" s="1"/>
  <c r="F100" i="93"/>
  <c r="F7" i="93" s="1"/>
  <c r="D108" i="93"/>
  <c r="C100" i="93"/>
  <c r="C7" i="93" s="1"/>
  <c r="AN24" i="93"/>
  <c r="C108" i="93"/>
  <c r="BJ106" i="93"/>
  <c r="BH96" i="93"/>
  <c r="BK84" i="93"/>
  <c r="BG87" i="93"/>
  <c r="BK97" i="93"/>
  <c r="BJ103" i="93"/>
  <c r="BG98" i="93"/>
  <c r="BJ85" i="93"/>
  <c r="BK87" i="93"/>
  <c r="BG86" i="93"/>
  <c r="BL87" i="93"/>
  <c r="BG101" i="93"/>
  <c r="BG97" i="93"/>
  <c r="BK88" i="93"/>
  <c r="BJ105" i="93"/>
  <c r="BI97" i="93"/>
  <c r="BI91" i="93"/>
  <c r="BI84" i="93"/>
  <c r="BG95" i="93"/>
  <c r="BK105" i="93"/>
  <c r="BJ92" i="93"/>
  <c r="BH103" i="93"/>
  <c r="BH90" i="93"/>
  <c r="BL100" i="93"/>
  <c r="BI102" i="93"/>
  <c r="BI94" i="93"/>
  <c r="BL91" i="93"/>
  <c r="BI90" i="93"/>
  <c r="BG92" i="93"/>
  <c r="BH105" i="93"/>
  <c r="BL98" i="93"/>
  <c r="BK90" i="93"/>
  <c r="BL107" i="93"/>
  <c r="BK99" i="93"/>
  <c r="BI93" i="93"/>
  <c r="BK85" i="93"/>
  <c r="BI96" i="93"/>
  <c r="BG107" i="93"/>
  <c r="BL93" i="93"/>
  <c r="BJ104" i="93"/>
  <c r="BJ91" i="93"/>
  <c r="BH102" i="93"/>
  <c r="BJ98" i="93"/>
  <c r="BG84" i="93"/>
  <c r="BG93" i="93"/>
  <c r="BK95" i="93"/>
  <c r="BJ84" i="93"/>
  <c r="BK102" i="93"/>
  <c r="BI86" i="93"/>
  <c r="BH94" i="93"/>
  <c r="BJ89" i="93"/>
  <c r="BK104" i="93"/>
  <c r="BH88" i="93"/>
  <c r="BH97" i="93"/>
  <c r="BG89" i="93"/>
  <c r="BG106" i="93"/>
  <c r="BL99" i="93"/>
  <c r="BK89" i="93"/>
  <c r="BI100" i="93"/>
  <c r="BH87" i="93"/>
  <c r="BL97" i="93"/>
  <c r="BL84" i="93"/>
  <c r="BH106" i="93"/>
  <c r="BL92" i="93"/>
  <c r="BH100" i="93"/>
  <c r="BL102" i="93"/>
  <c r="BK100" i="93"/>
  <c r="BI103" i="93"/>
  <c r="BL94" i="93"/>
  <c r="BK86" i="93"/>
  <c r="BL103" i="93"/>
  <c r="BJ97" i="93"/>
  <c r="BI88" i="93"/>
  <c r="BG99" i="93"/>
  <c r="BL85" i="93"/>
  <c r="BJ96" i="93"/>
  <c r="BL106" i="93"/>
  <c r="BI105" i="93"/>
  <c r="BG94" i="93"/>
  <c r="BJ94" i="93"/>
  <c r="BJ93" i="93"/>
  <c r="BI87" i="93"/>
  <c r="BG88" i="93"/>
  <c r="BJ90" i="93"/>
  <c r="BK107" i="93"/>
  <c r="BI99" i="93"/>
  <c r="BL90" i="93"/>
  <c r="BG85" i="93"/>
  <c r="BG102" i="93"/>
  <c r="BG91" i="93"/>
  <c r="BK101" i="93"/>
  <c r="BJ88" i="93"/>
  <c r="BH99" i="93"/>
  <c r="BH86" i="93"/>
  <c r="BL96" i="93"/>
  <c r="BJ107" i="93"/>
  <c r="BK98" i="93"/>
  <c r="BH95" i="93"/>
  <c r="BL104" i="93"/>
  <c r="BG105" i="93"/>
  <c r="BK91" i="93"/>
  <c r="BK92" i="93"/>
  <c r="BL86" i="93"/>
  <c r="BL89" i="93"/>
  <c r="BJ87" i="93"/>
  <c r="BH98" i="93"/>
  <c r="BG96" i="93"/>
  <c r="BH101" i="93"/>
  <c r="BJ101" i="93"/>
  <c r="BL105" i="93"/>
  <c r="BI85" i="93"/>
  <c r="BH107" i="93"/>
  <c r="BI107" i="93"/>
  <c r="BJ95" i="93"/>
  <c r="BH85" i="93"/>
  <c r="BJ102" i="93"/>
  <c r="BI98" i="93"/>
  <c r="BL95" i="93"/>
  <c r="BH92" i="93"/>
  <c r="BH84" i="93"/>
  <c r="BI101" i="93"/>
  <c r="BH93" i="93"/>
  <c r="BG104" i="93"/>
  <c r="BI92" i="93"/>
  <c r="BG103" i="93"/>
  <c r="BJ100" i="93"/>
  <c r="BI89" i="93"/>
  <c r="BK106" i="93"/>
  <c r="BG100" i="93"/>
  <c r="BG90" i="93"/>
  <c r="BH104" i="93"/>
  <c r="BK96" i="93"/>
  <c r="BK94" i="93"/>
  <c r="BJ86" i="93"/>
  <c r="BK103" i="93"/>
  <c r="BI95" i="93"/>
  <c r="BH89" i="93"/>
  <c r="BI106" i="93"/>
  <c r="BK93" i="93"/>
  <c r="BI104" i="93"/>
  <c r="BH91" i="93"/>
  <c r="BL101" i="93"/>
  <c r="BL88" i="93"/>
  <c r="AV22" i="93"/>
  <c r="AT8" i="93" s="1"/>
  <c r="AV23" i="93"/>
  <c r="N108" i="93"/>
  <c r="AH97" i="93"/>
  <c r="AH99" i="93"/>
  <c r="B100" i="93"/>
  <c r="AI99" i="93"/>
  <c r="AQ23" i="93"/>
  <c r="AQ24" i="93" s="1"/>
  <c r="F108" i="93"/>
  <c r="B256" i="93"/>
  <c r="P108" i="93"/>
  <c r="AB100" i="93"/>
  <c r="AB7" i="93" s="1"/>
  <c r="C256" i="93"/>
  <c r="AI107" i="93"/>
  <c r="AM23" i="93"/>
  <c r="AM24" i="93" s="1"/>
  <c r="AH107" i="93"/>
  <c r="P100" i="93"/>
  <c r="P7" i="93" s="1"/>
  <c r="L100" i="93"/>
  <c r="L7" i="93" s="1"/>
  <c r="AO24" i="93"/>
  <c r="D100" i="93"/>
  <c r="D7" i="93" s="1"/>
  <c r="N100" i="93"/>
  <c r="N7" i="93" s="1"/>
  <c r="V100" i="93"/>
  <c r="V7" i="93" s="1"/>
  <c r="AX24" i="93"/>
  <c r="T100" i="93"/>
  <c r="T7" i="93" s="1"/>
  <c r="F246" i="93"/>
  <c r="E118" i="93"/>
  <c r="E252" i="93"/>
  <c r="AF7" i="93"/>
  <c r="AI97" i="93"/>
  <c r="AA252" i="95" l="1"/>
  <c r="AB246" i="95"/>
  <c r="Q248" i="94"/>
  <c r="P252" i="94"/>
  <c r="R118" i="94"/>
  <c r="S246" i="94"/>
  <c r="Q118" i="94"/>
  <c r="AI108" i="93"/>
  <c r="AV24" i="93"/>
  <c r="AT9" i="93" s="1"/>
  <c r="AH108" i="93"/>
  <c r="K6" i="93"/>
  <c r="G246" i="93"/>
  <c r="F118" i="93"/>
  <c r="F252" i="93"/>
  <c r="AI100" i="93"/>
  <c r="AH100" i="93"/>
  <c r="B7" i="93"/>
  <c r="A7" i="93" s="1"/>
  <c r="AB252" i="95" l="1"/>
  <c r="AB118" i="95"/>
  <c r="AC246" i="95"/>
  <c r="T246" i="94"/>
  <c r="R248" i="94"/>
  <c r="Q252" i="94"/>
  <c r="H246" i="93"/>
  <c r="G252" i="93"/>
  <c r="G118" i="93"/>
  <c r="AC118" i="95" l="1"/>
  <c r="AD246" i="95"/>
  <c r="AC252" i="95"/>
  <c r="S248" i="94"/>
  <c r="R252" i="94"/>
  <c r="U246" i="94"/>
  <c r="I246" i="93"/>
  <c r="H252" i="93"/>
  <c r="H118" i="93"/>
  <c r="AE246" i="95" l="1"/>
  <c r="AD252" i="95"/>
  <c r="AD118" i="95"/>
  <c r="V246" i="94"/>
  <c r="T248" i="94"/>
  <c r="S252" i="94"/>
  <c r="I252" i="93"/>
  <c r="I118" i="93"/>
  <c r="J246" i="93"/>
  <c r="AF246" i="95" l="1"/>
  <c r="AE252" i="95"/>
  <c r="AE118" i="95"/>
  <c r="U248" i="94"/>
  <c r="T252" i="94"/>
  <c r="W246" i="94"/>
  <c r="J252" i="93"/>
  <c r="J118" i="93"/>
  <c r="K246" i="93"/>
  <c r="AF252" i="95" l="1"/>
  <c r="B246" i="95"/>
  <c r="AF118" i="95"/>
  <c r="X246" i="94"/>
  <c r="V248" i="94"/>
  <c r="U252" i="94"/>
  <c r="K252" i="93"/>
  <c r="K118" i="93"/>
  <c r="L246" i="93"/>
  <c r="B252" i="95" l="1"/>
  <c r="B118" i="95"/>
  <c r="W248" i="94"/>
  <c r="V252" i="94"/>
  <c r="Y246" i="94"/>
  <c r="L252" i="93"/>
  <c r="L118" i="93"/>
  <c r="M246" i="93"/>
  <c r="AI118" i="95" l="1"/>
  <c r="AH118" i="95"/>
  <c r="Z246" i="94"/>
  <c r="X248" i="94"/>
  <c r="W252" i="94"/>
  <c r="N246" i="93"/>
  <c r="M252" i="93"/>
  <c r="M118" i="93"/>
  <c r="AA246" i="94" l="1"/>
  <c r="Y248" i="94"/>
  <c r="X252" i="94"/>
  <c r="O246" i="93"/>
  <c r="N252" i="93"/>
  <c r="N118" i="93"/>
  <c r="AB246" i="94" l="1"/>
  <c r="Z248" i="94"/>
  <c r="Y252" i="94"/>
  <c r="O252" i="93"/>
  <c r="O118" i="93"/>
  <c r="P246" i="93"/>
  <c r="AA248" i="94" l="1"/>
  <c r="Z252" i="94"/>
  <c r="AC246" i="94"/>
  <c r="AB118" i="94"/>
  <c r="Q246" i="93"/>
  <c r="P252" i="93"/>
  <c r="AC118" i="94" l="1"/>
  <c r="AD246" i="94"/>
  <c r="AB248" i="94"/>
  <c r="AA252" i="94"/>
  <c r="Q252" i="93"/>
  <c r="Q118" i="93"/>
  <c r="R246" i="93"/>
  <c r="AC248" i="94" l="1"/>
  <c r="AB252" i="94"/>
  <c r="AE246" i="94"/>
  <c r="AD118" i="94"/>
  <c r="R252" i="93"/>
  <c r="R118" i="93"/>
  <c r="S246" i="93"/>
  <c r="AF246" i="94" l="1"/>
  <c r="AE118" i="94"/>
  <c r="AD248" i="94"/>
  <c r="AC252" i="94"/>
  <c r="S118" i="93"/>
  <c r="S252" i="93"/>
  <c r="T246" i="93"/>
  <c r="AE248" i="94" l="1"/>
  <c r="AD252" i="94"/>
  <c r="AF118" i="94"/>
  <c r="B246" i="94"/>
  <c r="B118" i="94" s="1"/>
  <c r="T252" i="93"/>
  <c r="U246" i="93"/>
  <c r="T118" i="93"/>
  <c r="AF248" i="94" l="1"/>
  <c r="AE252" i="94"/>
  <c r="U118" i="93"/>
  <c r="V246" i="93"/>
  <c r="U252" i="93"/>
  <c r="B248" i="94" l="1"/>
  <c r="B252" i="94" s="1"/>
  <c r="AF252" i="94"/>
  <c r="AH118" i="94"/>
  <c r="AI118" i="94"/>
  <c r="W246" i="93"/>
  <c r="V252" i="93"/>
  <c r="V118" i="93"/>
  <c r="X246" i="93" l="1"/>
  <c r="W252" i="93"/>
  <c r="W118" i="93"/>
  <c r="Y246" i="93" l="1"/>
  <c r="X252" i="93"/>
  <c r="X118" i="93"/>
  <c r="Y252" i="93" l="1"/>
  <c r="Z246" i="93"/>
  <c r="Z252" i="93" l="1"/>
  <c r="AA246" i="93"/>
  <c r="AA118" i="93" l="1"/>
  <c r="AA252" i="93"/>
  <c r="AB246" i="93"/>
  <c r="AB252" i="93" l="1"/>
  <c r="AC246" i="93"/>
  <c r="AB118" i="93"/>
  <c r="AD246" i="93" l="1"/>
  <c r="AC252" i="93"/>
  <c r="AE246" i="93" l="1"/>
  <c r="AD252" i="93"/>
  <c r="AE252" i="93" l="1"/>
  <c r="AF246" i="93"/>
  <c r="AF252" i="93" l="1"/>
  <c r="B246" i="93"/>
  <c r="B252" i="93" l="1"/>
  <c r="B118" i="93"/>
  <c r="AI118" i="93" l="1"/>
  <c r="AH118" i="93"/>
  <c r="X123" i="92" l="1"/>
  <c r="X57" i="92"/>
  <c r="X58" i="92"/>
  <c r="X62" i="92"/>
  <c r="X76" i="92"/>
  <c r="X80" i="92"/>
  <c r="X92" i="92"/>
  <c r="X102" i="92"/>
  <c r="X103" i="92"/>
  <c r="X104" i="92"/>
  <c r="X105" i="92"/>
  <c r="X107" i="92"/>
  <c r="X118" i="92"/>
  <c r="W123" i="92"/>
  <c r="W57" i="92"/>
  <c r="W58" i="92"/>
  <c r="W62" i="92"/>
  <c r="W76" i="92"/>
  <c r="W80" i="92"/>
  <c r="W92" i="92"/>
  <c r="W102" i="92"/>
  <c r="W103" i="92"/>
  <c r="W104" i="92"/>
  <c r="W105" i="92"/>
  <c r="W118" i="92"/>
  <c r="V123" i="92"/>
  <c r="V57" i="92"/>
  <c r="V58" i="92"/>
  <c r="V62" i="92"/>
  <c r="V76" i="92"/>
  <c r="V80" i="92"/>
  <c r="V92" i="92"/>
  <c r="V102" i="92"/>
  <c r="V103" i="92"/>
  <c r="V104" i="92"/>
  <c r="V105" i="92"/>
  <c r="V118" i="92"/>
  <c r="U123" i="92"/>
  <c r="U57" i="92"/>
  <c r="U58" i="92"/>
  <c r="U62" i="92"/>
  <c r="U76" i="92"/>
  <c r="U80" i="92"/>
  <c r="U92" i="92"/>
  <c r="U102" i="92"/>
  <c r="U103" i="92"/>
  <c r="U104" i="92"/>
  <c r="U107" i="92" s="1"/>
  <c r="U105" i="92"/>
  <c r="U118" i="92"/>
  <c r="T123" i="92"/>
  <c r="T118" i="92" s="1"/>
  <c r="T92" i="92"/>
  <c r="T57" i="92"/>
  <c r="T58" i="92"/>
  <c r="T62" i="92"/>
  <c r="T76" i="92"/>
  <c r="T80" i="92"/>
  <c r="T102" i="92"/>
  <c r="T103" i="92"/>
  <c r="T104" i="92"/>
  <c r="T105" i="92"/>
  <c r="S123" i="92"/>
  <c r="S57" i="92"/>
  <c r="S58" i="92"/>
  <c r="S62" i="92"/>
  <c r="S76" i="92"/>
  <c r="S80" i="92"/>
  <c r="S92" i="92"/>
  <c r="S107" i="92"/>
  <c r="S102" i="92"/>
  <c r="S103" i="92"/>
  <c r="S104" i="92"/>
  <c r="S105" i="92"/>
  <c r="S118" i="92"/>
  <c r="R123" i="92"/>
  <c r="R121" i="92"/>
  <c r="R57" i="92"/>
  <c r="Q123" i="92"/>
  <c r="Q121" i="92"/>
  <c r="Q57" i="92"/>
  <c r="X97" i="92" l="1"/>
  <c r="X99" i="92" s="1"/>
  <c r="X100" i="92" s="1"/>
  <c r="X108" i="92"/>
  <c r="W97" i="92"/>
  <c r="W99" i="92" s="1"/>
  <c r="W107" i="92"/>
  <c r="W108" i="92" s="1"/>
  <c r="V97" i="92"/>
  <c r="V99" i="92" s="1"/>
  <c r="V107" i="92"/>
  <c r="V108" i="92"/>
  <c r="U108" i="92"/>
  <c r="U97" i="92"/>
  <c r="U99" i="92" s="1"/>
  <c r="U100" i="92" s="1"/>
  <c r="T107" i="92"/>
  <c r="T108" i="92" s="1"/>
  <c r="T97" i="92"/>
  <c r="T99" i="92" s="1"/>
  <c r="S97" i="92"/>
  <c r="S99" i="92" s="1"/>
  <c r="S100" i="92" s="1"/>
  <c r="S108" i="92"/>
  <c r="W100" i="92" l="1"/>
  <c r="V100" i="92"/>
  <c r="T100" i="92"/>
  <c r="P123" i="92" l="1"/>
  <c r="P57" i="92"/>
  <c r="O123" i="92"/>
  <c r="O121" i="92"/>
  <c r="O57" i="92"/>
  <c r="N123" i="92"/>
  <c r="N121" i="92"/>
  <c r="AI121" i="92" s="1"/>
  <c r="N57" i="92"/>
  <c r="L123" i="92"/>
  <c r="L57" i="92"/>
  <c r="K123" i="92"/>
  <c r="K57" i="92"/>
  <c r="J123" i="92"/>
  <c r="J57" i="92"/>
  <c r="I123" i="92"/>
  <c r="I57" i="92"/>
  <c r="H123" i="92"/>
  <c r="H57" i="92"/>
  <c r="G123" i="92"/>
  <c r="G57" i="92"/>
  <c r="F123" i="92"/>
  <c r="F57" i="92"/>
  <c r="E123" i="92"/>
  <c r="E57" i="92"/>
  <c r="D123" i="92"/>
  <c r="D58" i="92"/>
  <c r="D62" i="92"/>
  <c r="D76" i="92"/>
  <c r="D80" i="92"/>
  <c r="D92" i="92"/>
  <c r="C5" i="92" s="1"/>
  <c r="D101" i="92"/>
  <c r="D107" i="92" s="1"/>
  <c r="D102" i="92"/>
  <c r="D103" i="92"/>
  <c r="D104" i="92"/>
  <c r="D105" i="92"/>
  <c r="C123" i="92"/>
  <c r="C58" i="92"/>
  <c r="C62" i="92"/>
  <c r="C76" i="92"/>
  <c r="C80" i="92"/>
  <c r="AN20" i="92" s="1"/>
  <c r="C92" i="92"/>
  <c r="AN19" i="92" s="1"/>
  <c r="C101" i="92"/>
  <c r="C102" i="92"/>
  <c r="C103" i="92"/>
  <c r="C104" i="92"/>
  <c r="C105" i="92"/>
  <c r="C107" i="92"/>
  <c r="AN23" i="92" s="1"/>
  <c r="C118" i="92"/>
  <c r="B123" i="92"/>
  <c r="B118" i="92"/>
  <c r="B105" i="92"/>
  <c r="B104" i="92"/>
  <c r="B103" i="92"/>
  <c r="B102" i="92"/>
  <c r="B101" i="92"/>
  <c r="B107" i="92" s="1"/>
  <c r="B92" i="92"/>
  <c r="B108" i="92" s="1"/>
  <c r="B80" i="92"/>
  <c r="B76" i="92"/>
  <c r="AM18" i="92" s="1"/>
  <c r="B62" i="92"/>
  <c r="AM17" i="92" s="1"/>
  <c r="B58" i="92"/>
  <c r="AG252" i="92"/>
  <c r="C252" i="92"/>
  <c r="N251" i="92"/>
  <c r="O251" i="92" s="1"/>
  <c r="P251" i="92" s="1"/>
  <c r="Q251" i="92" s="1"/>
  <c r="R251" i="92" s="1"/>
  <c r="S251" i="92" s="1"/>
  <c r="T251" i="92" s="1"/>
  <c r="U251" i="92" s="1"/>
  <c r="V251" i="92" s="1"/>
  <c r="W251" i="92" s="1"/>
  <c r="X251" i="92" s="1"/>
  <c r="Y251" i="92" s="1"/>
  <c r="Z251" i="92" s="1"/>
  <c r="AA251" i="92" s="1"/>
  <c r="AB251" i="92" s="1"/>
  <c r="AC251" i="92" s="1"/>
  <c r="AD251" i="92" s="1"/>
  <c r="AE251" i="92" s="1"/>
  <c r="AF251" i="92" s="1"/>
  <c r="B251" i="92" s="1"/>
  <c r="D251" i="92"/>
  <c r="E251" i="92" s="1"/>
  <c r="F251" i="92" s="1"/>
  <c r="G251" i="92" s="1"/>
  <c r="H251" i="92" s="1"/>
  <c r="I251" i="92" s="1"/>
  <c r="J251" i="92" s="1"/>
  <c r="K251" i="92" s="1"/>
  <c r="L251" i="92" s="1"/>
  <c r="M251" i="92" s="1"/>
  <c r="L250" i="92"/>
  <c r="M250" i="92" s="1"/>
  <c r="N250" i="92" s="1"/>
  <c r="O250" i="92" s="1"/>
  <c r="P250" i="92" s="1"/>
  <c r="Q250" i="92" s="1"/>
  <c r="R250" i="92" s="1"/>
  <c r="S250" i="92" s="1"/>
  <c r="T250" i="92" s="1"/>
  <c r="U250" i="92" s="1"/>
  <c r="V250" i="92" s="1"/>
  <c r="W250" i="92" s="1"/>
  <c r="X250" i="92" s="1"/>
  <c r="Y250" i="92" s="1"/>
  <c r="Z250" i="92" s="1"/>
  <c r="AA250" i="92" s="1"/>
  <c r="AB250" i="92" s="1"/>
  <c r="AC250" i="92" s="1"/>
  <c r="AD250" i="92" s="1"/>
  <c r="AE250" i="92" s="1"/>
  <c r="AF250" i="92" s="1"/>
  <c r="B250" i="92" s="1"/>
  <c r="D250" i="92"/>
  <c r="E250" i="92" s="1"/>
  <c r="F250" i="92" s="1"/>
  <c r="G250" i="92" s="1"/>
  <c r="H250" i="92" s="1"/>
  <c r="I250" i="92" s="1"/>
  <c r="J250" i="92" s="1"/>
  <c r="K250" i="92" s="1"/>
  <c r="F249" i="92"/>
  <c r="G249" i="92" s="1"/>
  <c r="H249" i="92" s="1"/>
  <c r="I249" i="92" s="1"/>
  <c r="J249" i="92" s="1"/>
  <c r="K249" i="92" s="1"/>
  <c r="L249" i="92" s="1"/>
  <c r="M249" i="92" s="1"/>
  <c r="N249" i="92" s="1"/>
  <c r="O249" i="92" s="1"/>
  <c r="P249" i="92" s="1"/>
  <c r="Q249" i="92" s="1"/>
  <c r="R249" i="92" s="1"/>
  <c r="S249" i="92" s="1"/>
  <c r="T249" i="92" s="1"/>
  <c r="U249" i="92" s="1"/>
  <c r="V249" i="92" s="1"/>
  <c r="W249" i="92" s="1"/>
  <c r="X249" i="92" s="1"/>
  <c r="Y249" i="92" s="1"/>
  <c r="Z249" i="92" s="1"/>
  <c r="AA249" i="92" s="1"/>
  <c r="AB249" i="92" s="1"/>
  <c r="AC249" i="92" s="1"/>
  <c r="AD249" i="92" s="1"/>
  <c r="AE249" i="92" s="1"/>
  <c r="AF249" i="92" s="1"/>
  <c r="B249" i="92" s="1"/>
  <c r="D249" i="92"/>
  <c r="E249" i="92" s="1"/>
  <c r="H248" i="92"/>
  <c r="I248" i="92" s="1"/>
  <c r="J248" i="92" s="1"/>
  <c r="K248" i="92" s="1"/>
  <c r="L248" i="92" s="1"/>
  <c r="M248" i="92" s="1"/>
  <c r="N248" i="92" s="1"/>
  <c r="O248" i="92" s="1"/>
  <c r="P248" i="92" s="1"/>
  <c r="Q248" i="92" s="1"/>
  <c r="R248" i="92" s="1"/>
  <c r="S248" i="92" s="1"/>
  <c r="T248" i="92" s="1"/>
  <c r="U248" i="92" s="1"/>
  <c r="V248" i="92" s="1"/>
  <c r="W248" i="92" s="1"/>
  <c r="X248" i="92" s="1"/>
  <c r="Y248" i="92" s="1"/>
  <c r="Z248" i="92" s="1"/>
  <c r="AA248" i="92" s="1"/>
  <c r="AB248" i="92" s="1"/>
  <c r="AC248" i="92" s="1"/>
  <c r="AD248" i="92" s="1"/>
  <c r="AE248" i="92" s="1"/>
  <c r="AF248" i="92" s="1"/>
  <c r="B248" i="92" s="1"/>
  <c r="D248" i="92"/>
  <c r="E248" i="92" s="1"/>
  <c r="F248" i="92" s="1"/>
  <c r="G248" i="92" s="1"/>
  <c r="H247" i="92"/>
  <c r="I247" i="92" s="1"/>
  <c r="J247" i="92" s="1"/>
  <c r="K247" i="92" s="1"/>
  <c r="L247" i="92" s="1"/>
  <c r="M247" i="92" s="1"/>
  <c r="N247" i="92" s="1"/>
  <c r="O247" i="92" s="1"/>
  <c r="P247" i="92" s="1"/>
  <c r="Q247" i="92" s="1"/>
  <c r="R247" i="92" s="1"/>
  <c r="S247" i="92" s="1"/>
  <c r="T247" i="92" s="1"/>
  <c r="U247" i="92" s="1"/>
  <c r="V247" i="92" s="1"/>
  <c r="W247" i="92" s="1"/>
  <c r="X247" i="92" s="1"/>
  <c r="Y247" i="92" s="1"/>
  <c r="Z247" i="92" s="1"/>
  <c r="AA247" i="92" s="1"/>
  <c r="AB247" i="92" s="1"/>
  <c r="AC247" i="92" s="1"/>
  <c r="AD247" i="92" s="1"/>
  <c r="AE247" i="92" s="1"/>
  <c r="AF247" i="92" s="1"/>
  <c r="B247" i="92" s="1"/>
  <c r="F247" i="92"/>
  <c r="G247" i="92" s="1"/>
  <c r="D247" i="92"/>
  <c r="E247" i="92" s="1"/>
  <c r="D246" i="92"/>
  <c r="AG244" i="92"/>
  <c r="AF244" i="92"/>
  <c r="AE244" i="92"/>
  <c r="AD244" i="92"/>
  <c r="AC244" i="92"/>
  <c r="AB244" i="92"/>
  <c r="AA244" i="92"/>
  <c r="Z244" i="92"/>
  <c r="Y244" i="92"/>
  <c r="X244" i="92"/>
  <c r="W244" i="92"/>
  <c r="V244" i="92"/>
  <c r="U244" i="92"/>
  <c r="T244" i="92"/>
  <c r="S244" i="92"/>
  <c r="R244" i="92"/>
  <c r="Q244" i="92"/>
  <c r="P244" i="92"/>
  <c r="O244" i="92"/>
  <c r="N244" i="92"/>
  <c r="M244" i="92"/>
  <c r="L244" i="92"/>
  <c r="K244" i="92"/>
  <c r="J244" i="92"/>
  <c r="I244" i="92"/>
  <c r="H244" i="92"/>
  <c r="G244" i="92"/>
  <c r="F244" i="92"/>
  <c r="E244" i="92"/>
  <c r="D244" i="92"/>
  <c r="C244" i="92"/>
  <c r="B244" i="92"/>
  <c r="AI130" i="92"/>
  <c r="AH130" i="92"/>
  <c r="AI129" i="92"/>
  <c r="AH129" i="92"/>
  <c r="AI128" i="92"/>
  <c r="AH128" i="92"/>
  <c r="AI127" i="92"/>
  <c r="AH127" i="92"/>
  <c r="AI126" i="92"/>
  <c r="AH126" i="92"/>
  <c r="AI122" i="92"/>
  <c r="AH122" i="92"/>
  <c r="AH121" i="92"/>
  <c r="AI120" i="92"/>
  <c r="AH120" i="92"/>
  <c r="AI119" i="92"/>
  <c r="AH119" i="92"/>
  <c r="AI117" i="92"/>
  <c r="AH117" i="92"/>
  <c r="AI116" i="92"/>
  <c r="AH116" i="92"/>
  <c r="AI115" i="92"/>
  <c r="AH115" i="92"/>
  <c r="AI114" i="92"/>
  <c r="AH114" i="92"/>
  <c r="AI113" i="92"/>
  <c r="AH113" i="92"/>
  <c r="AI112" i="92"/>
  <c r="AH112" i="92"/>
  <c r="AI111" i="92"/>
  <c r="AH111" i="92"/>
  <c r="AI110" i="92"/>
  <c r="AH110" i="92"/>
  <c r="AI109" i="92"/>
  <c r="AH109" i="92"/>
  <c r="AI106" i="92"/>
  <c r="AH106" i="92"/>
  <c r="AF105" i="92"/>
  <c r="AE105" i="92"/>
  <c r="AD105" i="92"/>
  <c r="AC105" i="92"/>
  <c r="AB105" i="92"/>
  <c r="R105" i="92"/>
  <c r="Q105" i="92"/>
  <c r="P105" i="92"/>
  <c r="O105" i="92"/>
  <c r="N105" i="92"/>
  <c r="M105" i="92"/>
  <c r="L105" i="92"/>
  <c r="K105" i="92"/>
  <c r="J105" i="92"/>
  <c r="I105" i="92"/>
  <c r="H105" i="92"/>
  <c r="G105" i="92"/>
  <c r="F105" i="92"/>
  <c r="E105" i="92"/>
  <c r="AF104" i="92"/>
  <c r="AE104" i="92"/>
  <c r="AD104" i="92"/>
  <c r="AC104" i="92"/>
  <c r="AB104" i="92"/>
  <c r="R104" i="92"/>
  <c r="Q104" i="92"/>
  <c r="P104" i="92"/>
  <c r="O104" i="92"/>
  <c r="N104" i="92"/>
  <c r="M104" i="92"/>
  <c r="L104" i="92"/>
  <c r="K104" i="92"/>
  <c r="J104" i="92"/>
  <c r="I104" i="92"/>
  <c r="H104" i="92"/>
  <c r="G104" i="92"/>
  <c r="F104" i="92"/>
  <c r="E104" i="92"/>
  <c r="AF103" i="92"/>
  <c r="AE103" i="92"/>
  <c r="AD103" i="92"/>
  <c r="AC103" i="92"/>
  <c r="AB103" i="92"/>
  <c r="R103" i="92"/>
  <c r="Q103" i="92"/>
  <c r="P103" i="92"/>
  <c r="O103" i="92"/>
  <c r="N103" i="92"/>
  <c r="M103" i="92"/>
  <c r="L103" i="92"/>
  <c r="K103" i="92"/>
  <c r="J103" i="92"/>
  <c r="I103" i="92"/>
  <c r="H103" i="92"/>
  <c r="G103" i="92"/>
  <c r="F103" i="92"/>
  <c r="E103" i="92"/>
  <c r="AF102" i="92"/>
  <c r="AE102" i="92"/>
  <c r="AD102" i="92"/>
  <c r="AC102" i="92"/>
  <c r="AB102" i="92"/>
  <c r="R102" i="92"/>
  <c r="Q102" i="92"/>
  <c r="P102" i="92"/>
  <c r="O102" i="92"/>
  <c r="N102" i="92"/>
  <c r="M102" i="92"/>
  <c r="L102" i="92"/>
  <c r="K102" i="92"/>
  <c r="J102" i="92"/>
  <c r="I102" i="92"/>
  <c r="H102" i="92"/>
  <c r="G102" i="92"/>
  <c r="F102" i="92"/>
  <c r="E102" i="92"/>
  <c r="AF101" i="92"/>
  <c r="AF107" i="92" s="1"/>
  <c r="AE101" i="92"/>
  <c r="AD101" i="92"/>
  <c r="AC101" i="92"/>
  <c r="AB101" i="92"/>
  <c r="R101" i="92"/>
  <c r="Q101" i="92"/>
  <c r="P101" i="92"/>
  <c r="O101" i="92"/>
  <c r="N101" i="92"/>
  <c r="M101" i="92"/>
  <c r="L101" i="92"/>
  <c r="K101" i="92"/>
  <c r="J101" i="92"/>
  <c r="I101" i="92"/>
  <c r="H101" i="92"/>
  <c r="G101" i="92"/>
  <c r="F101" i="92"/>
  <c r="E101" i="92"/>
  <c r="AI98" i="92"/>
  <c r="AH98" i="92"/>
  <c r="AG97" i="92"/>
  <c r="AI96" i="92"/>
  <c r="AH96" i="92"/>
  <c r="AG96" i="92"/>
  <c r="AG99" i="92" s="1"/>
  <c r="AI95" i="92"/>
  <c r="AH95" i="92"/>
  <c r="AI94" i="92"/>
  <c r="AH94" i="92"/>
  <c r="AI93" i="92"/>
  <c r="AH93" i="92"/>
  <c r="AG92" i="92"/>
  <c r="AF92" i="92"/>
  <c r="AF108" i="92" s="1"/>
  <c r="AE92" i="92"/>
  <c r="AD5" i="92" s="1"/>
  <c r="AD92" i="92"/>
  <c r="AC5" i="92" s="1"/>
  <c r="AC92" i="92"/>
  <c r="AB5" i="92" s="1"/>
  <c r="AB92" i="92"/>
  <c r="AA5" i="92" s="1"/>
  <c r="R92" i="92"/>
  <c r="Q5" i="92" s="1"/>
  <c r="Q92" i="92"/>
  <c r="P5" i="92" s="1"/>
  <c r="P92" i="92"/>
  <c r="O5" i="92" s="1"/>
  <c r="O92" i="92"/>
  <c r="N92" i="92"/>
  <c r="M5" i="92" s="1"/>
  <c r="M92" i="92"/>
  <c r="L5" i="92" s="1"/>
  <c r="L92" i="92"/>
  <c r="K5" i="92" s="1"/>
  <c r="K92" i="92"/>
  <c r="J5" i="92" s="1"/>
  <c r="J92" i="92"/>
  <c r="I92" i="92"/>
  <c r="H5" i="92" s="1"/>
  <c r="H92" i="92"/>
  <c r="G92" i="92"/>
  <c r="F5" i="92" s="1"/>
  <c r="F92" i="92"/>
  <c r="AQ19" i="92" s="1"/>
  <c r="E92" i="92"/>
  <c r="D5" i="92" s="1"/>
  <c r="AI91" i="92"/>
  <c r="AH91" i="92"/>
  <c r="AI90" i="92"/>
  <c r="AH90" i="92"/>
  <c r="AI89" i="92"/>
  <c r="AH89" i="92"/>
  <c r="AI88" i="92"/>
  <c r="AH88" i="92"/>
  <c r="AI87" i="92"/>
  <c r="AH87" i="92"/>
  <c r="AI86" i="92"/>
  <c r="AH86" i="92"/>
  <c r="AI85" i="92"/>
  <c r="AH85" i="92"/>
  <c r="AI84" i="92"/>
  <c r="AH84" i="92"/>
  <c r="AI83" i="92"/>
  <c r="AH83" i="92"/>
  <c r="AI82" i="92"/>
  <c r="AH82" i="92"/>
  <c r="AI81" i="92"/>
  <c r="AH81" i="92"/>
  <c r="BW80" i="92"/>
  <c r="BK80" i="92"/>
  <c r="AG80" i="92"/>
  <c r="AF80" i="92"/>
  <c r="AE80" i="92"/>
  <c r="AD80" i="92"/>
  <c r="AC80" i="92"/>
  <c r="AB80" i="92"/>
  <c r="R80" i="92"/>
  <c r="Q80" i="92"/>
  <c r="P80" i="92"/>
  <c r="O80" i="92"/>
  <c r="N80" i="92"/>
  <c r="M80" i="92"/>
  <c r="AU20" i="92" s="1"/>
  <c r="L80" i="92"/>
  <c r="K80" i="92"/>
  <c r="AT20" i="92" s="1"/>
  <c r="J80" i="92"/>
  <c r="I80" i="92"/>
  <c r="H80" i="92"/>
  <c r="G80" i="92"/>
  <c r="F80" i="92"/>
  <c r="E80" i="92"/>
  <c r="AM20" i="92"/>
  <c r="AI79" i="92"/>
  <c r="AH79" i="92"/>
  <c r="AI78" i="92"/>
  <c r="AH78" i="92"/>
  <c r="BE77" i="92"/>
  <c r="AI77" i="92"/>
  <c r="AH77" i="92"/>
  <c r="BO76" i="92"/>
  <c r="BL76" i="92"/>
  <c r="BJ76" i="92"/>
  <c r="BH76" i="92"/>
  <c r="BG76" i="92"/>
  <c r="BF76" i="92"/>
  <c r="BB76" i="92"/>
  <c r="AG76" i="92"/>
  <c r="AF76" i="92"/>
  <c r="AE76" i="92"/>
  <c r="AD76" i="92"/>
  <c r="AC76" i="92"/>
  <c r="AB76" i="92"/>
  <c r="R76" i="92"/>
  <c r="Q76" i="92"/>
  <c r="P76" i="92"/>
  <c r="AX18" i="92" s="1"/>
  <c r="O76" i="92"/>
  <c r="AW18" i="92" s="1"/>
  <c r="N76" i="92"/>
  <c r="AV18" i="92" s="1"/>
  <c r="M76" i="92"/>
  <c r="AU18" i="92" s="1"/>
  <c r="L76" i="92"/>
  <c r="K76" i="92"/>
  <c r="AT18" i="92" s="1"/>
  <c r="J76" i="92"/>
  <c r="I76" i="92"/>
  <c r="AS18" i="92" s="1"/>
  <c r="H76" i="92"/>
  <c r="G76" i="92"/>
  <c r="F76" i="92"/>
  <c r="AQ18" i="92" s="1"/>
  <c r="E76" i="92"/>
  <c r="AO18" i="92"/>
  <c r="AN18" i="92"/>
  <c r="BT75" i="92"/>
  <c r="BI75" i="92"/>
  <c r="AI75" i="92"/>
  <c r="AH75" i="92"/>
  <c r="AG75" i="92"/>
  <c r="AI74" i="92"/>
  <c r="AH74" i="92"/>
  <c r="BW73" i="92"/>
  <c r="BV73" i="92"/>
  <c r="BV80" i="92" s="1"/>
  <c r="BU73" i="92"/>
  <c r="BU80" i="92" s="1"/>
  <c r="BT73" i="92"/>
  <c r="BT80" i="92" s="1"/>
  <c r="BS73" i="92"/>
  <c r="BS80" i="92" s="1"/>
  <c r="BR73" i="92"/>
  <c r="BR80" i="92" s="1"/>
  <c r="BQ73" i="92"/>
  <c r="BQ80" i="92" s="1"/>
  <c r="BP73" i="92"/>
  <c r="BP80" i="92" s="1"/>
  <c r="BO73" i="92"/>
  <c r="BO80" i="92" s="1"/>
  <c r="BN73" i="92"/>
  <c r="BN80" i="92" s="1"/>
  <c r="BM73" i="92"/>
  <c r="BM80" i="92" s="1"/>
  <c r="BL73" i="92"/>
  <c r="BL80" i="92" s="1"/>
  <c r="BK73" i="92"/>
  <c r="BJ73" i="92"/>
  <c r="BJ80" i="92" s="1"/>
  <c r="BI73" i="92"/>
  <c r="BI80" i="92" s="1"/>
  <c r="BH73" i="92"/>
  <c r="BH80" i="92" s="1"/>
  <c r="BG73" i="92"/>
  <c r="BG80" i="92" s="1"/>
  <c r="BF73" i="92"/>
  <c r="BF80" i="92" s="1"/>
  <c r="BE73" i="92"/>
  <c r="BE80" i="92" s="1"/>
  <c r="BD73" i="92"/>
  <c r="BD80" i="92" s="1"/>
  <c r="BC73" i="92"/>
  <c r="BC80" i="92" s="1"/>
  <c r="BB73" i="92"/>
  <c r="BB80" i="92" s="1"/>
  <c r="BA73" i="92"/>
  <c r="BA80" i="92" s="1"/>
  <c r="AZ73" i="92"/>
  <c r="AZ80" i="92" s="1"/>
  <c r="AI73" i="92"/>
  <c r="AH73" i="92"/>
  <c r="BW72" i="92"/>
  <c r="BW79" i="92" s="1"/>
  <c r="BV72" i="92"/>
  <c r="BV79" i="92" s="1"/>
  <c r="BU72" i="92"/>
  <c r="BU79" i="92" s="1"/>
  <c r="BT72" i="92"/>
  <c r="BT79" i="92" s="1"/>
  <c r="BS72" i="92"/>
  <c r="BS79" i="92" s="1"/>
  <c r="BR72" i="92"/>
  <c r="BR79" i="92" s="1"/>
  <c r="BQ72" i="92"/>
  <c r="BQ79" i="92" s="1"/>
  <c r="BP72" i="92"/>
  <c r="BP79" i="92" s="1"/>
  <c r="BO72" i="92"/>
  <c r="BO79" i="92" s="1"/>
  <c r="BN72" i="92"/>
  <c r="BN79" i="92" s="1"/>
  <c r="BM72" i="92"/>
  <c r="BM79" i="92" s="1"/>
  <c r="BL72" i="92"/>
  <c r="BL79" i="92" s="1"/>
  <c r="BK72" i="92"/>
  <c r="BK79" i="92" s="1"/>
  <c r="BJ72" i="92"/>
  <c r="BJ79" i="92" s="1"/>
  <c r="BI72" i="92"/>
  <c r="BI79" i="92" s="1"/>
  <c r="BH72" i="92"/>
  <c r="BH79" i="92" s="1"/>
  <c r="BG72" i="92"/>
  <c r="BG79" i="92" s="1"/>
  <c r="BF72" i="92"/>
  <c r="BF79" i="92" s="1"/>
  <c r="BE72" i="92"/>
  <c r="BE79" i="92" s="1"/>
  <c r="BD72" i="92"/>
  <c r="BD79" i="92" s="1"/>
  <c r="BC72" i="92"/>
  <c r="BC79" i="92" s="1"/>
  <c r="BB72" i="92"/>
  <c r="BB79" i="92" s="1"/>
  <c r="BA72" i="92"/>
  <c r="BA79" i="92" s="1"/>
  <c r="AZ72" i="92"/>
  <c r="AZ79" i="92" s="1"/>
  <c r="AI72" i="92"/>
  <c r="AH72" i="92"/>
  <c r="BW71" i="92"/>
  <c r="BW78" i="92" s="1"/>
  <c r="BV71" i="92"/>
  <c r="BV78" i="92" s="1"/>
  <c r="BU71" i="92"/>
  <c r="BU78" i="92" s="1"/>
  <c r="BT71" i="92"/>
  <c r="BT78" i="92" s="1"/>
  <c r="BS71" i="92"/>
  <c r="BS78" i="92" s="1"/>
  <c r="BR71" i="92"/>
  <c r="BR78" i="92" s="1"/>
  <c r="BQ71" i="92"/>
  <c r="BQ78" i="92" s="1"/>
  <c r="BP71" i="92"/>
  <c r="BP78" i="92" s="1"/>
  <c r="BO71" i="92"/>
  <c r="BO78" i="92" s="1"/>
  <c r="BN71" i="92"/>
  <c r="BN78" i="92" s="1"/>
  <c r="BM71" i="92"/>
  <c r="BM78" i="92" s="1"/>
  <c r="BL71" i="92"/>
  <c r="BL78" i="92" s="1"/>
  <c r="BK71" i="92"/>
  <c r="BK78" i="92" s="1"/>
  <c r="BJ71" i="92"/>
  <c r="BJ78" i="92" s="1"/>
  <c r="BI71" i="92"/>
  <c r="BI78" i="92" s="1"/>
  <c r="BH71" i="92"/>
  <c r="BH78" i="92" s="1"/>
  <c r="BG71" i="92"/>
  <c r="BG78" i="92" s="1"/>
  <c r="BF71" i="92"/>
  <c r="BF78" i="92" s="1"/>
  <c r="BE71" i="92"/>
  <c r="BE78" i="92" s="1"/>
  <c r="BD71" i="92"/>
  <c r="BD78" i="92" s="1"/>
  <c r="BC71" i="92"/>
  <c r="BC78" i="92" s="1"/>
  <c r="BB71" i="92"/>
  <c r="BB78" i="92" s="1"/>
  <c r="BA71" i="92"/>
  <c r="BA78" i="92" s="1"/>
  <c r="AZ71" i="92"/>
  <c r="AZ78" i="92" s="1"/>
  <c r="AI71" i="92"/>
  <c r="AH71" i="92"/>
  <c r="BW70" i="92"/>
  <c r="BW77" i="92" s="1"/>
  <c r="BV70" i="92"/>
  <c r="BV77" i="92" s="1"/>
  <c r="BU70" i="92"/>
  <c r="BU77" i="92" s="1"/>
  <c r="BT70" i="92"/>
  <c r="BT77" i="92" s="1"/>
  <c r="BS70" i="92"/>
  <c r="BS77" i="92" s="1"/>
  <c r="BR70" i="92"/>
  <c r="BR77" i="92" s="1"/>
  <c r="BQ70" i="92"/>
  <c r="BQ77" i="92" s="1"/>
  <c r="BP70" i="92"/>
  <c r="BP77" i="92" s="1"/>
  <c r="BO70" i="92"/>
  <c r="BO77" i="92" s="1"/>
  <c r="BN70" i="92"/>
  <c r="BN77" i="92" s="1"/>
  <c r="BM70" i="92"/>
  <c r="BM77" i="92" s="1"/>
  <c r="BL70" i="92"/>
  <c r="BL77" i="92" s="1"/>
  <c r="BK70" i="92"/>
  <c r="BK77" i="92" s="1"/>
  <c r="BJ70" i="92"/>
  <c r="BJ77" i="92" s="1"/>
  <c r="BI70" i="92"/>
  <c r="BI77" i="92" s="1"/>
  <c r="BH70" i="92"/>
  <c r="BH77" i="92" s="1"/>
  <c r="BG70" i="92"/>
  <c r="BG77" i="92" s="1"/>
  <c r="BF70" i="92"/>
  <c r="BF77" i="92" s="1"/>
  <c r="BE70" i="92"/>
  <c r="BD70" i="92"/>
  <c r="BD77" i="92" s="1"/>
  <c r="BC70" i="92"/>
  <c r="BC77" i="92" s="1"/>
  <c r="BB70" i="92"/>
  <c r="BB77" i="92" s="1"/>
  <c r="BA70" i="92"/>
  <c r="BA77" i="92" s="1"/>
  <c r="AZ70" i="92"/>
  <c r="AZ77" i="92" s="1"/>
  <c r="AI70" i="92"/>
  <c r="AH70" i="92"/>
  <c r="BW69" i="92"/>
  <c r="BW76" i="92" s="1"/>
  <c r="BV69" i="92"/>
  <c r="BV76" i="92" s="1"/>
  <c r="BU69" i="92"/>
  <c r="BU76" i="92" s="1"/>
  <c r="BT69" i="92"/>
  <c r="BT76" i="92" s="1"/>
  <c r="BS69" i="92"/>
  <c r="BS76" i="92" s="1"/>
  <c r="BR69" i="92"/>
  <c r="BR76" i="92" s="1"/>
  <c r="BQ69" i="92"/>
  <c r="BQ76" i="92" s="1"/>
  <c r="BP69" i="92"/>
  <c r="BP76" i="92" s="1"/>
  <c r="BO69" i="92"/>
  <c r="BN69" i="92"/>
  <c r="BN76" i="92" s="1"/>
  <c r="BM69" i="92"/>
  <c r="BM76" i="92" s="1"/>
  <c r="BL69" i="92"/>
  <c r="BK69" i="92"/>
  <c r="BK76" i="92" s="1"/>
  <c r="BJ69" i="92"/>
  <c r="BI69" i="92"/>
  <c r="BI76" i="92" s="1"/>
  <c r="BH69" i="92"/>
  <c r="BG69" i="92"/>
  <c r="BF69" i="92"/>
  <c r="BE69" i="92"/>
  <c r="BE76" i="92" s="1"/>
  <c r="BD69" i="92"/>
  <c r="BD76" i="92" s="1"/>
  <c r="BC69" i="92"/>
  <c r="BC76" i="92" s="1"/>
  <c r="BB69" i="92"/>
  <c r="BA69" i="92"/>
  <c r="BA76" i="92" s="1"/>
  <c r="AZ69" i="92"/>
  <c r="AZ76" i="92" s="1"/>
  <c r="AI69" i="92"/>
  <c r="AH69" i="92"/>
  <c r="BW68" i="92"/>
  <c r="BW75" i="92" s="1"/>
  <c r="BV68" i="92"/>
  <c r="BV75" i="92" s="1"/>
  <c r="BU68" i="92"/>
  <c r="BU75" i="92" s="1"/>
  <c r="BT68" i="92"/>
  <c r="BS68" i="92"/>
  <c r="BS75" i="92" s="1"/>
  <c r="BR68" i="92"/>
  <c r="BR75" i="92" s="1"/>
  <c r="BQ68" i="92"/>
  <c r="BQ75" i="92" s="1"/>
  <c r="BP68" i="92"/>
  <c r="BP75" i="92" s="1"/>
  <c r="BO68" i="92"/>
  <c r="BO75" i="92" s="1"/>
  <c r="BN68" i="92"/>
  <c r="BN75" i="92" s="1"/>
  <c r="BM68" i="92"/>
  <c r="BM75" i="92" s="1"/>
  <c r="BL68" i="92"/>
  <c r="BL75" i="92" s="1"/>
  <c r="BK68" i="92"/>
  <c r="BK75" i="92" s="1"/>
  <c r="BJ68" i="92"/>
  <c r="BJ75" i="92" s="1"/>
  <c r="BI68" i="92"/>
  <c r="BH68" i="92"/>
  <c r="BH75" i="92" s="1"/>
  <c r="BG68" i="92"/>
  <c r="BG75" i="92" s="1"/>
  <c r="BF68" i="92"/>
  <c r="BF75" i="92" s="1"/>
  <c r="BE68" i="92"/>
  <c r="BE75" i="92" s="1"/>
  <c r="BD68" i="92"/>
  <c r="BD75" i="92" s="1"/>
  <c r="BC68" i="92"/>
  <c r="BC75" i="92" s="1"/>
  <c r="BB68" i="92"/>
  <c r="BB75" i="92" s="1"/>
  <c r="BA68" i="92"/>
  <c r="BA75" i="92" s="1"/>
  <c r="AZ68" i="92"/>
  <c r="AZ75" i="92" s="1"/>
  <c r="AI68" i="92"/>
  <c r="AH68" i="92"/>
  <c r="AI67" i="92"/>
  <c r="AH67" i="92"/>
  <c r="AI66" i="92"/>
  <c r="AH66" i="92"/>
  <c r="AI65" i="92"/>
  <c r="AH65" i="92"/>
  <c r="AI64" i="92"/>
  <c r="AH64" i="92"/>
  <c r="AI63" i="92"/>
  <c r="AH63" i="92"/>
  <c r="AG62" i="92"/>
  <c r="AF62" i="92"/>
  <c r="AE62" i="92"/>
  <c r="AD62" i="92"/>
  <c r="AC62" i="92"/>
  <c r="AB62" i="92"/>
  <c r="U7" i="92"/>
  <c r="R62" i="92"/>
  <c r="Q62" i="92"/>
  <c r="P62" i="92"/>
  <c r="O62" i="92"/>
  <c r="AW17" i="92" s="1"/>
  <c r="N62" i="92"/>
  <c r="AV17" i="92" s="1"/>
  <c r="M62" i="92"/>
  <c r="AU17" i="92" s="1"/>
  <c r="L62" i="92"/>
  <c r="K62" i="92"/>
  <c r="AT17" i="92" s="1"/>
  <c r="J62" i="92"/>
  <c r="I62" i="92"/>
  <c r="AS17" i="92" s="1"/>
  <c r="H62" i="92"/>
  <c r="G62" i="92"/>
  <c r="AR17" i="92" s="1"/>
  <c r="F62" i="92"/>
  <c r="AQ17" i="92" s="1"/>
  <c r="E62" i="92"/>
  <c r="AI61" i="92"/>
  <c r="AH61" i="92"/>
  <c r="AI60" i="92"/>
  <c r="AH60" i="92"/>
  <c r="AI59" i="92"/>
  <c r="AH59" i="92"/>
  <c r="AG58" i="92"/>
  <c r="AG2" i="92" s="1"/>
  <c r="AF58" i="92"/>
  <c r="AE58" i="92"/>
  <c r="AD58" i="92"/>
  <c r="AC58" i="92"/>
  <c r="AB58" i="92"/>
  <c r="AA7" i="92"/>
  <c r="W7" i="92"/>
  <c r="R58" i="92"/>
  <c r="Q58" i="92"/>
  <c r="P58" i="92"/>
  <c r="AX16" i="92" s="1"/>
  <c r="O58" i="92"/>
  <c r="N58" i="92"/>
  <c r="M58" i="92"/>
  <c r="L58" i="92"/>
  <c r="K58" i="92"/>
  <c r="J58" i="92"/>
  <c r="I58" i="92"/>
  <c r="AS16" i="92" s="1"/>
  <c r="H58" i="92"/>
  <c r="G58" i="92"/>
  <c r="F58" i="92"/>
  <c r="E58" i="92"/>
  <c r="AI57" i="92"/>
  <c r="AH57" i="92"/>
  <c r="AI56" i="92"/>
  <c r="AH56" i="92"/>
  <c r="AI55" i="92"/>
  <c r="AH55" i="92"/>
  <c r="AI54" i="92"/>
  <c r="AH54" i="92"/>
  <c r="AI53" i="92"/>
  <c r="AH53" i="92"/>
  <c r="AI52" i="92"/>
  <c r="AH52" i="92"/>
  <c r="AI51" i="92"/>
  <c r="AH51" i="92"/>
  <c r="AI50" i="92"/>
  <c r="AH50" i="92"/>
  <c r="AI49" i="92"/>
  <c r="AH49" i="92"/>
  <c r="AI48" i="92"/>
  <c r="AH48" i="92"/>
  <c r="AI47" i="92"/>
  <c r="AH47" i="92"/>
  <c r="AI46" i="92"/>
  <c r="AH46" i="92"/>
  <c r="AI45" i="92"/>
  <c r="AH45" i="92"/>
  <c r="AI44" i="92"/>
  <c r="AH44" i="92"/>
  <c r="AI43" i="92"/>
  <c r="AH43" i="92"/>
  <c r="AI42" i="92"/>
  <c r="AH42" i="92"/>
  <c r="AI41" i="92"/>
  <c r="AH41" i="92"/>
  <c r="AI40" i="92"/>
  <c r="AH40" i="92"/>
  <c r="AI39" i="92"/>
  <c r="AH39" i="92"/>
  <c r="AI38" i="92"/>
  <c r="AH38" i="92"/>
  <c r="AI37" i="92"/>
  <c r="AH37" i="92"/>
  <c r="AI36" i="92"/>
  <c r="AH36" i="92"/>
  <c r="AI35" i="92"/>
  <c r="AH35" i="92"/>
  <c r="AI34" i="92"/>
  <c r="AH34" i="92"/>
  <c r="AI33" i="92"/>
  <c r="AH33" i="92"/>
  <c r="AI32" i="92"/>
  <c r="AH32" i="92"/>
  <c r="AI31" i="92"/>
  <c r="AH31" i="92"/>
  <c r="AI30" i="92"/>
  <c r="AH30" i="92"/>
  <c r="AI29" i="92"/>
  <c r="AH29" i="92"/>
  <c r="AI28" i="92"/>
  <c r="AH28" i="92"/>
  <c r="AI27" i="92"/>
  <c r="AH27" i="92"/>
  <c r="AI26" i="92"/>
  <c r="AH26" i="92"/>
  <c r="AI25" i="92"/>
  <c r="AH25" i="92"/>
  <c r="AI24" i="92"/>
  <c r="AH24" i="92"/>
  <c r="AI23" i="92"/>
  <c r="AH23" i="92"/>
  <c r="AI22" i="92"/>
  <c r="AH22" i="92"/>
  <c r="AX21" i="92"/>
  <c r="AW21" i="92"/>
  <c r="AV21" i="92"/>
  <c r="AU21" i="92"/>
  <c r="AT21" i="92"/>
  <c r="AS21" i="92"/>
  <c r="AR21" i="92"/>
  <c r="AQ21" i="92"/>
  <c r="AP21" i="92"/>
  <c r="AO21" i="92"/>
  <c r="AN21" i="92"/>
  <c r="AM21" i="92"/>
  <c r="AI21" i="92"/>
  <c r="AH21" i="92"/>
  <c r="AX20" i="92"/>
  <c r="AW20" i="92"/>
  <c r="AV20" i="92"/>
  <c r="AS20" i="92"/>
  <c r="AR20" i="92"/>
  <c r="AQ20" i="92"/>
  <c r="AP20" i="92"/>
  <c r="AO20" i="92"/>
  <c r="AI20" i="92"/>
  <c r="AH20" i="92"/>
  <c r="AI19" i="92"/>
  <c r="AH19" i="92"/>
  <c r="AR18" i="92"/>
  <c r="AP18" i="92"/>
  <c r="AI18" i="92"/>
  <c r="AH18" i="92"/>
  <c r="AX17" i="92"/>
  <c r="AO17" i="92"/>
  <c r="AN17" i="92"/>
  <c r="AI17" i="92"/>
  <c r="AH17" i="92"/>
  <c r="AT16" i="92"/>
  <c r="AR16" i="92"/>
  <c r="AP16" i="92"/>
  <c r="AN16" i="92"/>
  <c r="AM16" i="92"/>
  <c r="AI16" i="92"/>
  <c r="AH16" i="92"/>
  <c r="AI15" i="92"/>
  <c r="AH15" i="92"/>
  <c r="AI14" i="92"/>
  <c r="AH14" i="92"/>
  <c r="AI13" i="92"/>
  <c r="AH13" i="92"/>
  <c r="AL12" i="92"/>
  <c r="AI12" i="92"/>
  <c r="AH12" i="92"/>
  <c r="AI11" i="92"/>
  <c r="AH11" i="92"/>
  <c r="Z5" i="92"/>
  <c r="Y5" i="92"/>
  <c r="X5" i="92"/>
  <c r="W5" i="92"/>
  <c r="V5" i="92"/>
  <c r="U5" i="92"/>
  <c r="T5" i="92"/>
  <c r="S5" i="92"/>
  <c r="R5" i="92"/>
  <c r="AG4" i="92"/>
  <c r="K4" i="92"/>
  <c r="E4" i="92"/>
  <c r="H4" i="92" s="1"/>
  <c r="B4" i="92"/>
  <c r="D258" i="92" s="1"/>
  <c r="AG3" i="92"/>
  <c r="AG6" i="92" s="1"/>
  <c r="AF123" i="91"/>
  <c r="AF58" i="91"/>
  <c r="AF62" i="91"/>
  <c r="AF76" i="91"/>
  <c r="AF80" i="91"/>
  <c r="AF92" i="91"/>
  <c r="AF101" i="91"/>
  <c r="AF102" i="91"/>
  <c r="AF103" i="91"/>
  <c r="AF104" i="91"/>
  <c r="AF105" i="91"/>
  <c r="AF118" i="91"/>
  <c r="F139" i="91"/>
  <c r="G139" i="91"/>
  <c r="E139" i="91"/>
  <c r="AE123" i="91"/>
  <c r="AE58" i="91"/>
  <c r="AE62" i="91"/>
  <c r="AE76" i="91"/>
  <c r="AE80" i="91"/>
  <c r="AE92" i="91"/>
  <c r="AE97" i="91" s="1"/>
  <c r="AE99" i="91" s="1"/>
  <c r="AE101" i="91"/>
  <c r="AE107" i="91" s="1"/>
  <c r="AE102" i="91"/>
  <c r="AE103" i="91"/>
  <c r="AE104" i="91"/>
  <c r="AE105" i="91"/>
  <c r="AE118" i="91"/>
  <c r="AD123" i="91"/>
  <c r="AD58" i="91"/>
  <c r="AD62" i="91"/>
  <c r="AD76" i="91"/>
  <c r="AD80" i="91"/>
  <c r="AD92" i="91"/>
  <c r="AD101" i="91"/>
  <c r="AD102" i="91"/>
  <c r="AD103" i="91"/>
  <c r="AD104" i="91"/>
  <c r="AD105" i="91"/>
  <c r="AD118" i="91"/>
  <c r="AC123" i="91"/>
  <c r="AB85" i="91"/>
  <c r="AC58" i="91"/>
  <c r="AC62" i="91"/>
  <c r="AC76" i="91"/>
  <c r="AC80" i="91"/>
  <c r="AC92" i="91"/>
  <c r="AC97" i="91" s="1"/>
  <c r="AC99" i="91" s="1"/>
  <c r="AC101" i="91"/>
  <c r="AC102" i="91"/>
  <c r="AC103" i="91"/>
  <c r="AC104" i="91"/>
  <c r="AC105" i="91"/>
  <c r="AC118" i="91"/>
  <c r="AB123" i="91"/>
  <c r="AB58" i="91"/>
  <c r="AB62" i="91"/>
  <c r="AB76" i="91"/>
  <c r="AB80" i="91"/>
  <c r="AB92" i="91"/>
  <c r="AB101" i="91"/>
  <c r="AB102" i="91"/>
  <c r="AB103" i="91"/>
  <c r="AB104" i="91"/>
  <c r="AB105" i="91"/>
  <c r="AB118" i="91"/>
  <c r="AA123" i="91"/>
  <c r="Z123" i="91"/>
  <c r="Y123" i="91"/>
  <c r="X123" i="91"/>
  <c r="W123" i="91"/>
  <c r="V123" i="91"/>
  <c r="AE5" i="92" l="1"/>
  <c r="AE107" i="92"/>
  <c r="AE108" i="92"/>
  <c r="AE97" i="92"/>
  <c r="AE99" i="92" s="1"/>
  <c r="AE100" i="92" s="1"/>
  <c r="AE7" i="92" s="1"/>
  <c r="R107" i="92"/>
  <c r="R108" i="92" s="1"/>
  <c r="Q107" i="92"/>
  <c r="P107" i="92"/>
  <c r="AX23" i="92" s="1"/>
  <c r="AX19" i="92"/>
  <c r="AX22" i="92" s="1"/>
  <c r="AX24" i="92" s="1"/>
  <c r="O107" i="92"/>
  <c r="AW23" i="92" s="1"/>
  <c r="AW19" i="92"/>
  <c r="N5" i="92"/>
  <c r="O97" i="92"/>
  <c r="O99" i="92" s="1"/>
  <c r="AV19" i="92"/>
  <c r="AU19" i="92"/>
  <c r="AT19" i="92"/>
  <c r="K107" i="92"/>
  <c r="AT23" i="92" s="1"/>
  <c r="AT22" i="92"/>
  <c r="AT24" i="92" s="1"/>
  <c r="J107" i="92"/>
  <c r="J108" i="92" s="1"/>
  <c r="I5" i="92"/>
  <c r="AI123" i="92"/>
  <c r="I107" i="92"/>
  <c r="AS23" i="92" s="1"/>
  <c r="H107" i="92"/>
  <c r="H108" i="92" s="1"/>
  <c r="G107" i="92"/>
  <c r="AR23" i="92" s="1"/>
  <c r="AR19" i="92"/>
  <c r="AR22" i="92" s="1"/>
  <c r="G97" i="92"/>
  <c r="G99" i="92" s="1"/>
  <c r="E5" i="92"/>
  <c r="F97" i="92"/>
  <c r="F99" i="92" s="1"/>
  <c r="AP19" i="92"/>
  <c r="E107" i="92"/>
  <c r="AP23" i="92" s="1"/>
  <c r="AO19" i="92"/>
  <c r="D97" i="92"/>
  <c r="D99" i="92" s="1"/>
  <c r="D100" i="92" s="1"/>
  <c r="D7" i="92" s="1"/>
  <c r="D108" i="92"/>
  <c r="AO16" i="92"/>
  <c r="AO22" i="92" s="1"/>
  <c r="D118" i="92"/>
  <c r="AI58" i="92"/>
  <c r="AH123" i="92"/>
  <c r="C108" i="92"/>
  <c r="C97" i="92"/>
  <c r="C99" i="92" s="1"/>
  <c r="C100" i="92" s="1"/>
  <c r="C7" i="92" s="1"/>
  <c r="B5" i="92"/>
  <c r="AN22" i="92"/>
  <c r="AF5" i="92"/>
  <c r="AM19" i="92"/>
  <c r="AM22" i="92" s="1"/>
  <c r="B97" i="92"/>
  <c r="B99" i="92" s="1"/>
  <c r="B100" i="92" s="1"/>
  <c r="AI62" i="92"/>
  <c r="AI76" i="92"/>
  <c r="AN24" i="92"/>
  <c r="V7" i="92"/>
  <c r="S7" i="92"/>
  <c r="AI80" i="92"/>
  <c r="AI103" i="92"/>
  <c r="BG84" i="92" a="1"/>
  <c r="I97" i="92"/>
  <c r="I99" i="92" s="1"/>
  <c r="I100" i="92" s="1"/>
  <c r="I7" i="92" s="1"/>
  <c r="AQ16" i="92"/>
  <c r="AQ22" i="92" s="1"/>
  <c r="E97" i="92"/>
  <c r="E99" i="92" s="1"/>
  <c r="E100" i="92" s="1"/>
  <c r="E7" i="92" s="1"/>
  <c r="AU16" i="92"/>
  <c r="M97" i="92"/>
  <c r="M99" i="92" s="1"/>
  <c r="AC97" i="92"/>
  <c r="AC99" i="92" s="1"/>
  <c r="AC100" i="92" s="1"/>
  <c r="AC7" i="92" s="1"/>
  <c r="AH76" i="92"/>
  <c r="K97" i="92"/>
  <c r="K99" i="92" s="1"/>
  <c r="K100" i="92" s="1"/>
  <c r="K7" i="92" s="1"/>
  <c r="AI101" i="92"/>
  <c r="L107" i="92"/>
  <c r="L108" i="92" s="1"/>
  <c r="AB107" i="92"/>
  <c r="AB108" i="92" s="1"/>
  <c r="M107" i="92"/>
  <c r="AU23" i="92" s="1"/>
  <c r="AC107" i="92"/>
  <c r="AC108" i="92" s="1"/>
  <c r="N97" i="92"/>
  <c r="N99" i="92" s="1"/>
  <c r="F107" i="92"/>
  <c r="AQ23" i="92" s="1"/>
  <c r="N107" i="92"/>
  <c r="AV23" i="92" s="1"/>
  <c r="AD107" i="92"/>
  <c r="AD108" i="92" s="1"/>
  <c r="G5" i="92"/>
  <c r="H97" i="92"/>
  <c r="H99" i="92" s="1"/>
  <c r="H100" i="92" s="1"/>
  <c r="H7" i="92" s="1"/>
  <c r="P97" i="92"/>
  <c r="P99" i="92" s="1"/>
  <c r="P100" i="92" s="1"/>
  <c r="P7" i="92" s="1"/>
  <c r="X7" i="92"/>
  <c r="AF97" i="92"/>
  <c r="AF99" i="92" s="1"/>
  <c r="AF100" i="92" s="1"/>
  <c r="AF7" i="92" s="1"/>
  <c r="AH62" i="92"/>
  <c r="I108" i="92"/>
  <c r="AS19" i="92"/>
  <c r="AS22" i="92" s="1"/>
  <c r="AS24" i="92" s="1"/>
  <c r="Q108" i="92"/>
  <c r="AH102" i="92"/>
  <c r="AD97" i="92"/>
  <c r="AD99" i="92" s="1"/>
  <c r="AV16" i="92"/>
  <c r="AV22" i="92" s="1"/>
  <c r="AP17" i="92"/>
  <c r="AP22" i="92" s="1"/>
  <c r="AW16" i="92"/>
  <c r="AW22" i="92" s="1"/>
  <c r="AW24" i="92" s="1"/>
  <c r="Q97" i="92"/>
  <c r="Q99" i="92" s="1"/>
  <c r="Q100" i="92" s="1"/>
  <c r="Q7" i="92" s="1"/>
  <c r="Y7" i="92"/>
  <c r="AH104" i="92"/>
  <c r="AI105" i="92"/>
  <c r="D252" i="92"/>
  <c r="E246" i="92"/>
  <c r="AL13" i="92"/>
  <c r="AH80" i="92"/>
  <c r="AI92" i="92"/>
  <c r="AH92" i="92"/>
  <c r="J97" i="92"/>
  <c r="J99" i="92" s="1"/>
  <c r="J100" i="92" s="1"/>
  <c r="J7" i="92" s="1"/>
  <c r="R97" i="92"/>
  <c r="R99" i="92" s="1"/>
  <c r="R100" i="92" s="1"/>
  <c r="R7" i="92" s="1"/>
  <c r="Z7" i="92"/>
  <c r="AH58" i="92"/>
  <c r="K108" i="92"/>
  <c r="L97" i="92"/>
  <c r="L99" i="92" s="1"/>
  <c r="T7" i="92"/>
  <c r="AB97" i="92"/>
  <c r="AB99" i="92" s="1"/>
  <c r="AB100" i="92" s="1"/>
  <c r="AB7" i="92" s="1"/>
  <c r="E108" i="92"/>
  <c r="AH101" i="92"/>
  <c r="AI102" i="92"/>
  <c r="AH103" i="92"/>
  <c r="AI104" i="92"/>
  <c r="AH105" i="92"/>
  <c r="AF97" i="91"/>
  <c r="AF99" i="91" s="1"/>
  <c r="AF107" i="91"/>
  <c r="AF108" i="91" s="1"/>
  <c r="AE108" i="91"/>
  <c r="AE100" i="91"/>
  <c r="AD97" i="91"/>
  <c r="AD99" i="91" s="1"/>
  <c r="AD107" i="91"/>
  <c r="AD108" i="91" s="1"/>
  <c r="AC107" i="91"/>
  <c r="AC100" i="91" s="1"/>
  <c r="AB97" i="91"/>
  <c r="AB99" i="91" s="1"/>
  <c r="AB107" i="91"/>
  <c r="AB108" i="91" s="1"/>
  <c r="U123" i="91"/>
  <c r="T123" i="91"/>
  <c r="P108" i="92" l="1"/>
  <c r="O100" i="92"/>
  <c r="O7" i="92" s="1"/>
  <c r="O108" i="92"/>
  <c r="N108" i="92"/>
  <c r="AU22" i="92"/>
  <c r="AU24" i="92" s="1"/>
  <c r="L100" i="92"/>
  <c r="L7" i="92" s="1"/>
  <c r="AR24" i="92"/>
  <c r="G100" i="92"/>
  <c r="G7" i="92" s="1"/>
  <c r="G108" i="92"/>
  <c r="F108" i="92"/>
  <c r="AP24" i="92"/>
  <c r="AI107" i="92"/>
  <c r="AH107" i="92"/>
  <c r="AM23" i="92"/>
  <c r="AM24" i="92" s="1"/>
  <c r="M100" i="92"/>
  <c r="M7" i="92" s="1"/>
  <c r="E118" i="92"/>
  <c r="F246" i="92"/>
  <c r="E252" i="92"/>
  <c r="M108" i="92"/>
  <c r="AH97" i="92"/>
  <c r="AI97" i="92"/>
  <c r="N100" i="92"/>
  <c r="N7" i="92" s="1"/>
  <c r="AQ24" i="92"/>
  <c r="F100" i="92"/>
  <c r="F7" i="92" s="1"/>
  <c r="C256" i="92"/>
  <c r="AO23" i="92"/>
  <c r="AO24" i="92" s="1"/>
  <c r="AV24" i="92"/>
  <c r="AD100" i="92"/>
  <c r="AD7" i="92" s="1"/>
  <c r="BH107" i="92"/>
  <c r="BL105" i="92"/>
  <c r="BJ104" i="92"/>
  <c r="BH103" i="92"/>
  <c r="BL101" i="92"/>
  <c r="BJ100" i="92"/>
  <c r="BH99" i="92"/>
  <c r="BL97" i="92"/>
  <c r="BJ96" i="92"/>
  <c r="BH95" i="92"/>
  <c r="BL93" i="92"/>
  <c r="BJ92" i="92"/>
  <c r="BH91" i="92"/>
  <c r="BL89" i="92"/>
  <c r="BJ88" i="92"/>
  <c r="BH87" i="92"/>
  <c r="BL85" i="92"/>
  <c r="BJ84" i="92"/>
  <c r="BL106" i="92"/>
  <c r="BJ105" i="92"/>
  <c r="BH104" i="92"/>
  <c r="BL102" i="92"/>
  <c r="BJ101" i="92"/>
  <c r="BH100" i="92"/>
  <c r="BL98" i="92"/>
  <c r="BJ97" i="92"/>
  <c r="BH96" i="92"/>
  <c r="BL94" i="92"/>
  <c r="BJ93" i="92"/>
  <c r="BH92" i="92"/>
  <c r="BL90" i="92"/>
  <c r="BJ89" i="92"/>
  <c r="BH88" i="92"/>
  <c r="BL86" i="92"/>
  <c r="BJ85" i="92"/>
  <c r="BH84" i="92"/>
  <c r="BL107" i="92"/>
  <c r="BJ106" i="92"/>
  <c r="BH105" i="92"/>
  <c r="BL103" i="92"/>
  <c r="BJ102" i="92"/>
  <c r="BH101" i="92"/>
  <c r="BL99" i="92"/>
  <c r="BJ98" i="92"/>
  <c r="BH97" i="92"/>
  <c r="BL95" i="92"/>
  <c r="BJ94" i="92"/>
  <c r="BH93" i="92"/>
  <c r="BL91" i="92"/>
  <c r="BJ90" i="92"/>
  <c r="BH89" i="92"/>
  <c r="BL87" i="92"/>
  <c r="BJ86" i="92"/>
  <c r="BH85" i="92"/>
  <c r="BH106" i="92"/>
  <c r="BG104" i="92"/>
  <c r="BG102" i="92"/>
  <c r="BK99" i="92"/>
  <c r="BK97" i="92"/>
  <c r="BJ95" i="92"/>
  <c r="BI93" i="92"/>
  <c r="BI91" i="92"/>
  <c r="BG89" i="92"/>
  <c r="BG87" i="92"/>
  <c r="BL84" i="92"/>
  <c r="BG106" i="92"/>
  <c r="BK103" i="92"/>
  <c r="BK101" i="92"/>
  <c r="BJ99" i="92"/>
  <c r="BI97" i="92"/>
  <c r="BI95" i="92"/>
  <c r="BG93" i="92"/>
  <c r="BG91" i="92"/>
  <c r="BL88" i="92"/>
  <c r="BK86" i="92"/>
  <c r="BK84" i="92"/>
  <c r="BK107" i="92"/>
  <c r="BK105" i="92"/>
  <c r="BJ103" i="92"/>
  <c r="BI101" i="92"/>
  <c r="BI99" i="92"/>
  <c r="BG97" i="92"/>
  <c r="BG95" i="92"/>
  <c r="BL92" i="92"/>
  <c r="BK90" i="92"/>
  <c r="BK88" i="92"/>
  <c r="BI86" i="92"/>
  <c r="BI84" i="92"/>
  <c r="BJ107" i="92"/>
  <c r="BI105" i="92"/>
  <c r="BI103" i="92"/>
  <c r="BG101" i="92"/>
  <c r="BG99" i="92"/>
  <c r="BL96" i="92"/>
  <c r="BK94" i="92"/>
  <c r="BK92" i="92"/>
  <c r="BI90" i="92"/>
  <c r="BI88" i="92"/>
  <c r="BH86" i="92"/>
  <c r="BG84" i="92"/>
  <c r="BI107" i="92"/>
  <c r="BG103" i="92"/>
  <c r="BK98" i="92"/>
  <c r="BI94" i="92"/>
  <c r="BH90" i="92"/>
  <c r="BG86" i="92"/>
  <c r="BG107" i="92"/>
  <c r="BK102" i="92"/>
  <c r="BI98" i="92"/>
  <c r="BH94" i="92"/>
  <c r="BG90" i="92"/>
  <c r="BK85" i="92"/>
  <c r="BG98" i="92"/>
  <c r="BG105" i="92"/>
  <c r="BI92" i="92"/>
  <c r="BI104" i="92"/>
  <c r="BJ91" i="92"/>
  <c r="BK106" i="92"/>
  <c r="BI102" i="92"/>
  <c r="BH98" i="92"/>
  <c r="BG94" i="92"/>
  <c r="BK89" i="92"/>
  <c r="BI85" i="92"/>
  <c r="BH102" i="92"/>
  <c r="BK93" i="92"/>
  <c r="BI89" i="92"/>
  <c r="BG85" i="92"/>
  <c r="BL100" i="92"/>
  <c r="BK96" i="92"/>
  <c r="BG88" i="92"/>
  <c r="BI106" i="92"/>
  <c r="BL104" i="92"/>
  <c r="BK100" i="92"/>
  <c r="BI96" i="92"/>
  <c r="BG92" i="92"/>
  <c r="BK87" i="92"/>
  <c r="BK104" i="92"/>
  <c r="BI100" i="92"/>
  <c r="BG96" i="92"/>
  <c r="BK91" i="92"/>
  <c r="BJ87" i="92"/>
  <c r="BG100" i="92"/>
  <c r="BK95" i="92"/>
  <c r="BI87" i="92"/>
  <c r="B256" i="92"/>
  <c r="AF100" i="91"/>
  <c r="AD100" i="91"/>
  <c r="AC108" i="91"/>
  <c r="AB100" i="91"/>
  <c r="AT8" i="92" l="1"/>
  <c r="K6" i="92"/>
  <c r="AT9" i="92"/>
  <c r="AI99" i="92"/>
  <c r="AH99" i="92"/>
  <c r="AH108" i="92"/>
  <c r="AI108" i="92"/>
  <c r="G246" i="92"/>
  <c r="F252" i="92"/>
  <c r="F118" i="92"/>
  <c r="G118" i="92" l="1"/>
  <c r="G252" i="92"/>
  <c r="H246" i="92"/>
  <c r="AI100" i="92"/>
  <c r="AH100" i="92"/>
  <c r="B7" i="92"/>
  <c r="A7" i="92" s="1"/>
  <c r="I246" i="92" l="1"/>
  <c r="H252" i="92"/>
  <c r="H118" i="92"/>
  <c r="R123" i="91"/>
  <c r="R57" i="91"/>
  <c r="Q123" i="91"/>
  <c r="Q121" i="91"/>
  <c r="Q57" i="91"/>
  <c r="P123" i="91"/>
  <c r="P121" i="91"/>
  <c r="P57" i="91"/>
  <c r="O123" i="91"/>
  <c r="O121" i="91"/>
  <c r="O57" i="91"/>
  <c r="N123" i="91"/>
  <c r="N121" i="91"/>
  <c r="N57" i="91"/>
  <c r="M123" i="91"/>
  <c r="M121" i="91"/>
  <c r="M57" i="91"/>
  <c r="E57" i="91"/>
  <c r="F57" i="91"/>
  <c r="G57" i="91"/>
  <c r="H57" i="91"/>
  <c r="D123" i="91"/>
  <c r="D57" i="91"/>
  <c r="C57" i="91"/>
  <c r="C123" i="91"/>
  <c r="B123" i="91"/>
  <c r="AG252" i="91"/>
  <c r="C252" i="91"/>
  <c r="F251" i="91"/>
  <c r="G251" i="91" s="1"/>
  <c r="H251" i="91" s="1"/>
  <c r="I251" i="91" s="1"/>
  <c r="J251" i="91" s="1"/>
  <c r="K251" i="91" s="1"/>
  <c r="L251" i="91" s="1"/>
  <c r="M251" i="91" s="1"/>
  <c r="N251" i="91" s="1"/>
  <c r="O251" i="91" s="1"/>
  <c r="P251" i="91" s="1"/>
  <c r="Q251" i="91" s="1"/>
  <c r="R251" i="91" s="1"/>
  <c r="S251" i="91" s="1"/>
  <c r="T251" i="91" s="1"/>
  <c r="U251" i="91" s="1"/>
  <c r="V251" i="91" s="1"/>
  <c r="W251" i="91" s="1"/>
  <c r="X251" i="91" s="1"/>
  <c r="Y251" i="91" s="1"/>
  <c r="Z251" i="91" s="1"/>
  <c r="AA251" i="91" s="1"/>
  <c r="AB251" i="91" s="1"/>
  <c r="AC251" i="91" s="1"/>
  <c r="AD251" i="91" s="1"/>
  <c r="AE251" i="91" s="1"/>
  <c r="AF251" i="91" s="1"/>
  <c r="B251" i="91" s="1"/>
  <c r="E251" i="91"/>
  <c r="D251" i="91"/>
  <c r="J250" i="91"/>
  <c r="K250" i="91" s="1"/>
  <c r="L250" i="91" s="1"/>
  <c r="M250" i="91" s="1"/>
  <c r="N250" i="91" s="1"/>
  <c r="O250" i="91" s="1"/>
  <c r="P250" i="91" s="1"/>
  <c r="Q250" i="91" s="1"/>
  <c r="R250" i="91" s="1"/>
  <c r="S250" i="91" s="1"/>
  <c r="T250" i="91" s="1"/>
  <c r="U250" i="91" s="1"/>
  <c r="V250" i="91" s="1"/>
  <c r="W250" i="91" s="1"/>
  <c r="X250" i="91" s="1"/>
  <c r="Y250" i="91" s="1"/>
  <c r="Z250" i="91" s="1"/>
  <c r="AA250" i="91" s="1"/>
  <c r="AB250" i="91" s="1"/>
  <c r="AC250" i="91" s="1"/>
  <c r="AD250" i="91" s="1"/>
  <c r="AE250" i="91" s="1"/>
  <c r="AF250" i="91" s="1"/>
  <c r="B250" i="91" s="1"/>
  <c r="D250" i="91"/>
  <c r="E250" i="91" s="1"/>
  <c r="F250" i="91" s="1"/>
  <c r="G250" i="91" s="1"/>
  <c r="H250" i="91" s="1"/>
  <c r="I250" i="91" s="1"/>
  <c r="D249" i="91"/>
  <c r="E249" i="91" s="1"/>
  <c r="F249" i="91" s="1"/>
  <c r="G249" i="91" s="1"/>
  <c r="H249" i="91" s="1"/>
  <c r="I249" i="91" s="1"/>
  <c r="J249" i="91" s="1"/>
  <c r="K249" i="91" s="1"/>
  <c r="L249" i="91" s="1"/>
  <c r="M249" i="91" s="1"/>
  <c r="N249" i="91" s="1"/>
  <c r="O249" i="91" s="1"/>
  <c r="P249" i="91" s="1"/>
  <c r="Q249" i="91" s="1"/>
  <c r="R249" i="91" s="1"/>
  <c r="S249" i="91" s="1"/>
  <c r="T249" i="91" s="1"/>
  <c r="U249" i="91" s="1"/>
  <c r="V249" i="91" s="1"/>
  <c r="W249" i="91" s="1"/>
  <c r="X249" i="91" s="1"/>
  <c r="Y249" i="91" s="1"/>
  <c r="Z249" i="91" s="1"/>
  <c r="AA249" i="91" s="1"/>
  <c r="AB249" i="91" s="1"/>
  <c r="AC249" i="91" s="1"/>
  <c r="AD249" i="91" s="1"/>
  <c r="AE249" i="91" s="1"/>
  <c r="AF249" i="91" s="1"/>
  <c r="B249" i="91" s="1"/>
  <c r="G248" i="91"/>
  <c r="H248" i="91" s="1"/>
  <c r="I248" i="91" s="1"/>
  <c r="J248" i="91" s="1"/>
  <c r="K248" i="91" s="1"/>
  <c r="L248" i="91" s="1"/>
  <c r="M248" i="91" s="1"/>
  <c r="N248" i="91" s="1"/>
  <c r="O248" i="91" s="1"/>
  <c r="P248" i="91" s="1"/>
  <c r="Q248" i="91" s="1"/>
  <c r="R248" i="91" s="1"/>
  <c r="S248" i="91" s="1"/>
  <c r="T248" i="91" s="1"/>
  <c r="U248" i="91" s="1"/>
  <c r="V248" i="91" s="1"/>
  <c r="W248" i="91" s="1"/>
  <c r="X248" i="91" s="1"/>
  <c r="Y248" i="91" s="1"/>
  <c r="Z248" i="91" s="1"/>
  <c r="AA248" i="91" s="1"/>
  <c r="AB248" i="91" s="1"/>
  <c r="AC248" i="91" s="1"/>
  <c r="AD248" i="91" s="1"/>
  <c r="AE248" i="91" s="1"/>
  <c r="AF248" i="91" s="1"/>
  <c r="B248" i="91" s="1"/>
  <c r="F248" i="91"/>
  <c r="D248" i="91"/>
  <c r="E248" i="91" s="1"/>
  <c r="E247" i="91"/>
  <c r="F247" i="91" s="1"/>
  <c r="G247" i="91" s="1"/>
  <c r="H247" i="91" s="1"/>
  <c r="I247" i="91" s="1"/>
  <c r="J247" i="91" s="1"/>
  <c r="K247" i="91" s="1"/>
  <c r="L247" i="91" s="1"/>
  <c r="M247" i="91" s="1"/>
  <c r="N247" i="91" s="1"/>
  <c r="O247" i="91" s="1"/>
  <c r="P247" i="91" s="1"/>
  <c r="Q247" i="91" s="1"/>
  <c r="R247" i="91" s="1"/>
  <c r="S247" i="91" s="1"/>
  <c r="T247" i="91" s="1"/>
  <c r="U247" i="91" s="1"/>
  <c r="V247" i="91" s="1"/>
  <c r="W247" i="91" s="1"/>
  <c r="X247" i="91" s="1"/>
  <c r="Y247" i="91" s="1"/>
  <c r="Z247" i="91" s="1"/>
  <c r="AA247" i="91" s="1"/>
  <c r="AB247" i="91" s="1"/>
  <c r="AC247" i="91" s="1"/>
  <c r="AD247" i="91" s="1"/>
  <c r="AE247" i="91" s="1"/>
  <c r="AF247" i="91" s="1"/>
  <c r="B247" i="91" s="1"/>
  <c r="D247" i="91"/>
  <c r="D246" i="91"/>
  <c r="AG244" i="91"/>
  <c r="AF244" i="91"/>
  <c r="AE244" i="91"/>
  <c r="AD244" i="91"/>
  <c r="AC244" i="91"/>
  <c r="AB244" i="91"/>
  <c r="AA244" i="91"/>
  <c r="Z244" i="91"/>
  <c r="Z118" i="91" s="1"/>
  <c r="Y244" i="91"/>
  <c r="Y118" i="91" s="1"/>
  <c r="X244" i="91"/>
  <c r="W244" i="91"/>
  <c r="V244" i="91"/>
  <c r="U244" i="91"/>
  <c r="T244" i="91"/>
  <c r="S244" i="91"/>
  <c r="R244" i="91"/>
  <c r="Q244" i="91"/>
  <c r="P244" i="91"/>
  <c r="O244" i="91"/>
  <c r="N244" i="91"/>
  <c r="M244" i="91"/>
  <c r="L244" i="91"/>
  <c r="K244" i="91"/>
  <c r="J244" i="91"/>
  <c r="I244" i="91"/>
  <c r="H244" i="91"/>
  <c r="G244" i="91"/>
  <c r="F244" i="91"/>
  <c r="E244" i="91"/>
  <c r="D244" i="91"/>
  <c r="C244" i="91"/>
  <c r="B244" i="91"/>
  <c r="AI130" i="91"/>
  <c r="AH130" i="91"/>
  <c r="AI129" i="91"/>
  <c r="AH129" i="91"/>
  <c r="AI128" i="91"/>
  <c r="AH128" i="91"/>
  <c r="AI127" i="91"/>
  <c r="AH127" i="91"/>
  <c r="AI126" i="91"/>
  <c r="AH126" i="91"/>
  <c r="AI123" i="91"/>
  <c r="AH123" i="91"/>
  <c r="AI122" i="91"/>
  <c r="AH122" i="91"/>
  <c r="AI121" i="91"/>
  <c r="AH121" i="91"/>
  <c r="AI120" i="91"/>
  <c r="AH120" i="91"/>
  <c r="AI119" i="91"/>
  <c r="AH119" i="91"/>
  <c r="C118" i="91"/>
  <c r="AI117" i="91"/>
  <c r="AH117" i="91"/>
  <c r="AI116" i="91"/>
  <c r="AH116" i="91"/>
  <c r="AI115" i="91"/>
  <c r="AH115" i="91"/>
  <c r="AI114" i="91"/>
  <c r="AH114" i="91"/>
  <c r="AI113" i="91"/>
  <c r="AH113" i="91"/>
  <c r="AI112" i="91"/>
  <c r="AH112" i="91"/>
  <c r="AI111" i="91"/>
  <c r="AH111" i="91"/>
  <c r="AI110" i="91"/>
  <c r="AH110" i="91"/>
  <c r="AI109" i="91"/>
  <c r="AH109" i="91"/>
  <c r="AI106" i="91"/>
  <c r="AH106" i="91"/>
  <c r="AA105" i="91"/>
  <c r="Z105" i="91"/>
  <c r="Y105" i="91"/>
  <c r="X105" i="91"/>
  <c r="W105" i="91"/>
  <c r="V105" i="91"/>
  <c r="U105" i="91"/>
  <c r="T105" i="91"/>
  <c r="S105" i="91"/>
  <c r="R105" i="91"/>
  <c r="Q105" i="91"/>
  <c r="P105" i="91"/>
  <c r="O105" i="91"/>
  <c r="N105" i="91"/>
  <c r="M105" i="91"/>
  <c r="L105" i="91"/>
  <c r="K105" i="91"/>
  <c r="J105" i="91"/>
  <c r="I105" i="91"/>
  <c r="H105" i="91"/>
  <c r="G105" i="91"/>
  <c r="F105" i="91"/>
  <c r="E105" i="91"/>
  <c r="D105" i="91"/>
  <c r="C105" i="91"/>
  <c r="B105" i="91"/>
  <c r="AA104" i="91"/>
  <c r="Z104" i="91"/>
  <c r="Y104" i="91"/>
  <c r="X104" i="91"/>
  <c r="W104" i="91"/>
  <c r="V104" i="91"/>
  <c r="U104" i="91"/>
  <c r="T104" i="91"/>
  <c r="S104" i="91"/>
  <c r="R104" i="91"/>
  <c r="Q104" i="91"/>
  <c r="P104" i="91"/>
  <c r="O104" i="91"/>
  <c r="N104" i="91"/>
  <c r="M104" i="91"/>
  <c r="L104" i="91"/>
  <c r="K104" i="91"/>
  <c r="J104" i="91"/>
  <c r="I104" i="91"/>
  <c r="H104" i="91"/>
  <c r="G104" i="91"/>
  <c r="F104" i="91"/>
  <c r="E104" i="91"/>
  <c r="D104" i="91"/>
  <c r="C104" i="91"/>
  <c r="B104" i="91"/>
  <c r="B107" i="91" s="1"/>
  <c r="AM23" i="91" s="1"/>
  <c r="AA103" i="91"/>
  <c r="Z103" i="91"/>
  <c r="Y103" i="91"/>
  <c r="X103" i="91"/>
  <c r="W103" i="91"/>
  <c r="V103" i="91"/>
  <c r="U103" i="91"/>
  <c r="T103" i="91"/>
  <c r="S103" i="91"/>
  <c r="R103" i="91"/>
  <c r="Q103" i="91"/>
  <c r="P103" i="91"/>
  <c r="O103" i="91"/>
  <c r="N103" i="91"/>
  <c r="M103" i="91"/>
  <c r="L103" i="91"/>
  <c r="K103" i="91"/>
  <c r="J103" i="91"/>
  <c r="I103" i="91"/>
  <c r="I107" i="91" s="1"/>
  <c r="AS23" i="91" s="1"/>
  <c r="H103" i="91"/>
  <c r="G103" i="91"/>
  <c r="F103" i="91"/>
  <c r="E103" i="91"/>
  <c r="D103" i="91"/>
  <c r="C103" i="91"/>
  <c r="B103" i="91"/>
  <c r="AA102" i="91"/>
  <c r="Z102" i="91"/>
  <c r="Y102" i="91"/>
  <c r="X102" i="91"/>
  <c r="W102" i="91"/>
  <c r="V102" i="91"/>
  <c r="U102" i="91"/>
  <c r="T102" i="91"/>
  <c r="S102" i="91"/>
  <c r="R102" i="91"/>
  <c r="Q102" i="91"/>
  <c r="P102" i="91"/>
  <c r="O102" i="91"/>
  <c r="N102" i="91"/>
  <c r="M102" i="91"/>
  <c r="L102" i="91"/>
  <c r="K102" i="91"/>
  <c r="J102" i="91"/>
  <c r="I102" i="91"/>
  <c r="H102" i="91"/>
  <c r="G102" i="91"/>
  <c r="F102" i="91"/>
  <c r="E102" i="91"/>
  <c r="D102" i="91"/>
  <c r="C102" i="91"/>
  <c r="B102" i="91"/>
  <c r="AA101" i="91"/>
  <c r="AA107" i="91" s="1"/>
  <c r="Z101" i="91"/>
  <c r="Y101" i="91"/>
  <c r="X101" i="91"/>
  <c r="W101" i="91"/>
  <c r="V101" i="91"/>
  <c r="U101" i="91"/>
  <c r="T101" i="91"/>
  <c r="S101" i="91"/>
  <c r="S107" i="91" s="1"/>
  <c r="R101" i="91"/>
  <c r="Q101" i="91"/>
  <c r="P101" i="91"/>
  <c r="O101" i="91"/>
  <c r="N101" i="91"/>
  <c r="M101" i="91"/>
  <c r="L101" i="91"/>
  <c r="K101" i="91"/>
  <c r="J101" i="91"/>
  <c r="I101" i="91"/>
  <c r="H101" i="91"/>
  <c r="G101" i="91"/>
  <c r="F101" i="91"/>
  <c r="E101" i="91"/>
  <c r="D101" i="91"/>
  <c r="C101" i="91"/>
  <c r="B101" i="91"/>
  <c r="AI98" i="91"/>
  <c r="AH98" i="91"/>
  <c r="AI96" i="91"/>
  <c r="AH96" i="91"/>
  <c r="AG96" i="91"/>
  <c r="AI95" i="91"/>
  <c r="AH95" i="91"/>
  <c r="AI94" i="91"/>
  <c r="AH94" i="91"/>
  <c r="AI93" i="91"/>
  <c r="AH93" i="91"/>
  <c r="AG92" i="91"/>
  <c r="AA92" i="91"/>
  <c r="Z92" i="91"/>
  <c r="Y92" i="91"/>
  <c r="X5" i="91" s="1"/>
  <c r="X92" i="91"/>
  <c r="W5" i="91" s="1"/>
  <c r="W92" i="91"/>
  <c r="V92" i="91"/>
  <c r="U5" i="91" s="1"/>
  <c r="U92" i="91"/>
  <c r="T5" i="91" s="1"/>
  <c r="T92" i="91"/>
  <c r="S92" i="91"/>
  <c r="S108" i="91" s="1"/>
  <c r="R92" i="91"/>
  <c r="Q92" i="91"/>
  <c r="P5" i="91" s="1"/>
  <c r="P92" i="91"/>
  <c r="AX19" i="91" s="1"/>
  <c r="O92" i="91"/>
  <c r="N92" i="91"/>
  <c r="AV19" i="91" s="1"/>
  <c r="M92" i="91"/>
  <c r="L5" i="91" s="1"/>
  <c r="L92" i="91"/>
  <c r="K92" i="91"/>
  <c r="J92" i="91"/>
  <c r="I5" i="91" s="1"/>
  <c r="I92" i="91"/>
  <c r="AS19" i="91" s="1"/>
  <c r="H92" i="91"/>
  <c r="G5" i="91" s="1"/>
  <c r="G92" i="91"/>
  <c r="F92" i="91"/>
  <c r="E5" i="91" s="1"/>
  <c r="E92" i="91"/>
  <c r="AP19" i="91" s="1"/>
  <c r="D92" i="91"/>
  <c r="C92" i="91"/>
  <c r="AN19" i="91" s="1"/>
  <c r="B92" i="91"/>
  <c r="AI91" i="91"/>
  <c r="AH91" i="91"/>
  <c r="AI90" i="91"/>
  <c r="AH90" i="91"/>
  <c r="AI89" i="91"/>
  <c r="AH89" i="91"/>
  <c r="AI88" i="91"/>
  <c r="AH88" i="91"/>
  <c r="AI87" i="91"/>
  <c r="AH87" i="91"/>
  <c r="AI86" i="91"/>
  <c r="AH86" i="91"/>
  <c r="AI85" i="91"/>
  <c r="AH85" i="91"/>
  <c r="AI84" i="91"/>
  <c r="AH84" i="91"/>
  <c r="AI83" i="91"/>
  <c r="AH83" i="91"/>
  <c r="AI82" i="91"/>
  <c r="AH82" i="91"/>
  <c r="AI81" i="91"/>
  <c r="AH81" i="91"/>
  <c r="BM80" i="91"/>
  <c r="BB80" i="91"/>
  <c r="AG80" i="91"/>
  <c r="AA80" i="91"/>
  <c r="Z80" i="91"/>
  <c r="Y80" i="91"/>
  <c r="X80" i="91"/>
  <c r="W80" i="91"/>
  <c r="V80" i="91"/>
  <c r="U80" i="91"/>
  <c r="T80" i="91"/>
  <c r="S80" i="91"/>
  <c r="R80" i="91"/>
  <c r="Q80" i="91"/>
  <c r="P80" i="91"/>
  <c r="O80" i="91"/>
  <c r="N80" i="91"/>
  <c r="AV20" i="91" s="1"/>
  <c r="M80" i="91"/>
  <c r="AU20" i="91" s="1"/>
  <c r="L80" i="91"/>
  <c r="K80" i="91"/>
  <c r="J80" i="91"/>
  <c r="I80" i="91"/>
  <c r="H80" i="91"/>
  <c r="G80" i="91"/>
  <c r="F80" i="91"/>
  <c r="E80" i="91"/>
  <c r="D80" i="91"/>
  <c r="AO20" i="91" s="1"/>
  <c r="C80" i="91"/>
  <c r="AN20" i="91" s="1"/>
  <c r="B80" i="91"/>
  <c r="AM20" i="91" s="1"/>
  <c r="BR79" i="91"/>
  <c r="BI79" i="91"/>
  <c r="BG79" i="91"/>
  <c r="AI79" i="91"/>
  <c r="AH79" i="91"/>
  <c r="BS78" i="91"/>
  <c r="BH78" i="91"/>
  <c r="BA78" i="91"/>
  <c r="AI78" i="91"/>
  <c r="AH78" i="91"/>
  <c r="BG77" i="91"/>
  <c r="AI77" i="91"/>
  <c r="AH77" i="91"/>
  <c r="BM76" i="91"/>
  <c r="BL76" i="91"/>
  <c r="BH76" i="91"/>
  <c r="BB76" i="91"/>
  <c r="AA76" i="91"/>
  <c r="Z76" i="91"/>
  <c r="Y76" i="91"/>
  <c r="X76" i="91"/>
  <c r="W76" i="91"/>
  <c r="V76" i="91"/>
  <c r="U76" i="91"/>
  <c r="T76" i="91"/>
  <c r="S76" i="91"/>
  <c r="R76" i="91"/>
  <c r="Q76" i="91"/>
  <c r="P76" i="91"/>
  <c r="AX18" i="91" s="1"/>
  <c r="O76" i="91"/>
  <c r="AW18" i="91" s="1"/>
  <c r="N76" i="91"/>
  <c r="AV18" i="91" s="1"/>
  <c r="M76" i="91"/>
  <c r="AU18" i="91" s="1"/>
  <c r="L76" i="91"/>
  <c r="K76" i="91"/>
  <c r="AT18" i="91" s="1"/>
  <c r="J76" i="91"/>
  <c r="I76" i="91"/>
  <c r="AS18" i="91" s="1"/>
  <c r="H76" i="91"/>
  <c r="G76" i="91"/>
  <c r="AR18" i="91" s="1"/>
  <c r="F76" i="91"/>
  <c r="AQ18" i="91" s="1"/>
  <c r="E76" i="91"/>
  <c r="D76" i="91"/>
  <c r="AO18" i="91" s="1"/>
  <c r="C76" i="91"/>
  <c r="AN18" i="91" s="1"/>
  <c r="B76" i="91"/>
  <c r="AM18" i="91" s="1"/>
  <c r="BT75" i="91"/>
  <c r="BL75" i="91"/>
  <c r="BI75" i="91"/>
  <c r="AI75" i="91"/>
  <c r="AH75" i="91"/>
  <c r="AG75" i="91"/>
  <c r="AG76" i="91" s="1"/>
  <c r="AI74" i="91"/>
  <c r="AH74" i="91"/>
  <c r="BW73" i="91"/>
  <c r="BW80" i="91" s="1"/>
  <c r="BV73" i="91"/>
  <c r="BV80" i="91" s="1"/>
  <c r="BU73" i="91"/>
  <c r="BU80" i="91" s="1"/>
  <c r="BT73" i="91"/>
  <c r="BT80" i="91" s="1"/>
  <c r="BS73" i="91"/>
  <c r="BS80" i="91" s="1"/>
  <c r="BR73" i="91"/>
  <c r="BR80" i="91" s="1"/>
  <c r="BQ73" i="91"/>
  <c r="BQ80" i="91" s="1"/>
  <c r="BP73" i="91"/>
  <c r="BP80" i="91" s="1"/>
  <c r="BO73" i="91"/>
  <c r="BO80" i="91" s="1"/>
  <c r="BN73" i="91"/>
  <c r="BN80" i="91" s="1"/>
  <c r="BM73" i="91"/>
  <c r="BL73" i="91"/>
  <c r="BL80" i="91" s="1"/>
  <c r="BK73" i="91"/>
  <c r="BK80" i="91" s="1"/>
  <c r="BJ73" i="91"/>
  <c r="BJ80" i="91" s="1"/>
  <c r="BI73" i="91"/>
  <c r="BI80" i="91" s="1"/>
  <c r="BH73" i="91"/>
  <c r="BH80" i="91" s="1"/>
  <c r="BG73" i="91"/>
  <c r="BG80" i="91" s="1"/>
  <c r="BF73" i="91"/>
  <c r="BF80" i="91" s="1"/>
  <c r="BE73" i="91"/>
  <c r="BE80" i="91" s="1"/>
  <c r="BD73" i="91"/>
  <c r="BD80" i="91" s="1"/>
  <c r="BC73" i="91"/>
  <c r="BC80" i="91" s="1"/>
  <c r="BB73" i="91"/>
  <c r="BA73" i="91"/>
  <c r="BA80" i="91" s="1"/>
  <c r="AZ73" i="91"/>
  <c r="AZ80" i="91" s="1"/>
  <c r="AI73" i="91"/>
  <c r="AH73" i="91"/>
  <c r="BW72" i="91"/>
  <c r="BW79" i="91" s="1"/>
  <c r="BV72" i="91"/>
  <c r="BV79" i="91" s="1"/>
  <c r="BU72" i="91"/>
  <c r="BU79" i="91" s="1"/>
  <c r="BT72" i="91"/>
  <c r="BT79" i="91" s="1"/>
  <c r="BS72" i="91"/>
  <c r="BS79" i="91" s="1"/>
  <c r="BR72" i="91"/>
  <c r="BQ72" i="91"/>
  <c r="BQ79" i="91" s="1"/>
  <c r="BP72" i="91"/>
  <c r="BP79" i="91" s="1"/>
  <c r="BO72" i="91"/>
  <c r="BO79" i="91" s="1"/>
  <c r="BN72" i="91"/>
  <c r="BN79" i="91" s="1"/>
  <c r="BM72" i="91"/>
  <c r="BM79" i="91" s="1"/>
  <c r="BL72" i="91"/>
  <c r="BL79" i="91" s="1"/>
  <c r="BK72" i="91"/>
  <c r="BK79" i="91" s="1"/>
  <c r="BJ72" i="91"/>
  <c r="BJ79" i="91" s="1"/>
  <c r="BI72" i="91"/>
  <c r="BH72" i="91"/>
  <c r="BH79" i="91" s="1"/>
  <c r="BG72" i="91"/>
  <c r="BF72" i="91"/>
  <c r="BF79" i="91" s="1"/>
  <c r="BE72" i="91"/>
  <c r="BE79" i="91" s="1"/>
  <c r="BD72" i="91"/>
  <c r="BD79" i="91" s="1"/>
  <c r="BC72" i="91"/>
  <c r="BC79" i="91" s="1"/>
  <c r="BB72" i="91"/>
  <c r="BB79" i="91" s="1"/>
  <c r="BA72" i="91"/>
  <c r="BA79" i="91" s="1"/>
  <c r="AZ72" i="91"/>
  <c r="AZ79" i="91" s="1"/>
  <c r="AI72" i="91"/>
  <c r="AH72" i="91"/>
  <c r="BW71" i="91"/>
  <c r="BW78" i="91" s="1"/>
  <c r="BV71" i="91"/>
  <c r="BV78" i="91" s="1"/>
  <c r="BU71" i="91"/>
  <c r="BU78" i="91" s="1"/>
  <c r="BT71" i="91"/>
  <c r="BT78" i="91" s="1"/>
  <c r="BS71" i="91"/>
  <c r="BR71" i="91"/>
  <c r="BR78" i="91" s="1"/>
  <c r="BQ71" i="91"/>
  <c r="BQ78" i="91" s="1"/>
  <c r="BP71" i="91"/>
  <c r="BP78" i="91" s="1"/>
  <c r="BO71" i="91"/>
  <c r="BO78" i="91" s="1"/>
  <c r="BN71" i="91"/>
  <c r="BN78" i="91" s="1"/>
  <c r="BM71" i="91"/>
  <c r="BM78" i="91" s="1"/>
  <c r="BL71" i="91"/>
  <c r="BL78" i="91" s="1"/>
  <c r="BK71" i="91"/>
  <c r="BK78" i="91" s="1"/>
  <c r="BJ71" i="91"/>
  <c r="BJ78" i="91" s="1"/>
  <c r="BI71" i="91"/>
  <c r="BI78" i="91" s="1"/>
  <c r="BH71" i="91"/>
  <c r="BG71" i="91"/>
  <c r="BG78" i="91" s="1"/>
  <c r="BF71" i="91"/>
  <c r="BF78" i="91" s="1"/>
  <c r="BE71" i="91"/>
  <c r="BE78" i="91" s="1"/>
  <c r="BD71" i="91"/>
  <c r="BD78" i="91" s="1"/>
  <c r="BC71" i="91"/>
  <c r="BC78" i="91" s="1"/>
  <c r="BB71" i="91"/>
  <c r="BB78" i="91" s="1"/>
  <c r="BA71" i="91"/>
  <c r="AZ71" i="91"/>
  <c r="AZ78" i="91" s="1"/>
  <c r="AI71" i="91"/>
  <c r="AH71" i="91"/>
  <c r="BW70" i="91"/>
  <c r="BW77" i="91" s="1"/>
  <c r="BV70" i="91"/>
  <c r="BV77" i="91" s="1"/>
  <c r="BU70" i="91"/>
  <c r="BU77" i="91" s="1"/>
  <c r="BT70" i="91"/>
  <c r="BT77" i="91" s="1"/>
  <c r="BS70" i="91"/>
  <c r="BS77" i="91" s="1"/>
  <c r="BR70" i="91"/>
  <c r="BR77" i="91" s="1"/>
  <c r="BQ70" i="91"/>
  <c r="BQ77" i="91" s="1"/>
  <c r="BP70" i="91"/>
  <c r="BP77" i="91" s="1"/>
  <c r="BO70" i="91"/>
  <c r="BO77" i="91" s="1"/>
  <c r="BN70" i="91"/>
  <c r="BN77" i="91" s="1"/>
  <c r="BM70" i="91"/>
  <c r="BM77" i="91" s="1"/>
  <c r="BL70" i="91"/>
  <c r="BL77" i="91" s="1"/>
  <c r="BK70" i="91"/>
  <c r="BK77" i="91" s="1"/>
  <c r="BJ70" i="91"/>
  <c r="BJ77" i="91" s="1"/>
  <c r="BI70" i="91"/>
  <c r="BI77" i="91" s="1"/>
  <c r="BH70" i="91"/>
  <c r="BH77" i="91" s="1"/>
  <c r="BG70" i="91"/>
  <c r="BF70" i="91"/>
  <c r="BF77" i="91" s="1"/>
  <c r="BE70" i="91"/>
  <c r="BE77" i="91" s="1"/>
  <c r="BD70" i="91"/>
  <c r="BD77" i="91" s="1"/>
  <c r="BC70" i="91"/>
  <c r="BC77" i="91" s="1"/>
  <c r="BB70" i="91"/>
  <c r="BB77" i="91" s="1"/>
  <c r="BA70" i="91"/>
  <c r="BA77" i="91" s="1"/>
  <c r="AZ70" i="91"/>
  <c r="AZ77" i="91" s="1"/>
  <c r="AI70" i="91"/>
  <c r="AH70" i="91"/>
  <c r="BW69" i="91"/>
  <c r="BW76" i="91" s="1"/>
  <c r="BV69" i="91"/>
  <c r="BV76" i="91" s="1"/>
  <c r="BU69" i="91"/>
  <c r="BU76" i="91" s="1"/>
  <c r="BT69" i="91"/>
  <c r="BT76" i="91" s="1"/>
  <c r="BS69" i="91"/>
  <c r="BS76" i="91" s="1"/>
  <c r="BR69" i="91"/>
  <c r="BR76" i="91" s="1"/>
  <c r="BQ69" i="91"/>
  <c r="BQ76" i="91" s="1"/>
  <c r="BP69" i="91"/>
  <c r="BP76" i="91" s="1"/>
  <c r="BO69" i="91"/>
  <c r="BO76" i="91" s="1"/>
  <c r="BN69" i="91"/>
  <c r="BN76" i="91" s="1"/>
  <c r="BM69" i="91"/>
  <c r="BL69" i="91"/>
  <c r="BK69" i="91"/>
  <c r="BK76" i="91" s="1"/>
  <c r="BJ69" i="91"/>
  <c r="BJ76" i="91" s="1"/>
  <c r="BI69" i="91"/>
  <c r="BI76" i="91" s="1"/>
  <c r="BH69" i="91"/>
  <c r="BG69" i="91"/>
  <c r="BG76" i="91" s="1"/>
  <c r="BF69" i="91"/>
  <c r="BF76" i="91" s="1"/>
  <c r="BE69" i="91"/>
  <c r="BE76" i="91" s="1"/>
  <c r="BD69" i="91"/>
  <c r="BD76" i="91" s="1"/>
  <c r="BC69" i="91"/>
  <c r="BC76" i="91" s="1"/>
  <c r="BB69" i="91"/>
  <c r="BA69" i="91"/>
  <c r="AZ69" i="91"/>
  <c r="AZ76" i="91" s="1"/>
  <c r="AI69" i="91"/>
  <c r="AH69" i="91"/>
  <c r="BW68" i="91"/>
  <c r="BW75" i="91" s="1"/>
  <c r="BV68" i="91"/>
  <c r="BV75" i="91" s="1"/>
  <c r="BU68" i="91"/>
  <c r="BU75" i="91" s="1"/>
  <c r="BT68" i="91"/>
  <c r="BS68" i="91"/>
  <c r="BS75" i="91" s="1"/>
  <c r="BR68" i="91"/>
  <c r="BR75" i="91" s="1"/>
  <c r="BQ68" i="91"/>
  <c r="BQ75" i="91" s="1"/>
  <c r="BP68" i="91"/>
  <c r="BP75" i="91" s="1"/>
  <c r="BO68" i="91"/>
  <c r="BO75" i="91" s="1"/>
  <c r="BN68" i="91"/>
  <c r="BN75" i="91" s="1"/>
  <c r="BM68" i="91"/>
  <c r="BM75" i="91" s="1"/>
  <c r="BL68" i="91"/>
  <c r="BK68" i="91"/>
  <c r="BK75" i="91" s="1"/>
  <c r="BJ68" i="91"/>
  <c r="BJ75" i="91" s="1"/>
  <c r="BI68" i="91"/>
  <c r="BH68" i="91"/>
  <c r="BH75" i="91" s="1"/>
  <c r="BG68" i="91"/>
  <c r="BG75" i="91" s="1"/>
  <c r="BF68" i="91"/>
  <c r="BF75" i="91" s="1"/>
  <c r="BE68" i="91"/>
  <c r="BE75" i="91" s="1"/>
  <c r="BD68" i="91"/>
  <c r="BD75" i="91" s="1"/>
  <c r="BC68" i="91"/>
  <c r="BC75" i="91" s="1"/>
  <c r="BB68" i="91"/>
  <c r="BB75" i="91" s="1"/>
  <c r="BA68" i="91"/>
  <c r="BA75" i="91" s="1"/>
  <c r="AZ68" i="91"/>
  <c r="AZ75" i="91" s="1"/>
  <c r="AI68" i="91"/>
  <c r="AH68" i="91"/>
  <c r="AI67" i="91"/>
  <c r="AH67" i="91"/>
  <c r="AI66" i="91"/>
  <c r="AH66" i="91"/>
  <c r="AI65" i="91"/>
  <c r="AH65" i="91"/>
  <c r="AI64" i="91"/>
  <c r="AH64" i="91"/>
  <c r="AI63" i="91"/>
  <c r="AH63" i="91"/>
  <c r="AG62" i="91"/>
  <c r="AA62" i="91"/>
  <c r="Z62" i="91"/>
  <c r="Y62" i="91"/>
  <c r="X62" i="91"/>
  <c r="W62" i="91"/>
  <c r="V62" i="91"/>
  <c r="U62" i="91"/>
  <c r="T62" i="91"/>
  <c r="S62" i="91"/>
  <c r="R62" i="91"/>
  <c r="Q62" i="91"/>
  <c r="P62" i="91"/>
  <c r="AX17" i="91" s="1"/>
  <c r="O62" i="91"/>
  <c r="AW17" i="91" s="1"/>
  <c r="N62" i="91"/>
  <c r="AV17" i="91" s="1"/>
  <c r="M62" i="91"/>
  <c r="AU17" i="91" s="1"/>
  <c r="L62" i="91"/>
  <c r="K62" i="91"/>
  <c r="AT17" i="91" s="1"/>
  <c r="J62" i="91"/>
  <c r="I62" i="91"/>
  <c r="AS17" i="91" s="1"/>
  <c r="H62" i="91"/>
  <c r="G62" i="91"/>
  <c r="AR17" i="91" s="1"/>
  <c r="F62" i="91"/>
  <c r="E62" i="91"/>
  <c r="D62" i="91"/>
  <c r="AO17" i="91" s="1"/>
  <c r="C62" i="91"/>
  <c r="AN17" i="91" s="1"/>
  <c r="B62" i="91"/>
  <c r="AI61" i="91"/>
  <c r="AH61" i="91"/>
  <c r="AI60" i="91"/>
  <c r="AH60" i="91"/>
  <c r="AI59" i="91"/>
  <c r="AH59" i="91"/>
  <c r="AG58" i="91"/>
  <c r="AE7" i="91"/>
  <c r="AB7" i="91"/>
  <c r="AA58" i="91"/>
  <c r="Z58" i="91"/>
  <c r="Y58" i="91"/>
  <c r="X58" i="91"/>
  <c r="W58" i="91"/>
  <c r="V58" i="91"/>
  <c r="U58" i="91"/>
  <c r="T58" i="91"/>
  <c r="S58" i="91"/>
  <c r="R58" i="91"/>
  <c r="Q58" i="91"/>
  <c r="P58" i="91"/>
  <c r="O58" i="91"/>
  <c r="AW16" i="91" s="1"/>
  <c r="N58" i="91"/>
  <c r="AV16" i="91" s="1"/>
  <c r="M58" i="91"/>
  <c r="AU16" i="91" s="1"/>
  <c r="L58" i="91"/>
  <c r="K58" i="91"/>
  <c r="J58" i="91"/>
  <c r="I58" i="91"/>
  <c r="H58" i="91"/>
  <c r="G58" i="91"/>
  <c r="F58" i="91"/>
  <c r="E58" i="91"/>
  <c r="D58" i="91"/>
  <c r="C58" i="91"/>
  <c r="B58" i="91"/>
  <c r="AM16" i="91" s="1"/>
  <c r="AI56" i="91"/>
  <c r="AH56" i="91"/>
  <c r="AI55" i="91"/>
  <c r="AH55" i="91"/>
  <c r="AI54" i="91"/>
  <c r="AH54" i="91"/>
  <c r="AI53" i="91"/>
  <c r="AH53" i="91"/>
  <c r="AI52" i="91"/>
  <c r="AH52" i="91"/>
  <c r="AI51" i="91"/>
  <c r="AH51" i="91"/>
  <c r="AI50" i="91"/>
  <c r="AH50" i="91"/>
  <c r="AI49" i="91"/>
  <c r="AH49" i="91"/>
  <c r="AI48" i="91"/>
  <c r="AH48" i="91"/>
  <c r="AI47" i="91"/>
  <c r="AH47" i="91"/>
  <c r="AI46" i="91"/>
  <c r="AH46" i="91"/>
  <c r="AI45" i="91"/>
  <c r="AH45" i="91"/>
  <c r="AI44" i="91"/>
  <c r="AH44" i="91"/>
  <c r="AI43" i="91"/>
  <c r="AH43" i="91"/>
  <c r="AI42" i="91"/>
  <c r="AH42" i="91"/>
  <c r="AI41" i="91"/>
  <c r="AH41" i="91"/>
  <c r="AI40" i="91"/>
  <c r="AH40" i="91"/>
  <c r="AI39" i="91"/>
  <c r="AH39" i="91"/>
  <c r="AI38" i="91"/>
  <c r="AH38" i="91"/>
  <c r="AI37" i="91"/>
  <c r="AH37" i="91"/>
  <c r="AI36" i="91"/>
  <c r="AH36" i="91"/>
  <c r="AI35" i="91"/>
  <c r="AH35" i="91"/>
  <c r="AI34" i="91"/>
  <c r="AH34" i="91"/>
  <c r="AI33" i="91"/>
  <c r="AH33" i="91"/>
  <c r="AI32" i="91"/>
  <c r="AH32" i="91"/>
  <c r="AI31" i="91"/>
  <c r="AH31" i="91"/>
  <c r="AI30" i="91"/>
  <c r="AH30" i="91"/>
  <c r="AI29" i="91"/>
  <c r="AH29" i="91"/>
  <c r="AI28" i="91"/>
  <c r="AH28" i="91"/>
  <c r="AI27" i="91"/>
  <c r="AH27" i="91"/>
  <c r="AI26" i="91"/>
  <c r="AH26" i="91"/>
  <c r="AI25" i="91"/>
  <c r="AH25" i="91"/>
  <c r="AI24" i="91"/>
  <c r="AH24" i="91"/>
  <c r="AI23" i="91"/>
  <c r="AH23" i="91"/>
  <c r="AI22" i="91"/>
  <c r="AH22" i="91"/>
  <c r="AX21" i="91"/>
  <c r="AW21" i="91"/>
  <c r="AV21" i="91"/>
  <c r="AU21" i="91"/>
  <c r="AT21" i="91"/>
  <c r="AS21" i="91"/>
  <c r="AR21" i="91"/>
  <c r="AQ21" i="91"/>
  <c r="AP21" i="91"/>
  <c r="AO21" i="91"/>
  <c r="AN21" i="91"/>
  <c r="AM21" i="91"/>
  <c r="AI21" i="91"/>
  <c r="AH21" i="91"/>
  <c r="AX20" i="91"/>
  <c r="AW20" i="91"/>
  <c r="AT20" i="91"/>
  <c r="AS20" i="91"/>
  <c r="AR20" i="91"/>
  <c r="AQ20" i="91"/>
  <c r="AI20" i="91"/>
  <c r="AH20" i="91"/>
  <c r="AI19" i="91"/>
  <c r="AH19" i="91"/>
  <c r="AP18" i="91"/>
  <c r="AI18" i="91"/>
  <c r="AH18" i="91"/>
  <c r="AQ17" i="91"/>
  <c r="AP17" i="91"/>
  <c r="AM17" i="91"/>
  <c r="AI17" i="91"/>
  <c r="AH17" i="91"/>
  <c r="AS16" i="91"/>
  <c r="AR16" i="91"/>
  <c r="AQ16" i="91"/>
  <c r="AP16" i="91"/>
  <c r="AI16" i="91"/>
  <c r="AH16" i="91"/>
  <c r="AI15" i="91"/>
  <c r="AH15" i="91"/>
  <c r="AI14" i="91"/>
  <c r="AH14" i="91"/>
  <c r="AI13" i="91"/>
  <c r="AH13" i="91"/>
  <c r="AL12" i="91"/>
  <c r="AI12" i="91"/>
  <c r="AH12" i="91"/>
  <c r="AI11" i="91"/>
  <c r="AH11" i="91"/>
  <c r="AF7" i="91"/>
  <c r="AE5" i="91"/>
  <c r="AD5" i="91"/>
  <c r="AC5" i="91"/>
  <c r="AB5" i="91"/>
  <c r="AA5" i="91"/>
  <c r="AG4" i="91"/>
  <c r="K4" i="91"/>
  <c r="E4" i="91"/>
  <c r="H4" i="91" s="1"/>
  <c r="B4" i="91"/>
  <c r="D258" i="91" s="1"/>
  <c r="AG2" i="91"/>
  <c r="I118" i="92" l="1"/>
  <c r="I252" i="92"/>
  <c r="J246" i="92"/>
  <c r="AA108" i="91"/>
  <c r="Z5" i="91"/>
  <c r="AA97" i="91"/>
  <c r="AA99" i="91" s="1"/>
  <c r="Z107" i="91"/>
  <c r="Z108" i="91" s="1"/>
  <c r="Y5" i="91"/>
  <c r="Z97" i="91"/>
  <c r="Z99" i="91" s="1"/>
  <c r="Z100" i="91" s="1"/>
  <c r="Z7" i="91" s="1"/>
  <c r="Y107" i="91"/>
  <c r="Y108" i="91" s="1"/>
  <c r="Y97" i="91"/>
  <c r="Y99" i="91" s="1"/>
  <c r="X107" i="91"/>
  <c r="X108" i="91" s="1"/>
  <c r="X97" i="91"/>
  <c r="X99" i="91" s="1"/>
  <c r="W107" i="91"/>
  <c r="W108" i="91" s="1"/>
  <c r="V5" i="91"/>
  <c r="W97" i="91"/>
  <c r="W99" i="91" s="1"/>
  <c r="W100" i="91" s="1"/>
  <c r="W7" i="91" s="1"/>
  <c r="T107" i="91"/>
  <c r="T108" i="91" s="1"/>
  <c r="S5" i="91"/>
  <c r="R5" i="91"/>
  <c r="S97" i="91"/>
  <c r="S99" i="91" s="1"/>
  <c r="R107" i="91"/>
  <c r="R108" i="91" s="1"/>
  <c r="Q5" i="91"/>
  <c r="R97" i="91"/>
  <c r="R99" i="91" s="1"/>
  <c r="Q107" i="91"/>
  <c r="Q97" i="91"/>
  <c r="Q99" i="91" s="1"/>
  <c r="P107" i="91"/>
  <c r="AX23" i="91" s="1"/>
  <c r="O5" i="91"/>
  <c r="P97" i="91"/>
  <c r="P99" i="91" s="1"/>
  <c r="P100" i="91" s="1"/>
  <c r="P7" i="91" s="1"/>
  <c r="O107" i="91"/>
  <c r="AW23" i="91" s="1"/>
  <c r="O97" i="91"/>
  <c r="O99" i="91" s="1"/>
  <c r="O100" i="91" s="1"/>
  <c r="O7" i="91" s="1"/>
  <c r="M5" i="91"/>
  <c r="AU19" i="91"/>
  <c r="AU22" i="91"/>
  <c r="L107" i="91"/>
  <c r="L108" i="91"/>
  <c r="K5" i="91"/>
  <c r="L97" i="91"/>
  <c r="L99" i="91" s="1"/>
  <c r="L100" i="91" s="1"/>
  <c r="L7" i="91" s="1"/>
  <c r="K107" i="91"/>
  <c r="AT23" i="91" s="1"/>
  <c r="AT19" i="91"/>
  <c r="J5" i="91"/>
  <c r="K97" i="91"/>
  <c r="K99" i="91" s="1"/>
  <c r="K100" i="91" s="1"/>
  <c r="K7" i="91" s="1"/>
  <c r="AT16" i="91"/>
  <c r="J107" i="91"/>
  <c r="J108" i="91" s="1"/>
  <c r="J97" i="91"/>
  <c r="J99" i="91" s="1"/>
  <c r="H5" i="91"/>
  <c r="AS22" i="91"/>
  <c r="AS24" i="91" s="1"/>
  <c r="I97" i="91"/>
  <c r="I99" i="91" s="1"/>
  <c r="I100" i="91" s="1"/>
  <c r="I7" i="91" s="1"/>
  <c r="AH57" i="91"/>
  <c r="AI57" i="91"/>
  <c r="H107" i="91"/>
  <c r="H108" i="91" s="1"/>
  <c r="G107" i="91"/>
  <c r="AR23" i="91" s="1"/>
  <c r="AR19" i="91"/>
  <c r="AR22" i="91" s="1"/>
  <c r="AQ19" i="91"/>
  <c r="AQ22" i="91" s="1"/>
  <c r="D5" i="91"/>
  <c r="H97" i="91"/>
  <c r="H99" i="91" s="1"/>
  <c r="G97" i="91"/>
  <c r="G99" i="91" s="1"/>
  <c r="G100" i="91" s="1"/>
  <c r="G7" i="91" s="1"/>
  <c r="D107" i="91"/>
  <c r="AO23" i="91" s="1"/>
  <c r="AI102" i="91"/>
  <c r="D108" i="91"/>
  <c r="AO19" i="91"/>
  <c r="C5" i="91"/>
  <c r="D97" i="91"/>
  <c r="D99" i="91" s="1"/>
  <c r="D100" i="91" s="1"/>
  <c r="D7" i="91" s="1"/>
  <c r="AH62" i="91"/>
  <c r="AH76" i="91"/>
  <c r="AI101" i="91"/>
  <c r="AH102" i="91"/>
  <c r="C107" i="91"/>
  <c r="AN23" i="91" s="1"/>
  <c r="B5" i="91"/>
  <c r="AH103" i="91"/>
  <c r="B108" i="91"/>
  <c r="AF5" i="91"/>
  <c r="AM19" i="91"/>
  <c r="AM22" i="91" s="1"/>
  <c r="AM24" i="91" s="1"/>
  <c r="AI62" i="91"/>
  <c r="B97" i="91"/>
  <c r="B99" i="91" s="1"/>
  <c r="AI58" i="91"/>
  <c r="Q108" i="91"/>
  <c r="Q100" i="91"/>
  <c r="Q7" i="91" s="1"/>
  <c r="BG84" i="91" a="1"/>
  <c r="BA76" i="91"/>
  <c r="AV22" i="91"/>
  <c r="AG97" i="91"/>
  <c r="AG3" i="91"/>
  <c r="AG6" i="91" s="1"/>
  <c r="C97" i="91"/>
  <c r="C99" i="91" s="1"/>
  <c r="C100" i="91" s="1"/>
  <c r="C7" i="91" s="1"/>
  <c r="AN16" i="91"/>
  <c r="AN22" i="91" s="1"/>
  <c r="S100" i="91"/>
  <c r="S7" i="91" s="1"/>
  <c r="AA100" i="91"/>
  <c r="AA7" i="91" s="1"/>
  <c r="AP20" i="91"/>
  <c r="AP22" i="91" s="1"/>
  <c r="AI80" i="91"/>
  <c r="AI76" i="91"/>
  <c r="AH58" i="91"/>
  <c r="F107" i="91"/>
  <c r="AQ23" i="91" s="1"/>
  <c r="N107" i="91"/>
  <c r="AV23" i="91" s="1"/>
  <c r="V107" i="91"/>
  <c r="V108" i="91" s="1"/>
  <c r="I108" i="91"/>
  <c r="AL13" i="91"/>
  <c r="E97" i="91"/>
  <c r="E99" i="91" s="1"/>
  <c r="M97" i="91"/>
  <c r="M99" i="91" s="1"/>
  <c r="U97" i="91"/>
  <c r="U99" i="91" s="1"/>
  <c r="AC7" i="91"/>
  <c r="AH101" i="91"/>
  <c r="AO16" i="91"/>
  <c r="F97" i="91"/>
  <c r="F99" i="91" s="1"/>
  <c r="N97" i="91"/>
  <c r="N99" i="91" s="1"/>
  <c r="V97" i="91"/>
  <c r="V99" i="91" s="1"/>
  <c r="AH92" i="91"/>
  <c r="AG99" i="91"/>
  <c r="T97" i="91"/>
  <c r="T99" i="91" s="1"/>
  <c r="T100" i="91" s="1"/>
  <c r="T7" i="91" s="1"/>
  <c r="F5" i="91"/>
  <c r="N5" i="91"/>
  <c r="AX16" i="91"/>
  <c r="AX22" i="91" s="1"/>
  <c r="AX24" i="91" s="1"/>
  <c r="AI92" i="91"/>
  <c r="AI105" i="91"/>
  <c r="P108" i="91"/>
  <c r="AH80" i="91"/>
  <c r="AI103" i="91"/>
  <c r="AI104" i="91"/>
  <c r="D252" i="91"/>
  <c r="D118" i="91"/>
  <c r="E246" i="91"/>
  <c r="AW19" i="91"/>
  <c r="AW22" i="91" s="1"/>
  <c r="AW24" i="91" s="1"/>
  <c r="E107" i="91"/>
  <c r="AP23" i="91" s="1"/>
  <c r="M107" i="91"/>
  <c r="AU23" i="91" s="1"/>
  <c r="U107" i="91"/>
  <c r="U108" i="91" s="1"/>
  <c r="AH105" i="91"/>
  <c r="AH104" i="91"/>
  <c r="J252" i="92" l="1"/>
  <c r="J118" i="92"/>
  <c r="K246" i="92"/>
  <c r="Y100" i="91"/>
  <c r="Y7" i="91" s="1"/>
  <c r="X100" i="91"/>
  <c r="X7" i="91" s="1"/>
  <c r="R100" i="91"/>
  <c r="R7" i="91" s="1"/>
  <c r="O108" i="91"/>
  <c r="N100" i="91"/>
  <c r="N7" i="91" s="1"/>
  <c r="M108" i="91"/>
  <c r="AU24" i="91"/>
  <c r="K108" i="91"/>
  <c r="AT22" i="91"/>
  <c r="AT24" i="91" s="1"/>
  <c r="J100" i="91"/>
  <c r="J7" i="91" s="1"/>
  <c r="H100" i="91"/>
  <c r="H7" i="91" s="1"/>
  <c r="AR24" i="91"/>
  <c r="G108" i="91"/>
  <c r="B256" i="91"/>
  <c r="AQ24" i="91"/>
  <c r="AO22" i="91"/>
  <c r="AO24" i="91" s="1"/>
  <c r="AN24" i="91"/>
  <c r="C108" i="91"/>
  <c r="E108" i="91"/>
  <c r="AH107" i="91"/>
  <c r="U100" i="91"/>
  <c r="U7" i="91" s="1"/>
  <c r="AP24" i="91"/>
  <c r="AI107" i="91"/>
  <c r="F246" i="91"/>
  <c r="E252" i="91"/>
  <c r="E118" i="91"/>
  <c r="AD7" i="91"/>
  <c r="M100" i="91"/>
  <c r="M7" i="91" s="1"/>
  <c r="AH97" i="91"/>
  <c r="AV24" i="91"/>
  <c r="V100" i="91"/>
  <c r="V7" i="91" s="1"/>
  <c r="E100" i="91"/>
  <c r="E7" i="91" s="1"/>
  <c r="AI97" i="91"/>
  <c r="C256" i="91"/>
  <c r="BJ107" i="91"/>
  <c r="BH106" i="91"/>
  <c r="BL104" i="91"/>
  <c r="BJ103" i="91"/>
  <c r="BH102" i="91"/>
  <c r="BL100" i="91"/>
  <c r="BJ99" i="91"/>
  <c r="BH98" i="91"/>
  <c r="BL96" i="91"/>
  <c r="BJ95" i="91"/>
  <c r="BH94" i="91"/>
  <c r="BL92" i="91"/>
  <c r="BJ91" i="91"/>
  <c r="BH90" i="91"/>
  <c r="BL88" i="91"/>
  <c r="BJ87" i="91"/>
  <c r="BH86" i="91"/>
  <c r="BL84" i="91"/>
  <c r="BG107" i="91"/>
  <c r="BK105" i="91"/>
  <c r="BI104" i="91"/>
  <c r="BG103" i="91"/>
  <c r="BK101" i="91"/>
  <c r="BI100" i="91"/>
  <c r="BG99" i="91"/>
  <c r="BK97" i="91"/>
  <c r="BI96" i="91"/>
  <c r="BG95" i="91"/>
  <c r="BK93" i="91"/>
  <c r="BI92" i="91"/>
  <c r="BG91" i="91"/>
  <c r="BK89" i="91"/>
  <c r="BI88" i="91"/>
  <c r="BG87" i="91"/>
  <c r="BK85" i="91"/>
  <c r="BI84" i="91"/>
  <c r="BJ106" i="91"/>
  <c r="BK104" i="91"/>
  <c r="BL102" i="91"/>
  <c r="BH101" i="91"/>
  <c r="BI99" i="91"/>
  <c r="BJ97" i="91"/>
  <c r="BL95" i="91"/>
  <c r="BG94" i="91"/>
  <c r="BH92" i="91"/>
  <c r="BJ90" i="91"/>
  <c r="BK88" i="91"/>
  <c r="BL86" i="91"/>
  <c r="BH85" i="91"/>
  <c r="BI106" i="91"/>
  <c r="BJ104" i="91"/>
  <c r="BK102" i="91"/>
  <c r="BG101" i="91"/>
  <c r="BH99" i="91"/>
  <c r="BI97" i="91"/>
  <c r="BK95" i="91"/>
  <c r="BL93" i="91"/>
  <c r="BG92" i="91"/>
  <c r="BI90" i="91"/>
  <c r="BJ88" i="91"/>
  <c r="BK86" i="91"/>
  <c r="BG85" i="91"/>
  <c r="BL107" i="91"/>
  <c r="BG106" i="91"/>
  <c r="BH104" i="91"/>
  <c r="BJ102" i="91"/>
  <c r="BK100" i="91"/>
  <c r="BL98" i="91"/>
  <c r="BH97" i="91"/>
  <c r="BI95" i="91"/>
  <c r="BJ93" i="91"/>
  <c r="BL91" i="91"/>
  <c r="BG90" i="91"/>
  <c r="BH88" i="91"/>
  <c r="BJ86" i="91"/>
  <c r="BK84" i="91"/>
  <c r="BI103" i="91"/>
  <c r="BG98" i="91"/>
  <c r="BJ94" i="91"/>
  <c r="BK92" i="91"/>
  <c r="BK107" i="91"/>
  <c r="BL105" i="91"/>
  <c r="BG104" i="91"/>
  <c r="BI102" i="91"/>
  <c r="BJ100" i="91"/>
  <c r="BK98" i="91"/>
  <c r="BG97" i="91"/>
  <c r="BH95" i="91"/>
  <c r="BI93" i="91"/>
  <c r="BK91" i="91"/>
  <c r="BL89" i="91"/>
  <c r="BG88" i="91"/>
  <c r="BI86" i="91"/>
  <c r="BJ84" i="91"/>
  <c r="BL106" i="91"/>
  <c r="BL99" i="91"/>
  <c r="BL90" i="91"/>
  <c r="BJ85" i="91"/>
  <c r="BI107" i="91"/>
  <c r="BJ105" i="91"/>
  <c r="BL103" i="91"/>
  <c r="BG102" i="91"/>
  <c r="BH100" i="91"/>
  <c r="BJ98" i="91"/>
  <c r="BK96" i="91"/>
  <c r="BL94" i="91"/>
  <c r="BH93" i="91"/>
  <c r="BI91" i="91"/>
  <c r="BJ89" i="91"/>
  <c r="BL87" i="91"/>
  <c r="BG86" i="91"/>
  <c r="BH84" i="91"/>
  <c r="BH105" i="91"/>
  <c r="BJ101" i="91"/>
  <c r="BH96" i="91"/>
  <c r="BH107" i="91"/>
  <c r="BI105" i="91"/>
  <c r="BK103" i="91"/>
  <c r="BL101" i="91"/>
  <c r="BG100" i="91"/>
  <c r="BI98" i="91"/>
  <c r="BJ96" i="91"/>
  <c r="BK94" i="91"/>
  <c r="BG93" i="91"/>
  <c r="BH91" i="91"/>
  <c r="BI89" i="91"/>
  <c r="BK87" i="91"/>
  <c r="BL85" i="91"/>
  <c r="BG84" i="91"/>
  <c r="BK106" i="91"/>
  <c r="BG105" i="91"/>
  <c r="BH103" i="91"/>
  <c r="BI101" i="91"/>
  <c r="BK99" i="91"/>
  <c r="BL97" i="91"/>
  <c r="BG96" i="91"/>
  <c r="BI94" i="91"/>
  <c r="BJ92" i="91"/>
  <c r="BK90" i="91"/>
  <c r="BG89" i="91"/>
  <c r="BH87" i="91"/>
  <c r="BI85" i="91"/>
  <c r="BH89" i="91"/>
  <c r="BI87" i="91"/>
  <c r="N108" i="91"/>
  <c r="AH99" i="91"/>
  <c r="B100" i="91"/>
  <c r="AI99" i="91"/>
  <c r="F100" i="91"/>
  <c r="F7" i="91" s="1"/>
  <c r="F108" i="91"/>
  <c r="K252" i="92" l="1"/>
  <c r="L246" i="92"/>
  <c r="K118" i="92"/>
  <c r="AT8" i="91"/>
  <c r="K6" i="91"/>
  <c r="AT9" i="91"/>
  <c r="G246" i="91"/>
  <c r="F252" i="91"/>
  <c r="F118" i="91"/>
  <c r="AI100" i="91"/>
  <c r="B7" i="91"/>
  <c r="A7" i="91" s="1"/>
  <c r="AH100" i="91"/>
  <c r="AI108" i="91"/>
  <c r="AH108" i="91"/>
  <c r="L252" i="92" l="1"/>
  <c r="L118" i="92"/>
  <c r="M246" i="92"/>
  <c r="H246" i="91"/>
  <c r="G252" i="91"/>
  <c r="G118" i="91"/>
  <c r="M252" i="92" l="1"/>
  <c r="N246" i="92"/>
  <c r="M118" i="92"/>
  <c r="I246" i="91"/>
  <c r="H252" i="91"/>
  <c r="H118" i="91"/>
  <c r="O246" i="92" l="1"/>
  <c r="N252" i="92"/>
  <c r="N118" i="92"/>
  <c r="I252" i="91"/>
  <c r="I118" i="91"/>
  <c r="J246" i="91"/>
  <c r="P246" i="92" l="1"/>
  <c r="O252" i="92"/>
  <c r="O118" i="92"/>
  <c r="J252" i="91"/>
  <c r="J118" i="91"/>
  <c r="K246" i="91"/>
  <c r="Q246" i="92" l="1"/>
  <c r="P252" i="92"/>
  <c r="K252" i="91"/>
  <c r="K118" i="91"/>
  <c r="L246" i="91"/>
  <c r="AF123" i="90"/>
  <c r="AF57" i="90"/>
  <c r="AE57" i="90"/>
  <c r="AE123" i="90"/>
  <c r="AD123" i="90"/>
  <c r="AD57" i="90"/>
  <c r="AC123" i="90"/>
  <c r="AC57" i="90"/>
  <c r="AA123" i="90"/>
  <c r="AA57" i="90"/>
  <c r="AA58" i="90"/>
  <c r="AA62" i="90"/>
  <c r="AA76" i="90"/>
  <c r="AA80" i="90"/>
  <c r="AA92" i="90"/>
  <c r="AA108" i="90" s="1"/>
  <c r="AA101" i="90"/>
  <c r="AA102" i="90"/>
  <c r="AA103" i="90"/>
  <c r="AA104" i="90"/>
  <c r="AA105" i="90"/>
  <c r="AA118" i="90"/>
  <c r="BK78" i="86"/>
  <c r="BS77" i="86"/>
  <c r="BW73" i="86"/>
  <c r="BW80" i="86" s="1"/>
  <c r="BV73" i="86"/>
  <c r="BV80" i="86" s="1"/>
  <c r="BU73" i="86"/>
  <c r="BU80" i="86" s="1"/>
  <c r="BT73" i="86"/>
  <c r="BT80" i="86" s="1"/>
  <c r="BS73" i="86"/>
  <c r="BS80" i="86" s="1"/>
  <c r="BR73" i="86"/>
  <c r="BR80" i="86" s="1"/>
  <c r="BQ73" i="86"/>
  <c r="BQ80" i="86" s="1"/>
  <c r="BP73" i="86"/>
  <c r="BP80" i="86" s="1"/>
  <c r="BO73" i="86"/>
  <c r="BO80" i="86" s="1"/>
  <c r="BN73" i="86"/>
  <c r="BN80" i="86" s="1"/>
  <c r="BM73" i="86"/>
  <c r="BM80" i="86" s="1"/>
  <c r="BL73" i="86"/>
  <c r="BL80" i="86" s="1"/>
  <c r="BK73" i="86"/>
  <c r="BK80" i="86" s="1"/>
  <c r="BJ73" i="86"/>
  <c r="BJ80" i="86" s="1"/>
  <c r="BI73" i="86"/>
  <c r="BI80" i="86" s="1"/>
  <c r="BH73" i="86"/>
  <c r="BH80" i="86" s="1"/>
  <c r="BG73" i="86"/>
  <c r="BG80" i="86" s="1"/>
  <c r="BF73" i="86"/>
  <c r="BF80" i="86" s="1"/>
  <c r="BE73" i="86"/>
  <c r="BE80" i="86" s="1"/>
  <c r="BD73" i="86"/>
  <c r="BD80" i="86" s="1"/>
  <c r="BC73" i="86"/>
  <c r="BC80" i="86" s="1"/>
  <c r="BB73" i="86"/>
  <c r="BB80" i="86" s="1"/>
  <c r="BA73" i="86"/>
  <c r="BA80" i="86" s="1"/>
  <c r="AZ73" i="86"/>
  <c r="AZ80" i="86" s="1"/>
  <c r="BW72" i="86"/>
  <c r="BW79" i="86" s="1"/>
  <c r="BV72" i="86"/>
  <c r="BV79" i="86" s="1"/>
  <c r="BU72" i="86"/>
  <c r="BU79" i="86" s="1"/>
  <c r="BT72" i="86"/>
  <c r="BT79" i="86" s="1"/>
  <c r="BS72" i="86"/>
  <c r="BS79" i="86" s="1"/>
  <c r="BR72" i="86"/>
  <c r="BR79" i="86" s="1"/>
  <c r="BQ72" i="86"/>
  <c r="BQ79" i="86" s="1"/>
  <c r="BP72" i="86"/>
  <c r="BP79" i="86" s="1"/>
  <c r="BO72" i="86"/>
  <c r="BO79" i="86" s="1"/>
  <c r="BN72" i="86"/>
  <c r="BN79" i="86" s="1"/>
  <c r="BM72" i="86"/>
  <c r="BM79" i="86" s="1"/>
  <c r="BL72" i="86"/>
  <c r="BL79" i="86" s="1"/>
  <c r="BK72" i="86"/>
  <c r="BK79" i="86" s="1"/>
  <c r="BJ72" i="86"/>
  <c r="BJ79" i="86" s="1"/>
  <c r="BI72" i="86"/>
  <c r="BI79" i="86" s="1"/>
  <c r="BH72" i="86"/>
  <c r="BH79" i="86" s="1"/>
  <c r="BG72" i="86"/>
  <c r="BG79" i="86" s="1"/>
  <c r="BF72" i="86"/>
  <c r="BF79" i="86" s="1"/>
  <c r="BE72" i="86"/>
  <c r="BE79" i="86" s="1"/>
  <c r="BD72" i="86"/>
  <c r="BD79" i="86" s="1"/>
  <c r="BC72" i="86"/>
  <c r="BC79" i="86" s="1"/>
  <c r="BB72" i="86"/>
  <c r="BB79" i="86" s="1"/>
  <c r="BA72" i="86"/>
  <c r="BA79" i="86" s="1"/>
  <c r="AZ72" i="86"/>
  <c r="AZ79" i="86" s="1"/>
  <c r="BW71" i="86"/>
  <c r="BW78" i="86" s="1"/>
  <c r="BV71" i="86"/>
  <c r="BV78" i="86" s="1"/>
  <c r="BU71" i="86"/>
  <c r="BU78" i="86" s="1"/>
  <c r="BT71" i="86"/>
  <c r="BT78" i="86" s="1"/>
  <c r="BS71" i="86"/>
  <c r="BS78" i="86" s="1"/>
  <c r="BR71" i="86"/>
  <c r="BR78" i="86" s="1"/>
  <c r="BQ71" i="86"/>
  <c r="BQ78" i="86" s="1"/>
  <c r="BP71" i="86"/>
  <c r="BP78" i="86" s="1"/>
  <c r="BO71" i="86"/>
  <c r="BO78" i="86" s="1"/>
  <c r="BN71" i="86"/>
  <c r="BN78" i="86" s="1"/>
  <c r="BM71" i="86"/>
  <c r="BM78" i="86" s="1"/>
  <c r="BL71" i="86"/>
  <c r="BL78" i="86" s="1"/>
  <c r="BK71" i="86"/>
  <c r="BJ71" i="86"/>
  <c r="BJ78" i="86" s="1"/>
  <c r="BI71" i="86"/>
  <c r="BI78" i="86" s="1"/>
  <c r="BH71" i="86"/>
  <c r="BH78" i="86" s="1"/>
  <c r="BG71" i="86"/>
  <c r="BG78" i="86" s="1"/>
  <c r="BF71" i="86"/>
  <c r="BF78" i="86" s="1"/>
  <c r="BE71" i="86"/>
  <c r="BE78" i="86" s="1"/>
  <c r="BD71" i="86"/>
  <c r="BD78" i="86" s="1"/>
  <c r="BC71" i="86"/>
  <c r="BC78" i="86" s="1"/>
  <c r="BB71" i="86"/>
  <c r="BB78" i="86" s="1"/>
  <c r="BA71" i="86"/>
  <c r="BA78" i="86" s="1"/>
  <c r="AZ71" i="86"/>
  <c r="AZ78" i="86" s="1"/>
  <c r="BW70" i="86"/>
  <c r="BW77" i="86" s="1"/>
  <c r="BV70" i="86"/>
  <c r="BV77" i="86" s="1"/>
  <c r="BU70" i="86"/>
  <c r="BU77" i="86" s="1"/>
  <c r="BT70" i="86"/>
  <c r="BT77" i="86" s="1"/>
  <c r="BS70" i="86"/>
  <c r="BR70" i="86"/>
  <c r="BR77" i="86" s="1"/>
  <c r="BQ70" i="86"/>
  <c r="BQ77" i="86" s="1"/>
  <c r="BP70" i="86"/>
  <c r="BP77" i="86" s="1"/>
  <c r="BO70" i="86"/>
  <c r="BO77" i="86" s="1"/>
  <c r="BN70" i="86"/>
  <c r="BN77" i="86" s="1"/>
  <c r="BM70" i="86"/>
  <c r="BM77" i="86" s="1"/>
  <c r="BL70" i="86"/>
  <c r="BL77" i="86" s="1"/>
  <c r="BK70" i="86"/>
  <c r="BK77" i="86" s="1"/>
  <c r="BJ70" i="86"/>
  <c r="BJ77" i="86" s="1"/>
  <c r="BI70" i="86"/>
  <c r="BI77" i="86" s="1"/>
  <c r="BH70" i="86"/>
  <c r="BH77" i="86" s="1"/>
  <c r="BG70" i="86"/>
  <c r="BG77" i="86" s="1"/>
  <c r="BF70" i="86"/>
  <c r="BF77" i="86" s="1"/>
  <c r="BE70" i="86"/>
  <c r="BE77" i="86" s="1"/>
  <c r="BD70" i="86"/>
  <c r="BD77" i="86" s="1"/>
  <c r="BC70" i="86"/>
  <c r="BC77" i="86" s="1"/>
  <c r="BB70" i="86"/>
  <c r="BB77" i="86" s="1"/>
  <c r="BA70" i="86"/>
  <c r="BA77" i="86" s="1"/>
  <c r="AZ70" i="86"/>
  <c r="AZ77" i="86" s="1"/>
  <c r="BW69" i="86"/>
  <c r="BW76" i="86" s="1"/>
  <c r="BV69" i="86"/>
  <c r="BV76" i="86" s="1"/>
  <c r="BU69" i="86"/>
  <c r="BU76" i="86" s="1"/>
  <c r="BT69" i="86"/>
  <c r="BT76" i="86" s="1"/>
  <c r="BS69" i="86"/>
  <c r="BS76" i="86" s="1"/>
  <c r="BR69" i="86"/>
  <c r="BR76" i="86" s="1"/>
  <c r="BQ69" i="86"/>
  <c r="BQ76" i="86" s="1"/>
  <c r="BP69" i="86"/>
  <c r="BP76" i="86" s="1"/>
  <c r="BO69" i="86"/>
  <c r="BO76" i="86" s="1"/>
  <c r="BN69" i="86"/>
  <c r="BN76" i="86" s="1"/>
  <c r="BM69" i="86"/>
  <c r="BM76" i="86" s="1"/>
  <c r="BL69" i="86"/>
  <c r="BL76" i="86" s="1"/>
  <c r="BK69" i="86"/>
  <c r="BK76" i="86" s="1"/>
  <c r="BJ69" i="86"/>
  <c r="BJ76" i="86" s="1"/>
  <c r="BI69" i="86"/>
  <c r="BI76" i="86" s="1"/>
  <c r="BH69" i="86"/>
  <c r="BH76" i="86" s="1"/>
  <c r="BG69" i="86"/>
  <c r="BG76" i="86" s="1"/>
  <c r="BF69" i="86"/>
  <c r="BF76" i="86" s="1"/>
  <c r="BE69" i="86"/>
  <c r="BE76" i="86" s="1"/>
  <c r="BD69" i="86"/>
  <c r="BD76" i="86" s="1"/>
  <c r="BC69" i="86"/>
  <c r="BC76" i="86" s="1"/>
  <c r="BB69" i="86"/>
  <c r="BB76" i="86" s="1"/>
  <c r="BA69" i="86"/>
  <c r="BA76" i="86" s="1"/>
  <c r="AZ69" i="86"/>
  <c r="AZ76" i="86" s="1"/>
  <c r="BW68" i="86"/>
  <c r="BW75" i="86" s="1"/>
  <c r="BV68" i="86"/>
  <c r="BV75" i="86" s="1"/>
  <c r="BU68" i="86"/>
  <c r="BU75" i="86" s="1"/>
  <c r="BT68" i="86"/>
  <c r="BT75" i="86" s="1"/>
  <c r="BS68" i="86"/>
  <c r="BS75" i="86" s="1"/>
  <c r="BR68" i="86"/>
  <c r="BR75" i="86" s="1"/>
  <c r="BQ68" i="86"/>
  <c r="BQ75" i="86" s="1"/>
  <c r="BP68" i="86"/>
  <c r="BP75" i="86" s="1"/>
  <c r="BO68" i="86"/>
  <c r="BO75" i="86" s="1"/>
  <c r="BN68" i="86"/>
  <c r="BN75" i="86" s="1"/>
  <c r="BM68" i="86"/>
  <c r="BM75" i="86" s="1"/>
  <c r="BL68" i="86"/>
  <c r="BL75" i="86" s="1"/>
  <c r="BK68" i="86"/>
  <c r="BK75" i="86" s="1"/>
  <c r="BJ68" i="86"/>
  <c r="BJ75" i="86" s="1"/>
  <c r="BI68" i="86"/>
  <c r="BI75" i="86" s="1"/>
  <c r="BH68" i="86"/>
  <c r="BH75" i="86" s="1"/>
  <c r="BG68" i="86"/>
  <c r="BG75" i="86" s="1"/>
  <c r="BF68" i="86"/>
  <c r="BF75" i="86" s="1"/>
  <c r="BE68" i="86"/>
  <c r="BE75" i="86" s="1"/>
  <c r="BD68" i="86"/>
  <c r="BD75" i="86" s="1"/>
  <c r="BC68" i="86"/>
  <c r="BC75" i="86" s="1"/>
  <c r="BB68" i="86"/>
  <c r="BB75" i="86" s="1"/>
  <c r="BA68" i="86"/>
  <c r="BA75" i="86" s="1"/>
  <c r="AZ68" i="86"/>
  <c r="BG84" i="86" s="1" a="1"/>
  <c r="BB80" i="81"/>
  <c r="BJ79" i="81"/>
  <c r="BJ78" i="81"/>
  <c r="BW73" i="81"/>
  <c r="BW80" i="81" s="1"/>
  <c r="BV73" i="81"/>
  <c r="BV80" i="81" s="1"/>
  <c r="BU73" i="81"/>
  <c r="BU80" i="81" s="1"/>
  <c r="BT73" i="81"/>
  <c r="BT80" i="81" s="1"/>
  <c r="BS73" i="81"/>
  <c r="BS80" i="81" s="1"/>
  <c r="BR73" i="81"/>
  <c r="BR80" i="81" s="1"/>
  <c r="BQ73" i="81"/>
  <c r="BQ80" i="81" s="1"/>
  <c r="BP73" i="81"/>
  <c r="BP80" i="81" s="1"/>
  <c r="BO73" i="81"/>
  <c r="BO80" i="81" s="1"/>
  <c r="BN73" i="81"/>
  <c r="BN80" i="81" s="1"/>
  <c r="BM73" i="81"/>
  <c r="BM80" i="81" s="1"/>
  <c r="BL73" i="81"/>
  <c r="BL80" i="81" s="1"/>
  <c r="BK73" i="81"/>
  <c r="BK80" i="81" s="1"/>
  <c r="BJ73" i="81"/>
  <c r="BJ80" i="81" s="1"/>
  <c r="BI73" i="81"/>
  <c r="BI80" i="81" s="1"/>
  <c r="BH73" i="81"/>
  <c r="BH80" i="81" s="1"/>
  <c r="BG73" i="81"/>
  <c r="BG80" i="81" s="1"/>
  <c r="BF73" i="81"/>
  <c r="BF80" i="81" s="1"/>
  <c r="BE73" i="81"/>
  <c r="BE80" i="81" s="1"/>
  <c r="BD73" i="81"/>
  <c r="BD80" i="81" s="1"/>
  <c r="BC73" i="81"/>
  <c r="BC80" i="81" s="1"/>
  <c r="BB73" i="81"/>
  <c r="BA73" i="81"/>
  <c r="BA80" i="81" s="1"/>
  <c r="AZ73" i="81"/>
  <c r="AZ80" i="81" s="1"/>
  <c r="BW72" i="81"/>
  <c r="BW79" i="81" s="1"/>
  <c r="BV72" i="81"/>
  <c r="BV79" i="81" s="1"/>
  <c r="BU72" i="81"/>
  <c r="BU79" i="81" s="1"/>
  <c r="BT72" i="81"/>
  <c r="BT79" i="81" s="1"/>
  <c r="BS72" i="81"/>
  <c r="BS79" i="81" s="1"/>
  <c r="BR72" i="81"/>
  <c r="BR79" i="81" s="1"/>
  <c r="BQ72" i="81"/>
  <c r="BQ79" i="81" s="1"/>
  <c r="BP72" i="81"/>
  <c r="BP79" i="81" s="1"/>
  <c r="BO72" i="81"/>
  <c r="BO79" i="81" s="1"/>
  <c r="BN72" i="81"/>
  <c r="BN79" i="81" s="1"/>
  <c r="BM72" i="81"/>
  <c r="BM79" i="81" s="1"/>
  <c r="BL72" i="81"/>
  <c r="BL79" i="81" s="1"/>
  <c r="BK72" i="81"/>
  <c r="BK79" i="81" s="1"/>
  <c r="BJ72" i="81"/>
  <c r="BI72" i="81"/>
  <c r="BI79" i="81" s="1"/>
  <c r="BH72" i="81"/>
  <c r="BH79" i="81" s="1"/>
  <c r="BG72" i="81"/>
  <c r="BG79" i="81" s="1"/>
  <c r="BF72" i="81"/>
  <c r="BF79" i="81" s="1"/>
  <c r="BE72" i="81"/>
  <c r="BE79" i="81" s="1"/>
  <c r="BD72" i="81"/>
  <c r="BD79" i="81" s="1"/>
  <c r="BC72" i="81"/>
  <c r="BC79" i="81" s="1"/>
  <c r="BB72" i="81"/>
  <c r="BB79" i="81" s="1"/>
  <c r="BA72" i="81"/>
  <c r="BA79" i="81" s="1"/>
  <c r="AZ72" i="81"/>
  <c r="AZ79" i="81" s="1"/>
  <c r="BW71" i="81"/>
  <c r="BW78" i="81" s="1"/>
  <c r="BV71" i="81"/>
  <c r="BV78" i="81" s="1"/>
  <c r="BU71" i="81"/>
  <c r="BU78" i="81" s="1"/>
  <c r="BT71" i="81"/>
  <c r="BT78" i="81" s="1"/>
  <c r="BS71" i="81"/>
  <c r="BS78" i="81" s="1"/>
  <c r="BR71" i="81"/>
  <c r="BR78" i="81" s="1"/>
  <c r="BQ71" i="81"/>
  <c r="BQ78" i="81" s="1"/>
  <c r="BP71" i="81"/>
  <c r="BP78" i="81" s="1"/>
  <c r="BO71" i="81"/>
  <c r="BO78" i="81" s="1"/>
  <c r="BN71" i="81"/>
  <c r="BN78" i="81" s="1"/>
  <c r="BM71" i="81"/>
  <c r="BM78" i="81" s="1"/>
  <c r="BL71" i="81"/>
  <c r="BL78" i="81" s="1"/>
  <c r="BK71" i="81"/>
  <c r="BK78" i="81" s="1"/>
  <c r="BJ71" i="81"/>
  <c r="BI71" i="81"/>
  <c r="BI78" i="81" s="1"/>
  <c r="BH71" i="81"/>
  <c r="BH78" i="81" s="1"/>
  <c r="BG71" i="81"/>
  <c r="BG78" i="81" s="1"/>
  <c r="BF71" i="81"/>
  <c r="BF78" i="81" s="1"/>
  <c r="BE71" i="81"/>
  <c r="BE78" i="81" s="1"/>
  <c r="BD71" i="81"/>
  <c r="BD78" i="81" s="1"/>
  <c r="BC71" i="81"/>
  <c r="BC78" i="81" s="1"/>
  <c r="BB71" i="81"/>
  <c r="BB78" i="81" s="1"/>
  <c r="BA71" i="81"/>
  <c r="BA78" i="81" s="1"/>
  <c r="AZ71" i="81"/>
  <c r="AZ78" i="81" s="1"/>
  <c r="BW70" i="81"/>
  <c r="BW77" i="81" s="1"/>
  <c r="BV70" i="81"/>
  <c r="BV77" i="81" s="1"/>
  <c r="BU70" i="81"/>
  <c r="BU77" i="81" s="1"/>
  <c r="BT70" i="81"/>
  <c r="BT77" i="81" s="1"/>
  <c r="BS70" i="81"/>
  <c r="BS77" i="81" s="1"/>
  <c r="BR70" i="81"/>
  <c r="BR77" i="81" s="1"/>
  <c r="BQ70" i="81"/>
  <c r="BQ77" i="81" s="1"/>
  <c r="BP70" i="81"/>
  <c r="BP77" i="81" s="1"/>
  <c r="BO70" i="81"/>
  <c r="BO77" i="81" s="1"/>
  <c r="BN70" i="81"/>
  <c r="BN77" i="81" s="1"/>
  <c r="BM70" i="81"/>
  <c r="BM77" i="81" s="1"/>
  <c r="BL70" i="81"/>
  <c r="BL77" i="81" s="1"/>
  <c r="BK70" i="81"/>
  <c r="BK77" i="81" s="1"/>
  <c r="BJ70" i="81"/>
  <c r="BJ77" i="81" s="1"/>
  <c r="BI70" i="81"/>
  <c r="BI77" i="81" s="1"/>
  <c r="BH70" i="81"/>
  <c r="BH77" i="81" s="1"/>
  <c r="BG70" i="81"/>
  <c r="BG77" i="81" s="1"/>
  <c r="BF70" i="81"/>
  <c r="BF77" i="81" s="1"/>
  <c r="BE70" i="81"/>
  <c r="BE77" i="81" s="1"/>
  <c r="BD70" i="81"/>
  <c r="BD77" i="81" s="1"/>
  <c r="BC70" i="81"/>
  <c r="BC77" i="81" s="1"/>
  <c r="BB70" i="81"/>
  <c r="BB77" i="81" s="1"/>
  <c r="BA70" i="81"/>
  <c r="BA77" i="81" s="1"/>
  <c r="AZ70" i="81"/>
  <c r="AZ77" i="81" s="1"/>
  <c r="BW69" i="81"/>
  <c r="BW76" i="81" s="1"/>
  <c r="BV69" i="81"/>
  <c r="BV76" i="81" s="1"/>
  <c r="BU69" i="81"/>
  <c r="BU76" i="81" s="1"/>
  <c r="BT69" i="81"/>
  <c r="BT76" i="81" s="1"/>
  <c r="BS69" i="81"/>
  <c r="BS76" i="81" s="1"/>
  <c r="BR69" i="81"/>
  <c r="BR76" i="81" s="1"/>
  <c r="BQ69" i="81"/>
  <c r="BQ76" i="81" s="1"/>
  <c r="BP69" i="81"/>
  <c r="BP76" i="81" s="1"/>
  <c r="BO69" i="81"/>
  <c r="BO76" i="81" s="1"/>
  <c r="BN69" i="81"/>
  <c r="BN76" i="81" s="1"/>
  <c r="BM69" i="81"/>
  <c r="BM76" i="81" s="1"/>
  <c r="BL69" i="81"/>
  <c r="BL76" i="81" s="1"/>
  <c r="BK69" i="81"/>
  <c r="BK76" i="81" s="1"/>
  <c r="BJ69" i="81"/>
  <c r="BJ76" i="81" s="1"/>
  <c r="BI69" i="81"/>
  <c r="BI76" i="81" s="1"/>
  <c r="BH69" i="81"/>
  <c r="BH76" i="81" s="1"/>
  <c r="BG69" i="81"/>
  <c r="BG76" i="81" s="1"/>
  <c r="BF69" i="81"/>
  <c r="BF76" i="81" s="1"/>
  <c r="BE69" i="81"/>
  <c r="BE76" i="81" s="1"/>
  <c r="BD69" i="81"/>
  <c r="BD76" i="81" s="1"/>
  <c r="BC69" i="81"/>
  <c r="BC76" i="81" s="1"/>
  <c r="BB69" i="81"/>
  <c r="BB76" i="81" s="1"/>
  <c r="BA69" i="81"/>
  <c r="BA76" i="81" s="1"/>
  <c r="AZ69" i="81"/>
  <c r="AZ76" i="81" s="1"/>
  <c r="BW68" i="81"/>
  <c r="BW75" i="81" s="1"/>
  <c r="BV68" i="81"/>
  <c r="BV75" i="81" s="1"/>
  <c r="BU68" i="81"/>
  <c r="BU75" i="81" s="1"/>
  <c r="BT68" i="81"/>
  <c r="BT75" i="81" s="1"/>
  <c r="BS68" i="81"/>
  <c r="BS75" i="81" s="1"/>
  <c r="BR68" i="81"/>
  <c r="BR75" i="81" s="1"/>
  <c r="BQ68" i="81"/>
  <c r="BQ75" i="81" s="1"/>
  <c r="BP68" i="81"/>
  <c r="BP75" i="81" s="1"/>
  <c r="BO68" i="81"/>
  <c r="BO75" i="81" s="1"/>
  <c r="BN68" i="81"/>
  <c r="BN75" i="81" s="1"/>
  <c r="BM68" i="81"/>
  <c r="BM75" i="81" s="1"/>
  <c r="BL68" i="81"/>
  <c r="BL75" i="81" s="1"/>
  <c r="BK68" i="81"/>
  <c r="BK75" i="81" s="1"/>
  <c r="BJ68" i="81"/>
  <c r="BJ75" i="81" s="1"/>
  <c r="BI68" i="81"/>
  <c r="BI75" i="81" s="1"/>
  <c r="BH68" i="81"/>
  <c r="BH75" i="81" s="1"/>
  <c r="BG68" i="81"/>
  <c r="BG75" i="81" s="1"/>
  <c r="BF68" i="81"/>
  <c r="BF75" i="81" s="1"/>
  <c r="BE68" i="81"/>
  <c r="BE75" i="81" s="1"/>
  <c r="BD68" i="81"/>
  <c r="BD75" i="81" s="1"/>
  <c r="BC68" i="81"/>
  <c r="BC75" i="81" s="1"/>
  <c r="BB68" i="81"/>
  <c r="BB75" i="81" s="1"/>
  <c r="BA68" i="81"/>
  <c r="BA75" i="81" s="1"/>
  <c r="AZ68" i="81"/>
  <c r="BG84" i="81" s="1" a="1"/>
  <c r="BW73" i="74"/>
  <c r="BW80" i="74" s="1"/>
  <c r="BV73" i="74"/>
  <c r="BV80" i="74" s="1"/>
  <c r="BU73" i="74"/>
  <c r="BU80" i="74" s="1"/>
  <c r="BT73" i="74"/>
  <c r="BT80" i="74" s="1"/>
  <c r="BS73" i="74"/>
  <c r="BS80" i="74" s="1"/>
  <c r="BR73" i="74"/>
  <c r="BR80" i="74" s="1"/>
  <c r="BQ73" i="74"/>
  <c r="BQ80" i="74" s="1"/>
  <c r="BP73" i="74"/>
  <c r="BP80" i="74" s="1"/>
  <c r="BO73" i="74"/>
  <c r="BO80" i="74" s="1"/>
  <c r="BN73" i="74"/>
  <c r="BN80" i="74" s="1"/>
  <c r="BM73" i="74"/>
  <c r="BM80" i="74" s="1"/>
  <c r="BL73" i="74"/>
  <c r="BL80" i="74" s="1"/>
  <c r="BK73" i="74"/>
  <c r="BK80" i="74" s="1"/>
  <c r="BJ73" i="74"/>
  <c r="BJ80" i="74" s="1"/>
  <c r="BI73" i="74"/>
  <c r="BI80" i="74" s="1"/>
  <c r="BH73" i="74"/>
  <c r="BH80" i="74" s="1"/>
  <c r="BG73" i="74"/>
  <c r="BG80" i="74" s="1"/>
  <c r="BF73" i="74"/>
  <c r="BF80" i="74" s="1"/>
  <c r="BE73" i="74"/>
  <c r="BE80" i="74" s="1"/>
  <c r="BD73" i="74"/>
  <c r="BD80" i="74" s="1"/>
  <c r="BC73" i="74"/>
  <c r="BC80" i="74" s="1"/>
  <c r="BB73" i="74"/>
  <c r="BB80" i="74" s="1"/>
  <c r="BA73" i="74"/>
  <c r="BA80" i="74" s="1"/>
  <c r="AZ73" i="74"/>
  <c r="AZ80" i="74" s="1"/>
  <c r="BW72" i="74"/>
  <c r="BW79" i="74" s="1"/>
  <c r="BV72" i="74"/>
  <c r="BV79" i="74" s="1"/>
  <c r="BU72" i="74"/>
  <c r="BU79" i="74" s="1"/>
  <c r="BT72" i="74"/>
  <c r="BT79" i="74" s="1"/>
  <c r="BS72" i="74"/>
  <c r="BS79" i="74" s="1"/>
  <c r="BR72" i="74"/>
  <c r="BR79" i="74" s="1"/>
  <c r="BQ72" i="74"/>
  <c r="BQ79" i="74" s="1"/>
  <c r="BP72" i="74"/>
  <c r="BP79" i="74" s="1"/>
  <c r="BO72" i="74"/>
  <c r="BO79" i="74" s="1"/>
  <c r="BN72" i="74"/>
  <c r="BN79" i="74" s="1"/>
  <c r="BM72" i="74"/>
  <c r="BM79" i="74" s="1"/>
  <c r="BL72" i="74"/>
  <c r="BL79" i="74" s="1"/>
  <c r="BK72" i="74"/>
  <c r="BK79" i="74" s="1"/>
  <c r="BJ72" i="74"/>
  <c r="BJ79" i="74" s="1"/>
  <c r="BI72" i="74"/>
  <c r="BI79" i="74" s="1"/>
  <c r="BH72" i="74"/>
  <c r="BH79" i="74" s="1"/>
  <c r="BG72" i="74"/>
  <c r="BG79" i="74" s="1"/>
  <c r="BF72" i="74"/>
  <c r="BF79" i="74" s="1"/>
  <c r="BE72" i="74"/>
  <c r="BE79" i="74" s="1"/>
  <c r="BD72" i="74"/>
  <c r="BD79" i="74" s="1"/>
  <c r="BC72" i="74"/>
  <c r="BC79" i="74" s="1"/>
  <c r="BB72" i="74"/>
  <c r="BB79" i="74" s="1"/>
  <c r="BA72" i="74"/>
  <c r="BA79" i="74" s="1"/>
  <c r="AZ72" i="74"/>
  <c r="AZ79" i="74" s="1"/>
  <c r="BW71" i="74"/>
  <c r="BW78" i="74" s="1"/>
  <c r="BV71" i="74"/>
  <c r="BV78" i="74" s="1"/>
  <c r="BU71" i="74"/>
  <c r="BU78" i="74" s="1"/>
  <c r="BT71" i="74"/>
  <c r="BT78" i="74" s="1"/>
  <c r="BS71" i="74"/>
  <c r="BS78" i="74" s="1"/>
  <c r="BR71" i="74"/>
  <c r="BR78" i="74" s="1"/>
  <c r="BQ71" i="74"/>
  <c r="BQ78" i="74" s="1"/>
  <c r="BP71" i="74"/>
  <c r="BP78" i="74" s="1"/>
  <c r="BO71" i="74"/>
  <c r="BO78" i="74" s="1"/>
  <c r="BN71" i="74"/>
  <c r="BN78" i="74" s="1"/>
  <c r="BM71" i="74"/>
  <c r="BM78" i="74" s="1"/>
  <c r="BL71" i="74"/>
  <c r="BL78" i="74" s="1"/>
  <c r="BK71" i="74"/>
  <c r="BK78" i="74" s="1"/>
  <c r="BJ71" i="74"/>
  <c r="BJ78" i="74" s="1"/>
  <c r="BI71" i="74"/>
  <c r="BI78" i="74" s="1"/>
  <c r="BH71" i="74"/>
  <c r="BH78" i="74" s="1"/>
  <c r="BG71" i="74"/>
  <c r="BG78" i="74" s="1"/>
  <c r="BF71" i="74"/>
  <c r="BF78" i="74" s="1"/>
  <c r="BE71" i="74"/>
  <c r="BE78" i="74" s="1"/>
  <c r="BD71" i="74"/>
  <c r="BD78" i="74" s="1"/>
  <c r="BC71" i="74"/>
  <c r="BC78" i="74" s="1"/>
  <c r="BB71" i="74"/>
  <c r="BB78" i="74" s="1"/>
  <c r="BA71" i="74"/>
  <c r="BA78" i="74" s="1"/>
  <c r="AZ71" i="74"/>
  <c r="AZ78" i="74" s="1"/>
  <c r="BW70" i="74"/>
  <c r="BW77" i="74" s="1"/>
  <c r="BV70" i="74"/>
  <c r="BV77" i="74" s="1"/>
  <c r="BU70" i="74"/>
  <c r="BU77" i="74" s="1"/>
  <c r="BT70" i="74"/>
  <c r="BT77" i="74" s="1"/>
  <c r="BS70" i="74"/>
  <c r="BS77" i="74" s="1"/>
  <c r="BR70" i="74"/>
  <c r="BR77" i="74" s="1"/>
  <c r="BQ70" i="74"/>
  <c r="BQ77" i="74" s="1"/>
  <c r="BP70" i="74"/>
  <c r="BP77" i="74" s="1"/>
  <c r="BO70" i="74"/>
  <c r="BO77" i="74" s="1"/>
  <c r="BN70" i="74"/>
  <c r="BN77" i="74" s="1"/>
  <c r="BM70" i="74"/>
  <c r="BM77" i="74" s="1"/>
  <c r="BL70" i="74"/>
  <c r="BL77" i="74" s="1"/>
  <c r="BK70" i="74"/>
  <c r="BK77" i="74" s="1"/>
  <c r="BJ70" i="74"/>
  <c r="BJ77" i="74" s="1"/>
  <c r="BI70" i="74"/>
  <c r="BI77" i="74" s="1"/>
  <c r="BH70" i="74"/>
  <c r="BH77" i="74" s="1"/>
  <c r="BG70" i="74"/>
  <c r="BG77" i="74" s="1"/>
  <c r="BF70" i="74"/>
  <c r="BF77" i="74" s="1"/>
  <c r="BE70" i="74"/>
  <c r="BE77" i="74" s="1"/>
  <c r="BD70" i="74"/>
  <c r="BD77" i="74" s="1"/>
  <c r="BC70" i="74"/>
  <c r="BC77" i="74" s="1"/>
  <c r="BB70" i="74"/>
  <c r="BB77" i="74" s="1"/>
  <c r="BA70" i="74"/>
  <c r="BA77" i="74" s="1"/>
  <c r="AZ70" i="74"/>
  <c r="AZ77" i="74" s="1"/>
  <c r="BW69" i="74"/>
  <c r="BW76" i="74" s="1"/>
  <c r="BV69" i="74"/>
  <c r="BV76" i="74" s="1"/>
  <c r="BU69" i="74"/>
  <c r="BU76" i="74" s="1"/>
  <c r="BT69" i="74"/>
  <c r="BT76" i="74" s="1"/>
  <c r="BS69" i="74"/>
  <c r="BS76" i="74" s="1"/>
  <c r="BR69" i="74"/>
  <c r="BR76" i="74" s="1"/>
  <c r="BQ69" i="74"/>
  <c r="BQ76" i="74" s="1"/>
  <c r="BP69" i="74"/>
  <c r="BP76" i="74" s="1"/>
  <c r="BO69" i="74"/>
  <c r="BO76" i="74" s="1"/>
  <c r="BN69" i="74"/>
  <c r="BN76" i="74" s="1"/>
  <c r="BM69" i="74"/>
  <c r="BM76" i="74" s="1"/>
  <c r="BL69" i="74"/>
  <c r="BL76" i="74" s="1"/>
  <c r="BK69" i="74"/>
  <c r="BK76" i="74" s="1"/>
  <c r="BJ69" i="74"/>
  <c r="BJ76" i="74" s="1"/>
  <c r="BI69" i="74"/>
  <c r="BI76" i="74" s="1"/>
  <c r="BH69" i="74"/>
  <c r="BH76" i="74" s="1"/>
  <c r="BG69" i="74"/>
  <c r="BG76" i="74" s="1"/>
  <c r="BF69" i="74"/>
  <c r="BF76" i="74" s="1"/>
  <c r="BE69" i="74"/>
  <c r="BE76" i="74" s="1"/>
  <c r="BD69" i="74"/>
  <c r="BD76" i="74" s="1"/>
  <c r="BC69" i="74"/>
  <c r="BC76" i="74" s="1"/>
  <c r="BB69" i="74"/>
  <c r="BB76" i="74" s="1"/>
  <c r="BA69" i="74"/>
  <c r="BA76" i="74" s="1"/>
  <c r="AZ69" i="74"/>
  <c r="AZ76" i="74" s="1"/>
  <c r="BW68" i="74"/>
  <c r="BW75" i="74" s="1"/>
  <c r="BV68" i="74"/>
  <c r="BV75" i="74" s="1"/>
  <c r="BU68" i="74"/>
  <c r="BU75" i="74" s="1"/>
  <c r="BT68" i="74"/>
  <c r="BT75" i="74" s="1"/>
  <c r="BS68" i="74"/>
  <c r="BS75" i="74" s="1"/>
  <c r="BR68" i="74"/>
  <c r="BR75" i="74" s="1"/>
  <c r="BQ68" i="74"/>
  <c r="BQ75" i="74" s="1"/>
  <c r="BP68" i="74"/>
  <c r="BP75" i="74" s="1"/>
  <c r="BO68" i="74"/>
  <c r="BO75" i="74" s="1"/>
  <c r="BN68" i="74"/>
  <c r="BN75" i="74" s="1"/>
  <c r="BM68" i="74"/>
  <c r="BM75" i="74" s="1"/>
  <c r="BL68" i="74"/>
  <c r="BL75" i="74" s="1"/>
  <c r="BK68" i="74"/>
  <c r="BK75" i="74" s="1"/>
  <c r="BJ68" i="74"/>
  <c r="BJ75" i="74" s="1"/>
  <c r="BI68" i="74"/>
  <c r="BI75" i="74" s="1"/>
  <c r="BH68" i="74"/>
  <c r="BH75" i="74" s="1"/>
  <c r="BG68" i="74"/>
  <c r="BG75" i="74" s="1"/>
  <c r="BF68" i="74"/>
  <c r="BF75" i="74" s="1"/>
  <c r="BE68" i="74"/>
  <c r="BE75" i="74" s="1"/>
  <c r="BD68" i="74"/>
  <c r="BD75" i="74" s="1"/>
  <c r="BC68" i="74"/>
  <c r="BC75" i="74" s="1"/>
  <c r="BB68" i="74"/>
  <c r="BB75" i="74" s="1"/>
  <c r="BA68" i="74"/>
  <c r="BA75" i="74" s="1"/>
  <c r="AZ68" i="74"/>
  <c r="BG84" i="74" s="1" a="1"/>
  <c r="Z123" i="90"/>
  <c r="Z118" i="90"/>
  <c r="Z105" i="90"/>
  <c r="Z104" i="90"/>
  <c r="Z103" i="90"/>
  <c r="Z102" i="90"/>
  <c r="Z101" i="90"/>
  <c r="Z92" i="90"/>
  <c r="Z108" i="90" s="1"/>
  <c r="Z80" i="90"/>
  <c r="Z76" i="90"/>
  <c r="Z62" i="90"/>
  <c r="Z58" i="90"/>
  <c r="Z57" i="90"/>
  <c r="Y123" i="90"/>
  <c r="Y57" i="90"/>
  <c r="Y58" i="90"/>
  <c r="Y62" i="90"/>
  <c r="Y76" i="90"/>
  <c r="Y80" i="90"/>
  <c r="Y92" i="90"/>
  <c r="Y101" i="90"/>
  <c r="Y102" i="90"/>
  <c r="Y103" i="90"/>
  <c r="Y104" i="90"/>
  <c r="Y105" i="90"/>
  <c r="Y118" i="90"/>
  <c r="X123" i="90"/>
  <c r="X57" i="90"/>
  <c r="X58" i="90"/>
  <c r="X62" i="90"/>
  <c r="X76" i="90"/>
  <c r="X80" i="90"/>
  <c r="X92" i="90"/>
  <c r="X101" i="90"/>
  <c r="X102" i="90"/>
  <c r="X103" i="90"/>
  <c r="X104" i="90"/>
  <c r="X105" i="90"/>
  <c r="X118" i="90"/>
  <c r="W123" i="90"/>
  <c r="W57" i="90"/>
  <c r="W58" i="90"/>
  <c r="W62" i="90"/>
  <c r="W76" i="90"/>
  <c r="W80" i="90"/>
  <c r="W92" i="90"/>
  <c r="W101" i="90"/>
  <c r="W102" i="90"/>
  <c r="W103" i="90"/>
  <c r="W104" i="90"/>
  <c r="W105" i="90"/>
  <c r="W118" i="90"/>
  <c r="BW73" i="69"/>
  <c r="BW80" i="69" s="1"/>
  <c r="BV73" i="69"/>
  <c r="BV80" i="69" s="1"/>
  <c r="BU73" i="69"/>
  <c r="BU80" i="69" s="1"/>
  <c r="BT73" i="69"/>
  <c r="BT80" i="69" s="1"/>
  <c r="BS73" i="69"/>
  <c r="BS80" i="69" s="1"/>
  <c r="BR73" i="69"/>
  <c r="BR80" i="69" s="1"/>
  <c r="BQ73" i="69"/>
  <c r="BQ80" i="69" s="1"/>
  <c r="BP73" i="69"/>
  <c r="BP80" i="69" s="1"/>
  <c r="BO73" i="69"/>
  <c r="BO80" i="69" s="1"/>
  <c r="BN73" i="69"/>
  <c r="BN80" i="69" s="1"/>
  <c r="BM73" i="69"/>
  <c r="BM80" i="69" s="1"/>
  <c r="BL73" i="69"/>
  <c r="BL80" i="69" s="1"/>
  <c r="BK73" i="69"/>
  <c r="BK80" i="69" s="1"/>
  <c r="BJ73" i="69"/>
  <c r="BJ80" i="69" s="1"/>
  <c r="BI73" i="69"/>
  <c r="BI80" i="69" s="1"/>
  <c r="BH73" i="69"/>
  <c r="BH80" i="69" s="1"/>
  <c r="BG73" i="69"/>
  <c r="BG80" i="69" s="1"/>
  <c r="BF73" i="69"/>
  <c r="BF80" i="69" s="1"/>
  <c r="BE73" i="69"/>
  <c r="BE80" i="69" s="1"/>
  <c r="BD73" i="69"/>
  <c r="BD80" i="69" s="1"/>
  <c r="BC73" i="69"/>
  <c r="BC80" i="69" s="1"/>
  <c r="BB73" i="69"/>
  <c r="BB80" i="69" s="1"/>
  <c r="BA73" i="69"/>
  <c r="BA80" i="69" s="1"/>
  <c r="AZ73" i="69"/>
  <c r="AZ80" i="69" s="1"/>
  <c r="BW72" i="69"/>
  <c r="BW79" i="69" s="1"/>
  <c r="BV72" i="69"/>
  <c r="BV79" i="69" s="1"/>
  <c r="BU72" i="69"/>
  <c r="BU79" i="69" s="1"/>
  <c r="BT72" i="69"/>
  <c r="BT79" i="69" s="1"/>
  <c r="BS72" i="69"/>
  <c r="BS79" i="69" s="1"/>
  <c r="BR72" i="69"/>
  <c r="BR79" i="69" s="1"/>
  <c r="BQ72" i="69"/>
  <c r="BQ79" i="69" s="1"/>
  <c r="BP72" i="69"/>
  <c r="BP79" i="69" s="1"/>
  <c r="BO72" i="69"/>
  <c r="BO79" i="69" s="1"/>
  <c r="BN72" i="69"/>
  <c r="BN79" i="69" s="1"/>
  <c r="BM72" i="69"/>
  <c r="BM79" i="69" s="1"/>
  <c r="BL72" i="69"/>
  <c r="BL79" i="69" s="1"/>
  <c r="BK72" i="69"/>
  <c r="BK79" i="69" s="1"/>
  <c r="BJ72" i="69"/>
  <c r="BJ79" i="69" s="1"/>
  <c r="BI72" i="69"/>
  <c r="BI79" i="69" s="1"/>
  <c r="BH72" i="69"/>
  <c r="BH79" i="69" s="1"/>
  <c r="BG72" i="69"/>
  <c r="BG79" i="69" s="1"/>
  <c r="BF72" i="69"/>
  <c r="BF79" i="69" s="1"/>
  <c r="BE72" i="69"/>
  <c r="BE79" i="69" s="1"/>
  <c r="BD72" i="69"/>
  <c r="BD79" i="69" s="1"/>
  <c r="BC72" i="69"/>
  <c r="BC79" i="69" s="1"/>
  <c r="BB72" i="69"/>
  <c r="BB79" i="69" s="1"/>
  <c r="BA72" i="69"/>
  <c r="BA79" i="69" s="1"/>
  <c r="AZ72" i="69"/>
  <c r="AZ79" i="69" s="1"/>
  <c r="BW71" i="69"/>
  <c r="BW78" i="69" s="1"/>
  <c r="BV71" i="69"/>
  <c r="BV78" i="69" s="1"/>
  <c r="BU71" i="69"/>
  <c r="BU78" i="69" s="1"/>
  <c r="BT71" i="69"/>
  <c r="BT78" i="69" s="1"/>
  <c r="BS71" i="69"/>
  <c r="BS78" i="69" s="1"/>
  <c r="BR71" i="69"/>
  <c r="BR78" i="69" s="1"/>
  <c r="BQ71" i="69"/>
  <c r="BQ78" i="69" s="1"/>
  <c r="BP71" i="69"/>
  <c r="BP78" i="69" s="1"/>
  <c r="BO71" i="69"/>
  <c r="BO78" i="69" s="1"/>
  <c r="BN71" i="69"/>
  <c r="BN78" i="69" s="1"/>
  <c r="BM71" i="69"/>
  <c r="BM78" i="69" s="1"/>
  <c r="BL71" i="69"/>
  <c r="BL78" i="69" s="1"/>
  <c r="BK71" i="69"/>
  <c r="BK78" i="69" s="1"/>
  <c r="BJ71" i="69"/>
  <c r="BJ78" i="69" s="1"/>
  <c r="BI71" i="69"/>
  <c r="BI78" i="69" s="1"/>
  <c r="BH71" i="69"/>
  <c r="BH78" i="69" s="1"/>
  <c r="BG71" i="69"/>
  <c r="BG78" i="69" s="1"/>
  <c r="BF71" i="69"/>
  <c r="BF78" i="69" s="1"/>
  <c r="BE71" i="69"/>
  <c r="BE78" i="69" s="1"/>
  <c r="BD71" i="69"/>
  <c r="BD78" i="69" s="1"/>
  <c r="BC71" i="69"/>
  <c r="BC78" i="69" s="1"/>
  <c r="BB71" i="69"/>
  <c r="BB78" i="69" s="1"/>
  <c r="BA71" i="69"/>
  <c r="BA78" i="69" s="1"/>
  <c r="AZ71" i="69"/>
  <c r="AZ78" i="69" s="1"/>
  <c r="BW70" i="69"/>
  <c r="BW77" i="69" s="1"/>
  <c r="BV70" i="69"/>
  <c r="BV77" i="69" s="1"/>
  <c r="BU70" i="69"/>
  <c r="BU77" i="69" s="1"/>
  <c r="BT70" i="69"/>
  <c r="BT77" i="69" s="1"/>
  <c r="BS70" i="69"/>
  <c r="BS77" i="69" s="1"/>
  <c r="BR70" i="69"/>
  <c r="BR77" i="69" s="1"/>
  <c r="BQ70" i="69"/>
  <c r="BQ77" i="69" s="1"/>
  <c r="BP70" i="69"/>
  <c r="BP77" i="69" s="1"/>
  <c r="BO70" i="69"/>
  <c r="BO77" i="69" s="1"/>
  <c r="BN70" i="69"/>
  <c r="BN77" i="69" s="1"/>
  <c r="BM70" i="69"/>
  <c r="BM77" i="69" s="1"/>
  <c r="BL70" i="69"/>
  <c r="BL77" i="69" s="1"/>
  <c r="BK70" i="69"/>
  <c r="BK77" i="69" s="1"/>
  <c r="BJ70" i="69"/>
  <c r="BJ77" i="69" s="1"/>
  <c r="BI70" i="69"/>
  <c r="BI77" i="69" s="1"/>
  <c r="BH70" i="69"/>
  <c r="BH77" i="69" s="1"/>
  <c r="BG70" i="69"/>
  <c r="BG77" i="69" s="1"/>
  <c r="BF70" i="69"/>
  <c r="BF77" i="69" s="1"/>
  <c r="BE70" i="69"/>
  <c r="BE77" i="69" s="1"/>
  <c r="BD70" i="69"/>
  <c r="BD77" i="69" s="1"/>
  <c r="BC70" i="69"/>
  <c r="BC77" i="69" s="1"/>
  <c r="BB70" i="69"/>
  <c r="BB77" i="69" s="1"/>
  <c r="BA70" i="69"/>
  <c r="BA77" i="69" s="1"/>
  <c r="AZ70" i="69"/>
  <c r="AZ77" i="69" s="1"/>
  <c r="BW69" i="69"/>
  <c r="BW76" i="69" s="1"/>
  <c r="BV69" i="69"/>
  <c r="BV76" i="69" s="1"/>
  <c r="BU69" i="69"/>
  <c r="BU76" i="69" s="1"/>
  <c r="BT69" i="69"/>
  <c r="BT76" i="69" s="1"/>
  <c r="BS69" i="69"/>
  <c r="BS76" i="69" s="1"/>
  <c r="BR69" i="69"/>
  <c r="BR76" i="69" s="1"/>
  <c r="BQ69" i="69"/>
  <c r="BQ76" i="69" s="1"/>
  <c r="BP69" i="69"/>
  <c r="BP76" i="69" s="1"/>
  <c r="BO69" i="69"/>
  <c r="BO76" i="69" s="1"/>
  <c r="BN69" i="69"/>
  <c r="BN76" i="69" s="1"/>
  <c r="BM69" i="69"/>
  <c r="BM76" i="69" s="1"/>
  <c r="BL69" i="69"/>
  <c r="BL76" i="69" s="1"/>
  <c r="BK69" i="69"/>
  <c r="BK76" i="69" s="1"/>
  <c r="BJ69" i="69"/>
  <c r="BJ76" i="69" s="1"/>
  <c r="BI69" i="69"/>
  <c r="BI76" i="69" s="1"/>
  <c r="BH69" i="69"/>
  <c r="BH76" i="69" s="1"/>
  <c r="BG69" i="69"/>
  <c r="BG76" i="69" s="1"/>
  <c r="BF69" i="69"/>
  <c r="BF76" i="69" s="1"/>
  <c r="BE69" i="69"/>
  <c r="BE76" i="69" s="1"/>
  <c r="BD69" i="69"/>
  <c r="BD76" i="69" s="1"/>
  <c r="BC69" i="69"/>
  <c r="BC76" i="69" s="1"/>
  <c r="BB69" i="69"/>
  <c r="BB76" i="69" s="1"/>
  <c r="BA69" i="69"/>
  <c r="BA76" i="69" s="1"/>
  <c r="AZ69" i="69"/>
  <c r="AZ76" i="69" s="1"/>
  <c r="BW68" i="69"/>
  <c r="BW75" i="69" s="1"/>
  <c r="BV68" i="69"/>
  <c r="BV75" i="69" s="1"/>
  <c r="BU68" i="69"/>
  <c r="BU75" i="69" s="1"/>
  <c r="BT68" i="69"/>
  <c r="BT75" i="69" s="1"/>
  <c r="BS68" i="69"/>
  <c r="BS75" i="69" s="1"/>
  <c r="BR68" i="69"/>
  <c r="BR75" i="69" s="1"/>
  <c r="BQ68" i="69"/>
  <c r="BQ75" i="69" s="1"/>
  <c r="BP68" i="69"/>
  <c r="BP75" i="69" s="1"/>
  <c r="BO68" i="69"/>
  <c r="BO75" i="69" s="1"/>
  <c r="BN68" i="69"/>
  <c r="BN75" i="69" s="1"/>
  <c r="BM68" i="69"/>
  <c r="BM75" i="69" s="1"/>
  <c r="BL68" i="69"/>
  <c r="BL75" i="69" s="1"/>
  <c r="BK68" i="69"/>
  <c r="BK75" i="69" s="1"/>
  <c r="BJ68" i="69"/>
  <c r="BJ75" i="69" s="1"/>
  <c r="BI68" i="69"/>
  <c r="BI75" i="69" s="1"/>
  <c r="BH68" i="69"/>
  <c r="BH75" i="69" s="1"/>
  <c r="BG68" i="69"/>
  <c r="BG75" i="69" s="1"/>
  <c r="BF68" i="69"/>
  <c r="BF75" i="69" s="1"/>
  <c r="BE68" i="69"/>
  <c r="BE75" i="69" s="1"/>
  <c r="BD68" i="69"/>
  <c r="BD75" i="69" s="1"/>
  <c r="BC68" i="69"/>
  <c r="BC75" i="69" s="1"/>
  <c r="BB68" i="69"/>
  <c r="BB75" i="69" s="1"/>
  <c r="BA68" i="69"/>
  <c r="BA75" i="69" s="1"/>
  <c r="AZ68" i="69"/>
  <c r="Q118" i="92" l="1"/>
  <c r="R246" i="92"/>
  <c r="Q252" i="92"/>
  <c r="L252" i="91"/>
  <c r="L118" i="91"/>
  <c r="M246" i="91"/>
  <c r="AA97" i="90"/>
  <c r="AA99" i="90" s="1"/>
  <c r="AA100" i="90" s="1"/>
  <c r="BL107" i="86"/>
  <c r="BJ106" i="86"/>
  <c r="BH105" i="86"/>
  <c r="BL103" i="86"/>
  <c r="BJ102" i="86"/>
  <c r="BH101" i="86"/>
  <c r="BL99" i="86"/>
  <c r="BJ98" i="86"/>
  <c r="BH97" i="86"/>
  <c r="BL95" i="86"/>
  <c r="BJ94" i="86"/>
  <c r="BH93" i="86"/>
  <c r="BL91" i="86"/>
  <c r="BJ90" i="86"/>
  <c r="BH89" i="86"/>
  <c r="BL87" i="86"/>
  <c r="BJ86" i="86"/>
  <c r="BH85" i="86"/>
  <c r="BL105" i="86"/>
  <c r="BL101" i="86"/>
  <c r="BL97" i="86"/>
  <c r="BH95" i="86"/>
  <c r="BL89" i="86"/>
  <c r="BH87" i="86"/>
  <c r="BJ84" i="86"/>
  <c r="BK105" i="86"/>
  <c r="BI96" i="86"/>
  <c r="BG91" i="86"/>
  <c r="BK85" i="86"/>
  <c r="BH104" i="86"/>
  <c r="BH92" i="86"/>
  <c r="BH84" i="86"/>
  <c r="BK106" i="86"/>
  <c r="BG100" i="86"/>
  <c r="BI97" i="86"/>
  <c r="BK94" i="86"/>
  <c r="BG92" i="86"/>
  <c r="BK90" i="86"/>
  <c r="BG88" i="86"/>
  <c r="BI85" i="86"/>
  <c r="BK107" i="86"/>
  <c r="BI106" i="86"/>
  <c r="BG105" i="86"/>
  <c r="BK103" i="86"/>
  <c r="BI102" i="86"/>
  <c r="BG101" i="86"/>
  <c r="BK99" i="86"/>
  <c r="BI98" i="86"/>
  <c r="BG97" i="86"/>
  <c r="BK95" i="86"/>
  <c r="BI94" i="86"/>
  <c r="BG93" i="86"/>
  <c r="BK91" i="86"/>
  <c r="BI90" i="86"/>
  <c r="BG89" i="86"/>
  <c r="BK87" i="86"/>
  <c r="BI86" i="86"/>
  <c r="BG85" i="86"/>
  <c r="BL93" i="86"/>
  <c r="BI101" i="86"/>
  <c r="BJ107" i="86"/>
  <c r="BH106" i="86"/>
  <c r="BL104" i="86"/>
  <c r="BJ103" i="86"/>
  <c r="BH102" i="86"/>
  <c r="BL100" i="86"/>
  <c r="BJ99" i="86"/>
  <c r="BH98" i="86"/>
  <c r="BL96" i="86"/>
  <c r="BJ95" i="86"/>
  <c r="BH94" i="86"/>
  <c r="BL92" i="86"/>
  <c r="BJ91" i="86"/>
  <c r="BH90" i="86"/>
  <c r="BL88" i="86"/>
  <c r="BJ87" i="86"/>
  <c r="BH86" i="86"/>
  <c r="BL84" i="86"/>
  <c r="BH107" i="86"/>
  <c r="BJ100" i="86"/>
  <c r="BJ96" i="86"/>
  <c r="BH91" i="86"/>
  <c r="BJ88" i="86"/>
  <c r="BL85" i="86"/>
  <c r="BG103" i="86"/>
  <c r="BG87" i="86"/>
  <c r="BJ105" i="86"/>
  <c r="BH88" i="86"/>
  <c r="BI105" i="86"/>
  <c r="BK98" i="86"/>
  <c r="BG96" i="86"/>
  <c r="BI93" i="86"/>
  <c r="BI89" i="86"/>
  <c r="BK86" i="86"/>
  <c r="BG84" i="86"/>
  <c r="BI107" i="86"/>
  <c r="BG106" i="86"/>
  <c r="BK104" i="86"/>
  <c r="BI103" i="86"/>
  <c r="BG102" i="86"/>
  <c r="BK100" i="86"/>
  <c r="BI99" i="86"/>
  <c r="BG98" i="86"/>
  <c r="BK96" i="86"/>
  <c r="BI95" i="86"/>
  <c r="BG94" i="86"/>
  <c r="BK92" i="86"/>
  <c r="BI91" i="86"/>
  <c r="BG90" i="86"/>
  <c r="BK88" i="86"/>
  <c r="BI87" i="86"/>
  <c r="BG86" i="86"/>
  <c r="BK84" i="86"/>
  <c r="BH103" i="86"/>
  <c r="BI104" i="86"/>
  <c r="BK93" i="86"/>
  <c r="BI88" i="86"/>
  <c r="BL102" i="86"/>
  <c r="BJ101" i="86"/>
  <c r="BL98" i="86"/>
  <c r="BH96" i="86"/>
  <c r="BJ93" i="86"/>
  <c r="BJ89" i="86"/>
  <c r="BL86" i="86"/>
  <c r="BK102" i="86"/>
  <c r="BJ104" i="86"/>
  <c r="BH99" i="86"/>
  <c r="BJ92" i="86"/>
  <c r="BK101" i="86"/>
  <c r="BK97" i="86"/>
  <c r="BG95" i="86"/>
  <c r="BK89" i="86"/>
  <c r="BI84" i="86"/>
  <c r="BL106" i="86"/>
  <c r="BH100" i="86"/>
  <c r="BJ97" i="86"/>
  <c r="BL94" i="86"/>
  <c r="BL90" i="86"/>
  <c r="BJ85" i="86"/>
  <c r="BG104" i="86"/>
  <c r="BG107" i="86"/>
  <c r="BI100" i="86"/>
  <c r="BG99" i="86"/>
  <c r="BI92" i="86"/>
  <c r="AZ75" i="86"/>
  <c r="BL107" i="81"/>
  <c r="BJ106" i="81"/>
  <c r="BH105" i="81"/>
  <c r="BL103" i="81"/>
  <c r="BJ102" i="81"/>
  <c r="BH101" i="81"/>
  <c r="BL99" i="81"/>
  <c r="BJ98" i="81"/>
  <c r="BH97" i="81"/>
  <c r="BL95" i="81"/>
  <c r="BJ94" i="81"/>
  <c r="BH93" i="81"/>
  <c r="BL91" i="81"/>
  <c r="BJ90" i="81"/>
  <c r="BH89" i="81"/>
  <c r="BL87" i="81"/>
  <c r="BJ86" i="81"/>
  <c r="BH85" i="81"/>
  <c r="BK107" i="81"/>
  <c r="BI106" i="81"/>
  <c r="BG105" i="81"/>
  <c r="BK103" i="81"/>
  <c r="BI102" i="81"/>
  <c r="BG101" i="81"/>
  <c r="BK99" i="81"/>
  <c r="BI98" i="81"/>
  <c r="BG97" i="81"/>
  <c r="BK95" i="81"/>
  <c r="BI94" i="81"/>
  <c r="BG93" i="81"/>
  <c r="BK91" i="81"/>
  <c r="BI90" i="81"/>
  <c r="BG89" i="81"/>
  <c r="BK87" i="81"/>
  <c r="BI86" i="81"/>
  <c r="BG85" i="81"/>
  <c r="BJ107" i="81"/>
  <c r="BH106" i="81"/>
  <c r="BL104" i="81"/>
  <c r="BJ103" i="81"/>
  <c r="BH102" i="81"/>
  <c r="BL100" i="81"/>
  <c r="BJ99" i="81"/>
  <c r="BH98" i="81"/>
  <c r="BL96" i="81"/>
  <c r="BJ95" i="81"/>
  <c r="BH94" i="81"/>
  <c r="BL92" i="81"/>
  <c r="BJ91" i="81"/>
  <c r="BH90" i="81"/>
  <c r="BL88" i="81"/>
  <c r="BJ87" i="81"/>
  <c r="BH86" i="81"/>
  <c r="BL84" i="81"/>
  <c r="BI107" i="81"/>
  <c r="BG106" i="81"/>
  <c r="BK104" i="81"/>
  <c r="BI103" i="81"/>
  <c r="BG102" i="81"/>
  <c r="BK100" i="81"/>
  <c r="BI99" i="81"/>
  <c r="BG98" i="81"/>
  <c r="BK96" i="81"/>
  <c r="BI95" i="81"/>
  <c r="BG94" i="81"/>
  <c r="BK92" i="81"/>
  <c r="BI91" i="81"/>
  <c r="BG90" i="81"/>
  <c r="BK88" i="81"/>
  <c r="BI87" i="81"/>
  <c r="BG86" i="81"/>
  <c r="BK84" i="81"/>
  <c r="BH107" i="81"/>
  <c r="BL105" i="81"/>
  <c r="BJ104" i="81"/>
  <c r="BH103" i="81"/>
  <c r="BL101" i="81"/>
  <c r="BJ100" i="81"/>
  <c r="BH99" i="81"/>
  <c r="BL97" i="81"/>
  <c r="BJ96" i="81"/>
  <c r="BH95" i="81"/>
  <c r="BL93" i="81"/>
  <c r="BJ92" i="81"/>
  <c r="BH91" i="81"/>
  <c r="BL89" i="81"/>
  <c r="BJ88" i="81"/>
  <c r="BH87" i="81"/>
  <c r="BL85" i="81"/>
  <c r="BJ84" i="81"/>
  <c r="BJ105" i="81"/>
  <c r="BH96" i="81"/>
  <c r="BH92" i="81"/>
  <c r="BJ89" i="81"/>
  <c r="BL86" i="81"/>
  <c r="BH84" i="81"/>
  <c r="BG107" i="81"/>
  <c r="BK105" i="81"/>
  <c r="BI104" i="81"/>
  <c r="BG103" i="81"/>
  <c r="BK101" i="81"/>
  <c r="BI100" i="81"/>
  <c r="BG99" i="81"/>
  <c r="BK97" i="81"/>
  <c r="BI96" i="81"/>
  <c r="BG95" i="81"/>
  <c r="BK93" i="81"/>
  <c r="BI92" i="81"/>
  <c r="BG91" i="81"/>
  <c r="BK89" i="81"/>
  <c r="BI88" i="81"/>
  <c r="BG87" i="81"/>
  <c r="BK85" i="81"/>
  <c r="BI84" i="81"/>
  <c r="BL106" i="81"/>
  <c r="BH104" i="81"/>
  <c r="BL102" i="81"/>
  <c r="BJ101" i="81"/>
  <c r="BH100" i="81"/>
  <c r="BL98" i="81"/>
  <c r="BJ97" i="81"/>
  <c r="BL94" i="81"/>
  <c r="BJ93" i="81"/>
  <c r="BL90" i="81"/>
  <c r="BH88" i="81"/>
  <c r="BJ85" i="81"/>
  <c r="BK106" i="81"/>
  <c r="BI105" i="81"/>
  <c r="BG104" i="81"/>
  <c r="BK102" i="81"/>
  <c r="BI101" i="81"/>
  <c r="BG100" i="81"/>
  <c r="BK98" i="81"/>
  <c r="BI97" i="81"/>
  <c r="BG96" i="81"/>
  <c r="BK94" i="81"/>
  <c r="BI93" i="81"/>
  <c r="BG92" i="81"/>
  <c r="BK90" i="81"/>
  <c r="BI89" i="81"/>
  <c r="BG88" i="81"/>
  <c r="BK86" i="81"/>
  <c r="BI85" i="81"/>
  <c r="BG84" i="81"/>
  <c r="AZ75" i="81"/>
  <c r="BL107" i="74"/>
  <c r="BJ106" i="74"/>
  <c r="BH105" i="74"/>
  <c r="BL103" i="74"/>
  <c r="BJ102" i="74"/>
  <c r="BH101" i="74"/>
  <c r="BL99" i="74"/>
  <c r="BJ98" i="74"/>
  <c r="BH97" i="74"/>
  <c r="BL95" i="74"/>
  <c r="BJ94" i="74"/>
  <c r="BH93" i="74"/>
  <c r="BL91" i="74"/>
  <c r="BJ90" i="74"/>
  <c r="BH89" i="74"/>
  <c r="BL87" i="74"/>
  <c r="BJ86" i="74"/>
  <c r="BH85" i="74"/>
  <c r="BG106" i="74"/>
  <c r="BI103" i="74"/>
  <c r="BK100" i="74"/>
  <c r="BG98" i="74"/>
  <c r="BI95" i="74"/>
  <c r="BK92" i="74"/>
  <c r="BG90" i="74"/>
  <c r="BI87" i="74"/>
  <c r="BK84" i="74"/>
  <c r="BK107" i="74"/>
  <c r="BI106" i="74"/>
  <c r="BG105" i="74"/>
  <c r="BK103" i="74"/>
  <c r="BI102" i="74"/>
  <c r="BG101" i="74"/>
  <c r="BK99" i="74"/>
  <c r="BI98" i="74"/>
  <c r="BG97" i="74"/>
  <c r="BK95" i="74"/>
  <c r="BI94" i="74"/>
  <c r="BG93" i="74"/>
  <c r="BK91" i="74"/>
  <c r="BI90" i="74"/>
  <c r="BG89" i="74"/>
  <c r="BK87" i="74"/>
  <c r="BI86" i="74"/>
  <c r="BG85" i="74"/>
  <c r="BI107" i="74"/>
  <c r="BG102" i="74"/>
  <c r="BI99" i="74"/>
  <c r="BK96" i="74"/>
  <c r="BG94" i="74"/>
  <c r="BI91" i="74"/>
  <c r="BK88" i="74"/>
  <c r="BG86" i="74"/>
  <c r="BJ107" i="74"/>
  <c r="BH106" i="74"/>
  <c r="BL104" i="74"/>
  <c r="BJ103" i="74"/>
  <c r="BH102" i="74"/>
  <c r="BL100" i="74"/>
  <c r="BJ99" i="74"/>
  <c r="BH98" i="74"/>
  <c r="BL96" i="74"/>
  <c r="BJ95" i="74"/>
  <c r="BH94" i="74"/>
  <c r="BL92" i="74"/>
  <c r="BJ91" i="74"/>
  <c r="BH90" i="74"/>
  <c r="BL88" i="74"/>
  <c r="BJ87" i="74"/>
  <c r="BH86" i="74"/>
  <c r="BL84" i="74"/>
  <c r="BK104" i="74"/>
  <c r="BH107" i="74"/>
  <c r="BL105" i="74"/>
  <c r="BJ104" i="74"/>
  <c r="BH103" i="74"/>
  <c r="BL101" i="74"/>
  <c r="BJ100" i="74"/>
  <c r="BH99" i="74"/>
  <c r="BL97" i="74"/>
  <c r="BJ96" i="74"/>
  <c r="BH95" i="74"/>
  <c r="BL93" i="74"/>
  <c r="BJ92" i="74"/>
  <c r="BH91" i="74"/>
  <c r="BL89" i="74"/>
  <c r="BJ88" i="74"/>
  <c r="BH87" i="74"/>
  <c r="BL85" i="74"/>
  <c r="BJ84" i="74"/>
  <c r="BG104" i="74"/>
  <c r="BG107" i="74"/>
  <c r="BK105" i="74"/>
  <c r="BI104" i="74"/>
  <c r="BG103" i="74"/>
  <c r="BK101" i="74"/>
  <c r="BI100" i="74"/>
  <c r="BG99" i="74"/>
  <c r="BK97" i="74"/>
  <c r="BI96" i="74"/>
  <c r="BG95" i="74"/>
  <c r="BK93" i="74"/>
  <c r="BI92" i="74"/>
  <c r="BG91" i="74"/>
  <c r="BK89" i="74"/>
  <c r="BI88" i="74"/>
  <c r="BG87" i="74"/>
  <c r="BK85" i="74"/>
  <c r="BI84" i="74"/>
  <c r="BI105" i="74"/>
  <c r="BG88" i="74"/>
  <c r="BG84" i="74"/>
  <c r="BL106" i="74"/>
  <c r="BJ105" i="74"/>
  <c r="BH104" i="74"/>
  <c r="BL102" i="74"/>
  <c r="BJ101" i="74"/>
  <c r="BH100" i="74"/>
  <c r="BL98" i="74"/>
  <c r="BJ97" i="74"/>
  <c r="BH96" i="74"/>
  <c r="BL94" i="74"/>
  <c r="BJ93" i="74"/>
  <c r="BH92" i="74"/>
  <c r="BL90" i="74"/>
  <c r="BJ89" i="74"/>
  <c r="BH88" i="74"/>
  <c r="BL86" i="74"/>
  <c r="BJ85" i="74"/>
  <c r="BH84" i="74"/>
  <c r="BK106" i="74"/>
  <c r="BK102" i="74"/>
  <c r="BI101" i="74"/>
  <c r="BG100" i="74"/>
  <c r="BK98" i="74"/>
  <c r="BI97" i="74"/>
  <c r="BG96" i="74"/>
  <c r="BK94" i="74"/>
  <c r="BI93" i="74"/>
  <c r="BG92" i="74"/>
  <c r="BK90" i="74"/>
  <c r="BI89" i="74"/>
  <c r="BK86" i="74"/>
  <c r="BI85" i="74"/>
  <c r="AZ75" i="74"/>
  <c r="Z97" i="90"/>
  <c r="Z99" i="90" s="1"/>
  <c r="Z100" i="90" s="1"/>
  <c r="Y107" i="90"/>
  <c r="Y108" i="90" s="1"/>
  <c r="Y97" i="90"/>
  <c r="Y99" i="90" s="1"/>
  <c r="Y100" i="90" s="1"/>
  <c r="X107" i="90"/>
  <c r="X108" i="90"/>
  <c r="X97" i="90"/>
  <c r="X99" i="90" s="1"/>
  <c r="X100" i="90" s="1"/>
  <c r="W107" i="90"/>
  <c r="W108" i="90"/>
  <c r="W97" i="90"/>
  <c r="W99" i="90" s="1"/>
  <c r="W100" i="90" s="1"/>
  <c r="BG84" i="69" a="1"/>
  <c r="BJ98" i="69" s="1"/>
  <c r="BH97" i="69"/>
  <c r="BJ94" i="69"/>
  <c r="BL91" i="69"/>
  <c r="BJ93" i="69"/>
  <c r="BL90" i="69"/>
  <c r="BJ85" i="69"/>
  <c r="BK95" i="69"/>
  <c r="BG93" i="69"/>
  <c r="BK91" i="69"/>
  <c r="BH91" i="69"/>
  <c r="BI104" i="69"/>
  <c r="BJ105" i="69"/>
  <c r="BJ95" i="69"/>
  <c r="BH94" i="69"/>
  <c r="BL92" i="69"/>
  <c r="BL93" i="69"/>
  <c r="BJ84" i="69"/>
  <c r="BL106" i="69"/>
  <c r="BK96" i="69"/>
  <c r="BI95" i="69"/>
  <c r="BK92" i="69"/>
  <c r="BJ96" i="69"/>
  <c r="BL89" i="69"/>
  <c r="BH87" i="69"/>
  <c r="BK93" i="69"/>
  <c r="BG91" i="69"/>
  <c r="BI88" i="69"/>
  <c r="BH100" i="69"/>
  <c r="BK106" i="69"/>
  <c r="BI105" i="69"/>
  <c r="BK94" i="69"/>
  <c r="BG92" i="69"/>
  <c r="BK90" i="69"/>
  <c r="AZ75" i="69"/>
  <c r="R252" i="92" l="1"/>
  <c r="S246" i="92"/>
  <c r="R118" i="92"/>
  <c r="N246" i="91"/>
  <c r="M252" i="91"/>
  <c r="M118" i="91"/>
  <c r="BG96" i="69"/>
  <c r="BL86" i="69"/>
  <c r="BG95" i="69"/>
  <c r="BH103" i="69"/>
  <c r="BG98" i="69"/>
  <c r="BL101" i="69"/>
  <c r="BH98" i="69"/>
  <c r="BH95" i="69"/>
  <c r="BI98" i="69"/>
  <c r="BH96" i="69"/>
  <c r="BL99" i="69"/>
  <c r="BG84" i="69"/>
  <c r="BI97" i="69"/>
  <c r="BH92" i="69"/>
  <c r="BI96" i="69"/>
  <c r="BK84" i="69"/>
  <c r="BK100" i="69"/>
  <c r="BL105" i="69"/>
  <c r="BL100" i="69"/>
  <c r="BJ100" i="69"/>
  <c r="BG101" i="69"/>
  <c r="BL102" i="69"/>
  <c r="BH101" i="69"/>
  <c r="BI85" i="69"/>
  <c r="BG100" i="69"/>
  <c r="BJ97" i="69"/>
  <c r="BG99" i="69"/>
  <c r="BG86" i="69"/>
  <c r="BI103" i="69"/>
  <c r="BL84" i="69"/>
  <c r="BJ103" i="69"/>
  <c r="BG85" i="69"/>
  <c r="BI102" i="69"/>
  <c r="BJ86" i="69"/>
  <c r="BJ102" i="69"/>
  <c r="BK86" i="69"/>
  <c r="BI101" i="69"/>
  <c r="BH104" i="69"/>
  <c r="BK101" i="69"/>
  <c r="BI87" i="69"/>
  <c r="BG106" i="69"/>
  <c r="BJ87" i="69"/>
  <c r="BL104" i="69"/>
  <c r="BK87" i="69"/>
  <c r="BK103" i="69"/>
  <c r="BH89" i="69"/>
  <c r="BH105" i="69"/>
  <c r="BI89" i="69"/>
  <c r="BK102" i="69"/>
  <c r="BI84" i="69"/>
  <c r="BK105" i="69"/>
  <c r="BG90" i="69"/>
  <c r="BI107" i="69"/>
  <c r="BH90" i="69"/>
  <c r="BH106" i="69"/>
  <c r="BI90" i="69"/>
  <c r="BI106" i="69"/>
  <c r="BJ90" i="69"/>
  <c r="BL107" i="69"/>
  <c r="BG88" i="69"/>
  <c r="BK98" i="69"/>
  <c r="BH84" i="69"/>
  <c r="BG87" i="69"/>
  <c r="BK97" i="69"/>
  <c r="BJ92" i="69"/>
  <c r="BK88" i="69"/>
  <c r="BI99" i="69"/>
  <c r="BG107" i="69"/>
  <c r="BH86" i="69"/>
  <c r="BL96" i="69"/>
  <c r="BJ107" i="69"/>
  <c r="BJ104" i="69"/>
  <c r="BI94" i="69"/>
  <c r="BG105" i="69"/>
  <c r="BL98" i="69"/>
  <c r="BH93" i="69"/>
  <c r="BL103" i="69"/>
  <c r="BJ89" i="69"/>
  <c r="BK89" i="69"/>
  <c r="BI100" i="69"/>
  <c r="BH99" i="69"/>
  <c r="BI91" i="69"/>
  <c r="BG102" i="69"/>
  <c r="BJ88" i="69"/>
  <c r="BL88" i="69"/>
  <c r="BJ99" i="69"/>
  <c r="BK85" i="69"/>
  <c r="BI86" i="69"/>
  <c r="BG97" i="69"/>
  <c r="BK107" i="69"/>
  <c r="BH85" i="69"/>
  <c r="BL95" i="69"/>
  <c r="BJ106" i="69"/>
  <c r="BJ101" i="69"/>
  <c r="BI93" i="69"/>
  <c r="BG104" i="69"/>
  <c r="BL94" i="69"/>
  <c r="BI92" i="69"/>
  <c r="BG103" i="69"/>
  <c r="BH107" i="69"/>
  <c r="BG94" i="69"/>
  <c r="BK104" i="69"/>
  <c r="BL97" i="69"/>
  <c r="BJ91" i="69"/>
  <c r="BH102" i="69"/>
  <c r="BL85" i="69"/>
  <c r="BG89" i="69"/>
  <c r="BK99" i="69"/>
  <c r="BH88" i="69"/>
  <c r="BL87" i="69"/>
  <c r="S252" i="92" l="1"/>
  <c r="T246" i="92"/>
  <c r="O246" i="91"/>
  <c r="N252" i="91"/>
  <c r="N118" i="91"/>
  <c r="T252" i="92" l="1"/>
  <c r="U246" i="92"/>
  <c r="P246" i="91"/>
  <c r="O252" i="91"/>
  <c r="O118" i="91"/>
  <c r="U252" i="92" l="1"/>
  <c r="V246" i="92"/>
  <c r="Q246" i="91"/>
  <c r="P252" i="91"/>
  <c r="W246" i="92" l="1"/>
  <c r="V252" i="92"/>
  <c r="Q252" i="91"/>
  <c r="R246" i="91"/>
  <c r="Q118" i="91"/>
  <c r="W252" i="92" l="1"/>
  <c r="X246" i="92"/>
  <c r="R252" i="91"/>
  <c r="R118" i="91"/>
  <c r="S246" i="91"/>
  <c r="Y246" i="92" l="1"/>
  <c r="X252" i="92"/>
  <c r="S252" i="91"/>
  <c r="S118" i="91"/>
  <c r="T246" i="91"/>
  <c r="Y252" i="92" l="1"/>
  <c r="Z246" i="92"/>
  <c r="T252" i="91"/>
  <c r="T118" i="91"/>
  <c r="U246" i="91"/>
  <c r="Z252" i="92" l="1"/>
  <c r="AA246" i="92"/>
  <c r="U118" i="91"/>
  <c r="V246" i="91"/>
  <c r="U252" i="91"/>
  <c r="AA252" i="92" l="1"/>
  <c r="AB246" i="92"/>
  <c r="W246" i="91"/>
  <c r="V252" i="91"/>
  <c r="V118" i="91"/>
  <c r="AB252" i="92" l="1"/>
  <c r="AC246" i="92"/>
  <c r="AB118" i="92"/>
  <c r="X246" i="91"/>
  <c r="W252" i="91"/>
  <c r="W118" i="91"/>
  <c r="AC118" i="92" l="1"/>
  <c r="AC252" i="92"/>
  <c r="AD246" i="92"/>
  <c r="Y246" i="91"/>
  <c r="X252" i="91"/>
  <c r="X118" i="91"/>
  <c r="AE246" i="92" l="1"/>
  <c r="AD252" i="92"/>
  <c r="AD118" i="92"/>
  <c r="Y252" i="91"/>
  <c r="Z246" i="91"/>
  <c r="AE252" i="92" l="1"/>
  <c r="AE118" i="92"/>
  <c r="AF246" i="92"/>
  <c r="Z252" i="91"/>
  <c r="AA246" i="91"/>
  <c r="AF252" i="92" l="1"/>
  <c r="B246" i="92"/>
  <c r="AF118" i="92"/>
  <c r="AA252" i="91"/>
  <c r="AA118" i="91"/>
  <c r="AB246" i="91"/>
  <c r="B252" i="92" l="1"/>
  <c r="AB252" i="91"/>
  <c r="AC246" i="91"/>
  <c r="AH118" i="92" l="1"/>
  <c r="AI118" i="92"/>
  <c r="AD246" i="91"/>
  <c r="AC252" i="91"/>
  <c r="AE246" i="91" l="1"/>
  <c r="AD252" i="91"/>
  <c r="AF246" i="91" l="1"/>
  <c r="AE252" i="91"/>
  <c r="AF252" i="91" l="1"/>
  <c r="B246" i="91"/>
  <c r="B252" i="91" l="1"/>
  <c r="B118" i="91"/>
  <c r="AI118" i="91" l="1"/>
  <c r="AH118" i="91"/>
  <c r="V123" i="90" l="1"/>
  <c r="V57" i="90"/>
  <c r="V58" i="90"/>
  <c r="V62" i="90"/>
  <c r="V76" i="90"/>
  <c r="V80" i="90"/>
  <c r="V92" i="90"/>
  <c r="V101" i="90"/>
  <c r="V107" i="90" s="1"/>
  <c r="V102" i="90"/>
  <c r="V103" i="90"/>
  <c r="V104" i="90"/>
  <c r="V105" i="90"/>
  <c r="V118" i="90"/>
  <c r="R139" i="90"/>
  <c r="S139" i="90"/>
  <c r="T139" i="90"/>
  <c r="U139" i="90"/>
  <c r="Q139" i="90"/>
  <c r="U123" i="90"/>
  <c r="U57" i="90"/>
  <c r="U58" i="90"/>
  <c r="U62" i="90"/>
  <c r="U76" i="90"/>
  <c r="U80" i="90"/>
  <c r="U92" i="90"/>
  <c r="U101" i="90"/>
  <c r="U102" i="90"/>
  <c r="U103" i="90"/>
  <c r="U104" i="90"/>
  <c r="U105" i="90"/>
  <c r="U118" i="90"/>
  <c r="T123" i="90"/>
  <c r="T57" i="90"/>
  <c r="T58" i="90"/>
  <c r="T62" i="90"/>
  <c r="T76" i="90"/>
  <c r="T80" i="90"/>
  <c r="T92" i="90"/>
  <c r="T101" i="90"/>
  <c r="T107" i="90" s="1"/>
  <c r="T102" i="90"/>
  <c r="T103" i="90"/>
  <c r="T104" i="90"/>
  <c r="T105" i="90"/>
  <c r="T118" i="90"/>
  <c r="V108" i="90" l="1"/>
  <c r="V97" i="90"/>
  <c r="V99" i="90" s="1"/>
  <c r="V100" i="90" s="1"/>
  <c r="U97" i="90"/>
  <c r="U99" i="90" s="1"/>
  <c r="U107" i="90"/>
  <c r="U108" i="90"/>
  <c r="T97" i="90"/>
  <c r="T99" i="90" s="1"/>
  <c r="T100" i="90" s="1"/>
  <c r="T108" i="90"/>
  <c r="U100" i="90" l="1"/>
  <c r="S123" i="90" l="1"/>
  <c r="S57" i="90"/>
  <c r="R123" i="90"/>
  <c r="R121" i="90"/>
  <c r="Q123" i="90"/>
  <c r="P123" i="90"/>
  <c r="P121" i="90"/>
  <c r="P57" i="90"/>
  <c r="O123" i="90"/>
  <c r="O121" i="90"/>
  <c r="O57" i="90"/>
  <c r="N123" i="90"/>
  <c r="N121" i="90"/>
  <c r="M123" i="90"/>
  <c r="K57" i="90"/>
  <c r="L57" i="90"/>
  <c r="L123" i="90"/>
  <c r="K123" i="90" l="1"/>
  <c r="J123" i="90"/>
  <c r="J57" i="90"/>
  <c r="I57" i="90"/>
  <c r="I123" i="90"/>
  <c r="H123" i="90"/>
  <c r="H57" i="90"/>
  <c r="G57" i="90"/>
  <c r="G123" i="90"/>
  <c r="F57" i="90"/>
  <c r="F123" i="90"/>
  <c r="E123" i="90" l="1"/>
  <c r="AH125" i="90"/>
  <c r="AI125" i="90"/>
  <c r="AH124" i="90"/>
  <c r="AI124" i="90"/>
  <c r="B92" i="90"/>
  <c r="AM19" i="90" s="1"/>
  <c r="AG252" i="90"/>
  <c r="E252" i="90"/>
  <c r="C252" i="90"/>
  <c r="K251" i="90"/>
  <c r="L251" i="90" s="1"/>
  <c r="M251" i="90" s="1"/>
  <c r="N251" i="90" s="1"/>
  <c r="O251" i="90" s="1"/>
  <c r="P251" i="90" s="1"/>
  <c r="Q251" i="90" s="1"/>
  <c r="R251" i="90" s="1"/>
  <c r="S251" i="90" s="1"/>
  <c r="T251" i="90" s="1"/>
  <c r="U251" i="90" s="1"/>
  <c r="V251" i="90" s="1"/>
  <c r="W251" i="90" s="1"/>
  <c r="X251" i="90" s="1"/>
  <c r="Y251" i="90" s="1"/>
  <c r="Z251" i="90" s="1"/>
  <c r="AA251" i="90" s="1"/>
  <c r="AB251" i="90" s="1"/>
  <c r="AC251" i="90" s="1"/>
  <c r="AD251" i="90" s="1"/>
  <c r="AE251" i="90" s="1"/>
  <c r="AF251" i="90" s="1"/>
  <c r="B251" i="90" s="1"/>
  <c r="D251" i="90"/>
  <c r="E251" i="90" s="1"/>
  <c r="F251" i="90" s="1"/>
  <c r="G251" i="90" s="1"/>
  <c r="H251" i="90" s="1"/>
  <c r="I251" i="90" s="1"/>
  <c r="J251" i="90" s="1"/>
  <c r="I250" i="90"/>
  <c r="J250" i="90" s="1"/>
  <c r="K250" i="90" s="1"/>
  <c r="L250" i="90" s="1"/>
  <c r="M250" i="90" s="1"/>
  <c r="N250" i="90" s="1"/>
  <c r="O250" i="90" s="1"/>
  <c r="P250" i="90" s="1"/>
  <c r="Q250" i="90" s="1"/>
  <c r="R250" i="90" s="1"/>
  <c r="S250" i="90" s="1"/>
  <c r="T250" i="90" s="1"/>
  <c r="U250" i="90" s="1"/>
  <c r="V250" i="90" s="1"/>
  <c r="W250" i="90" s="1"/>
  <c r="X250" i="90" s="1"/>
  <c r="Y250" i="90" s="1"/>
  <c r="Z250" i="90" s="1"/>
  <c r="AA250" i="90" s="1"/>
  <c r="AB250" i="90" s="1"/>
  <c r="AC250" i="90" s="1"/>
  <c r="AD250" i="90" s="1"/>
  <c r="AE250" i="90" s="1"/>
  <c r="AF250" i="90" s="1"/>
  <c r="B250" i="90" s="1"/>
  <c r="E250" i="90"/>
  <c r="F250" i="90" s="1"/>
  <c r="G250" i="90" s="1"/>
  <c r="H250" i="90" s="1"/>
  <c r="D250" i="90"/>
  <c r="O249" i="90"/>
  <c r="P249" i="90" s="1"/>
  <c r="Q249" i="90" s="1"/>
  <c r="R249" i="90" s="1"/>
  <c r="S249" i="90" s="1"/>
  <c r="T249" i="90" s="1"/>
  <c r="U249" i="90" s="1"/>
  <c r="V249" i="90" s="1"/>
  <c r="W249" i="90" s="1"/>
  <c r="X249" i="90" s="1"/>
  <c r="Y249" i="90" s="1"/>
  <c r="Z249" i="90" s="1"/>
  <c r="AA249" i="90" s="1"/>
  <c r="AB249" i="90" s="1"/>
  <c r="AC249" i="90" s="1"/>
  <c r="AD249" i="90" s="1"/>
  <c r="AE249" i="90" s="1"/>
  <c r="AF249" i="90" s="1"/>
  <c r="B249" i="90" s="1"/>
  <c r="H249" i="90"/>
  <c r="I249" i="90" s="1"/>
  <c r="J249" i="90" s="1"/>
  <c r="K249" i="90" s="1"/>
  <c r="L249" i="90" s="1"/>
  <c r="M249" i="90" s="1"/>
  <c r="N249" i="90" s="1"/>
  <c r="G249" i="90"/>
  <c r="D249" i="90"/>
  <c r="E249" i="90" s="1"/>
  <c r="F249" i="90" s="1"/>
  <c r="N248" i="90"/>
  <c r="O248" i="90" s="1"/>
  <c r="P248" i="90" s="1"/>
  <c r="Q248" i="90" s="1"/>
  <c r="R248" i="90" s="1"/>
  <c r="S248" i="90" s="1"/>
  <c r="T248" i="90" s="1"/>
  <c r="U248" i="90" s="1"/>
  <c r="V248" i="90" s="1"/>
  <c r="W248" i="90" s="1"/>
  <c r="X248" i="90" s="1"/>
  <c r="Y248" i="90" s="1"/>
  <c r="Z248" i="90" s="1"/>
  <c r="AA248" i="90" s="1"/>
  <c r="AB248" i="90" s="1"/>
  <c r="AC248" i="90" s="1"/>
  <c r="AD248" i="90" s="1"/>
  <c r="AE248" i="90" s="1"/>
  <c r="AF248" i="90" s="1"/>
  <c r="B248" i="90" s="1"/>
  <c r="M248" i="90"/>
  <c r="F248" i="90"/>
  <c r="G248" i="90" s="1"/>
  <c r="H248" i="90" s="1"/>
  <c r="I248" i="90" s="1"/>
  <c r="J248" i="90" s="1"/>
  <c r="K248" i="90" s="1"/>
  <c r="L248" i="90" s="1"/>
  <c r="E248" i="90"/>
  <c r="D248" i="90"/>
  <c r="S247" i="90"/>
  <c r="T247" i="90" s="1"/>
  <c r="U247" i="90" s="1"/>
  <c r="V247" i="90" s="1"/>
  <c r="W247" i="90" s="1"/>
  <c r="X247" i="90" s="1"/>
  <c r="Y247" i="90" s="1"/>
  <c r="Z247" i="90" s="1"/>
  <c r="AA247" i="90" s="1"/>
  <c r="AB247" i="90" s="1"/>
  <c r="AC247" i="90" s="1"/>
  <c r="AD247" i="90" s="1"/>
  <c r="AE247" i="90" s="1"/>
  <c r="AF247" i="90" s="1"/>
  <c r="B247" i="90" s="1"/>
  <c r="L247" i="90"/>
  <c r="M247" i="90" s="1"/>
  <c r="N247" i="90" s="1"/>
  <c r="O247" i="90" s="1"/>
  <c r="P247" i="90" s="1"/>
  <c r="Q247" i="90" s="1"/>
  <c r="R247" i="90" s="1"/>
  <c r="K247" i="90"/>
  <c r="D247" i="90"/>
  <c r="E247" i="90" s="1"/>
  <c r="F247" i="90" s="1"/>
  <c r="G247" i="90" s="1"/>
  <c r="H247" i="90" s="1"/>
  <c r="I247" i="90" s="1"/>
  <c r="J247" i="90" s="1"/>
  <c r="E246" i="90"/>
  <c r="F246" i="90" s="1"/>
  <c r="D246" i="90"/>
  <c r="AG244" i="90"/>
  <c r="AF244" i="90"/>
  <c r="AE244" i="90"/>
  <c r="AD244" i="90"/>
  <c r="AC244" i="90"/>
  <c r="AB244" i="90"/>
  <c r="AA244" i="90"/>
  <c r="Z244" i="90"/>
  <c r="Y244" i="90"/>
  <c r="X244" i="90"/>
  <c r="W244" i="90"/>
  <c r="V244" i="90"/>
  <c r="U244" i="90"/>
  <c r="T244" i="90"/>
  <c r="S244" i="90"/>
  <c r="R244" i="90"/>
  <c r="Q244" i="90"/>
  <c r="P244" i="90"/>
  <c r="O244" i="90"/>
  <c r="N244" i="90"/>
  <c r="M244" i="90"/>
  <c r="L244" i="90"/>
  <c r="K244" i="90"/>
  <c r="J244" i="90"/>
  <c r="I244" i="90"/>
  <c r="H244" i="90"/>
  <c r="G244" i="90"/>
  <c r="F244" i="90"/>
  <c r="E244" i="90"/>
  <c r="D244" i="90"/>
  <c r="C244" i="90"/>
  <c r="B244" i="90"/>
  <c r="AI130" i="90"/>
  <c r="AH130" i="90"/>
  <c r="AI129" i="90"/>
  <c r="AH129" i="90"/>
  <c r="AI128" i="90"/>
  <c r="AH128" i="90"/>
  <c r="AI127" i="90"/>
  <c r="AH127" i="90"/>
  <c r="AI126" i="90"/>
  <c r="AH126" i="90"/>
  <c r="AI123" i="90"/>
  <c r="AH123" i="90"/>
  <c r="AI122" i="90"/>
  <c r="AH122" i="90"/>
  <c r="AI121" i="90"/>
  <c r="AH121" i="90"/>
  <c r="AI120" i="90"/>
  <c r="AH120" i="90"/>
  <c r="AI119" i="90"/>
  <c r="AH119" i="90"/>
  <c r="E118" i="90"/>
  <c r="D118" i="90"/>
  <c r="C118" i="90"/>
  <c r="AI117" i="90"/>
  <c r="AH117" i="90"/>
  <c r="AI116" i="90"/>
  <c r="AH116" i="90"/>
  <c r="AI115" i="90"/>
  <c r="AH115" i="90"/>
  <c r="AI114" i="90"/>
  <c r="AH114" i="90"/>
  <c r="AI113" i="90"/>
  <c r="AH113" i="90"/>
  <c r="AI112" i="90"/>
  <c r="AH112" i="90"/>
  <c r="AI111" i="90"/>
  <c r="AH111" i="90"/>
  <c r="AI110" i="90"/>
  <c r="AH110" i="90"/>
  <c r="AI109" i="90"/>
  <c r="AH109" i="90"/>
  <c r="AI106" i="90"/>
  <c r="AH106" i="90"/>
  <c r="AF105" i="90"/>
  <c r="AE105" i="90"/>
  <c r="AD105" i="90"/>
  <c r="AC105" i="90"/>
  <c r="AB105" i="90"/>
  <c r="S105" i="90"/>
  <c r="R105" i="90"/>
  <c r="Q105" i="90"/>
  <c r="P105" i="90"/>
  <c r="O105" i="90"/>
  <c r="N105" i="90"/>
  <c r="M105" i="90"/>
  <c r="L105" i="90"/>
  <c r="K105" i="90"/>
  <c r="J105" i="90"/>
  <c r="I105" i="90"/>
  <c r="H105" i="90"/>
  <c r="G105" i="90"/>
  <c r="F105" i="90"/>
  <c r="E105" i="90"/>
  <c r="D105" i="90"/>
  <c r="C105" i="90"/>
  <c r="B105" i="90"/>
  <c r="AF104" i="90"/>
  <c r="AE104" i="90"/>
  <c r="AD104" i="90"/>
  <c r="AC104" i="90"/>
  <c r="AB104" i="90"/>
  <c r="S104" i="90"/>
  <c r="R104" i="90"/>
  <c r="Q104" i="90"/>
  <c r="P104" i="90"/>
  <c r="O104" i="90"/>
  <c r="N104" i="90"/>
  <c r="M104" i="90"/>
  <c r="L104" i="90"/>
  <c r="K104" i="90"/>
  <c r="J104" i="90"/>
  <c r="I104" i="90"/>
  <c r="H104" i="90"/>
  <c r="G104" i="90"/>
  <c r="F104" i="90"/>
  <c r="E104" i="90"/>
  <c r="D104" i="90"/>
  <c r="C104" i="90"/>
  <c r="B104" i="90"/>
  <c r="AF103" i="90"/>
  <c r="AE103" i="90"/>
  <c r="AD103" i="90"/>
  <c r="AC103" i="90"/>
  <c r="AB103" i="90"/>
  <c r="S103" i="90"/>
  <c r="R103" i="90"/>
  <c r="Q103" i="90"/>
  <c r="P103" i="90"/>
  <c r="O103" i="90"/>
  <c r="N103" i="90"/>
  <c r="M103" i="90"/>
  <c r="L103" i="90"/>
  <c r="K103" i="90"/>
  <c r="J103" i="90"/>
  <c r="I103" i="90"/>
  <c r="H103" i="90"/>
  <c r="G103" i="90"/>
  <c r="F103" i="90"/>
  <c r="E103" i="90"/>
  <c r="D103" i="90"/>
  <c r="C103" i="90"/>
  <c r="B103" i="90"/>
  <c r="AF102" i="90"/>
  <c r="AE102" i="90"/>
  <c r="AD102" i="90"/>
  <c r="AC102" i="90"/>
  <c r="AB102" i="90"/>
  <c r="S102" i="90"/>
  <c r="R102" i="90"/>
  <c r="Q102" i="90"/>
  <c r="P102" i="90"/>
  <c r="O102" i="90"/>
  <c r="N102" i="90"/>
  <c r="M102" i="90"/>
  <c r="L102" i="90"/>
  <c r="K102" i="90"/>
  <c r="J102" i="90"/>
  <c r="I102" i="90"/>
  <c r="H102" i="90"/>
  <c r="G102" i="90"/>
  <c r="F102" i="90"/>
  <c r="E102" i="90"/>
  <c r="D102" i="90"/>
  <c r="C102" i="90"/>
  <c r="B102" i="90"/>
  <c r="AF101" i="90"/>
  <c r="AF107" i="90" s="1"/>
  <c r="AE101" i="90"/>
  <c r="AD101" i="90"/>
  <c r="AD107" i="90" s="1"/>
  <c r="AC101" i="90"/>
  <c r="AB101" i="90"/>
  <c r="S101" i="90"/>
  <c r="R101" i="90"/>
  <c r="Q101" i="90"/>
  <c r="P101" i="90"/>
  <c r="O101" i="90"/>
  <c r="N101" i="90"/>
  <c r="M101" i="90"/>
  <c r="L101" i="90"/>
  <c r="K101" i="90"/>
  <c r="J101" i="90"/>
  <c r="I101" i="90"/>
  <c r="H101" i="90"/>
  <c r="G101" i="90"/>
  <c r="F101" i="90"/>
  <c r="E101" i="90"/>
  <c r="D101" i="90"/>
  <c r="C101" i="90"/>
  <c r="B101" i="90"/>
  <c r="AI98" i="90"/>
  <c r="AH98" i="90"/>
  <c r="AI96" i="90"/>
  <c r="AH96" i="90"/>
  <c r="AG96" i="90"/>
  <c r="AG99" i="90" s="1"/>
  <c r="AI95" i="90"/>
  <c r="AH95" i="90"/>
  <c r="AI94" i="90"/>
  <c r="AH94" i="90"/>
  <c r="AI93" i="90"/>
  <c r="AH93" i="90"/>
  <c r="AG92" i="90"/>
  <c r="AF92" i="90"/>
  <c r="AE5" i="90" s="1"/>
  <c r="AE92" i="90"/>
  <c r="AD5" i="90" s="1"/>
  <c r="AD92" i="90"/>
  <c r="AC5" i="90" s="1"/>
  <c r="AC92" i="90"/>
  <c r="AB92" i="90"/>
  <c r="AA5" i="90" s="1"/>
  <c r="X5" i="90"/>
  <c r="S92" i="90"/>
  <c r="R5" i="90" s="1"/>
  <c r="R92" i="90"/>
  <c r="Q92" i="90"/>
  <c r="P5" i="90" s="1"/>
  <c r="P92" i="90"/>
  <c r="O5" i="90" s="1"/>
  <c r="O92" i="90"/>
  <c r="N5" i="90" s="1"/>
  <c r="N92" i="90"/>
  <c r="AV19" i="90" s="1"/>
  <c r="M92" i="90"/>
  <c r="AU19" i="90" s="1"/>
  <c r="L92" i="90"/>
  <c r="K5" i="90" s="1"/>
  <c r="K92" i="90"/>
  <c r="AT19" i="90" s="1"/>
  <c r="J92" i="90"/>
  <c r="I92" i="90"/>
  <c r="AS19" i="90" s="1"/>
  <c r="H92" i="90"/>
  <c r="G5" i="90" s="1"/>
  <c r="G92" i="90"/>
  <c r="AR19" i="90" s="1"/>
  <c r="F92" i="90"/>
  <c r="AQ19" i="90" s="1"/>
  <c r="E92" i="90"/>
  <c r="AP19" i="90" s="1"/>
  <c r="D92" i="90"/>
  <c r="C5" i="90" s="1"/>
  <c r="C92" i="90"/>
  <c r="B5" i="90" s="1"/>
  <c r="AI91" i="90"/>
  <c r="AH91" i="90"/>
  <c r="AI90" i="90"/>
  <c r="AH90" i="90"/>
  <c r="AI89" i="90"/>
  <c r="AH89" i="90"/>
  <c r="AI88" i="90"/>
  <c r="AH88" i="90"/>
  <c r="AI87" i="90"/>
  <c r="AH87" i="90"/>
  <c r="AI86" i="90"/>
  <c r="AH86" i="90"/>
  <c r="AI85" i="90"/>
  <c r="AH85" i="90"/>
  <c r="AI84" i="90"/>
  <c r="AH84" i="90"/>
  <c r="AI83" i="90"/>
  <c r="AH83" i="90"/>
  <c r="AI82" i="90"/>
  <c r="AH82" i="90"/>
  <c r="AI81" i="90"/>
  <c r="AH81" i="90"/>
  <c r="AG80" i="90"/>
  <c r="AG4" i="90" s="1"/>
  <c r="AF80" i="90"/>
  <c r="AE80" i="90"/>
  <c r="AD80" i="90"/>
  <c r="AC80" i="90"/>
  <c r="AB80" i="90"/>
  <c r="S80" i="90"/>
  <c r="R80" i="90"/>
  <c r="Q80" i="90"/>
  <c r="P80" i="90"/>
  <c r="O80" i="90"/>
  <c r="N80" i="90"/>
  <c r="M80" i="90"/>
  <c r="L80" i="90"/>
  <c r="K80" i="90"/>
  <c r="J80" i="90"/>
  <c r="I80" i="90"/>
  <c r="AS20" i="90" s="1"/>
  <c r="H80" i="90"/>
  <c r="G80" i="90"/>
  <c r="AR20" i="90" s="1"/>
  <c r="F80" i="90"/>
  <c r="E80" i="90"/>
  <c r="D80" i="90"/>
  <c r="C80" i="90"/>
  <c r="B80" i="90"/>
  <c r="AM20" i="90" s="1"/>
  <c r="BJ79" i="90"/>
  <c r="BI79" i="90"/>
  <c r="BA79" i="90"/>
  <c r="AI79" i="90"/>
  <c r="AH79" i="90"/>
  <c r="BS78" i="90"/>
  <c r="BR78" i="90"/>
  <c r="BK78" i="90"/>
  <c r="AI78" i="90"/>
  <c r="AH78" i="90"/>
  <c r="BV77" i="90"/>
  <c r="BL77" i="90"/>
  <c r="BK77" i="90"/>
  <c r="BE77" i="90"/>
  <c r="AI77" i="90"/>
  <c r="AH77" i="90"/>
  <c r="BG76" i="90"/>
  <c r="BF76" i="90"/>
  <c r="BB76" i="90"/>
  <c r="AG76" i="90"/>
  <c r="AG3" i="90" s="1"/>
  <c r="AG6" i="90" s="1"/>
  <c r="AF76" i="90"/>
  <c r="AE76" i="90"/>
  <c r="AD76" i="90"/>
  <c r="AC76" i="90"/>
  <c r="AB76" i="90"/>
  <c r="S76" i="90"/>
  <c r="R76" i="90"/>
  <c r="Q76" i="90"/>
  <c r="P76" i="90"/>
  <c r="AX18" i="90" s="1"/>
  <c r="O76" i="90"/>
  <c r="AW18" i="90" s="1"/>
  <c r="N76" i="90"/>
  <c r="AV18" i="90" s="1"/>
  <c r="M76" i="90"/>
  <c r="AU18" i="90" s="1"/>
  <c r="L76" i="90"/>
  <c r="K76" i="90"/>
  <c r="AT18" i="90" s="1"/>
  <c r="J76" i="90"/>
  <c r="I76" i="90"/>
  <c r="AS18" i="90" s="1"/>
  <c r="H76" i="90"/>
  <c r="G76" i="90"/>
  <c r="F76" i="90"/>
  <c r="AQ18" i="90" s="1"/>
  <c r="E76" i="90"/>
  <c r="AP18" i="90" s="1"/>
  <c r="D76" i="90"/>
  <c r="C76" i="90"/>
  <c r="AN18" i="90" s="1"/>
  <c r="B76" i="90"/>
  <c r="BT75" i="90"/>
  <c r="BK75" i="90"/>
  <c r="BG75" i="90"/>
  <c r="BA75" i="90"/>
  <c r="AZ75" i="90"/>
  <c r="AI75" i="90"/>
  <c r="AH75" i="90"/>
  <c r="AG75" i="90"/>
  <c r="AI74" i="90"/>
  <c r="AH74" i="90"/>
  <c r="BW73" i="90"/>
  <c r="BW80" i="90" s="1"/>
  <c r="BV73" i="90"/>
  <c r="BV80" i="90" s="1"/>
  <c r="BU73" i="90"/>
  <c r="BU80" i="90" s="1"/>
  <c r="BT73" i="90"/>
  <c r="BT80" i="90" s="1"/>
  <c r="BS73" i="90"/>
  <c r="BS80" i="90" s="1"/>
  <c r="BR73" i="90"/>
  <c r="BR80" i="90" s="1"/>
  <c r="BQ73" i="90"/>
  <c r="BQ80" i="90" s="1"/>
  <c r="BP73" i="90"/>
  <c r="BP80" i="90" s="1"/>
  <c r="BO73" i="90"/>
  <c r="BO80" i="90" s="1"/>
  <c r="BN73" i="90"/>
  <c r="BN80" i="90" s="1"/>
  <c r="BM73" i="90"/>
  <c r="BM80" i="90" s="1"/>
  <c r="BL73" i="90"/>
  <c r="BL80" i="90" s="1"/>
  <c r="BK73" i="90"/>
  <c r="BK80" i="90" s="1"/>
  <c r="BJ73" i="90"/>
  <c r="BJ80" i="90" s="1"/>
  <c r="BI73" i="90"/>
  <c r="BI80" i="90" s="1"/>
  <c r="BH73" i="90"/>
  <c r="BH80" i="90" s="1"/>
  <c r="BG73" i="90"/>
  <c r="BG80" i="90" s="1"/>
  <c r="BF73" i="90"/>
  <c r="BF80" i="90" s="1"/>
  <c r="BE73" i="90"/>
  <c r="BE80" i="90" s="1"/>
  <c r="BD73" i="90"/>
  <c r="BD80" i="90" s="1"/>
  <c r="BC73" i="90"/>
  <c r="BC80" i="90" s="1"/>
  <c r="BB73" i="90"/>
  <c r="BB80" i="90" s="1"/>
  <c r="BA73" i="90"/>
  <c r="BA80" i="90" s="1"/>
  <c r="AZ73" i="90"/>
  <c r="AZ80" i="90" s="1"/>
  <c r="AI73" i="90"/>
  <c r="AH73" i="90"/>
  <c r="BW72" i="90"/>
  <c r="BW79" i="90" s="1"/>
  <c r="BV72" i="90"/>
  <c r="BV79" i="90" s="1"/>
  <c r="BU72" i="90"/>
  <c r="BU79" i="90" s="1"/>
  <c r="BT72" i="90"/>
  <c r="BT79" i="90" s="1"/>
  <c r="BS72" i="90"/>
  <c r="BS79" i="90" s="1"/>
  <c r="BR72" i="90"/>
  <c r="BR79" i="90" s="1"/>
  <c r="BQ72" i="90"/>
  <c r="BQ79" i="90" s="1"/>
  <c r="BP72" i="90"/>
  <c r="BP79" i="90" s="1"/>
  <c r="BO72" i="90"/>
  <c r="BO79" i="90" s="1"/>
  <c r="BN72" i="90"/>
  <c r="BN79" i="90" s="1"/>
  <c r="BM72" i="90"/>
  <c r="BM79" i="90" s="1"/>
  <c r="BL72" i="90"/>
  <c r="BL79" i="90" s="1"/>
  <c r="BK72" i="90"/>
  <c r="BK79" i="90" s="1"/>
  <c r="BJ72" i="90"/>
  <c r="BI72" i="90"/>
  <c r="BH72" i="90"/>
  <c r="BH79" i="90" s="1"/>
  <c r="BG72" i="90"/>
  <c r="BG79" i="90" s="1"/>
  <c r="BF72" i="90"/>
  <c r="BF79" i="90" s="1"/>
  <c r="BE72" i="90"/>
  <c r="BE79" i="90" s="1"/>
  <c r="BD72" i="90"/>
  <c r="BD79" i="90" s="1"/>
  <c r="BC72" i="90"/>
  <c r="BC79" i="90" s="1"/>
  <c r="BB72" i="90"/>
  <c r="BB79" i="90" s="1"/>
  <c r="BA72" i="90"/>
  <c r="AZ72" i="90"/>
  <c r="AZ79" i="90" s="1"/>
  <c r="AI72" i="90"/>
  <c r="AH72" i="90"/>
  <c r="BW71" i="90"/>
  <c r="BW78" i="90" s="1"/>
  <c r="BV71" i="90"/>
  <c r="BV78" i="90" s="1"/>
  <c r="BU71" i="90"/>
  <c r="BU78" i="90" s="1"/>
  <c r="BT71" i="90"/>
  <c r="BT78" i="90" s="1"/>
  <c r="BS71" i="90"/>
  <c r="BR71" i="90"/>
  <c r="BQ71" i="90"/>
  <c r="BQ78" i="90" s="1"/>
  <c r="BP71" i="90"/>
  <c r="BP78" i="90" s="1"/>
  <c r="BO71" i="90"/>
  <c r="BO78" i="90" s="1"/>
  <c r="BN71" i="90"/>
  <c r="BN78" i="90" s="1"/>
  <c r="BM71" i="90"/>
  <c r="BM78" i="90" s="1"/>
  <c r="BL71" i="90"/>
  <c r="BL78" i="90" s="1"/>
  <c r="BK71" i="90"/>
  <c r="BJ71" i="90"/>
  <c r="BJ78" i="90" s="1"/>
  <c r="BI71" i="90"/>
  <c r="BI78" i="90" s="1"/>
  <c r="BH71" i="90"/>
  <c r="BH78" i="90" s="1"/>
  <c r="BG71" i="90"/>
  <c r="BG78" i="90" s="1"/>
  <c r="BF71" i="90"/>
  <c r="BF78" i="90" s="1"/>
  <c r="BE71" i="90"/>
  <c r="BE78" i="90" s="1"/>
  <c r="BD71" i="90"/>
  <c r="BD78" i="90" s="1"/>
  <c r="BC71" i="90"/>
  <c r="BC78" i="90" s="1"/>
  <c r="BB71" i="90"/>
  <c r="BB78" i="90" s="1"/>
  <c r="BA71" i="90"/>
  <c r="BA78" i="90" s="1"/>
  <c r="AZ71" i="90"/>
  <c r="AZ78" i="90" s="1"/>
  <c r="AI71" i="90"/>
  <c r="AH71" i="90"/>
  <c r="BW70" i="90"/>
  <c r="BW77" i="90" s="1"/>
  <c r="BV70" i="90"/>
  <c r="BU70" i="90"/>
  <c r="BU77" i="90" s="1"/>
  <c r="BT70" i="90"/>
  <c r="BT77" i="90" s="1"/>
  <c r="BS70" i="90"/>
  <c r="BS77" i="90" s="1"/>
  <c r="BR70" i="90"/>
  <c r="BR77" i="90" s="1"/>
  <c r="BQ70" i="90"/>
  <c r="BQ77" i="90" s="1"/>
  <c r="BP70" i="90"/>
  <c r="BP77" i="90" s="1"/>
  <c r="BO70" i="90"/>
  <c r="BO77" i="90" s="1"/>
  <c r="BN70" i="90"/>
  <c r="BN77" i="90" s="1"/>
  <c r="BM70" i="90"/>
  <c r="BM77" i="90" s="1"/>
  <c r="BL70" i="90"/>
  <c r="BK70" i="90"/>
  <c r="BJ70" i="90"/>
  <c r="BJ77" i="90" s="1"/>
  <c r="BI70" i="90"/>
  <c r="BI77" i="90" s="1"/>
  <c r="BH70" i="90"/>
  <c r="BH77" i="90" s="1"/>
  <c r="BG70" i="90"/>
  <c r="BG77" i="90" s="1"/>
  <c r="BF70" i="90"/>
  <c r="BF77" i="90" s="1"/>
  <c r="BE70" i="90"/>
  <c r="BD70" i="90"/>
  <c r="BD77" i="90" s="1"/>
  <c r="BC70" i="90"/>
  <c r="BC77" i="90" s="1"/>
  <c r="BB70" i="90"/>
  <c r="BB77" i="90" s="1"/>
  <c r="BA70" i="90"/>
  <c r="BA77" i="90" s="1"/>
  <c r="AZ70" i="90"/>
  <c r="AZ77" i="90" s="1"/>
  <c r="AI70" i="90"/>
  <c r="AH70" i="90"/>
  <c r="BW69" i="90"/>
  <c r="BW76" i="90" s="1"/>
  <c r="BV69" i="90"/>
  <c r="BV76" i="90" s="1"/>
  <c r="BU69" i="90"/>
  <c r="BU76" i="90" s="1"/>
  <c r="BT69" i="90"/>
  <c r="BT76" i="90" s="1"/>
  <c r="BS69" i="90"/>
  <c r="BS76" i="90" s="1"/>
  <c r="BR69" i="90"/>
  <c r="BR76" i="90" s="1"/>
  <c r="BQ69" i="90"/>
  <c r="BQ76" i="90" s="1"/>
  <c r="BP69" i="90"/>
  <c r="BP76" i="90" s="1"/>
  <c r="BO69" i="90"/>
  <c r="BO76" i="90" s="1"/>
  <c r="BN69" i="90"/>
  <c r="BN76" i="90" s="1"/>
  <c r="BM69" i="90"/>
  <c r="BM76" i="90" s="1"/>
  <c r="BL69" i="90"/>
  <c r="BL76" i="90" s="1"/>
  <c r="BK69" i="90"/>
  <c r="BK76" i="90" s="1"/>
  <c r="BJ69" i="90"/>
  <c r="BJ76" i="90" s="1"/>
  <c r="BI69" i="90"/>
  <c r="BI76" i="90" s="1"/>
  <c r="BH69" i="90"/>
  <c r="BH76" i="90" s="1"/>
  <c r="BG69" i="90"/>
  <c r="BF69" i="90"/>
  <c r="BE69" i="90"/>
  <c r="BE76" i="90" s="1"/>
  <c r="BD69" i="90"/>
  <c r="BD76" i="90" s="1"/>
  <c r="BC69" i="90"/>
  <c r="BC76" i="90" s="1"/>
  <c r="BB69" i="90"/>
  <c r="BA69" i="90"/>
  <c r="BA76" i="90" s="1"/>
  <c r="AZ69" i="90"/>
  <c r="AZ76" i="90" s="1"/>
  <c r="AI69" i="90"/>
  <c r="AH69" i="90"/>
  <c r="BW68" i="90"/>
  <c r="BW75" i="90" s="1"/>
  <c r="BV68" i="90"/>
  <c r="BV75" i="90" s="1"/>
  <c r="BU68" i="90"/>
  <c r="BU75" i="90" s="1"/>
  <c r="BT68" i="90"/>
  <c r="BS68" i="90"/>
  <c r="BS75" i="90" s="1"/>
  <c r="BR68" i="90"/>
  <c r="BR75" i="90" s="1"/>
  <c r="BQ68" i="90"/>
  <c r="BQ75" i="90" s="1"/>
  <c r="BP68" i="90"/>
  <c r="BP75" i="90" s="1"/>
  <c r="BO68" i="90"/>
  <c r="BO75" i="90" s="1"/>
  <c r="BN68" i="90"/>
  <c r="BN75" i="90" s="1"/>
  <c r="BM68" i="90"/>
  <c r="BM75" i="90" s="1"/>
  <c r="BL68" i="90"/>
  <c r="BL75" i="90" s="1"/>
  <c r="BK68" i="90"/>
  <c r="BJ68" i="90"/>
  <c r="BJ75" i="90" s="1"/>
  <c r="BI68" i="90"/>
  <c r="BI75" i="90" s="1"/>
  <c r="BH68" i="90"/>
  <c r="BH75" i="90" s="1"/>
  <c r="BG68" i="90"/>
  <c r="BF68" i="90"/>
  <c r="BF75" i="90" s="1"/>
  <c r="BE68" i="90"/>
  <c r="BE75" i="90" s="1"/>
  <c r="BD68" i="90"/>
  <c r="BD75" i="90" s="1"/>
  <c r="BC68" i="90"/>
  <c r="BC75" i="90" s="1"/>
  <c r="BB68" i="90"/>
  <c r="BB75" i="90" s="1"/>
  <c r="BA68" i="90"/>
  <c r="AZ68" i="90"/>
  <c r="AI68" i="90"/>
  <c r="AH68" i="90"/>
  <c r="AI67" i="90"/>
  <c r="AH67" i="90"/>
  <c r="AI66" i="90"/>
  <c r="AH66" i="90"/>
  <c r="AI65" i="90"/>
  <c r="AH65" i="90"/>
  <c r="AI64" i="90"/>
  <c r="AH64" i="90"/>
  <c r="AI63" i="90"/>
  <c r="AH63" i="90"/>
  <c r="AG62" i="90"/>
  <c r="AF62" i="90"/>
  <c r="AE62" i="90"/>
  <c r="AD62" i="90"/>
  <c r="AC62" i="90"/>
  <c r="AB62" i="90"/>
  <c r="S62" i="90"/>
  <c r="R62" i="90"/>
  <c r="Q62" i="90"/>
  <c r="P62" i="90"/>
  <c r="AX17" i="90" s="1"/>
  <c r="O62" i="90"/>
  <c r="AW17" i="90" s="1"/>
  <c r="N62" i="90"/>
  <c r="AV17" i="90" s="1"/>
  <c r="M62" i="90"/>
  <c r="L62" i="90"/>
  <c r="K62" i="90"/>
  <c r="AT17" i="90" s="1"/>
  <c r="J62" i="90"/>
  <c r="I62" i="90"/>
  <c r="AS17" i="90" s="1"/>
  <c r="H62" i="90"/>
  <c r="G62" i="90"/>
  <c r="F62" i="90"/>
  <c r="AQ17" i="90" s="1"/>
  <c r="E62" i="90"/>
  <c r="AP17" i="90" s="1"/>
  <c r="D62" i="90"/>
  <c r="C62" i="90"/>
  <c r="B62" i="90"/>
  <c r="AI61" i="90"/>
  <c r="AH61" i="90"/>
  <c r="AI60" i="90"/>
  <c r="AH60" i="90"/>
  <c r="AI59" i="90"/>
  <c r="AH59" i="90"/>
  <c r="AG58" i="90"/>
  <c r="AF58" i="90"/>
  <c r="AE58" i="90"/>
  <c r="AD58" i="90"/>
  <c r="AC58" i="90"/>
  <c r="AB58" i="90"/>
  <c r="AA7" i="90"/>
  <c r="Z7" i="90"/>
  <c r="X7" i="90"/>
  <c r="S58" i="90"/>
  <c r="R58" i="90"/>
  <c r="Q58" i="90"/>
  <c r="P58" i="90"/>
  <c r="O58" i="90"/>
  <c r="N58" i="90"/>
  <c r="AV16" i="90" s="1"/>
  <c r="M58" i="90"/>
  <c r="AU16" i="90" s="1"/>
  <c r="L58" i="90"/>
  <c r="K58" i="90"/>
  <c r="J58" i="90"/>
  <c r="I58" i="90"/>
  <c r="H58" i="90"/>
  <c r="G58" i="90"/>
  <c r="F58" i="90"/>
  <c r="E58" i="90"/>
  <c r="D58" i="90"/>
  <c r="AO16" i="90" s="1"/>
  <c r="C58" i="90"/>
  <c r="B58" i="90"/>
  <c r="AM16" i="90" s="1"/>
  <c r="AI57" i="90"/>
  <c r="AH57" i="90"/>
  <c r="AI56" i="90"/>
  <c r="AH56" i="90"/>
  <c r="AI55" i="90"/>
  <c r="AH55" i="90"/>
  <c r="AI54" i="90"/>
  <c r="AH54" i="90"/>
  <c r="AI53" i="90"/>
  <c r="AH53" i="90"/>
  <c r="AI52" i="90"/>
  <c r="AH52" i="90"/>
  <c r="AI51" i="90"/>
  <c r="AH51" i="90"/>
  <c r="AI50" i="90"/>
  <c r="AH50" i="90"/>
  <c r="AI49" i="90"/>
  <c r="AH49" i="90"/>
  <c r="AI48" i="90"/>
  <c r="AH48" i="90"/>
  <c r="AI47" i="90"/>
  <c r="AH47" i="90"/>
  <c r="AI46" i="90"/>
  <c r="AH46" i="90"/>
  <c r="AI45" i="90"/>
  <c r="AH45" i="90"/>
  <c r="AI44" i="90"/>
  <c r="AH44" i="90"/>
  <c r="AI43" i="90"/>
  <c r="AH43" i="90"/>
  <c r="AI42" i="90"/>
  <c r="AH42" i="90"/>
  <c r="AI41" i="90"/>
  <c r="AH41" i="90"/>
  <c r="AI40" i="90"/>
  <c r="AH40" i="90"/>
  <c r="AI39" i="90"/>
  <c r="AH39" i="90"/>
  <c r="AI38" i="90"/>
  <c r="AH38" i="90"/>
  <c r="AI37" i="90"/>
  <c r="AH37" i="90"/>
  <c r="AI36" i="90"/>
  <c r="AH36" i="90"/>
  <c r="AI35" i="90"/>
  <c r="AH35" i="90"/>
  <c r="AI34" i="90"/>
  <c r="AH34" i="90"/>
  <c r="AI33" i="90"/>
  <c r="AH33" i="90"/>
  <c r="AI32" i="90"/>
  <c r="AH32" i="90"/>
  <c r="AI31" i="90"/>
  <c r="AH31" i="90"/>
  <c r="AI30" i="90"/>
  <c r="AH30" i="90"/>
  <c r="AI29" i="90"/>
  <c r="AH29" i="90"/>
  <c r="AI28" i="90"/>
  <c r="AH28" i="90"/>
  <c r="AI27" i="90"/>
  <c r="AH27" i="90"/>
  <c r="AI26" i="90"/>
  <c r="AH26" i="90"/>
  <c r="AI25" i="90"/>
  <c r="AH25" i="90"/>
  <c r="AI24" i="90"/>
  <c r="AH24" i="90"/>
  <c r="AI23" i="90"/>
  <c r="AH23" i="90"/>
  <c r="AI22" i="90"/>
  <c r="AH22" i="90"/>
  <c r="AX21" i="90"/>
  <c r="AW21" i="90"/>
  <c r="AV21" i="90"/>
  <c r="AU21" i="90"/>
  <c r="AT21" i="90"/>
  <c r="AS21" i="90"/>
  <c r="AR21" i="90"/>
  <c r="AQ21" i="90"/>
  <c r="AP21" i="90"/>
  <c r="AO21" i="90"/>
  <c r="AN21" i="90"/>
  <c r="AM21" i="90"/>
  <c r="AI21" i="90"/>
  <c r="AH21" i="90"/>
  <c r="AX20" i="90"/>
  <c r="AW20" i="90"/>
  <c r="AV20" i="90"/>
  <c r="AU20" i="90"/>
  <c r="AT20" i="90"/>
  <c r="AQ20" i="90"/>
  <c r="AP20" i="90"/>
  <c r="AO20" i="90"/>
  <c r="AN20" i="90"/>
  <c r="AI20" i="90"/>
  <c r="AH20" i="90"/>
  <c r="AI19" i="90"/>
  <c r="AH19" i="90"/>
  <c r="AR18" i="90"/>
  <c r="AO18" i="90"/>
  <c r="AI18" i="90"/>
  <c r="AH18" i="90"/>
  <c r="AU17" i="90"/>
  <c r="AR17" i="90"/>
  <c r="AO17" i="90"/>
  <c r="AN17" i="90"/>
  <c r="AI17" i="90"/>
  <c r="AH17" i="90"/>
  <c r="AW16" i="90"/>
  <c r="AT16" i="90"/>
  <c r="AS16" i="90"/>
  <c r="AP16" i="90"/>
  <c r="AN16" i="90"/>
  <c r="AI16" i="90"/>
  <c r="AH16" i="90"/>
  <c r="AI15" i="90"/>
  <c r="AH15" i="90"/>
  <c r="AI14" i="90"/>
  <c r="AH14" i="90"/>
  <c r="AI13" i="90"/>
  <c r="AH13" i="90"/>
  <c r="AL12" i="90"/>
  <c r="AI12" i="90"/>
  <c r="AH12" i="90"/>
  <c r="AI11" i="90"/>
  <c r="AH11" i="90"/>
  <c r="AB5" i="90"/>
  <c r="Z5" i="90"/>
  <c r="W5" i="90"/>
  <c r="V5" i="90"/>
  <c r="U5" i="90"/>
  <c r="T5" i="90"/>
  <c r="S5" i="90"/>
  <c r="F5" i="90"/>
  <c r="K4" i="90"/>
  <c r="E4" i="90"/>
  <c r="H4" i="90" s="1"/>
  <c r="B4" i="90"/>
  <c r="D258" i="90" s="1"/>
  <c r="AG2" i="90"/>
  <c r="AF123" i="89"/>
  <c r="AE123" i="89"/>
  <c r="AD123" i="89"/>
  <c r="AF97" i="90" l="1"/>
  <c r="AF99" i="90" s="1"/>
  <c r="AF100" i="90" s="1"/>
  <c r="AF7" i="90" s="1"/>
  <c r="AE97" i="90"/>
  <c r="AE99" i="90" s="1"/>
  <c r="AD108" i="90"/>
  <c r="AD97" i="90"/>
  <c r="AD99" i="90" s="1"/>
  <c r="AD100" i="90" s="1"/>
  <c r="AD7" i="90" s="1"/>
  <c r="AC97" i="90"/>
  <c r="AC99" i="90" s="1"/>
  <c r="AB107" i="90"/>
  <c r="AB108" i="90" s="1"/>
  <c r="S107" i="90"/>
  <c r="S108" i="90" s="1"/>
  <c r="S97" i="90"/>
  <c r="S99" i="90" s="1"/>
  <c r="S100" i="90" s="1"/>
  <c r="S7" i="90" s="1"/>
  <c r="R107" i="90"/>
  <c r="R108" i="90" s="1"/>
  <c r="R97" i="90"/>
  <c r="R99" i="90" s="1"/>
  <c r="R100" i="90" s="1"/>
  <c r="R7" i="90" s="1"/>
  <c r="Q107" i="90"/>
  <c r="P107" i="90"/>
  <c r="AX23" i="90" s="1"/>
  <c r="P97" i="90"/>
  <c r="P99" i="90" s="1"/>
  <c r="P100" i="90" s="1"/>
  <c r="P7" i="90" s="1"/>
  <c r="AX16" i="90"/>
  <c r="AW19" i="90"/>
  <c r="O97" i="90"/>
  <c r="O99" i="90" s="1"/>
  <c r="M5" i="90"/>
  <c r="L5" i="90"/>
  <c r="AU22" i="90"/>
  <c r="L107" i="90"/>
  <c r="L108" i="90" s="1"/>
  <c r="K107" i="90"/>
  <c r="AT23" i="90" s="1"/>
  <c r="J5" i="90"/>
  <c r="AT22" i="90"/>
  <c r="AT24" i="90" s="1"/>
  <c r="K97" i="90"/>
  <c r="K99" i="90" s="1"/>
  <c r="K100" i="90" s="1"/>
  <c r="K7" i="90" s="1"/>
  <c r="J107" i="90"/>
  <c r="J108" i="90"/>
  <c r="J97" i="90"/>
  <c r="J99" i="90" s="1"/>
  <c r="J100" i="90" s="1"/>
  <c r="J7" i="90" s="1"/>
  <c r="I107" i="90"/>
  <c r="AS23" i="90" s="1"/>
  <c r="H107" i="90"/>
  <c r="H97" i="90"/>
  <c r="H99" i="90" s="1"/>
  <c r="G97" i="90"/>
  <c r="G99" i="90" s="1"/>
  <c r="E5" i="90"/>
  <c r="F97" i="90"/>
  <c r="F99" i="90" s="1"/>
  <c r="D5" i="90"/>
  <c r="AI62" i="90"/>
  <c r="E97" i="90"/>
  <c r="E99" i="90" s="1"/>
  <c r="AO19" i="90"/>
  <c r="D107" i="90"/>
  <c r="AI103" i="90"/>
  <c r="AN19" i="90"/>
  <c r="AN22" i="90" s="1"/>
  <c r="C107" i="90"/>
  <c r="AN23" i="90" s="1"/>
  <c r="C97" i="90"/>
  <c r="C99" i="90" s="1"/>
  <c r="C100" i="90" s="1"/>
  <c r="C7" i="90" s="1"/>
  <c r="AH76" i="90"/>
  <c r="AO22" i="90"/>
  <c r="AM17" i="90"/>
  <c r="AH104" i="90"/>
  <c r="BG84" i="90" a="1"/>
  <c r="BJ100" i="90" s="1"/>
  <c r="AI102" i="90"/>
  <c r="AH103" i="90"/>
  <c r="AP22" i="90"/>
  <c r="H108" i="90"/>
  <c r="P108" i="90"/>
  <c r="AF108" i="90"/>
  <c r="AW22" i="90"/>
  <c r="AU24" i="90"/>
  <c r="U7" i="90"/>
  <c r="AS22" i="90"/>
  <c r="AS24" i="90" s="1"/>
  <c r="AV22" i="90"/>
  <c r="H100" i="90"/>
  <c r="H7" i="90" s="1"/>
  <c r="AQ16" i="90"/>
  <c r="AQ22" i="90" s="1"/>
  <c r="AM18" i="90"/>
  <c r="AM22" i="90" s="1"/>
  <c r="AI76" i="90"/>
  <c r="AH80" i="90"/>
  <c r="AI92" i="90"/>
  <c r="AH101" i="90"/>
  <c r="H5" i="90"/>
  <c r="AF5" i="90"/>
  <c r="AR16" i="90"/>
  <c r="AR22" i="90" s="1"/>
  <c r="AX19" i="90"/>
  <c r="I97" i="90"/>
  <c r="I99" i="90" s="1"/>
  <c r="I100" i="90" s="1"/>
  <c r="I7" i="90" s="1"/>
  <c r="Q97" i="90"/>
  <c r="Q99" i="90" s="1"/>
  <c r="Q100" i="90" s="1"/>
  <c r="Q7" i="90" s="1"/>
  <c r="Y7" i="90"/>
  <c r="AG97" i="90"/>
  <c r="AI80" i="90"/>
  <c r="AI101" i="90"/>
  <c r="AH102" i="90"/>
  <c r="B107" i="90"/>
  <c r="B108" i="90" s="1"/>
  <c r="AH92" i="90"/>
  <c r="I5" i="90"/>
  <c r="Q5" i="90"/>
  <c r="Y5" i="90"/>
  <c r="AH62" i="90"/>
  <c r="B97" i="90"/>
  <c r="M97" i="90"/>
  <c r="M99" i="90" s="1"/>
  <c r="AI104" i="90"/>
  <c r="AI105" i="90"/>
  <c r="N108" i="90"/>
  <c r="N97" i="90"/>
  <c r="N99" i="90" s="1"/>
  <c r="AH58" i="90"/>
  <c r="AI58" i="90"/>
  <c r="D97" i="90"/>
  <c r="D99" i="90" s="1"/>
  <c r="L97" i="90"/>
  <c r="L99" i="90" s="1"/>
  <c r="L100" i="90" s="1"/>
  <c r="L7" i="90" s="1"/>
  <c r="T7" i="90"/>
  <c r="AB97" i="90"/>
  <c r="AB99" i="90" s="1"/>
  <c r="AB100" i="90" s="1"/>
  <c r="AB7" i="90" s="1"/>
  <c r="E107" i="90"/>
  <c r="AP23" i="90" s="1"/>
  <c r="M107" i="90"/>
  <c r="AU23" i="90" s="1"/>
  <c r="AC107" i="90"/>
  <c r="AC100" i="90" s="1"/>
  <c r="AC7" i="90" s="1"/>
  <c r="G246" i="90"/>
  <c r="F252" i="90"/>
  <c r="F118" i="90"/>
  <c r="AL13" i="90"/>
  <c r="F107" i="90"/>
  <c r="AQ23" i="90" s="1"/>
  <c r="N107" i="90"/>
  <c r="AV23" i="90" s="1"/>
  <c r="V7" i="90"/>
  <c r="I108" i="90"/>
  <c r="Q108" i="90"/>
  <c r="G107" i="90"/>
  <c r="O107" i="90"/>
  <c r="AE107" i="90"/>
  <c r="AE108" i="90" s="1"/>
  <c r="D252" i="90"/>
  <c r="AH105" i="90"/>
  <c r="AX22" i="90" l="1"/>
  <c r="AX24" i="90" s="1"/>
  <c r="M108" i="90"/>
  <c r="K108" i="90"/>
  <c r="C256" i="90"/>
  <c r="G100" i="90"/>
  <c r="G7" i="90" s="1"/>
  <c r="AQ24" i="90"/>
  <c r="D100" i="90"/>
  <c r="D7" i="90" s="1"/>
  <c r="D108" i="90"/>
  <c r="AO23" i="90"/>
  <c r="AO24" i="90" s="1"/>
  <c r="AN24" i="90"/>
  <c r="C108" i="90"/>
  <c r="BH94" i="90"/>
  <c r="BH88" i="90"/>
  <c r="BG105" i="90"/>
  <c r="BJ93" i="90"/>
  <c r="BI84" i="90"/>
  <c r="BJ95" i="90"/>
  <c r="BK88" i="90"/>
  <c r="BG94" i="90"/>
  <c r="BJ99" i="90"/>
  <c r="BK99" i="90"/>
  <c r="BK106" i="90"/>
  <c r="BL93" i="90"/>
  <c r="BI88" i="90"/>
  <c r="BL99" i="90"/>
  <c r="BH105" i="90"/>
  <c r="BK103" i="90"/>
  <c r="BJ107" i="90"/>
  <c r="BK86" i="90"/>
  <c r="BL98" i="90"/>
  <c r="BH97" i="90"/>
  <c r="BG101" i="90"/>
  <c r="BJ106" i="90"/>
  <c r="BG97" i="90"/>
  <c r="BK87" i="90"/>
  <c r="BJ91" i="90"/>
  <c r="BG92" i="90"/>
  <c r="BL101" i="90"/>
  <c r="BK100" i="90"/>
  <c r="BG99" i="90"/>
  <c r="BL102" i="90"/>
  <c r="BJ85" i="90"/>
  <c r="BK85" i="90"/>
  <c r="BJ89" i="90"/>
  <c r="BH93" i="90"/>
  <c r="BI93" i="90"/>
  <c r="BJ104" i="90"/>
  <c r="BG106" i="90"/>
  <c r="BJ102" i="90"/>
  <c r="BI106" i="90"/>
  <c r="BG89" i="90"/>
  <c r="BH89" i="90"/>
  <c r="BG93" i="90"/>
  <c r="BL96" i="90"/>
  <c r="BG96" i="90"/>
  <c r="BK107" i="90"/>
  <c r="BI104" i="90"/>
  <c r="BH85" i="90"/>
  <c r="BL90" i="90"/>
  <c r="BG91" i="90"/>
  <c r="BL94" i="90"/>
  <c r="BJ98" i="90"/>
  <c r="BI97" i="90"/>
  <c r="BL84" i="90"/>
  <c r="BL86" i="90"/>
  <c r="BI92" i="90"/>
  <c r="BG98" i="90"/>
  <c r="BH98" i="90"/>
  <c r="BG102" i="90"/>
  <c r="BK105" i="90"/>
  <c r="BG104" i="90"/>
  <c r="BG90" i="90"/>
  <c r="BH90" i="90"/>
  <c r="BH92" i="90"/>
  <c r="BK97" i="90"/>
  <c r="BI103" i="90"/>
  <c r="BJ103" i="90"/>
  <c r="BI107" i="90"/>
  <c r="BI85" i="90"/>
  <c r="BH91" i="90"/>
  <c r="BI95" i="90"/>
  <c r="BJ86" i="90"/>
  <c r="BL100" i="90"/>
  <c r="BI90" i="90"/>
  <c r="BK104" i="90"/>
  <c r="BL95" i="90"/>
  <c r="BI87" i="90"/>
  <c r="BJ101" i="90"/>
  <c r="BJ87" i="90"/>
  <c r="BK101" i="90"/>
  <c r="BI91" i="90"/>
  <c r="BJ105" i="90"/>
  <c r="BG95" i="90"/>
  <c r="BG84" i="90"/>
  <c r="BK94" i="90"/>
  <c r="BI105" i="90"/>
  <c r="BJ92" i="90"/>
  <c r="BH103" i="90"/>
  <c r="BJ84" i="90"/>
  <c r="BH95" i="90"/>
  <c r="BL105" i="90"/>
  <c r="BI102" i="90"/>
  <c r="BL91" i="90"/>
  <c r="BH106" i="90"/>
  <c r="BK95" i="90"/>
  <c r="BG87" i="90"/>
  <c r="BH101" i="90"/>
  <c r="BK92" i="90"/>
  <c r="BL106" i="90"/>
  <c r="BL92" i="90"/>
  <c r="BG107" i="90"/>
  <c r="BK96" i="90"/>
  <c r="BH86" i="90"/>
  <c r="BI100" i="90"/>
  <c r="BG88" i="90"/>
  <c r="BK98" i="90"/>
  <c r="BL85" i="90"/>
  <c r="BJ96" i="90"/>
  <c r="BH107" i="90"/>
  <c r="BK84" i="90"/>
  <c r="BH104" i="90"/>
  <c r="BK93" i="90"/>
  <c r="BL107" i="90"/>
  <c r="BJ97" i="90"/>
  <c r="BL88" i="90"/>
  <c r="BG103" i="90"/>
  <c r="BI94" i="90"/>
  <c r="BI86" i="90"/>
  <c r="BJ94" i="90"/>
  <c r="BH84" i="90"/>
  <c r="BI98" i="90"/>
  <c r="BL87" i="90"/>
  <c r="BH102" i="90"/>
  <c r="BI89" i="90"/>
  <c r="BG100" i="90"/>
  <c r="BH87" i="90"/>
  <c r="BL97" i="90"/>
  <c r="BG85" i="90"/>
  <c r="BI99" i="90"/>
  <c r="BJ90" i="90"/>
  <c r="BL104" i="90"/>
  <c r="BH96" i="90"/>
  <c r="BK91" i="90"/>
  <c r="BI96" i="90"/>
  <c r="BG86" i="90"/>
  <c r="BH100" i="90"/>
  <c r="BK89" i="90"/>
  <c r="BL103" i="90"/>
  <c r="BK90" i="90"/>
  <c r="BI101" i="90"/>
  <c r="BJ88" i="90"/>
  <c r="BH99" i="90"/>
  <c r="BK102" i="90"/>
  <c r="BL89" i="90"/>
  <c r="AT8" i="90"/>
  <c r="O108" i="90"/>
  <c r="AW23" i="90"/>
  <c r="AW24" i="90" s="1"/>
  <c r="AR23" i="90"/>
  <c r="AR24" i="90" s="1"/>
  <c r="G108" i="90"/>
  <c r="F108" i="90"/>
  <c r="E108" i="90"/>
  <c r="E100" i="90"/>
  <c r="E7" i="90" s="1"/>
  <c r="AV24" i="90"/>
  <c r="H246" i="90"/>
  <c r="G252" i="90"/>
  <c r="G118" i="90"/>
  <c r="AE100" i="90"/>
  <c r="AE7" i="90" s="1"/>
  <c r="F100" i="90"/>
  <c r="F7" i="90" s="1"/>
  <c r="M100" i="90"/>
  <c r="M7" i="90" s="1"/>
  <c r="W7" i="90"/>
  <c r="B99" i="90"/>
  <c r="AI97" i="90"/>
  <c r="AH97" i="90"/>
  <c r="O100" i="90"/>
  <c r="O7" i="90" s="1"/>
  <c r="N100" i="90"/>
  <c r="N7" i="90" s="1"/>
  <c r="AC108" i="90"/>
  <c r="AI107" i="90"/>
  <c r="AM23" i="90"/>
  <c r="AM24" i="90" s="1"/>
  <c r="AH107" i="90"/>
  <c r="B256" i="90"/>
  <c r="AP24" i="90"/>
  <c r="K6" i="90" l="1"/>
  <c r="AI108" i="90"/>
  <c r="AT9" i="90"/>
  <c r="H252" i="90"/>
  <c r="H118" i="90"/>
  <c r="I246" i="90"/>
  <c r="AH99" i="90"/>
  <c r="B100" i="90"/>
  <c r="AI99" i="90"/>
  <c r="AH108" i="90"/>
  <c r="B7" i="90" l="1"/>
  <c r="A7" i="90" s="1"/>
  <c r="AI100" i="90"/>
  <c r="AH100" i="90"/>
  <c r="I252" i="90"/>
  <c r="I118" i="90"/>
  <c r="J246" i="90"/>
  <c r="J252" i="90" l="1"/>
  <c r="J118" i="90"/>
  <c r="K246" i="90"/>
  <c r="K252" i="90" l="1"/>
  <c r="K118" i="90"/>
  <c r="L246" i="90"/>
  <c r="M246" i="90" l="1"/>
  <c r="L252" i="90"/>
  <c r="L118" i="90"/>
  <c r="N246" i="90" l="1"/>
  <c r="M252" i="90"/>
  <c r="M118" i="90"/>
  <c r="O246" i="90" l="1"/>
  <c r="N252" i="90"/>
  <c r="N118" i="90"/>
  <c r="P246" i="90" l="1"/>
  <c r="O252" i="90"/>
  <c r="O118" i="90"/>
  <c r="P252" i="90" l="1"/>
  <c r="Q246" i="90"/>
  <c r="Q252" i="90" l="1"/>
  <c r="Q118" i="90"/>
  <c r="R246" i="90"/>
  <c r="R252" i="90" l="1"/>
  <c r="R118" i="90"/>
  <c r="S246" i="90"/>
  <c r="S252" i="90" l="1"/>
  <c r="S118" i="90"/>
  <c r="T246" i="90"/>
  <c r="U246" i="90" l="1"/>
  <c r="T252" i="90"/>
  <c r="V246" i="90" l="1"/>
  <c r="U252" i="90"/>
  <c r="W246" i="90" l="1"/>
  <c r="V252" i="90"/>
  <c r="X246" i="90" l="1"/>
  <c r="W252" i="90"/>
  <c r="X252" i="90" l="1"/>
  <c r="Y246" i="90"/>
  <c r="Y252" i="90" l="1"/>
  <c r="Z246" i="90"/>
  <c r="Z252" i="90" l="1"/>
  <c r="AA246" i="90"/>
  <c r="AA252" i="90" l="1"/>
  <c r="AB246" i="90"/>
  <c r="AB118" i="90" l="1"/>
  <c r="AC246" i="90"/>
  <c r="AB252" i="90"/>
  <c r="AD246" i="90" l="1"/>
  <c r="AC252" i="90"/>
  <c r="AC118" i="90"/>
  <c r="AE246" i="90" l="1"/>
  <c r="AD252" i="90"/>
  <c r="AD118" i="90"/>
  <c r="AF246" i="90" l="1"/>
  <c r="AE252" i="90"/>
  <c r="AE118" i="90"/>
  <c r="AF252" i="90" l="1"/>
  <c r="AF118" i="90"/>
  <c r="B246" i="90"/>
  <c r="B252" i="90" l="1"/>
  <c r="B118" i="90"/>
  <c r="AI118" i="90" l="1"/>
  <c r="AH118" i="90"/>
  <c r="AC123" i="89" l="1"/>
  <c r="AB123" i="89"/>
  <c r="AA123" i="89"/>
  <c r="Z123" i="89"/>
  <c r="Y123" i="89" l="1"/>
  <c r="X123" i="89"/>
  <c r="W123" i="89"/>
  <c r="BW73" i="79"/>
  <c r="BW80" i="79" s="1"/>
  <c r="BV73" i="79"/>
  <c r="BV80" i="79" s="1"/>
  <c r="BU73" i="79"/>
  <c r="BU80" i="79" s="1"/>
  <c r="BT73" i="79"/>
  <c r="BT80" i="79" s="1"/>
  <c r="BS73" i="79"/>
  <c r="BS80" i="79" s="1"/>
  <c r="BR73" i="79"/>
  <c r="BR80" i="79" s="1"/>
  <c r="BQ73" i="79"/>
  <c r="BQ80" i="79" s="1"/>
  <c r="BP73" i="79"/>
  <c r="BP80" i="79" s="1"/>
  <c r="BO73" i="79"/>
  <c r="BO80" i="79" s="1"/>
  <c r="BN73" i="79"/>
  <c r="BN80" i="79" s="1"/>
  <c r="BM73" i="79"/>
  <c r="BM80" i="79" s="1"/>
  <c r="BL73" i="79"/>
  <c r="BL80" i="79" s="1"/>
  <c r="BK73" i="79"/>
  <c r="BK80" i="79" s="1"/>
  <c r="BJ73" i="79"/>
  <c r="BJ80" i="79" s="1"/>
  <c r="BI73" i="79"/>
  <c r="BI80" i="79" s="1"/>
  <c r="BH73" i="79"/>
  <c r="BH80" i="79" s="1"/>
  <c r="BG73" i="79"/>
  <c r="BG80" i="79" s="1"/>
  <c r="BF73" i="79"/>
  <c r="BF80" i="79" s="1"/>
  <c r="BE73" i="79"/>
  <c r="BE80" i="79" s="1"/>
  <c r="BD73" i="79"/>
  <c r="BD80" i="79" s="1"/>
  <c r="BC73" i="79"/>
  <c r="BC80" i="79" s="1"/>
  <c r="BB73" i="79"/>
  <c r="BB80" i="79" s="1"/>
  <c r="BA73" i="79"/>
  <c r="BA80" i="79" s="1"/>
  <c r="AZ73" i="79"/>
  <c r="AZ80" i="79" s="1"/>
  <c r="BW72" i="79"/>
  <c r="BW79" i="79" s="1"/>
  <c r="BV72" i="79"/>
  <c r="BV79" i="79" s="1"/>
  <c r="BU72" i="79"/>
  <c r="BU79" i="79" s="1"/>
  <c r="BT72" i="79"/>
  <c r="BT79" i="79" s="1"/>
  <c r="BS72" i="79"/>
  <c r="BS79" i="79" s="1"/>
  <c r="BR72" i="79"/>
  <c r="BR79" i="79" s="1"/>
  <c r="BQ72" i="79"/>
  <c r="BQ79" i="79" s="1"/>
  <c r="BP72" i="79"/>
  <c r="BP79" i="79" s="1"/>
  <c r="BO72" i="79"/>
  <c r="BO79" i="79" s="1"/>
  <c r="BN72" i="79"/>
  <c r="BN79" i="79" s="1"/>
  <c r="BM72" i="79"/>
  <c r="BM79" i="79" s="1"/>
  <c r="BL72" i="79"/>
  <c r="BL79" i="79" s="1"/>
  <c r="BK72" i="79"/>
  <c r="BK79" i="79" s="1"/>
  <c r="BJ72" i="79"/>
  <c r="BJ79" i="79" s="1"/>
  <c r="BI72" i="79"/>
  <c r="BI79" i="79" s="1"/>
  <c r="BH72" i="79"/>
  <c r="BH79" i="79" s="1"/>
  <c r="BG72" i="79"/>
  <c r="BG79" i="79" s="1"/>
  <c r="BF72" i="79"/>
  <c r="BF79" i="79" s="1"/>
  <c r="BE72" i="79"/>
  <c r="BE79" i="79" s="1"/>
  <c r="BD72" i="79"/>
  <c r="BD79" i="79" s="1"/>
  <c r="BC72" i="79"/>
  <c r="BC79" i="79" s="1"/>
  <c r="BB72" i="79"/>
  <c r="BB79" i="79" s="1"/>
  <c r="BA72" i="79"/>
  <c r="BA79" i="79" s="1"/>
  <c r="AZ72" i="79"/>
  <c r="AZ79" i="79" s="1"/>
  <c r="BW71" i="79"/>
  <c r="BW78" i="79" s="1"/>
  <c r="BV71" i="79"/>
  <c r="BV78" i="79" s="1"/>
  <c r="BU71" i="79"/>
  <c r="BU78" i="79" s="1"/>
  <c r="BT71" i="79"/>
  <c r="BT78" i="79" s="1"/>
  <c r="BS71" i="79"/>
  <c r="BS78" i="79" s="1"/>
  <c r="BR71" i="79"/>
  <c r="BR78" i="79" s="1"/>
  <c r="BQ71" i="79"/>
  <c r="BQ78" i="79" s="1"/>
  <c r="BP71" i="79"/>
  <c r="BP78" i="79" s="1"/>
  <c r="BO71" i="79"/>
  <c r="BO78" i="79" s="1"/>
  <c r="BN71" i="79"/>
  <c r="BN78" i="79" s="1"/>
  <c r="BM71" i="79"/>
  <c r="BM78" i="79" s="1"/>
  <c r="BL71" i="79"/>
  <c r="BL78" i="79" s="1"/>
  <c r="BK71" i="79"/>
  <c r="BK78" i="79" s="1"/>
  <c r="BJ71" i="79"/>
  <c r="BJ78" i="79" s="1"/>
  <c r="BI71" i="79"/>
  <c r="BI78" i="79" s="1"/>
  <c r="BH71" i="79"/>
  <c r="BH78" i="79" s="1"/>
  <c r="BG71" i="79"/>
  <c r="BG78" i="79" s="1"/>
  <c r="BF71" i="79"/>
  <c r="BF78" i="79" s="1"/>
  <c r="BE71" i="79"/>
  <c r="BE78" i="79" s="1"/>
  <c r="BD71" i="79"/>
  <c r="BD78" i="79" s="1"/>
  <c r="BC71" i="79"/>
  <c r="BC78" i="79" s="1"/>
  <c r="BB71" i="79"/>
  <c r="BB78" i="79" s="1"/>
  <c r="BA71" i="79"/>
  <c r="BA78" i="79" s="1"/>
  <c r="AZ71" i="79"/>
  <c r="AZ78" i="79" s="1"/>
  <c r="BW70" i="79"/>
  <c r="BW77" i="79" s="1"/>
  <c r="BV70" i="79"/>
  <c r="BV77" i="79" s="1"/>
  <c r="BU70" i="79"/>
  <c r="BU77" i="79" s="1"/>
  <c r="BT70" i="79"/>
  <c r="BT77" i="79" s="1"/>
  <c r="BS70" i="79"/>
  <c r="BS77" i="79" s="1"/>
  <c r="BR70" i="79"/>
  <c r="BR77" i="79" s="1"/>
  <c r="BQ70" i="79"/>
  <c r="BQ77" i="79" s="1"/>
  <c r="BP70" i="79"/>
  <c r="BP77" i="79" s="1"/>
  <c r="BO70" i="79"/>
  <c r="BO77" i="79" s="1"/>
  <c r="BN70" i="79"/>
  <c r="BN77" i="79" s="1"/>
  <c r="BM70" i="79"/>
  <c r="BM77" i="79" s="1"/>
  <c r="BL70" i="79"/>
  <c r="BL77" i="79" s="1"/>
  <c r="BK70" i="79"/>
  <c r="BK77" i="79" s="1"/>
  <c r="BJ70" i="79"/>
  <c r="BJ77" i="79" s="1"/>
  <c r="BI70" i="79"/>
  <c r="BI77" i="79" s="1"/>
  <c r="BH70" i="79"/>
  <c r="BH77" i="79" s="1"/>
  <c r="BG70" i="79"/>
  <c r="BG77" i="79" s="1"/>
  <c r="BF70" i="79"/>
  <c r="BF77" i="79" s="1"/>
  <c r="BE70" i="79"/>
  <c r="BE77" i="79" s="1"/>
  <c r="BD70" i="79"/>
  <c r="BD77" i="79" s="1"/>
  <c r="BC70" i="79"/>
  <c r="BC77" i="79" s="1"/>
  <c r="BB70" i="79"/>
  <c r="BB77" i="79" s="1"/>
  <c r="BA70" i="79"/>
  <c r="BA77" i="79" s="1"/>
  <c r="AZ70" i="79"/>
  <c r="AZ77" i="79" s="1"/>
  <c r="BW69" i="79"/>
  <c r="BW76" i="79" s="1"/>
  <c r="BV69" i="79"/>
  <c r="BV76" i="79" s="1"/>
  <c r="BU69" i="79"/>
  <c r="BU76" i="79" s="1"/>
  <c r="BT69" i="79"/>
  <c r="BT76" i="79" s="1"/>
  <c r="BS69" i="79"/>
  <c r="BS76" i="79" s="1"/>
  <c r="BR69" i="79"/>
  <c r="BR76" i="79" s="1"/>
  <c r="BQ69" i="79"/>
  <c r="BQ76" i="79" s="1"/>
  <c r="BP69" i="79"/>
  <c r="BP76" i="79" s="1"/>
  <c r="BO69" i="79"/>
  <c r="BO76" i="79" s="1"/>
  <c r="BN69" i="79"/>
  <c r="BN76" i="79" s="1"/>
  <c r="BM69" i="79"/>
  <c r="BM76" i="79" s="1"/>
  <c r="BL69" i="79"/>
  <c r="BL76" i="79" s="1"/>
  <c r="BK69" i="79"/>
  <c r="BK76" i="79" s="1"/>
  <c r="BJ69" i="79"/>
  <c r="BJ76" i="79" s="1"/>
  <c r="BI69" i="79"/>
  <c r="BI76" i="79" s="1"/>
  <c r="BH69" i="79"/>
  <c r="BH76" i="79" s="1"/>
  <c r="BG69" i="79"/>
  <c r="BG76" i="79" s="1"/>
  <c r="BF69" i="79"/>
  <c r="BF76" i="79" s="1"/>
  <c r="BE69" i="79"/>
  <c r="BE76" i="79" s="1"/>
  <c r="BD69" i="79"/>
  <c r="BD76" i="79" s="1"/>
  <c r="BC69" i="79"/>
  <c r="BC76" i="79" s="1"/>
  <c r="BB69" i="79"/>
  <c r="BB76" i="79" s="1"/>
  <c r="BA69" i="79"/>
  <c r="BA76" i="79" s="1"/>
  <c r="AZ69" i="79"/>
  <c r="AZ76" i="79" s="1"/>
  <c r="BW68" i="79"/>
  <c r="BW75" i="79" s="1"/>
  <c r="BV68" i="79"/>
  <c r="BV75" i="79" s="1"/>
  <c r="BU68" i="79"/>
  <c r="BU75" i="79" s="1"/>
  <c r="BT68" i="79"/>
  <c r="BT75" i="79" s="1"/>
  <c r="BS68" i="79"/>
  <c r="BS75" i="79" s="1"/>
  <c r="BR68" i="79"/>
  <c r="BR75" i="79" s="1"/>
  <c r="BQ68" i="79"/>
  <c r="BQ75" i="79" s="1"/>
  <c r="BP68" i="79"/>
  <c r="BP75" i="79" s="1"/>
  <c r="BO68" i="79"/>
  <c r="BO75" i="79" s="1"/>
  <c r="BN68" i="79"/>
  <c r="BN75" i="79" s="1"/>
  <c r="BM68" i="79"/>
  <c r="BM75" i="79" s="1"/>
  <c r="BL68" i="79"/>
  <c r="BL75" i="79" s="1"/>
  <c r="BK68" i="79"/>
  <c r="BK75" i="79" s="1"/>
  <c r="BJ68" i="79"/>
  <c r="BJ75" i="79" s="1"/>
  <c r="BI68" i="79"/>
  <c r="BI75" i="79" s="1"/>
  <c r="BH68" i="79"/>
  <c r="BH75" i="79" s="1"/>
  <c r="BG68" i="79"/>
  <c r="BG75" i="79" s="1"/>
  <c r="BF68" i="79"/>
  <c r="BF75" i="79" s="1"/>
  <c r="BE68" i="79"/>
  <c r="BE75" i="79" s="1"/>
  <c r="BD68" i="79"/>
  <c r="BD75" i="79" s="1"/>
  <c r="BC68" i="79"/>
  <c r="BC75" i="79" s="1"/>
  <c r="BB68" i="79"/>
  <c r="BB75" i="79" s="1"/>
  <c r="BA68" i="79"/>
  <c r="BA75" i="79" s="1"/>
  <c r="AZ68" i="79"/>
  <c r="BG84" i="79" s="1" a="1"/>
  <c r="BW73" i="89"/>
  <c r="BW80" i="89" s="1"/>
  <c r="BV73" i="89"/>
  <c r="BV80" i="89" s="1"/>
  <c r="BU73" i="89"/>
  <c r="BU80" i="89" s="1"/>
  <c r="BT73" i="89"/>
  <c r="BT80" i="89" s="1"/>
  <c r="BS73" i="89"/>
  <c r="BS80" i="89" s="1"/>
  <c r="BR73" i="89"/>
  <c r="BR80" i="89" s="1"/>
  <c r="BQ73" i="89"/>
  <c r="BQ80" i="89" s="1"/>
  <c r="BP73" i="89"/>
  <c r="BP80" i="89" s="1"/>
  <c r="BO73" i="89"/>
  <c r="BO80" i="89" s="1"/>
  <c r="BN73" i="89"/>
  <c r="BN80" i="89" s="1"/>
  <c r="BM73" i="89"/>
  <c r="BM80" i="89" s="1"/>
  <c r="BL73" i="89"/>
  <c r="BL80" i="89" s="1"/>
  <c r="BK73" i="89"/>
  <c r="BK80" i="89" s="1"/>
  <c r="BJ73" i="89"/>
  <c r="BJ80" i="89" s="1"/>
  <c r="BI73" i="89"/>
  <c r="BI80" i="89" s="1"/>
  <c r="BH73" i="89"/>
  <c r="BH80" i="89" s="1"/>
  <c r="BG73" i="89"/>
  <c r="BG80" i="89" s="1"/>
  <c r="BF73" i="89"/>
  <c r="BF80" i="89" s="1"/>
  <c r="BE73" i="89"/>
  <c r="BE80" i="89" s="1"/>
  <c r="BD73" i="89"/>
  <c r="BD80" i="89" s="1"/>
  <c r="BC73" i="89"/>
  <c r="BC80" i="89" s="1"/>
  <c r="BB73" i="89"/>
  <c r="BB80" i="89" s="1"/>
  <c r="BA73" i="89"/>
  <c r="BA80" i="89" s="1"/>
  <c r="AZ73" i="89"/>
  <c r="AZ80" i="89" s="1"/>
  <c r="BW72" i="89"/>
  <c r="BW79" i="89" s="1"/>
  <c r="BV72" i="89"/>
  <c r="BV79" i="89" s="1"/>
  <c r="BU72" i="89"/>
  <c r="BU79" i="89" s="1"/>
  <c r="BT72" i="89"/>
  <c r="BT79" i="89" s="1"/>
  <c r="BS72" i="89"/>
  <c r="BS79" i="89" s="1"/>
  <c r="BR72" i="89"/>
  <c r="BR79" i="89" s="1"/>
  <c r="BQ72" i="89"/>
  <c r="BQ79" i="89" s="1"/>
  <c r="BP72" i="89"/>
  <c r="BP79" i="89" s="1"/>
  <c r="BO72" i="89"/>
  <c r="BO79" i="89" s="1"/>
  <c r="BN72" i="89"/>
  <c r="BN79" i="89" s="1"/>
  <c r="BM72" i="89"/>
  <c r="BM79" i="89" s="1"/>
  <c r="BL72" i="89"/>
  <c r="BL79" i="89" s="1"/>
  <c r="BK72" i="89"/>
  <c r="BK79" i="89" s="1"/>
  <c r="BJ72" i="89"/>
  <c r="BJ79" i="89" s="1"/>
  <c r="BI72" i="89"/>
  <c r="BI79" i="89" s="1"/>
  <c r="BH72" i="89"/>
  <c r="BH79" i="89" s="1"/>
  <c r="BG72" i="89"/>
  <c r="BG79" i="89" s="1"/>
  <c r="BF72" i="89"/>
  <c r="BF79" i="89" s="1"/>
  <c r="BE72" i="89"/>
  <c r="BE79" i="89" s="1"/>
  <c r="BD72" i="89"/>
  <c r="BD79" i="89" s="1"/>
  <c r="BC72" i="89"/>
  <c r="BC79" i="89" s="1"/>
  <c r="BB72" i="89"/>
  <c r="BB79" i="89" s="1"/>
  <c r="BA72" i="89"/>
  <c r="BA79" i="89" s="1"/>
  <c r="AZ72" i="89"/>
  <c r="AZ79" i="89" s="1"/>
  <c r="BW71" i="89"/>
  <c r="BW78" i="89" s="1"/>
  <c r="BV71" i="89"/>
  <c r="BV78" i="89" s="1"/>
  <c r="BU71" i="89"/>
  <c r="BU78" i="89" s="1"/>
  <c r="BT71" i="89"/>
  <c r="BT78" i="89" s="1"/>
  <c r="BS71" i="89"/>
  <c r="BS78" i="89" s="1"/>
  <c r="BR71" i="89"/>
  <c r="BR78" i="89" s="1"/>
  <c r="BQ71" i="89"/>
  <c r="BQ78" i="89" s="1"/>
  <c r="BP71" i="89"/>
  <c r="BP78" i="89" s="1"/>
  <c r="BO71" i="89"/>
  <c r="BO78" i="89" s="1"/>
  <c r="BN71" i="89"/>
  <c r="BN78" i="89" s="1"/>
  <c r="BM71" i="89"/>
  <c r="BM78" i="89" s="1"/>
  <c r="BL71" i="89"/>
  <c r="BL78" i="89" s="1"/>
  <c r="BK71" i="89"/>
  <c r="BK78" i="89" s="1"/>
  <c r="BJ71" i="89"/>
  <c r="BJ78" i="89" s="1"/>
  <c r="BI71" i="89"/>
  <c r="BI78" i="89" s="1"/>
  <c r="BH71" i="89"/>
  <c r="BH78" i="89" s="1"/>
  <c r="BG71" i="89"/>
  <c r="BG78" i="89" s="1"/>
  <c r="BF71" i="89"/>
  <c r="BF78" i="89" s="1"/>
  <c r="BE71" i="89"/>
  <c r="BE78" i="89" s="1"/>
  <c r="BD71" i="89"/>
  <c r="BD78" i="89" s="1"/>
  <c r="BC71" i="89"/>
  <c r="BC78" i="89" s="1"/>
  <c r="BB71" i="89"/>
  <c r="BB78" i="89" s="1"/>
  <c r="BA71" i="89"/>
  <c r="BA78" i="89" s="1"/>
  <c r="AZ71" i="89"/>
  <c r="AZ78" i="89" s="1"/>
  <c r="BW70" i="89"/>
  <c r="BW77" i="89" s="1"/>
  <c r="BV70" i="89"/>
  <c r="BV77" i="89" s="1"/>
  <c r="BU70" i="89"/>
  <c r="BU77" i="89" s="1"/>
  <c r="BT70" i="89"/>
  <c r="BT77" i="89" s="1"/>
  <c r="BS70" i="89"/>
  <c r="BS77" i="89" s="1"/>
  <c r="BR70" i="89"/>
  <c r="BR77" i="89" s="1"/>
  <c r="BQ70" i="89"/>
  <c r="BQ77" i="89" s="1"/>
  <c r="BP70" i="89"/>
  <c r="BP77" i="89" s="1"/>
  <c r="BO70" i="89"/>
  <c r="BO77" i="89" s="1"/>
  <c r="BN70" i="89"/>
  <c r="BN77" i="89" s="1"/>
  <c r="BM70" i="89"/>
  <c r="BM77" i="89" s="1"/>
  <c r="BL70" i="89"/>
  <c r="BL77" i="89" s="1"/>
  <c r="BK70" i="89"/>
  <c r="BK77" i="89" s="1"/>
  <c r="BJ70" i="89"/>
  <c r="BJ77" i="89" s="1"/>
  <c r="BI70" i="89"/>
  <c r="BI77" i="89" s="1"/>
  <c r="BH70" i="89"/>
  <c r="BH77" i="89" s="1"/>
  <c r="BG70" i="89"/>
  <c r="BG77" i="89" s="1"/>
  <c r="BF70" i="89"/>
  <c r="BF77" i="89" s="1"/>
  <c r="BE70" i="89"/>
  <c r="BE77" i="89" s="1"/>
  <c r="BD70" i="89"/>
  <c r="BD77" i="89" s="1"/>
  <c r="BC70" i="89"/>
  <c r="BC77" i="89" s="1"/>
  <c r="BB70" i="89"/>
  <c r="BB77" i="89" s="1"/>
  <c r="BA70" i="89"/>
  <c r="BA77" i="89" s="1"/>
  <c r="AZ70" i="89"/>
  <c r="AZ77" i="89" s="1"/>
  <c r="BW69" i="89"/>
  <c r="BW76" i="89" s="1"/>
  <c r="BV69" i="89"/>
  <c r="BV76" i="89" s="1"/>
  <c r="BU69" i="89"/>
  <c r="BU76" i="89" s="1"/>
  <c r="BT69" i="89"/>
  <c r="BT76" i="89" s="1"/>
  <c r="BS69" i="89"/>
  <c r="BS76" i="89" s="1"/>
  <c r="BR69" i="89"/>
  <c r="BR76" i="89" s="1"/>
  <c r="BQ69" i="89"/>
  <c r="BQ76" i="89" s="1"/>
  <c r="BP69" i="89"/>
  <c r="BP76" i="89" s="1"/>
  <c r="BO69" i="89"/>
  <c r="BO76" i="89" s="1"/>
  <c r="BN69" i="89"/>
  <c r="BN76" i="89" s="1"/>
  <c r="BM69" i="89"/>
  <c r="BM76" i="89" s="1"/>
  <c r="BL69" i="89"/>
  <c r="BL76" i="89" s="1"/>
  <c r="BK69" i="89"/>
  <c r="BK76" i="89" s="1"/>
  <c r="BJ69" i="89"/>
  <c r="BJ76" i="89" s="1"/>
  <c r="BI69" i="89"/>
  <c r="BI76" i="89" s="1"/>
  <c r="BH69" i="89"/>
  <c r="BH76" i="89" s="1"/>
  <c r="BG69" i="89"/>
  <c r="BG76" i="89" s="1"/>
  <c r="BF69" i="89"/>
  <c r="BF76" i="89" s="1"/>
  <c r="BE69" i="89"/>
  <c r="BE76" i="89" s="1"/>
  <c r="BD69" i="89"/>
  <c r="BD76" i="89" s="1"/>
  <c r="BC69" i="89"/>
  <c r="BC76" i="89" s="1"/>
  <c r="BB69" i="89"/>
  <c r="BB76" i="89" s="1"/>
  <c r="BA69" i="89"/>
  <c r="BA76" i="89" s="1"/>
  <c r="AZ69" i="89"/>
  <c r="AZ76" i="89" s="1"/>
  <c r="BW68" i="89"/>
  <c r="BW75" i="89" s="1"/>
  <c r="BV68" i="89"/>
  <c r="BV75" i="89" s="1"/>
  <c r="BU68" i="89"/>
  <c r="BU75" i="89" s="1"/>
  <c r="BT68" i="89"/>
  <c r="BT75" i="89" s="1"/>
  <c r="BS68" i="89"/>
  <c r="BS75" i="89" s="1"/>
  <c r="BR68" i="89"/>
  <c r="BR75" i="89" s="1"/>
  <c r="BQ68" i="89"/>
  <c r="BQ75" i="89" s="1"/>
  <c r="BP68" i="89"/>
  <c r="BP75" i="89" s="1"/>
  <c r="BO68" i="89"/>
  <c r="BO75" i="89" s="1"/>
  <c r="BN68" i="89"/>
  <c r="BN75" i="89" s="1"/>
  <c r="BM68" i="89"/>
  <c r="BM75" i="89" s="1"/>
  <c r="BL68" i="89"/>
  <c r="BL75" i="89" s="1"/>
  <c r="BK68" i="89"/>
  <c r="BK75" i="89" s="1"/>
  <c r="BJ68" i="89"/>
  <c r="BJ75" i="89" s="1"/>
  <c r="BI68" i="89"/>
  <c r="BI75" i="89" s="1"/>
  <c r="BH68" i="89"/>
  <c r="BH75" i="89" s="1"/>
  <c r="BG68" i="89"/>
  <c r="BG75" i="89" s="1"/>
  <c r="BF68" i="89"/>
  <c r="BF75" i="89" s="1"/>
  <c r="BE68" i="89"/>
  <c r="BE75" i="89" s="1"/>
  <c r="BD68" i="89"/>
  <c r="BD75" i="89" s="1"/>
  <c r="BC68" i="89"/>
  <c r="BC75" i="89" s="1"/>
  <c r="BB68" i="89"/>
  <c r="BB75" i="89" s="1"/>
  <c r="BA68" i="89"/>
  <c r="BA75" i="89" s="1"/>
  <c r="AZ68" i="89"/>
  <c r="BG84" i="89" l="1" a="1"/>
  <c r="BJ98" i="89" s="1"/>
  <c r="BL107" i="79"/>
  <c r="BJ106" i="79"/>
  <c r="BH105" i="79"/>
  <c r="BL103" i="79"/>
  <c r="BJ102" i="79"/>
  <c r="BH101" i="79"/>
  <c r="BL99" i="79"/>
  <c r="BJ98" i="79"/>
  <c r="BH97" i="79"/>
  <c r="BL95" i="79"/>
  <c r="BJ94" i="79"/>
  <c r="BH93" i="79"/>
  <c r="BL91" i="79"/>
  <c r="BJ90" i="79"/>
  <c r="BH89" i="79"/>
  <c r="BL87" i="79"/>
  <c r="BJ86" i="79"/>
  <c r="BH85" i="79"/>
  <c r="BH100" i="79"/>
  <c r="BJ97" i="79"/>
  <c r="BL90" i="79"/>
  <c r="BJ85" i="79"/>
  <c r="BK107" i="79"/>
  <c r="BI106" i="79"/>
  <c r="BG105" i="79"/>
  <c r="BK103" i="79"/>
  <c r="BI102" i="79"/>
  <c r="BG101" i="79"/>
  <c r="BK99" i="79"/>
  <c r="BI98" i="79"/>
  <c r="BG97" i="79"/>
  <c r="BK95" i="79"/>
  <c r="BI94" i="79"/>
  <c r="BG93" i="79"/>
  <c r="BK91" i="79"/>
  <c r="BI90" i="79"/>
  <c r="BG89" i="79"/>
  <c r="BK87" i="79"/>
  <c r="BI86" i="79"/>
  <c r="BG85" i="79"/>
  <c r="BL102" i="79"/>
  <c r="BL94" i="79"/>
  <c r="BH88" i="79"/>
  <c r="BJ107" i="79"/>
  <c r="BH106" i="79"/>
  <c r="BL104" i="79"/>
  <c r="BJ103" i="79"/>
  <c r="BH102" i="79"/>
  <c r="BL100" i="79"/>
  <c r="BJ99" i="79"/>
  <c r="BH98" i="79"/>
  <c r="BL96" i="79"/>
  <c r="BJ95" i="79"/>
  <c r="BH94" i="79"/>
  <c r="BL92" i="79"/>
  <c r="BJ91" i="79"/>
  <c r="BH90" i="79"/>
  <c r="BL88" i="79"/>
  <c r="BJ87" i="79"/>
  <c r="BH86" i="79"/>
  <c r="BL84" i="79"/>
  <c r="BJ101" i="79"/>
  <c r="BI107" i="79"/>
  <c r="BG106" i="79"/>
  <c r="BK104" i="79"/>
  <c r="BI103" i="79"/>
  <c r="BG102" i="79"/>
  <c r="BK100" i="79"/>
  <c r="BI99" i="79"/>
  <c r="BG98" i="79"/>
  <c r="BK96" i="79"/>
  <c r="BI95" i="79"/>
  <c r="BG94" i="79"/>
  <c r="BK92" i="79"/>
  <c r="BI91" i="79"/>
  <c r="BG90" i="79"/>
  <c r="BK88" i="79"/>
  <c r="BI87" i="79"/>
  <c r="BG86" i="79"/>
  <c r="BK84" i="79"/>
  <c r="BH104" i="79"/>
  <c r="BJ93" i="79"/>
  <c r="BL86" i="79"/>
  <c r="BH107" i="79"/>
  <c r="BL105" i="79"/>
  <c r="BJ104" i="79"/>
  <c r="BH103" i="79"/>
  <c r="BL101" i="79"/>
  <c r="BJ100" i="79"/>
  <c r="BH99" i="79"/>
  <c r="BL97" i="79"/>
  <c r="BJ96" i="79"/>
  <c r="BH95" i="79"/>
  <c r="BL93" i="79"/>
  <c r="BJ92" i="79"/>
  <c r="BH91" i="79"/>
  <c r="BL89" i="79"/>
  <c r="BJ88" i="79"/>
  <c r="BH87" i="79"/>
  <c r="BL85" i="79"/>
  <c r="BJ84" i="79"/>
  <c r="BJ105" i="79"/>
  <c r="BH96" i="79"/>
  <c r="BJ89" i="79"/>
  <c r="BG107" i="79"/>
  <c r="BK105" i="79"/>
  <c r="BI104" i="79"/>
  <c r="BG103" i="79"/>
  <c r="BK101" i="79"/>
  <c r="BI100" i="79"/>
  <c r="BG99" i="79"/>
  <c r="BK97" i="79"/>
  <c r="BI96" i="79"/>
  <c r="BG95" i="79"/>
  <c r="BK93" i="79"/>
  <c r="BI92" i="79"/>
  <c r="BG91" i="79"/>
  <c r="BK89" i="79"/>
  <c r="BI88" i="79"/>
  <c r="BG87" i="79"/>
  <c r="BK85" i="79"/>
  <c r="BI84" i="79"/>
  <c r="BL106" i="79"/>
  <c r="BH92" i="79"/>
  <c r="BH84" i="79"/>
  <c r="BK106" i="79"/>
  <c r="BI105" i="79"/>
  <c r="BG104" i="79"/>
  <c r="BK102" i="79"/>
  <c r="BI101" i="79"/>
  <c r="BG100" i="79"/>
  <c r="BK98" i="79"/>
  <c r="BI97" i="79"/>
  <c r="BG96" i="79"/>
  <c r="BK94" i="79"/>
  <c r="BI93" i="79"/>
  <c r="BG92" i="79"/>
  <c r="BK90" i="79"/>
  <c r="BI89" i="79"/>
  <c r="BG88" i="79"/>
  <c r="BK86" i="79"/>
  <c r="BI85" i="79"/>
  <c r="BG84" i="79"/>
  <c r="BL98" i="79"/>
  <c r="AZ75" i="79"/>
  <c r="AZ75" i="89"/>
  <c r="BI92" i="89" l="1"/>
  <c r="BG93" i="89"/>
  <c r="BJ100" i="89"/>
  <c r="BL94" i="89"/>
  <c r="BH96" i="89"/>
  <c r="BH90" i="89"/>
  <c r="BI102" i="89"/>
  <c r="BL106" i="89"/>
  <c r="BK93" i="89"/>
  <c r="BJ97" i="89"/>
  <c r="BJ91" i="89"/>
  <c r="BK103" i="89"/>
  <c r="BI85" i="89"/>
  <c r="BG103" i="89"/>
  <c r="BI91" i="89"/>
  <c r="BL100" i="89"/>
  <c r="BH89" i="89"/>
  <c r="BK86" i="89"/>
  <c r="BI104" i="89"/>
  <c r="BK92" i="89"/>
  <c r="BH102" i="89"/>
  <c r="BJ90" i="89"/>
  <c r="BG96" i="89"/>
  <c r="BJ88" i="89"/>
  <c r="BG102" i="89"/>
  <c r="BJ93" i="89"/>
  <c r="BL99" i="89"/>
  <c r="BI97" i="89"/>
  <c r="BL89" i="89"/>
  <c r="BI103" i="89"/>
  <c r="BL98" i="89"/>
  <c r="BH101" i="89"/>
  <c r="BK106" i="89"/>
  <c r="BH99" i="89"/>
  <c r="BH92" i="89"/>
  <c r="BK91" i="89"/>
  <c r="BG88" i="89"/>
  <c r="BK98" i="89"/>
  <c r="BI84" i="89"/>
  <c r="BG95" i="89"/>
  <c r="BK105" i="89"/>
  <c r="BH91" i="89"/>
  <c r="BL101" i="89"/>
  <c r="BL102" i="89"/>
  <c r="BG94" i="89"/>
  <c r="BK104" i="89"/>
  <c r="BH100" i="89"/>
  <c r="BL92" i="89"/>
  <c r="BJ103" i="89"/>
  <c r="BJ101" i="89"/>
  <c r="BI94" i="89"/>
  <c r="BG105" i="89"/>
  <c r="BL91" i="89"/>
  <c r="BJ102" i="89"/>
  <c r="BI89" i="89"/>
  <c r="BG100" i="89"/>
  <c r="BK85" i="89"/>
  <c r="BI96" i="89"/>
  <c r="BG107" i="89"/>
  <c r="BJ92" i="89"/>
  <c r="BH103" i="89"/>
  <c r="BK84" i="89"/>
  <c r="BI95" i="89"/>
  <c r="BG106" i="89"/>
  <c r="BH104" i="89"/>
  <c r="BH94" i="89"/>
  <c r="BL104" i="89"/>
  <c r="BG85" i="89"/>
  <c r="BK95" i="89"/>
  <c r="BI106" i="89"/>
  <c r="BH93" i="89"/>
  <c r="BL103" i="89"/>
  <c r="BK90" i="89"/>
  <c r="BI101" i="89"/>
  <c r="BG87" i="89"/>
  <c r="BK97" i="89"/>
  <c r="BJ105" i="89"/>
  <c r="BL93" i="89"/>
  <c r="BJ104" i="89"/>
  <c r="BG86" i="89"/>
  <c r="BK96" i="89"/>
  <c r="BI107" i="89"/>
  <c r="BL84" i="89"/>
  <c r="BJ95" i="89"/>
  <c r="BH106" i="89"/>
  <c r="BI86" i="89"/>
  <c r="BG97" i="89"/>
  <c r="BK107" i="89"/>
  <c r="BJ94" i="89"/>
  <c r="BH105" i="89"/>
  <c r="BG92" i="89"/>
  <c r="BK102" i="89"/>
  <c r="BI88" i="89"/>
  <c r="BG99" i="89"/>
  <c r="BJ84" i="89"/>
  <c r="BH95" i="89"/>
  <c r="BL105" i="89"/>
  <c r="BI87" i="89"/>
  <c r="BG98" i="89"/>
  <c r="BJ85" i="89"/>
  <c r="BH86" i="89"/>
  <c r="BL96" i="89"/>
  <c r="BJ107" i="89"/>
  <c r="BK87" i="89"/>
  <c r="BI98" i="89"/>
  <c r="BH85" i="89"/>
  <c r="BL95" i="89"/>
  <c r="BJ106" i="89"/>
  <c r="BI93" i="89"/>
  <c r="BG104" i="89"/>
  <c r="BK89" i="89"/>
  <c r="BI100" i="89"/>
  <c r="BL85" i="89"/>
  <c r="BJ96" i="89"/>
  <c r="BH107" i="89"/>
  <c r="BK88" i="89"/>
  <c r="BI99" i="89"/>
  <c r="BL86" i="89"/>
  <c r="BJ87" i="89"/>
  <c r="BH98" i="89"/>
  <c r="BH84" i="89"/>
  <c r="BG89" i="89"/>
  <c r="BK99" i="89"/>
  <c r="BJ86" i="89"/>
  <c r="BH97" i="89"/>
  <c r="BL107" i="89"/>
  <c r="BG84" i="89"/>
  <c r="BK94" i="89"/>
  <c r="BI105" i="89"/>
  <c r="BG91" i="89"/>
  <c r="BK101" i="89"/>
  <c r="BH87" i="89"/>
  <c r="BL97" i="89"/>
  <c r="BJ89" i="89"/>
  <c r="BG90" i="89"/>
  <c r="BK100" i="89"/>
  <c r="BL90" i="89"/>
  <c r="BL88" i="89"/>
  <c r="BJ99" i="89"/>
  <c r="BH88" i="89"/>
  <c r="BI90" i="89"/>
  <c r="BG101" i="89"/>
  <c r="BL87" i="89"/>
  <c r="V123" i="89" l="1"/>
  <c r="U123" i="89"/>
  <c r="U57" i="89"/>
  <c r="T123" i="89" l="1"/>
  <c r="T57" i="89"/>
  <c r="S123" i="89"/>
  <c r="S57" i="89"/>
  <c r="R123" i="89"/>
  <c r="R57" i="89"/>
  <c r="P121" i="89"/>
  <c r="P123" i="89"/>
  <c r="Q123" i="89"/>
  <c r="Q121" i="89"/>
  <c r="Q57" i="89"/>
  <c r="P57" i="89" l="1"/>
  <c r="O123" i="89"/>
  <c r="O121" i="89"/>
  <c r="O57" i="89"/>
  <c r="N123" i="89"/>
  <c r="N121" i="89"/>
  <c r="N57" i="89"/>
  <c r="M123" i="89" l="1"/>
  <c r="M121" i="89"/>
  <c r="M57" i="89"/>
  <c r="L123" i="89"/>
  <c r="K123" i="89"/>
  <c r="J123" i="89"/>
  <c r="I123" i="89"/>
  <c r="H123" i="89"/>
  <c r="G123" i="89"/>
  <c r="G92" i="89"/>
  <c r="F123" i="89" l="1"/>
  <c r="E123" i="89"/>
  <c r="D58" i="89"/>
  <c r="D62" i="89"/>
  <c r="D76" i="89"/>
  <c r="D80" i="89"/>
  <c r="D92" i="89"/>
  <c r="D108" i="89" s="1"/>
  <c r="D101" i="89"/>
  <c r="D102" i="89"/>
  <c r="D103" i="89"/>
  <c r="D104" i="89"/>
  <c r="D105" i="89"/>
  <c r="D118" i="89"/>
  <c r="C58" i="89"/>
  <c r="C62" i="89"/>
  <c r="C76" i="89"/>
  <c r="C80" i="89"/>
  <c r="AN20" i="89" s="1"/>
  <c r="C92" i="89"/>
  <c r="C108" i="89" s="1"/>
  <c r="C101" i="89"/>
  <c r="C102" i="89"/>
  <c r="C103" i="89"/>
  <c r="C104" i="89"/>
  <c r="C105" i="89"/>
  <c r="C118" i="89"/>
  <c r="B118" i="89"/>
  <c r="B105" i="89"/>
  <c r="B104" i="89"/>
  <c r="B103" i="89"/>
  <c r="B102" i="89"/>
  <c r="B101" i="89"/>
  <c r="B92" i="89"/>
  <c r="AF5" i="89" s="1"/>
  <c r="B80" i="89"/>
  <c r="B76" i="89"/>
  <c r="B62" i="89"/>
  <c r="B58" i="89"/>
  <c r="AG252" i="89"/>
  <c r="D252" i="89"/>
  <c r="C252" i="89"/>
  <c r="E251" i="89"/>
  <c r="F251" i="89" s="1"/>
  <c r="G251" i="89" s="1"/>
  <c r="H251" i="89" s="1"/>
  <c r="I251" i="89" s="1"/>
  <c r="J251" i="89" s="1"/>
  <c r="K251" i="89" s="1"/>
  <c r="L251" i="89" s="1"/>
  <c r="M251" i="89" s="1"/>
  <c r="N251" i="89" s="1"/>
  <c r="O251" i="89" s="1"/>
  <c r="P251" i="89" s="1"/>
  <c r="Q251" i="89" s="1"/>
  <c r="R251" i="89" s="1"/>
  <c r="S251" i="89" s="1"/>
  <c r="T251" i="89" s="1"/>
  <c r="U251" i="89" s="1"/>
  <c r="V251" i="89" s="1"/>
  <c r="W251" i="89" s="1"/>
  <c r="X251" i="89" s="1"/>
  <c r="Y251" i="89" s="1"/>
  <c r="Z251" i="89" s="1"/>
  <c r="AA251" i="89" s="1"/>
  <c r="AB251" i="89" s="1"/>
  <c r="AC251" i="89" s="1"/>
  <c r="AD251" i="89" s="1"/>
  <c r="AE251" i="89" s="1"/>
  <c r="AF251" i="89" s="1"/>
  <c r="B251" i="89" s="1"/>
  <c r="D251" i="89"/>
  <c r="K250" i="89"/>
  <c r="L250" i="89" s="1"/>
  <c r="M250" i="89" s="1"/>
  <c r="N250" i="89" s="1"/>
  <c r="O250" i="89" s="1"/>
  <c r="P250" i="89" s="1"/>
  <c r="Q250" i="89" s="1"/>
  <c r="R250" i="89" s="1"/>
  <c r="S250" i="89" s="1"/>
  <c r="T250" i="89" s="1"/>
  <c r="U250" i="89" s="1"/>
  <c r="V250" i="89" s="1"/>
  <c r="W250" i="89" s="1"/>
  <c r="X250" i="89" s="1"/>
  <c r="Y250" i="89" s="1"/>
  <c r="Z250" i="89" s="1"/>
  <c r="AA250" i="89" s="1"/>
  <c r="AB250" i="89" s="1"/>
  <c r="AC250" i="89" s="1"/>
  <c r="AD250" i="89" s="1"/>
  <c r="AE250" i="89" s="1"/>
  <c r="AF250" i="89" s="1"/>
  <c r="B250" i="89" s="1"/>
  <c r="E250" i="89"/>
  <c r="F250" i="89" s="1"/>
  <c r="G250" i="89" s="1"/>
  <c r="H250" i="89" s="1"/>
  <c r="I250" i="89" s="1"/>
  <c r="J250" i="89" s="1"/>
  <c r="D250" i="89"/>
  <c r="E249" i="89"/>
  <c r="F249" i="89" s="1"/>
  <c r="G249" i="89" s="1"/>
  <c r="H249" i="89" s="1"/>
  <c r="I249" i="89" s="1"/>
  <c r="J249" i="89" s="1"/>
  <c r="K249" i="89" s="1"/>
  <c r="L249" i="89" s="1"/>
  <c r="M249" i="89" s="1"/>
  <c r="N249" i="89" s="1"/>
  <c r="O249" i="89" s="1"/>
  <c r="P249" i="89" s="1"/>
  <c r="Q249" i="89" s="1"/>
  <c r="R249" i="89" s="1"/>
  <c r="S249" i="89" s="1"/>
  <c r="T249" i="89" s="1"/>
  <c r="U249" i="89" s="1"/>
  <c r="V249" i="89" s="1"/>
  <c r="W249" i="89" s="1"/>
  <c r="X249" i="89" s="1"/>
  <c r="Y249" i="89" s="1"/>
  <c r="Z249" i="89" s="1"/>
  <c r="AA249" i="89" s="1"/>
  <c r="AB249" i="89" s="1"/>
  <c r="AC249" i="89" s="1"/>
  <c r="AD249" i="89" s="1"/>
  <c r="AE249" i="89" s="1"/>
  <c r="AF249" i="89" s="1"/>
  <c r="B249" i="89" s="1"/>
  <c r="D249" i="89"/>
  <c r="E248" i="89"/>
  <c r="F248" i="89" s="1"/>
  <c r="G248" i="89" s="1"/>
  <c r="H248" i="89" s="1"/>
  <c r="I248" i="89" s="1"/>
  <c r="J248" i="89" s="1"/>
  <c r="K248" i="89" s="1"/>
  <c r="L248" i="89" s="1"/>
  <c r="M248" i="89" s="1"/>
  <c r="N248" i="89" s="1"/>
  <c r="O248" i="89" s="1"/>
  <c r="P248" i="89" s="1"/>
  <c r="Q248" i="89" s="1"/>
  <c r="R248" i="89" s="1"/>
  <c r="S248" i="89" s="1"/>
  <c r="T248" i="89" s="1"/>
  <c r="U248" i="89" s="1"/>
  <c r="V248" i="89" s="1"/>
  <c r="W248" i="89" s="1"/>
  <c r="X248" i="89" s="1"/>
  <c r="Y248" i="89" s="1"/>
  <c r="Z248" i="89" s="1"/>
  <c r="AA248" i="89" s="1"/>
  <c r="AB248" i="89" s="1"/>
  <c r="AC248" i="89" s="1"/>
  <c r="AD248" i="89" s="1"/>
  <c r="AE248" i="89" s="1"/>
  <c r="AF248" i="89" s="1"/>
  <c r="B248" i="89" s="1"/>
  <c r="D248" i="89"/>
  <c r="U247" i="89"/>
  <c r="V247" i="89" s="1"/>
  <c r="W247" i="89" s="1"/>
  <c r="X247" i="89" s="1"/>
  <c r="Y247" i="89" s="1"/>
  <c r="Z247" i="89" s="1"/>
  <c r="AA247" i="89" s="1"/>
  <c r="AB247" i="89" s="1"/>
  <c r="AC247" i="89" s="1"/>
  <c r="AD247" i="89" s="1"/>
  <c r="AE247" i="89" s="1"/>
  <c r="AF247" i="89" s="1"/>
  <c r="B247" i="89" s="1"/>
  <c r="M247" i="89"/>
  <c r="N247" i="89" s="1"/>
  <c r="O247" i="89" s="1"/>
  <c r="P247" i="89" s="1"/>
  <c r="Q247" i="89" s="1"/>
  <c r="R247" i="89" s="1"/>
  <c r="S247" i="89" s="1"/>
  <c r="T247" i="89" s="1"/>
  <c r="E247" i="89"/>
  <c r="F247" i="89" s="1"/>
  <c r="G247" i="89" s="1"/>
  <c r="H247" i="89" s="1"/>
  <c r="I247" i="89" s="1"/>
  <c r="J247" i="89" s="1"/>
  <c r="K247" i="89" s="1"/>
  <c r="L247" i="89" s="1"/>
  <c r="D247" i="89"/>
  <c r="E246" i="89"/>
  <c r="F246" i="89" s="1"/>
  <c r="D246" i="89"/>
  <c r="AG244" i="89"/>
  <c r="AF244" i="89"/>
  <c r="AE244" i="89"/>
  <c r="AD244" i="89"/>
  <c r="AC244" i="89"/>
  <c r="AB244" i="89"/>
  <c r="AA244" i="89"/>
  <c r="Z244" i="89"/>
  <c r="Z118" i="89" s="1"/>
  <c r="Y244" i="89"/>
  <c r="X244" i="89"/>
  <c r="W244" i="89"/>
  <c r="V244" i="89"/>
  <c r="U244" i="89"/>
  <c r="T244" i="89"/>
  <c r="S244" i="89"/>
  <c r="R244" i="89"/>
  <c r="Q244" i="89"/>
  <c r="P244" i="89"/>
  <c r="O244" i="89"/>
  <c r="N244" i="89"/>
  <c r="M244" i="89"/>
  <c r="L244" i="89"/>
  <c r="K244" i="89"/>
  <c r="J244" i="89"/>
  <c r="I244" i="89"/>
  <c r="H244" i="89"/>
  <c r="G244" i="89"/>
  <c r="F244" i="89"/>
  <c r="E244" i="89"/>
  <c r="D244" i="89"/>
  <c r="C244" i="89"/>
  <c r="B244" i="89"/>
  <c r="AI130" i="89"/>
  <c r="AH130" i="89"/>
  <c r="AI129" i="89"/>
  <c r="AH129" i="89"/>
  <c r="AI128" i="89"/>
  <c r="AH128" i="89"/>
  <c r="AI127" i="89"/>
  <c r="AH127" i="89"/>
  <c r="AI126" i="89"/>
  <c r="AH126" i="89"/>
  <c r="AI123" i="89"/>
  <c r="AH123" i="89"/>
  <c r="AI122" i="89"/>
  <c r="AH122" i="89"/>
  <c r="AI121" i="89"/>
  <c r="AH121" i="89"/>
  <c r="AI120" i="89"/>
  <c r="AH120" i="89"/>
  <c r="AI119" i="89"/>
  <c r="AH119" i="89"/>
  <c r="Y118" i="89"/>
  <c r="AI117" i="89"/>
  <c r="AH117" i="89"/>
  <c r="AI116" i="89"/>
  <c r="AH116" i="89"/>
  <c r="AI115" i="89"/>
  <c r="AH115" i="89"/>
  <c r="AI114" i="89"/>
  <c r="AH114" i="89"/>
  <c r="AI113" i="89"/>
  <c r="AH113" i="89"/>
  <c r="AI112" i="89"/>
  <c r="AH112" i="89"/>
  <c r="AI111" i="89"/>
  <c r="AH111" i="89"/>
  <c r="AI110" i="89"/>
  <c r="AH110" i="89"/>
  <c r="AI109" i="89"/>
  <c r="AH109" i="89"/>
  <c r="AI106" i="89"/>
  <c r="AH106" i="89"/>
  <c r="AF105" i="89"/>
  <c r="AE105" i="89"/>
  <c r="AD105" i="89"/>
  <c r="AC105" i="89"/>
  <c r="AB105" i="89"/>
  <c r="AA105" i="89"/>
  <c r="Z105" i="89"/>
  <c r="Y105" i="89"/>
  <c r="X105" i="89"/>
  <c r="W105" i="89"/>
  <c r="V105" i="89"/>
  <c r="U105" i="89"/>
  <c r="T105" i="89"/>
  <c r="S105" i="89"/>
  <c r="R105" i="89"/>
  <c r="Q105" i="89"/>
  <c r="P105" i="89"/>
  <c r="O105" i="89"/>
  <c r="N105" i="89"/>
  <c r="M105" i="89"/>
  <c r="L105" i="89"/>
  <c r="K105" i="89"/>
  <c r="J105" i="89"/>
  <c r="I105" i="89"/>
  <c r="H105" i="89"/>
  <c r="G105" i="89"/>
  <c r="F105" i="89"/>
  <c r="E105" i="89"/>
  <c r="AF104" i="89"/>
  <c r="AE104" i="89"/>
  <c r="AD104" i="89"/>
  <c r="AC104" i="89"/>
  <c r="AB104" i="89"/>
  <c r="AA104" i="89"/>
  <c r="Z104" i="89"/>
  <c r="Y104" i="89"/>
  <c r="X104" i="89"/>
  <c r="W104" i="89"/>
  <c r="V104" i="89"/>
  <c r="U104" i="89"/>
  <c r="T104" i="89"/>
  <c r="S104" i="89"/>
  <c r="R104" i="89"/>
  <c r="Q104" i="89"/>
  <c r="P104" i="89"/>
  <c r="O104" i="89"/>
  <c r="N104" i="89"/>
  <c r="M104" i="89"/>
  <c r="L104" i="89"/>
  <c r="K104" i="89"/>
  <c r="J104" i="89"/>
  <c r="I104" i="89"/>
  <c r="H104" i="89"/>
  <c r="G104" i="89"/>
  <c r="F104" i="89"/>
  <c r="E104" i="89"/>
  <c r="AF103" i="89"/>
  <c r="AE103" i="89"/>
  <c r="AD103" i="89"/>
  <c r="AC103" i="89"/>
  <c r="AB103" i="89"/>
  <c r="AA103" i="89"/>
  <c r="Z103" i="89"/>
  <c r="Y103" i="89"/>
  <c r="X103" i="89"/>
  <c r="W103" i="89"/>
  <c r="V103" i="89"/>
  <c r="U103" i="89"/>
  <c r="T103" i="89"/>
  <c r="S103" i="89"/>
  <c r="R103" i="89"/>
  <c r="Q103" i="89"/>
  <c r="P103" i="89"/>
  <c r="O103" i="89"/>
  <c r="N103" i="89"/>
  <c r="M103" i="89"/>
  <c r="L103" i="89"/>
  <c r="K103" i="89"/>
  <c r="J103" i="89"/>
  <c r="I103" i="89"/>
  <c r="H103" i="89"/>
  <c r="G103" i="89"/>
  <c r="F103" i="89"/>
  <c r="E103" i="89"/>
  <c r="AF102" i="89"/>
  <c r="AE102" i="89"/>
  <c r="AD102" i="89"/>
  <c r="AC102" i="89"/>
  <c r="AB102" i="89"/>
  <c r="AA102" i="89"/>
  <c r="Z102" i="89"/>
  <c r="Y102" i="89"/>
  <c r="X102" i="89"/>
  <c r="W102" i="89"/>
  <c r="V102" i="89"/>
  <c r="U102" i="89"/>
  <c r="T102" i="89"/>
  <c r="S102" i="89"/>
  <c r="R102" i="89"/>
  <c r="Q102" i="89"/>
  <c r="P102" i="89"/>
  <c r="P107" i="89" s="1"/>
  <c r="AX23" i="89" s="1"/>
  <c r="O102" i="89"/>
  <c r="N102" i="89"/>
  <c r="M102" i="89"/>
  <c r="L102" i="89"/>
  <c r="K102" i="89"/>
  <c r="J102" i="89"/>
  <c r="I102" i="89"/>
  <c r="H102" i="89"/>
  <c r="H107" i="89" s="1"/>
  <c r="G102" i="89"/>
  <c r="F102" i="89"/>
  <c r="E102" i="89"/>
  <c r="AI102" i="89"/>
  <c r="AF101" i="89"/>
  <c r="AE101" i="89"/>
  <c r="AD101" i="89"/>
  <c r="AC101" i="89"/>
  <c r="AB101" i="89"/>
  <c r="AA101" i="89"/>
  <c r="Z101" i="89"/>
  <c r="Y101" i="89"/>
  <c r="X101" i="89"/>
  <c r="W101" i="89"/>
  <c r="W107" i="89" s="1"/>
  <c r="V101" i="89"/>
  <c r="U101" i="89"/>
  <c r="T101" i="89"/>
  <c r="S101" i="89"/>
  <c r="R101" i="89"/>
  <c r="Q101" i="89"/>
  <c r="P101" i="89"/>
  <c r="O101" i="89"/>
  <c r="N101" i="89"/>
  <c r="M101" i="89"/>
  <c r="L101" i="89"/>
  <c r="K101" i="89"/>
  <c r="J101" i="89"/>
  <c r="I101" i="89"/>
  <c r="I107" i="89" s="1"/>
  <c r="AS23" i="89" s="1"/>
  <c r="H101" i="89"/>
  <c r="G101" i="89"/>
  <c r="F101" i="89"/>
  <c r="E101" i="89"/>
  <c r="AN23" i="89"/>
  <c r="AG99" i="89"/>
  <c r="AI98" i="89"/>
  <c r="AH98" i="89"/>
  <c r="AI96" i="89"/>
  <c r="AH96" i="89"/>
  <c r="AG96" i="89"/>
  <c r="AI95" i="89"/>
  <c r="AH95" i="89"/>
  <c r="AI94" i="89"/>
  <c r="AH94" i="89"/>
  <c r="AI93" i="89"/>
  <c r="AH93" i="89"/>
  <c r="AG92" i="89"/>
  <c r="AF92" i="89"/>
  <c r="AE92" i="89"/>
  <c r="AD5" i="89" s="1"/>
  <c r="AD92" i="89"/>
  <c r="AC5" i="89" s="1"/>
  <c r="AC92" i="89"/>
  <c r="AB92" i="89"/>
  <c r="AA92" i="89"/>
  <c r="Z92" i="89"/>
  <c r="Y5" i="89" s="1"/>
  <c r="Y92" i="89"/>
  <c r="X92" i="89"/>
  <c r="X97" i="89" s="1"/>
  <c r="W92" i="89"/>
  <c r="V5" i="89" s="1"/>
  <c r="V92" i="89"/>
  <c r="U92" i="89"/>
  <c r="T92" i="89"/>
  <c r="S92" i="89"/>
  <c r="R92" i="89"/>
  <c r="Q5" i="89" s="1"/>
  <c r="Q92" i="89"/>
  <c r="P92" i="89"/>
  <c r="O92" i="89"/>
  <c r="N5" i="89" s="1"/>
  <c r="N92" i="89"/>
  <c r="M5" i="89" s="1"/>
  <c r="M92" i="89"/>
  <c r="AU19" i="89" s="1"/>
  <c r="L92" i="89"/>
  <c r="K5" i="89" s="1"/>
  <c r="K92" i="89"/>
  <c r="AT19" i="89" s="1"/>
  <c r="J92" i="89"/>
  <c r="I92" i="89"/>
  <c r="AS19" i="89" s="1"/>
  <c r="H92" i="89"/>
  <c r="AR19" i="89"/>
  <c r="F92" i="89"/>
  <c r="AQ19" i="89" s="1"/>
  <c r="E92" i="89"/>
  <c r="AI91" i="89"/>
  <c r="AH91" i="89"/>
  <c r="AI90" i="89"/>
  <c r="AH90" i="89"/>
  <c r="AI89" i="89"/>
  <c r="AH89" i="89"/>
  <c r="AI88" i="89"/>
  <c r="AH88" i="89"/>
  <c r="AI87" i="89"/>
  <c r="AH87" i="89"/>
  <c r="AI86" i="89"/>
  <c r="AH86" i="89"/>
  <c r="AI85" i="89"/>
  <c r="AH85" i="89"/>
  <c r="AI84" i="89"/>
  <c r="AH84" i="89"/>
  <c r="AI83" i="89"/>
  <c r="AH83" i="89"/>
  <c r="AI82" i="89"/>
  <c r="AH82" i="89"/>
  <c r="AI81" i="89"/>
  <c r="AH81" i="89"/>
  <c r="AI80" i="89"/>
  <c r="AG80" i="89"/>
  <c r="AF80" i="89"/>
  <c r="AE80" i="89"/>
  <c r="AD80" i="89"/>
  <c r="AC80" i="89"/>
  <c r="AB80" i="89"/>
  <c r="AA80" i="89"/>
  <c r="Z80" i="89"/>
  <c r="Y80" i="89"/>
  <c r="X80" i="89"/>
  <c r="W80" i="89"/>
  <c r="V80" i="89"/>
  <c r="U80" i="89"/>
  <c r="T80" i="89"/>
  <c r="S80" i="89"/>
  <c r="R80" i="89"/>
  <c r="Q80" i="89"/>
  <c r="P80" i="89"/>
  <c r="AX20" i="89" s="1"/>
  <c r="O80" i="89"/>
  <c r="N80" i="89"/>
  <c r="M80" i="89"/>
  <c r="L80" i="89"/>
  <c r="K80" i="89"/>
  <c r="AT20" i="89" s="1"/>
  <c r="J80" i="89"/>
  <c r="I80" i="89"/>
  <c r="H80" i="89"/>
  <c r="G80" i="89"/>
  <c r="F80" i="89"/>
  <c r="E80" i="89"/>
  <c r="AP20" i="89" s="1"/>
  <c r="AH80" i="89"/>
  <c r="AI79" i="89"/>
  <c r="AH79" i="89"/>
  <c r="AI78" i="89"/>
  <c r="AH78" i="89"/>
  <c r="AI77" i="89"/>
  <c r="AH77" i="89"/>
  <c r="AG76" i="89"/>
  <c r="AG3" i="89" s="1"/>
  <c r="AF76" i="89"/>
  <c r="AE76" i="89"/>
  <c r="AD76" i="89"/>
  <c r="AC76" i="89"/>
  <c r="AB76" i="89"/>
  <c r="AA76" i="89"/>
  <c r="Z76" i="89"/>
  <c r="Y76" i="89"/>
  <c r="X76" i="89"/>
  <c r="W76" i="89"/>
  <c r="V76" i="89"/>
  <c r="U76" i="89"/>
  <c r="T76" i="89"/>
  <c r="S76" i="89"/>
  <c r="R76" i="89"/>
  <c r="Q76" i="89"/>
  <c r="P76" i="89"/>
  <c r="AX18" i="89" s="1"/>
  <c r="O76" i="89"/>
  <c r="AW18" i="89" s="1"/>
  <c r="N76" i="89"/>
  <c r="AV18" i="89" s="1"/>
  <c r="M76" i="89"/>
  <c r="AU18" i="89" s="1"/>
  <c r="L76" i="89"/>
  <c r="K76" i="89"/>
  <c r="AT18" i="89" s="1"/>
  <c r="J76" i="89"/>
  <c r="I76" i="89"/>
  <c r="H76" i="89"/>
  <c r="G76" i="89"/>
  <c r="AR18" i="89" s="1"/>
  <c r="F76" i="89"/>
  <c r="AQ18" i="89" s="1"/>
  <c r="E76" i="89"/>
  <c r="AP18" i="89" s="1"/>
  <c r="AI75" i="89"/>
  <c r="AH75" i="89"/>
  <c r="AG75" i="89"/>
  <c r="AI74" i="89"/>
  <c r="AH74" i="89"/>
  <c r="AI73" i="89"/>
  <c r="AH73" i="89"/>
  <c r="AI72" i="89"/>
  <c r="AH72" i="89"/>
  <c r="AI71" i="89"/>
  <c r="AH71" i="89"/>
  <c r="AI70" i="89"/>
  <c r="AH70" i="89"/>
  <c r="AI69" i="89"/>
  <c r="AH69" i="89"/>
  <c r="AI68" i="89"/>
  <c r="AH68" i="89"/>
  <c r="AI67" i="89"/>
  <c r="AH67" i="89"/>
  <c r="AI66" i="89"/>
  <c r="AH66" i="89"/>
  <c r="AI65" i="89"/>
  <c r="AH65" i="89"/>
  <c r="AI64" i="89"/>
  <c r="AH64" i="89"/>
  <c r="AI63" i="89"/>
  <c r="AH63" i="89"/>
  <c r="AG62" i="89"/>
  <c r="AF62" i="89"/>
  <c r="AE62" i="89"/>
  <c r="AD62" i="89"/>
  <c r="AC62" i="89"/>
  <c r="AB62" i="89"/>
  <c r="AA62" i="89"/>
  <c r="Z62" i="89"/>
  <c r="Y62" i="89"/>
  <c r="X62" i="89"/>
  <c r="W62" i="89"/>
  <c r="V62" i="89"/>
  <c r="U62" i="89"/>
  <c r="T62" i="89"/>
  <c r="S62" i="89"/>
  <c r="R62" i="89"/>
  <c r="Q62" i="89"/>
  <c r="P62" i="89"/>
  <c r="AX17" i="89" s="1"/>
  <c r="O62" i="89"/>
  <c r="N62" i="89"/>
  <c r="AV17" i="89" s="1"/>
  <c r="M62" i="89"/>
  <c r="AU17" i="89" s="1"/>
  <c r="L62" i="89"/>
  <c r="K62" i="89"/>
  <c r="J62" i="89"/>
  <c r="I62" i="89"/>
  <c r="AS17" i="89" s="1"/>
  <c r="H62" i="89"/>
  <c r="G62" i="89"/>
  <c r="F62" i="89"/>
  <c r="E62" i="89"/>
  <c r="AI61" i="89"/>
  <c r="AH61" i="89"/>
  <c r="AI60" i="89"/>
  <c r="AH60" i="89"/>
  <c r="AI59" i="89"/>
  <c r="AH59" i="89"/>
  <c r="AG58" i="89"/>
  <c r="AG97" i="89" s="1"/>
  <c r="AF58" i="89"/>
  <c r="AE58" i="89"/>
  <c r="AD58" i="89"/>
  <c r="AC58" i="89"/>
  <c r="AB58" i="89"/>
  <c r="AA58" i="89"/>
  <c r="Z58" i="89"/>
  <c r="Y58" i="89"/>
  <c r="X58" i="89"/>
  <c r="W58" i="89"/>
  <c r="V58" i="89"/>
  <c r="U58" i="89"/>
  <c r="T58" i="89"/>
  <c r="S58" i="89"/>
  <c r="R58" i="89"/>
  <c r="Q58" i="89"/>
  <c r="P58" i="89"/>
  <c r="AX16" i="89" s="1"/>
  <c r="O58" i="89"/>
  <c r="N58" i="89"/>
  <c r="M58" i="89"/>
  <c r="AU16" i="89" s="1"/>
  <c r="L58" i="89"/>
  <c r="K58" i="89"/>
  <c r="J58" i="89"/>
  <c r="I58" i="89"/>
  <c r="H58" i="89"/>
  <c r="G58" i="89"/>
  <c r="F58" i="89"/>
  <c r="E58" i="89"/>
  <c r="AP16" i="89" s="1"/>
  <c r="AI57" i="89"/>
  <c r="AH57" i="89"/>
  <c r="AI56" i="89"/>
  <c r="AH56" i="89"/>
  <c r="AI55" i="89"/>
  <c r="AH55" i="89"/>
  <c r="AI54" i="89"/>
  <c r="AH54" i="89"/>
  <c r="AI53" i="89"/>
  <c r="AH53" i="89"/>
  <c r="AI52" i="89"/>
  <c r="AH52" i="89"/>
  <c r="AI51" i="89"/>
  <c r="AH51" i="89"/>
  <c r="AI50" i="89"/>
  <c r="AH50" i="89"/>
  <c r="AI49" i="89"/>
  <c r="AH49" i="89"/>
  <c r="AI48" i="89"/>
  <c r="AH48" i="89"/>
  <c r="AI47" i="89"/>
  <c r="AH47" i="89"/>
  <c r="AI46" i="89"/>
  <c r="AH46" i="89"/>
  <c r="AI45" i="89"/>
  <c r="AH45" i="89"/>
  <c r="AI44" i="89"/>
  <c r="AH44" i="89"/>
  <c r="AI43" i="89"/>
  <c r="AH43" i="89"/>
  <c r="AI42" i="89"/>
  <c r="AH42" i="89"/>
  <c r="AI41" i="89"/>
  <c r="AH41" i="89"/>
  <c r="AI40" i="89"/>
  <c r="AH40" i="89"/>
  <c r="AI39" i="89"/>
  <c r="AH39" i="89"/>
  <c r="AI38" i="89"/>
  <c r="AH38" i="89"/>
  <c r="AI37" i="89"/>
  <c r="AH37" i="89"/>
  <c r="AI36" i="89"/>
  <c r="AH36" i="89"/>
  <c r="AI35" i="89"/>
  <c r="AH35" i="89"/>
  <c r="AI34" i="89"/>
  <c r="AH34" i="89"/>
  <c r="AI33" i="89"/>
  <c r="AH33" i="89"/>
  <c r="AI32" i="89"/>
  <c r="AH32" i="89"/>
  <c r="AI31" i="89"/>
  <c r="AH31" i="89"/>
  <c r="AI30" i="89"/>
  <c r="AH30" i="89"/>
  <c r="AI29" i="89"/>
  <c r="AH29" i="89"/>
  <c r="AI28" i="89"/>
  <c r="AH28" i="89"/>
  <c r="AI27" i="89"/>
  <c r="AH27" i="89"/>
  <c r="AI26" i="89"/>
  <c r="AH26" i="89"/>
  <c r="AI25" i="89"/>
  <c r="AH25" i="89"/>
  <c r="AI24" i="89"/>
  <c r="AH24" i="89"/>
  <c r="AO23" i="89"/>
  <c r="AI23" i="89"/>
  <c r="AH23" i="89"/>
  <c r="AI22" i="89"/>
  <c r="AH22" i="89"/>
  <c r="AX21" i="89"/>
  <c r="AW21" i="89"/>
  <c r="AV21" i="89"/>
  <c r="AU21" i="89"/>
  <c r="AT21" i="89"/>
  <c r="AS21" i="89"/>
  <c r="AR21" i="89"/>
  <c r="AQ21" i="89"/>
  <c r="AP21" i="89"/>
  <c r="AO21" i="89"/>
  <c r="AN21" i="89"/>
  <c r="AM21" i="89"/>
  <c r="AI21" i="89"/>
  <c r="AH21" i="89"/>
  <c r="AW20" i="89"/>
  <c r="AV20" i="89"/>
  <c r="AU20" i="89"/>
  <c r="AS20" i="89"/>
  <c r="AR20" i="89"/>
  <c r="AQ20" i="89"/>
  <c r="AO20" i="89"/>
  <c r="AM20" i="89"/>
  <c r="AI20" i="89"/>
  <c r="AH20" i="89"/>
  <c r="AI19" i="89"/>
  <c r="AH19" i="89"/>
  <c r="AS18" i="89"/>
  <c r="AO18" i="89"/>
  <c r="AN18" i="89"/>
  <c r="AM18" i="89"/>
  <c r="AI18" i="89"/>
  <c r="AH18" i="89"/>
  <c r="AW17" i="89"/>
  <c r="AT17" i="89"/>
  <c r="AR17" i="89"/>
  <c r="AQ17" i="89"/>
  <c r="AP17" i="89"/>
  <c r="AO17" i="89"/>
  <c r="AN17" i="89"/>
  <c r="AI17" i="89"/>
  <c r="AH17" i="89"/>
  <c r="AS16" i="89"/>
  <c r="AR16" i="89"/>
  <c r="AO16" i="89"/>
  <c r="AN16" i="89"/>
  <c r="AI16" i="89"/>
  <c r="AH16" i="89"/>
  <c r="AI15" i="89"/>
  <c r="AH15" i="89"/>
  <c r="AI14" i="89"/>
  <c r="AH14" i="89"/>
  <c r="AI13" i="89"/>
  <c r="AH13" i="89"/>
  <c r="AL12" i="89"/>
  <c r="AI12" i="89"/>
  <c r="AH12" i="89"/>
  <c r="AI11" i="89"/>
  <c r="AH11" i="89"/>
  <c r="C5" i="89"/>
  <c r="AG4" i="89"/>
  <c r="K4" i="89"/>
  <c r="E4" i="89"/>
  <c r="H4" i="89" s="1"/>
  <c r="B4" i="89"/>
  <c r="AG2" i="89"/>
  <c r="AG6" i="89" s="1"/>
  <c r="AF58" i="88"/>
  <c r="AF62" i="88"/>
  <c r="AF76" i="88"/>
  <c r="AF80" i="88"/>
  <c r="AF92" i="88"/>
  <c r="AF101" i="88"/>
  <c r="AF102" i="88"/>
  <c r="AF103" i="88"/>
  <c r="AF104" i="88"/>
  <c r="AF105" i="88"/>
  <c r="AF118" i="88"/>
  <c r="AE58" i="88"/>
  <c r="AE62" i="88"/>
  <c r="AE76" i="88"/>
  <c r="AE80" i="88"/>
  <c r="AE92" i="88"/>
  <c r="AE101" i="88"/>
  <c r="AE102" i="88"/>
  <c r="AE103" i="88"/>
  <c r="AE104" i="88"/>
  <c r="AE105" i="88"/>
  <c r="AE118" i="88"/>
  <c r="AD58" i="88"/>
  <c r="AD62" i="88"/>
  <c r="AD76" i="88"/>
  <c r="AD80" i="88"/>
  <c r="AD92" i="88"/>
  <c r="AD97" i="88" s="1"/>
  <c r="AD99" i="88" s="1"/>
  <c r="AD101" i="88"/>
  <c r="AD102" i="88"/>
  <c r="AD103" i="88"/>
  <c r="AD107" i="88" s="1"/>
  <c r="AD104" i="88"/>
  <c r="AD105" i="88"/>
  <c r="AD118" i="88"/>
  <c r="AC58" i="88"/>
  <c r="AC62" i="88"/>
  <c r="AC76" i="88"/>
  <c r="AC80" i="88"/>
  <c r="AC92" i="88"/>
  <c r="AC101" i="88"/>
  <c r="AC102" i="88"/>
  <c r="AC103" i="88"/>
  <c r="AC107" i="88" s="1"/>
  <c r="AC104" i="88"/>
  <c r="AC105" i="88"/>
  <c r="AC118" i="88"/>
  <c r="AB58" i="88"/>
  <c r="AB62" i="88"/>
  <c r="AB76" i="88"/>
  <c r="AB80" i="88"/>
  <c r="AB92" i="88"/>
  <c r="AB101" i="88"/>
  <c r="AB102" i="88"/>
  <c r="AB103" i="88"/>
  <c r="AB104" i="88"/>
  <c r="AB105" i="88"/>
  <c r="AB118" i="88"/>
  <c r="AA123" i="88"/>
  <c r="Z123" i="88"/>
  <c r="Y123" i="88"/>
  <c r="X123" i="88"/>
  <c r="W123" i="88"/>
  <c r="V123" i="88"/>
  <c r="U123" i="88"/>
  <c r="U57" i="88"/>
  <c r="T57" i="88"/>
  <c r="T123" i="88"/>
  <c r="S123" i="88"/>
  <c r="S57" i="88"/>
  <c r="R123" i="88"/>
  <c r="R57" i="88"/>
  <c r="R58" i="88"/>
  <c r="R62" i="88"/>
  <c r="Q123" i="88"/>
  <c r="Q57" i="88"/>
  <c r="P123" i="88"/>
  <c r="AF107" i="89" l="1"/>
  <c r="AE107" i="89"/>
  <c r="AE97" i="89"/>
  <c r="AE99" i="89" s="1"/>
  <c r="AE100" i="89" s="1"/>
  <c r="AE7" i="89" s="1"/>
  <c r="AD107" i="89"/>
  <c r="AC97" i="89"/>
  <c r="AC99" i="89" s="1"/>
  <c r="AB107" i="89"/>
  <c r="AB108" i="89" s="1"/>
  <c r="AA5" i="89"/>
  <c r="AB97" i="89"/>
  <c r="AB99" i="89" s="1"/>
  <c r="AB100" i="89" s="1"/>
  <c r="AB7" i="89" s="1"/>
  <c r="AA107" i="89"/>
  <c r="AA97" i="89"/>
  <c r="AA99" i="89" s="1"/>
  <c r="AA100" i="89" s="1"/>
  <c r="AA7" i="89" s="1"/>
  <c r="Z107" i="89"/>
  <c r="X5" i="89"/>
  <c r="Y107" i="89"/>
  <c r="Y108" i="89" s="1"/>
  <c r="Y97" i="89"/>
  <c r="Y99" i="89" s="1"/>
  <c r="Y100" i="89" s="1"/>
  <c r="Y7" i="89" s="1"/>
  <c r="X107" i="89"/>
  <c r="W108" i="89"/>
  <c r="W97" i="89"/>
  <c r="W99" i="89" s="1"/>
  <c r="V107" i="89"/>
  <c r="U5" i="89"/>
  <c r="U97" i="89"/>
  <c r="U99" i="89" s="1"/>
  <c r="T107" i="89"/>
  <c r="S5" i="89"/>
  <c r="T97" i="89"/>
  <c r="T99" i="89" s="1"/>
  <c r="T100" i="89" s="1"/>
  <c r="T7" i="89" s="1"/>
  <c r="S107" i="89"/>
  <c r="S97" i="89"/>
  <c r="S99" i="89" s="1"/>
  <c r="S100" i="89" s="1"/>
  <c r="S7" i="89" s="1"/>
  <c r="R107" i="89"/>
  <c r="P5" i="89"/>
  <c r="Q107" i="89"/>
  <c r="Q97" i="89"/>
  <c r="Q99" i="89" s="1"/>
  <c r="Q100" i="89" s="1"/>
  <c r="Q7" i="89" s="1"/>
  <c r="O107" i="89"/>
  <c r="AW23" i="89" s="1"/>
  <c r="AW19" i="89"/>
  <c r="O97" i="89"/>
  <c r="O99" i="89" s="1"/>
  <c r="O100" i="89" s="1"/>
  <c r="O7" i="89" s="1"/>
  <c r="AW16" i="89"/>
  <c r="AW22" i="89" s="1"/>
  <c r="N107" i="89"/>
  <c r="AV19" i="89"/>
  <c r="M97" i="89"/>
  <c r="M99" i="89" s="1"/>
  <c r="L107" i="89"/>
  <c r="L108" i="89" s="1"/>
  <c r="L97" i="89"/>
  <c r="L99" i="89" s="1"/>
  <c r="L100" i="89" s="1"/>
  <c r="L7" i="89" s="1"/>
  <c r="K107" i="89"/>
  <c r="AT23" i="89" s="1"/>
  <c r="K97" i="89"/>
  <c r="K99" i="89" s="1"/>
  <c r="K100" i="89" s="1"/>
  <c r="K7" i="89" s="1"/>
  <c r="AT16" i="89"/>
  <c r="J107" i="89"/>
  <c r="J108" i="89" s="1"/>
  <c r="I5" i="89"/>
  <c r="H5" i="89"/>
  <c r="AS22" i="89"/>
  <c r="AS24" i="89" s="1"/>
  <c r="I97" i="89"/>
  <c r="I99" i="89" s="1"/>
  <c r="I100" i="89" s="1"/>
  <c r="I7" i="89" s="1"/>
  <c r="H97" i="89"/>
  <c r="H99" i="89" s="1"/>
  <c r="H100" i="89" s="1"/>
  <c r="H7" i="89" s="1"/>
  <c r="G107" i="89"/>
  <c r="F5" i="89"/>
  <c r="G97" i="89"/>
  <c r="G99" i="89" s="1"/>
  <c r="AR22" i="89"/>
  <c r="E5" i="89"/>
  <c r="F107" i="89"/>
  <c r="AI104" i="89"/>
  <c r="AH76" i="89"/>
  <c r="E97" i="89"/>
  <c r="E99" i="89" s="1"/>
  <c r="AO19" i="89"/>
  <c r="D97" i="89"/>
  <c r="D99" i="89" s="1"/>
  <c r="D100" i="89" s="1"/>
  <c r="D7" i="89" s="1"/>
  <c r="AO22" i="89"/>
  <c r="AO24" i="89" s="1"/>
  <c r="AI76" i="89"/>
  <c r="C97" i="89"/>
  <c r="C99" i="89" s="1"/>
  <c r="C100" i="89" s="1"/>
  <c r="C7" i="89" s="1"/>
  <c r="AM19" i="89"/>
  <c r="AI92" i="89"/>
  <c r="B97" i="89"/>
  <c r="B99" i="89" s="1"/>
  <c r="B100" i="89" s="1"/>
  <c r="B108" i="89"/>
  <c r="AM16" i="89"/>
  <c r="AI101" i="89"/>
  <c r="E100" i="89"/>
  <c r="E7" i="89" s="1"/>
  <c r="W5" i="89"/>
  <c r="X108" i="89"/>
  <c r="X99" i="89"/>
  <c r="X100" i="89" s="1"/>
  <c r="X7" i="89" s="1"/>
  <c r="G246" i="89"/>
  <c r="F252" i="89"/>
  <c r="AU22" i="89"/>
  <c r="G5" i="89"/>
  <c r="H108" i="89"/>
  <c r="O5" i="89"/>
  <c r="AX19" i="89"/>
  <c r="AX22" i="89" s="1"/>
  <c r="AX24" i="89" s="1"/>
  <c r="P108" i="89"/>
  <c r="AE5" i="89"/>
  <c r="AF108" i="89"/>
  <c r="AE108" i="89"/>
  <c r="AI105" i="89"/>
  <c r="AH62" i="89"/>
  <c r="AI62" i="89"/>
  <c r="AI58" i="89"/>
  <c r="J97" i="89"/>
  <c r="J99" i="89" s="1"/>
  <c r="J100" i="89" s="1"/>
  <c r="J7" i="89" s="1"/>
  <c r="R97" i="89"/>
  <c r="R99" i="89" s="1"/>
  <c r="Z97" i="89"/>
  <c r="Z99" i="89" s="1"/>
  <c r="Z100" i="89" s="1"/>
  <c r="Z7" i="89" s="1"/>
  <c r="AH58" i="89"/>
  <c r="Z108" i="89"/>
  <c r="AH101" i="89"/>
  <c r="AI103" i="89"/>
  <c r="AN19" i="89"/>
  <c r="AN22" i="89" s="1"/>
  <c r="AN24" i="89" s="1"/>
  <c r="B5" i="89"/>
  <c r="AA108" i="89"/>
  <c r="Z5" i="89"/>
  <c r="AF97" i="89"/>
  <c r="AF99" i="89" s="1"/>
  <c r="AF100" i="89" s="1"/>
  <c r="AF7" i="89" s="1"/>
  <c r="AM17" i="89"/>
  <c r="AM22" i="89" s="1"/>
  <c r="K108" i="89"/>
  <c r="J5" i="89"/>
  <c r="S108" i="89"/>
  <c r="R5" i="89"/>
  <c r="D258" i="89"/>
  <c r="AL13" i="89"/>
  <c r="AM23" i="89"/>
  <c r="F97" i="89"/>
  <c r="F99" i="89" s="1"/>
  <c r="F100" i="89" s="1"/>
  <c r="F7" i="89" s="1"/>
  <c r="AQ16" i="89"/>
  <c r="AQ22" i="89" s="1"/>
  <c r="N97" i="89"/>
  <c r="N99" i="89" s="1"/>
  <c r="N100" i="89" s="1"/>
  <c r="N7" i="89" s="1"/>
  <c r="AV16" i="89"/>
  <c r="AV22" i="89" s="1"/>
  <c r="V97" i="89"/>
  <c r="V99" i="89" s="1"/>
  <c r="V100" i="89" s="1"/>
  <c r="V7" i="89" s="1"/>
  <c r="AD97" i="89"/>
  <c r="AD99" i="89" s="1"/>
  <c r="AD100" i="89" s="1"/>
  <c r="AD7" i="89" s="1"/>
  <c r="E107" i="89"/>
  <c r="AP23" i="89" s="1"/>
  <c r="M107" i="89"/>
  <c r="AU23" i="89" s="1"/>
  <c r="U107" i="89"/>
  <c r="AC107" i="89"/>
  <c r="AC108" i="89" s="1"/>
  <c r="I108" i="89"/>
  <c r="F118" i="89"/>
  <c r="AT22" i="89"/>
  <c r="AT24" i="89" s="1"/>
  <c r="G100" i="89"/>
  <c r="G7" i="89" s="1"/>
  <c r="W100" i="89"/>
  <c r="W7" i="89" s="1"/>
  <c r="P97" i="89"/>
  <c r="P99" i="89" s="1"/>
  <c r="P100" i="89" s="1"/>
  <c r="P7" i="89" s="1"/>
  <c r="N108" i="89"/>
  <c r="AV23" i="89"/>
  <c r="V108" i="89"/>
  <c r="AD108" i="89"/>
  <c r="G108" i="89"/>
  <c r="AR23" i="89"/>
  <c r="AR24" i="89" s="1"/>
  <c r="AH92" i="89"/>
  <c r="E118" i="89"/>
  <c r="E252" i="89"/>
  <c r="D5" i="89"/>
  <c r="L5" i="89"/>
  <c r="T5" i="89"/>
  <c r="AB5" i="89"/>
  <c r="AP19" i="89"/>
  <c r="AP22" i="89" s="1"/>
  <c r="AH102" i="89"/>
  <c r="AH103" i="89"/>
  <c r="AH104" i="89"/>
  <c r="AH105" i="89"/>
  <c r="AF107" i="88"/>
  <c r="AF108" i="88" s="1"/>
  <c r="AF97" i="88"/>
  <c r="AF99" i="88" s="1"/>
  <c r="AF100" i="88" s="1"/>
  <c r="AE107" i="88"/>
  <c r="AE108" i="88" s="1"/>
  <c r="AE97" i="88"/>
  <c r="AE99" i="88" s="1"/>
  <c r="AD100" i="88"/>
  <c r="AD108" i="88"/>
  <c r="AC108" i="88"/>
  <c r="AC97" i="88"/>
  <c r="AC99" i="88" s="1"/>
  <c r="AC100" i="88" s="1"/>
  <c r="AB107" i="88"/>
  <c r="AB108" i="88" s="1"/>
  <c r="AB97" i="88"/>
  <c r="AB99" i="88" s="1"/>
  <c r="T108" i="89" l="1"/>
  <c r="R108" i="89"/>
  <c r="R100" i="89"/>
  <c r="R7" i="89" s="1"/>
  <c r="Q108" i="89"/>
  <c r="AW24" i="89"/>
  <c r="O108" i="89"/>
  <c r="AV24" i="89"/>
  <c r="AU24" i="89"/>
  <c r="M100" i="89"/>
  <c r="M7" i="89" s="1"/>
  <c r="B256" i="89"/>
  <c r="F108" i="89"/>
  <c r="AQ23" i="89"/>
  <c r="AQ24" i="89" s="1"/>
  <c r="E108" i="89"/>
  <c r="AP24" i="89"/>
  <c r="AT8" i="89"/>
  <c r="AM24" i="89"/>
  <c r="U108" i="89"/>
  <c r="M108" i="89"/>
  <c r="H246" i="89"/>
  <c r="G252" i="89"/>
  <c r="G118" i="89"/>
  <c r="AC100" i="89"/>
  <c r="AC7" i="89" s="1"/>
  <c r="AH107" i="89"/>
  <c r="C256" i="89"/>
  <c r="K6" i="89" s="1"/>
  <c r="U100" i="89"/>
  <c r="U7" i="89" s="1"/>
  <c r="AI107" i="89"/>
  <c r="AI97" i="89"/>
  <c r="AH97" i="89"/>
  <c r="AE100" i="88"/>
  <c r="AB100" i="88"/>
  <c r="AH108" i="89" l="1"/>
  <c r="AI108" i="89"/>
  <c r="I246" i="89"/>
  <c r="H252" i="89"/>
  <c r="H118" i="89"/>
  <c r="AT9" i="89"/>
  <c r="AH99" i="89"/>
  <c r="AI99" i="89"/>
  <c r="P57" i="88"/>
  <c r="O123" i="88"/>
  <c r="O57" i="88"/>
  <c r="N57" i="88"/>
  <c r="N292" i="87"/>
  <c r="O292" i="87"/>
  <c r="P292" i="87"/>
  <c r="Q292" i="87"/>
  <c r="R292" i="87"/>
  <c r="S292" i="87"/>
  <c r="T292" i="87"/>
  <c r="U292" i="87"/>
  <c r="V292" i="87"/>
  <c r="W292" i="87"/>
  <c r="X292" i="87"/>
  <c r="Y292" i="87"/>
  <c r="Z292" i="87"/>
  <c r="AA292" i="87"/>
  <c r="AB292" i="87"/>
  <c r="AC292" i="87"/>
  <c r="AD292" i="87"/>
  <c r="AE292" i="87"/>
  <c r="AF292" i="87"/>
  <c r="M292" i="87"/>
  <c r="M123" i="88"/>
  <c r="M57" i="88"/>
  <c r="L123" i="88"/>
  <c r="AH121" i="88"/>
  <c r="I123" i="88"/>
  <c r="K123" i="88"/>
  <c r="K121" i="88"/>
  <c r="H123" i="88"/>
  <c r="H57" i="88"/>
  <c r="G123" i="88"/>
  <c r="G57" i="88"/>
  <c r="F123" i="88"/>
  <c r="E123" i="88"/>
  <c r="E121" i="88"/>
  <c r="D123" i="88"/>
  <c r="D121" i="88"/>
  <c r="D57" i="88"/>
  <c r="C57" i="88"/>
  <c r="AI57" i="88" s="1"/>
  <c r="C58" i="88"/>
  <c r="D58" i="88"/>
  <c r="C62" i="88"/>
  <c r="D62" i="88"/>
  <c r="AO17" i="88" s="1"/>
  <c r="C76" i="88"/>
  <c r="AN18" i="88" s="1"/>
  <c r="D76" i="88"/>
  <c r="C80" i="88"/>
  <c r="D80" i="88"/>
  <c r="C92" i="88"/>
  <c r="D92" i="88"/>
  <c r="C101" i="88"/>
  <c r="D101" i="88"/>
  <c r="C102" i="88"/>
  <c r="D102" i="88"/>
  <c r="C103" i="88"/>
  <c r="D103" i="88"/>
  <c r="C104" i="88"/>
  <c r="D104" i="88"/>
  <c r="C105" i="88"/>
  <c r="D105" i="88"/>
  <c r="C118" i="88"/>
  <c r="B123" i="88"/>
  <c r="B121" i="88"/>
  <c r="B57" i="88"/>
  <c r="B118" i="88"/>
  <c r="B105" i="88"/>
  <c r="B104" i="88"/>
  <c r="B103" i="88"/>
  <c r="B102" i="88"/>
  <c r="B101" i="88"/>
  <c r="B92" i="88"/>
  <c r="AF5" i="88" s="1"/>
  <c r="B80" i="88"/>
  <c r="AH80" i="88" s="1"/>
  <c r="B76" i="88"/>
  <c r="B62" i="88"/>
  <c r="B58" i="88"/>
  <c r="AG252" i="88"/>
  <c r="AG75" i="88" s="1"/>
  <c r="AG76" i="88" s="1"/>
  <c r="C252" i="88"/>
  <c r="D251" i="88"/>
  <c r="J250" i="88"/>
  <c r="K250" i="88" s="1"/>
  <c r="L250" i="88" s="1"/>
  <c r="M250" i="88" s="1"/>
  <c r="N250" i="88" s="1"/>
  <c r="O250" i="88" s="1"/>
  <c r="P250" i="88" s="1"/>
  <c r="Q250" i="88" s="1"/>
  <c r="R250" i="88" s="1"/>
  <c r="S250" i="88" s="1"/>
  <c r="T250" i="88" s="1"/>
  <c r="U250" i="88" s="1"/>
  <c r="V250" i="88" s="1"/>
  <c r="W250" i="88" s="1"/>
  <c r="X250" i="88" s="1"/>
  <c r="Y250" i="88" s="1"/>
  <c r="Z250" i="88" s="1"/>
  <c r="AA250" i="88" s="1"/>
  <c r="AB250" i="88" s="1"/>
  <c r="AC250" i="88" s="1"/>
  <c r="AD250" i="88" s="1"/>
  <c r="AE250" i="88" s="1"/>
  <c r="AF250" i="88" s="1"/>
  <c r="B250" i="88" s="1"/>
  <c r="E250" i="88"/>
  <c r="F250" i="88" s="1"/>
  <c r="G250" i="88" s="1"/>
  <c r="H250" i="88" s="1"/>
  <c r="I250" i="88" s="1"/>
  <c r="D250" i="88"/>
  <c r="K249" i="88"/>
  <c r="L249" i="88" s="1"/>
  <c r="M249" i="88" s="1"/>
  <c r="N249" i="88" s="1"/>
  <c r="O249" i="88" s="1"/>
  <c r="P249" i="88" s="1"/>
  <c r="Q249" i="88" s="1"/>
  <c r="R249" i="88" s="1"/>
  <c r="S249" i="88" s="1"/>
  <c r="T249" i="88" s="1"/>
  <c r="U249" i="88" s="1"/>
  <c r="V249" i="88" s="1"/>
  <c r="W249" i="88" s="1"/>
  <c r="X249" i="88" s="1"/>
  <c r="Y249" i="88" s="1"/>
  <c r="Z249" i="88" s="1"/>
  <c r="AA249" i="88" s="1"/>
  <c r="AB249" i="88" s="1"/>
  <c r="AC249" i="88" s="1"/>
  <c r="AD249" i="88" s="1"/>
  <c r="AE249" i="88" s="1"/>
  <c r="AF249" i="88" s="1"/>
  <c r="B249" i="88" s="1"/>
  <c r="H249" i="88"/>
  <c r="I249" i="88" s="1"/>
  <c r="J249" i="88" s="1"/>
  <c r="D249" i="88"/>
  <c r="E249" i="88" s="1"/>
  <c r="F249" i="88" s="1"/>
  <c r="G249" i="88" s="1"/>
  <c r="D248" i="88"/>
  <c r="E248" i="88" s="1"/>
  <c r="F248" i="88" s="1"/>
  <c r="G248" i="88" s="1"/>
  <c r="H248" i="88" s="1"/>
  <c r="I248" i="88" s="1"/>
  <c r="J248" i="88" s="1"/>
  <c r="K248" i="88" s="1"/>
  <c r="L248" i="88" s="1"/>
  <c r="M248" i="88" s="1"/>
  <c r="N248" i="88" s="1"/>
  <c r="O248" i="88" s="1"/>
  <c r="P248" i="88" s="1"/>
  <c r="Q248" i="88" s="1"/>
  <c r="R248" i="88" s="1"/>
  <c r="S248" i="88" s="1"/>
  <c r="T248" i="88" s="1"/>
  <c r="U248" i="88" s="1"/>
  <c r="V248" i="88" s="1"/>
  <c r="W248" i="88" s="1"/>
  <c r="X248" i="88" s="1"/>
  <c r="Y248" i="88" s="1"/>
  <c r="Z248" i="88" s="1"/>
  <c r="AA248" i="88" s="1"/>
  <c r="AB248" i="88" s="1"/>
  <c r="AC248" i="88" s="1"/>
  <c r="AD248" i="88" s="1"/>
  <c r="AE248" i="88" s="1"/>
  <c r="AF248" i="88" s="1"/>
  <c r="B248" i="88" s="1"/>
  <c r="D247" i="88"/>
  <c r="E247" i="88" s="1"/>
  <c r="F247" i="88" s="1"/>
  <c r="G247" i="88" s="1"/>
  <c r="H247" i="88" s="1"/>
  <c r="I247" i="88" s="1"/>
  <c r="J247" i="88" s="1"/>
  <c r="K247" i="88" s="1"/>
  <c r="L247" i="88" s="1"/>
  <c r="M247" i="88" s="1"/>
  <c r="N247" i="88" s="1"/>
  <c r="O247" i="88" s="1"/>
  <c r="P247" i="88" s="1"/>
  <c r="Q247" i="88" s="1"/>
  <c r="R247" i="88" s="1"/>
  <c r="S247" i="88" s="1"/>
  <c r="T247" i="88" s="1"/>
  <c r="U247" i="88" s="1"/>
  <c r="V247" i="88" s="1"/>
  <c r="W247" i="88" s="1"/>
  <c r="X247" i="88" s="1"/>
  <c r="Y247" i="88" s="1"/>
  <c r="Z247" i="88" s="1"/>
  <c r="AA247" i="88" s="1"/>
  <c r="AB247" i="88" s="1"/>
  <c r="AC247" i="88" s="1"/>
  <c r="AD247" i="88" s="1"/>
  <c r="AE247" i="88" s="1"/>
  <c r="AF247" i="88" s="1"/>
  <c r="B247" i="88" s="1"/>
  <c r="E246" i="88"/>
  <c r="F246" i="88" s="1"/>
  <c r="D246" i="88"/>
  <c r="D252" i="88" s="1"/>
  <c r="AG244" i="88"/>
  <c r="AF244" i="88"/>
  <c r="AE244" i="88"/>
  <c r="AD244" i="88"/>
  <c r="AC244" i="88"/>
  <c r="AB244" i="88"/>
  <c r="AA244" i="88"/>
  <c r="Z244" i="88"/>
  <c r="Y244" i="88"/>
  <c r="X244" i="88"/>
  <c r="W244" i="88"/>
  <c r="V244" i="88"/>
  <c r="U244" i="88"/>
  <c r="T244" i="88"/>
  <c r="S244" i="88"/>
  <c r="R244" i="88"/>
  <c r="Q244" i="88"/>
  <c r="P244" i="88"/>
  <c r="O244" i="88"/>
  <c r="N244" i="88"/>
  <c r="M244" i="88"/>
  <c r="L244" i="88"/>
  <c r="K244" i="88"/>
  <c r="J244" i="88"/>
  <c r="I244" i="88"/>
  <c r="H244" i="88"/>
  <c r="G244" i="88"/>
  <c r="F244" i="88"/>
  <c r="E244" i="88"/>
  <c r="D244" i="88"/>
  <c r="C244" i="88"/>
  <c r="B244" i="88"/>
  <c r="AI130" i="88"/>
  <c r="AH130" i="88"/>
  <c r="AI129" i="88"/>
  <c r="AH129" i="88"/>
  <c r="AI128" i="88"/>
  <c r="AH128" i="88"/>
  <c r="AI127" i="88"/>
  <c r="AH127" i="88"/>
  <c r="AI126" i="88"/>
  <c r="AH126" i="88"/>
  <c r="AI122" i="88"/>
  <c r="AH122" i="88"/>
  <c r="AI120" i="88"/>
  <c r="AH120" i="88"/>
  <c r="AI119" i="88"/>
  <c r="AH119" i="88"/>
  <c r="Z118" i="88"/>
  <c r="Y118" i="88"/>
  <c r="AI117" i="88"/>
  <c r="AH117" i="88"/>
  <c r="AI116" i="88"/>
  <c r="AH116" i="88"/>
  <c r="AI115" i="88"/>
  <c r="AH115" i="88"/>
  <c r="AI114" i="88"/>
  <c r="AH114" i="88"/>
  <c r="AI113" i="88"/>
  <c r="AH113" i="88"/>
  <c r="AI112" i="88"/>
  <c r="AH112" i="88"/>
  <c r="AI111" i="88"/>
  <c r="AH111" i="88"/>
  <c r="AI110" i="88"/>
  <c r="AH110" i="88"/>
  <c r="AI109" i="88"/>
  <c r="AH109" i="88"/>
  <c r="AI106" i="88"/>
  <c r="AH106" i="88"/>
  <c r="AA105" i="88"/>
  <c r="Z105" i="88"/>
  <c r="Y105" i="88"/>
  <c r="X105" i="88"/>
  <c r="W105" i="88"/>
  <c r="V105" i="88"/>
  <c r="U105" i="88"/>
  <c r="T105" i="88"/>
  <c r="S105" i="88"/>
  <c r="R105" i="88"/>
  <c r="Q105" i="88"/>
  <c r="P105" i="88"/>
  <c r="O105" i="88"/>
  <c r="N105" i="88"/>
  <c r="M105" i="88"/>
  <c r="L105" i="88"/>
  <c r="K105" i="88"/>
  <c r="J105" i="88"/>
  <c r="I105" i="88"/>
  <c r="H105" i="88"/>
  <c r="G105" i="88"/>
  <c r="F105" i="88"/>
  <c r="E105" i="88"/>
  <c r="AA104" i="88"/>
  <c r="Z104" i="88"/>
  <c r="Y104" i="88"/>
  <c r="X104" i="88"/>
  <c r="W104" i="88"/>
  <c r="V104" i="88"/>
  <c r="U104" i="88"/>
  <c r="T104" i="88"/>
  <c r="S104" i="88"/>
  <c r="R104" i="88"/>
  <c r="Q104" i="88"/>
  <c r="P104" i="88"/>
  <c r="O104" i="88"/>
  <c r="N104" i="88"/>
  <c r="M104" i="88"/>
  <c r="L104" i="88"/>
  <c r="K104" i="88"/>
  <c r="J104" i="88"/>
  <c r="I104" i="88"/>
  <c r="H104" i="88"/>
  <c r="G104" i="88"/>
  <c r="F104" i="88"/>
  <c r="E104" i="88"/>
  <c r="AA103" i="88"/>
  <c r="Z103" i="88"/>
  <c r="Y103" i="88"/>
  <c r="X103" i="88"/>
  <c r="W103" i="88"/>
  <c r="V103" i="88"/>
  <c r="U103" i="88"/>
  <c r="T103" i="88"/>
  <c r="S103" i="88"/>
  <c r="R103" i="88"/>
  <c r="Q103" i="88"/>
  <c r="Q107" i="88" s="1"/>
  <c r="P103" i="88"/>
  <c r="O103" i="88"/>
  <c r="N103" i="88"/>
  <c r="M103" i="88"/>
  <c r="L103" i="88"/>
  <c r="K103" i="88"/>
  <c r="J103" i="88"/>
  <c r="I103" i="88"/>
  <c r="H103" i="88"/>
  <c r="G103" i="88"/>
  <c r="F103" i="88"/>
  <c r="E103" i="88"/>
  <c r="BI23" i="88"/>
  <c r="AA102" i="88"/>
  <c r="Z102" i="88"/>
  <c r="Y102" i="88"/>
  <c r="X102" i="88"/>
  <c r="W102" i="88"/>
  <c r="V102" i="88"/>
  <c r="U102" i="88"/>
  <c r="T102" i="88"/>
  <c r="S102" i="88"/>
  <c r="R102" i="88"/>
  <c r="Q102" i="88"/>
  <c r="P102" i="88"/>
  <c r="O102" i="88"/>
  <c r="N102" i="88"/>
  <c r="M102" i="88"/>
  <c r="L102" i="88"/>
  <c r="K102" i="88"/>
  <c r="J102" i="88"/>
  <c r="I102" i="88"/>
  <c r="H102" i="88"/>
  <c r="G102" i="88"/>
  <c r="F102" i="88"/>
  <c r="E102" i="88"/>
  <c r="BJ23" i="88"/>
  <c r="AA101" i="88"/>
  <c r="Z101" i="88"/>
  <c r="Y101" i="88"/>
  <c r="X101" i="88"/>
  <c r="X107" i="88" s="1"/>
  <c r="BE23" i="88" s="1"/>
  <c r="W101" i="88"/>
  <c r="V101" i="88"/>
  <c r="U101" i="88"/>
  <c r="T101" i="88"/>
  <c r="S101" i="88"/>
  <c r="R101" i="88"/>
  <c r="Q101" i="88"/>
  <c r="P101" i="88"/>
  <c r="O101" i="88"/>
  <c r="N101" i="88"/>
  <c r="M101" i="88"/>
  <c r="L101" i="88"/>
  <c r="K101" i="88"/>
  <c r="J101" i="88"/>
  <c r="I101" i="88"/>
  <c r="H101" i="88"/>
  <c r="G101" i="88"/>
  <c r="F101" i="88"/>
  <c r="E101" i="88"/>
  <c r="AI98" i="88"/>
  <c r="AH98" i="88"/>
  <c r="AI96" i="88"/>
  <c r="AH96" i="88"/>
  <c r="AG96" i="88"/>
  <c r="AG99" i="88" s="1"/>
  <c r="AI95" i="88"/>
  <c r="AH95" i="88"/>
  <c r="AI94" i="88"/>
  <c r="AH94" i="88"/>
  <c r="AI93" i="88"/>
  <c r="AH93" i="88"/>
  <c r="AG92" i="88"/>
  <c r="AB5" i="88"/>
  <c r="AA92" i="88"/>
  <c r="Z5" i="88" s="1"/>
  <c r="Z92" i="88"/>
  <c r="BF19" i="88" s="1"/>
  <c r="Y92" i="88"/>
  <c r="X92" i="88"/>
  <c r="W5" i="88" s="1"/>
  <c r="W92" i="88"/>
  <c r="V5" i="88" s="1"/>
  <c r="V92" i="88"/>
  <c r="U5" i="88" s="1"/>
  <c r="U92" i="88"/>
  <c r="T92" i="88"/>
  <c r="BB19" i="88" s="1"/>
  <c r="S92" i="88"/>
  <c r="BA19" i="88" s="1"/>
  <c r="R92" i="88"/>
  <c r="R97" i="88" s="1"/>
  <c r="R99" i="88" s="1"/>
  <c r="Q92" i="88"/>
  <c r="AY19" i="88" s="1"/>
  <c r="P92" i="88"/>
  <c r="O5" i="88" s="1"/>
  <c r="O92" i="88"/>
  <c r="N5" i="88" s="1"/>
  <c r="N92" i="88"/>
  <c r="AV19" i="88" s="1"/>
  <c r="M92" i="88"/>
  <c r="L5" i="88" s="1"/>
  <c r="L92" i="88"/>
  <c r="K5" i="88" s="1"/>
  <c r="K92" i="88"/>
  <c r="AT19" i="88" s="1"/>
  <c r="J92" i="88"/>
  <c r="I92" i="88"/>
  <c r="AS19" i="88" s="1"/>
  <c r="H92" i="88"/>
  <c r="G5" i="88" s="1"/>
  <c r="G92" i="88"/>
  <c r="F92" i="88"/>
  <c r="AQ19" i="88" s="1"/>
  <c r="E92" i="88"/>
  <c r="AI91" i="88"/>
  <c r="AH91" i="88"/>
  <c r="AI90" i="88"/>
  <c r="AH90" i="88"/>
  <c r="AI89" i="88"/>
  <c r="AH89" i="88"/>
  <c r="AI88" i="88"/>
  <c r="AH88" i="88"/>
  <c r="AI87" i="88"/>
  <c r="AH87" i="88"/>
  <c r="AI86" i="88"/>
  <c r="AH86" i="88"/>
  <c r="AI85" i="88"/>
  <c r="AH85" i="88"/>
  <c r="AI84" i="88"/>
  <c r="AH84" i="88"/>
  <c r="AI83" i="88"/>
  <c r="AH83" i="88"/>
  <c r="AI82" i="88"/>
  <c r="AH82" i="88"/>
  <c r="AI81" i="88"/>
  <c r="AH81" i="88"/>
  <c r="AG80" i="88"/>
  <c r="BH20" i="88"/>
  <c r="BG20" i="88"/>
  <c r="AA80" i="88"/>
  <c r="Z80" i="88"/>
  <c r="Y80" i="88"/>
  <c r="X80" i="88"/>
  <c r="W80" i="88"/>
  <c r="V80" i="88"/>
  <c r="U80" i="88"/>
  <c r="T80" i="88"/>
  <c r="S80" i="88"/>
  <c r="BA20" i="88" s="1"/>
  <c r="R80" i="88"/>
  <c r="Q80" i="88"/>
  <c r="P80" i="88"/>
  <c r="O80" i="88"/>
  <c r="N80" i="88"/>
  <c r="M80" i="88"/>
  <c r="AU20" i="88" s="1"/>
  <c r="L80" i="88"/>
  <c r="K80" i="88"/>
  <c r="J80" i="88"/>
  <c r="I80" i="88"/>
  <c r="H80" i="88"/>
  <c r="G80" i="88"/>
  <c r="F80" i="88"/>
  <c r="AQ20" i="88" s="1"/>
  <c r="E80" i="88"/>
  <c r="AP20" i="88" s="1"/>
  <c r="AI79" i="88"/>
  <c r="AH79" i="88"/>
  <c r="AI78" i="88"/>
  <c r="AH78" i="88"/>
  <c r="AI77" i="88"/>
  <c r="AH77" i="88"/>
  <c r="AA76" i="88"/>
  <c r="Z76" i="88"/>
  <c r="BF18" i="88" s="1"/>
  <c r="Y76" i="88"/>
  <c r="X76" i="88"/>
  <c r="BE18" i="88" s="1"/>
  <c r="W76" i="88"/>
  <c r="V76" i="88"/>
  <c r="BD18" i="88" s="1"/>
  <c r="U76" i="88"/>
  <c r="BC18" i="88" s="1"/>
  <c r="T76" i="88"/>
  <c r="S76" i="88"/>
  <c r="BA18" i="88" s="1"/>
  <c r="R76" i="88"/>
  <c r="Q76" i="88"/>
  <c r="AY18" i="88" s="1"/>
  <c r="P76" i="88"/>
  <c r="AX18" i="88" s="1"/>
  <c r="O76" i="88"/>
  <c r="AW18" i="88" s="1"/>
  <c r="N76" i="88"/>
  <c r="AV18" i="88" s="1"/>
  <c r="M76" i="88"/>
  <c r="AU18" i="88" s="1"/>
  <c r="L76" i="88"/>
  <c r="K76" i="88"/>
  <c r="AT18" i="88" s="1"/>
  <c r="J76" i="88"/>
  <c r="I76" i="88"/>
  <c r="AS18" i="88" s="1"/>
  <c r="H76" i="88"/>
  <c r="G76" i="88"/>
  <c r="AR18" i="88" s="1"/>
  <c r="F76" i="88"/>
  <c r="AQ18" i="88" s="1"/>
  <c r="E76" i="88"/>
  <c r="AO18" i="88"/>
  <c r="AM18" i="88"/>
  <c r="AI75" i="88"/>
  <c r="AH75" i="88"/>
  <c r="AI74" i="88"/>
  <c r="AH74" i="88"/>
  <c r="AI73" i="88"/>
  <c r="AH73" i="88"/>
  <c r="AI72" i="88"/>
  <c r="AH72" i="88"/>
  <c r="AI71" i="88"/>
  <c r="AH71" i="88"/>
  <c r="AI70" i="88"/>
  <c r="AH70" i="88"/>
  <c r="AI69" i="88"/>
  <c r="AH69" i="88"/>
  <c r="AI68" i="88"/>
  <c r="AH68" i="88"/>
  <c r="AI67" i="88"/>
  <c r="AH67" i="88"/>
  <c r="AI66" i="88"/>
  <c r="AH66" i="88"/>
  <c r="AI65" i="88"/>
  <c r="AH65" i="88"/>
  <c r="AI64" i="88"/>
  <c r="AH64" i="88"/>
  <c r="AI63" i="88"/>
  <c r="AH63" i="88"/>
  <c r="AG62" i="88"/>
  <c r="BJ17" i="88"/>
  <c r="BI17" i="88"/>
  <c r="AA62" i="88"/>
  <c r="Z62" i="88"/>
  <c r="Y62" i="88"/>
  <c r="X62" i="88"/>
  <c r="BE17" i="88" s="1"/>
  <c r="W62" i="88"/>
  <c r="V62" i="88"/>
  <c r="BD17" i="88" s="1"/>
  <c r="U62" i="88"/>
  <c r="T62" i="88"/>
  <c r="BB17" i="88" s="1"/>
  <c r="S62" i="88"/>
  <c r="BA17" i="88" s="1"/>
  <c r="AZ17" i="88"/>
  <c r="Q62" i="88"/>
  <c r="AY17" i="88" s="1"/>
  <c r="P62" i="88"/>
  <c r="AX17" i="88" s="1"/>
  <c r="O62" i="88"/>
  <c r="AW17" i="88" s="1"/>
  <c r="N62" i="88"/>
  <c r="AV17" i="88" s="1"/>
  <c r="M62" i="88"/>
  <c r="AU17" i="88" s="1"/>
  <c r="L62" i="88"/>
  <c r="K62" i="88"/>
  <c r="AT17" i="88" s="1"/>
  <c r="J62" i="88"/>
  <c r="I62" i="88"/>
  <c r="H62" i="88"/>
  <c r="G62" i="88"/>
  <c r="AR17" i="88" s="1"/>
  <c r="F62" i="88"/>
  <c r="E62" i="88"/>
  <c r="AN17" i="88"/>
  <c r="AI61" i="88"/>
  <c r="AH61" i="88"/>
  <c r="AI60" i="88"/>
  <c r="AH60" i="88"/>
  <c r="AI59" i="88"/>
  <c r="AH59" i="88"/>
  <c r="AG58" i="88"/>
  <c r="AG97" i="88" s="1"/>
  <c r="AF7" i="88"/>
  <c r="BI16" i="88"/>
  <c r="AB7" i="88"/>
  <c r="AA58" i="88"/>
  <c r="Z58" i="88"/>
  <c r="Y58" i="88"/>
  <c r="X58" i="88"/>
  <c r="W58" i="88"/>
  <c r="V58" i="88"/>
  <c r="U58" i="88"/>
  <c r="BC16" i="88" s="1"/>
  <c r="T58" i="88"/>
  <c r="BB16" i="88" s="1"/>
  <c r="S58" i="88"/>
  <c r="BA16" i="88" s="1"/>
  <c r="Q58" i="88"/>
  <c r="AY16" i="88" s="1"/>
  <c r="P58" i="88"/>
  <c r="O58" i="88"/>
  <c r="N58" i="88"/>
  <c r="AV16" i="88" s="1"/>
  <c r="M58" i="88"/>
  <c r="L58" i="88"/>
  <c r="K58" i="88"/>
  <c r="J58" i="88"/>
  <c r="I58" i="88"/>
  <c r="AS16" i="88" s="1"/>
  <c r="H58" i="88"/>
  <c r="G58" i="88"/>
  <c r="F58" i="88"/>
  <c r="E58" i="88"/>
  <c r="AP16" i="88" s="1"/>
  <c r="AI56" i="88"/>
  <c r="AH56" i="88"/>
  <c r="AI55" i="88"/>
  <c r="AH55" i="88"/>
  <c r="AI54" i="88"/>
  <c r="AH54" i="88"/>
  <c r="AI53" i="88"/>
  <c r="AH53" i="88"/>
  <c r="AI52" i="88"/>
  <c r="AH52" i="88"/>
  <c r="AI51" i="88"/>
  <c r="AH51" i="88"/>
  <c r="AI50" i="88"/>
  <c r="AH50" i="88"/>
  <c r="AI49" i="88"/>
  <c r="AH49" i="88"/>
  <c r="AI48" i="88"/>
  <c r="AH48" i="88"/>
  <c r="AI47" i="88"/>
  <c r="AH47" i="88"/>
  <c r="AI46" i="88"/>
  <c r="AH46" i="88"/>
  <c r="AI45" i="88"/>
  <c r="AH45" i="88"/>
  <c r="AI44" i="88"/>
  <c r="AH44" i="88"/>
  <c r="AI43" i="88"/>
  <c r="AH43" i="88"/>
  <c r="AI42" i="88"/>
  <c r="AH42" i="88"/>
  <c r="AI41" i="88"/>
  <c r="AH41" i="88"/>
  <c r="AI40" i="88"/>
  <c r="AH40" i="88"/>
  <c r="AI39" i="88"/>
  <c r="AH39" i="88"/>
  <c r="AI38" i="88"/>
  <c r="AH38" i="88"/>
  <c r="AI37" i="88"/>
  <c r="AH37" i="88"/>
  <c r="AI36" i="88"/>
  <c r="AH36" i="88"/>
  <c r="AI35" i="88"/>
  <c r="AH35" i="88"/>
  <c r="AI34" i="88"/>
  <c r="AH34" i="88"/>
  <c r="AI33" i="88"/>
  <c r="AH33" i="88"/>
  <c r="AI32" i="88"/>
  <c r="AH32" i="88"/>
  <c r="AI31" i="88"/>
  <c r="AH31" i="88"/>
  <c r="AI30" i="88"/>
  <c r="AH30" i="88"/>
  <c r="AI29" i="88"/>
  <c r="AH29" i="88"/>
  <c r="AI28" i="88"/>
  <c r="AH28" i="88"/>
  <c r="AI27" i="88"/>
  <c r="AH27" i="88"/>
  <c r="AI26" i="88"/>
  <c r="AH26" i="88"/>
  <c r="AI25" i="88"/>
  <c r="AH25" i="88"/>
  <c r="AI24" i="88"/>
  <c r="AH24" i="88"/>
  <c r="AI23" i="88"/>
  <c r="AH23" i="88"/>
  <c r="AI22" i="88"/>
  <c r="AH22" i="88"/>
  <c r="BJ21" i="88"/>
  <c r="BI21" i="88"/>
  <c r="BH21" i="88"/>
  <c r="BG21" i="88"/>
  <c r="BF21" i="88"/>
  <c r="BE21" i="88"/>
  <c r="BD21" i="88"/>
  <c r="BC21" i="88"/>
  <c r="BB21" i="88"/>
  <c r="BA21" i="88"/>
  <c r="AZ21" i="88"/>
  <c r="AY21" i="88"/>
  <c r="AX21" i="88"/>
  <c r="AW21" i="88"/>
  <c r="AV21" i="88"/>
  <c r="AU21" i="88"/>
  <c r="AT21" i="88"/>
  <c r="AS21" i="88"/>
  <c r="AR21" i="88"/>
  <c r="AQ21" i="88"/>
  <c r="AP21" i="88"/>
  <c r="AO21" i="88"/>
  <c r="AN21" i="88"/>
  <c r="AM21" i="88"/>
  <c r="AI21" i="88"/>
  <c r="AH21" i="88"/>
  <c r="BJ20" i="88"/>
  <c r="BI20" i="88"/>
  <c r="BF20" i="88"/>
  <c r="BE20" i="88"/>
  <c r="BD20" i="88"/>
  <c r="BC20" i="88"/>
  <c r="BB20" i="88"/>
  <c r="AZ20" i="88"/>
  <c r="AY20" i="88"/>
  <c r="AX20" i="88"/>
  <c r="AW20" i="88"/>
  <c r="AV20" i="88"/>
  <c r="AT20" i="88"/>
  <c r="AS20" i="88"/>
  <c r="AR20" i="88"/>
  <c r="AO20" i="88"/>
  <c r="AN20" i="88"/>
  <c r="AM20" i="88"/>
  <c r="AI20" i="88"/>
  <c r="AH20" i="88"/>
  <c r="BJ19" i="88"/>
  <c r="BI19" i="88"/>
  <c r="BG19" i="88"/>
  <c r="BD19" i="88"/>
  <c r="AI19" i="88"/>
  <c r="AH19" i="88"/>
  <c r="BJ18" i="88"/>
  <c r="BI18" i="88"/>
  <c r="BH18" i="88"/>
  <c r="BG18" i="88"/>
  <c r="BB18" i="88"/>
  <c r="AZ18" i="88"/>
  <c r="AP18" i="88"/>
  <c r="AI18" i="88"/>
  <c r="AH18" i="88"/>
  <c r="BH17" i="88"/>
  <c r="BG17" i="88"/>
  <c r="BC17" i="88"/>
  <c r="AS17" i="88"/>
  <c r="AQ17" i="88"/>
  <c r="AP17" i="88"/>
  <c r="AM17" i="88"/>
  <c r="AI17" i="88"/>
  <c r="AH17" i="88"/>
  <c r="BH16" i="88"/>
  <c r="BG16" i="88"/>
  <c r="BF16" i="88"/>
  <c r="BD16" i="88"/>
  <c r="AU16" i="88"/>
  <c r="AT16" i="88"/>
  <c r="AR16" i="88"/>
  <c r="AQ16" i="88"/>
  <c r="AO16" i="88"/>
  <c r="AN16" i="88"/>
  <c r="AM16" i="88"/>
  <c r="AI16" i="88"/>
  <c r="AH16" i="88"/>
  <c r="AI15" i="88"/>
  <c r="AH15" i="88"/>
  <c r="AI14" i="88"/>
  <c r="AH14" i="88"/>
  <c r="AI13" i="88"/>
  <c r="AH13" i="88"/>
  <c r="AL12" i="88"/>
  <c r="AI12" i="88"/>
  <c r="AH12" i="88"/>
  <c r="AI11" i="88"/>
  <c r="AH11" i="88"/>
  <c r="AE5" i="88"/>
  <c r="AD5" i="88"/>
  <c r="AA5" i="88"/>
  <c r="X5" i="88"/>
  <c r="C5" i="88"/>
  <c r="B5" i="88"/>
  <c r="AG4" i="88"/>
  <c r="K4" i="88"/>
  <c r="E4" i="88"/>
  <c r="H4" i="88" s="1"/>
  <c r="B4" i="88"/>
  <c r="D258" i="88" s="1"/>
  <c r="AG3" i="88"/>
  <c r="AG2" i="88"/>
  <c r="AG6" i="88" s="1"/>
  <c r="AF123" i="87"/>
  <c r="AF118" i="87" s="1"/>
  <c r="AF121" i="87"/>
  <c r="AF57" i="87"/>
  <c r="AF58" i="87"/>
  <c r="AF62" i="87"/>
  <c r="AF76" i="87"/>
  <c r="AF80" i="87"/>
  <c r="AF92" i="87"/>
  <c r="AF101" i="87"/>
  <c r="AF102" i="87"/>
  <c r="AF103" i="87"/>
  <c r="AF104" i="87"/>
  <c r="AF105" i="87"/>
  <c r="AE123" i="87"/>
  <c r="AE121" i="87"/>
  <c r="AE57" i="87"/>
  <c r="AE58" i="87"/>
  <c r="AE62" i="87"/>
  <c r="AE76" i="87"/>
  <c r="AE80" i="87"/>
  <c r="AE92" i="87"/>
  <c r="AE101" i="87"/>
  <c r="AE102" i="87"/>
  <c r="AE103" i="87"/>
  <c r="AE104" i="87"/>
  <c r="AE105" i="87"/>
  <c r="AE118" i="87"/>
  <c r="AD123" i="87"/>
  <c r="AD121" i="87"/>
  <c r="AD57" i="87"/>
  <c r="AC123" i="87"/>
  <c r="AC121" i="87"/>
  <c r="AC57" i="87"/>
  <c r="AB123" i="87"/>
  <c r="AB121" i="87"/>
  <c r="AB57" i="87"/>
  <c r="AA123" i="87"/>
  <c r="Z123" i="87"/>
  <c r="W123" i="87"/>
  <c r="V123" i="87"/>
  <c r="U123" i="87"/>
  <c r="S123" i="87"/>
  <c r="R57" i="87"/>
  <c r="R123" i="87"/>
  <c r="Q123" i="87"/>
  <c r="Q57" i="87"/>
  <c r="B7" i="89" l="1"/>
  <c r="A7" i="89" s="1"/>
  <c r="AH100" i="89"/>
  <c r="AI100" i="89"/>
  <c r="I252" i="89"/>
  <c r="I118" i="89"/>
  <c r="J246" i="89"/>
  <c r="BG22" i="88"/>
  <c r="AA97" i="88"/>
  <c r="AA99" i="88" s="1"/>
  <c r="Z97" i="88"/>
  <c r="Z99" i="88" s="1"/>
  <c r="BF17" i="88"/>
  <c r="BF22" i="88" s="1"/>
  <c r="Y107" i="88"/>
  <c r="Y97" i="88"/>
  <c r="Y99" i="88" s="1"/>
  <c r="Y108" i="88"/>
  <c r="X108" i="88"/>
  <c r="BE19" i="88"/>
  <c r="X97" i="88"/>
  <c r="X99" i="88" s="1"/>
  <c r="X100" i="88" s="1"/>
  <c r="X7" i="88" s="1"/>
  <c r="W107" i="88"/>
  <c r="W108" i="88"/>
  <c r="W97" i="88"/>
  <c r="W99" i="88" s="1"/>
  <c r="W100" i="88" s="1"/>
  <c r="W7" i="88" s="1"/>
  <c r="U107" i="88"/>
  <c r="BC23" i="88" s="1"/>
  <c r="T107" i="88"/>
  <c r="BB23" i="88" s="1"/>
  <c r="S5" i="88"/>
  <c r="T97" i="88"/>
  <c r="T99" i="88" s="1"/>
  <c r="R107" i="88"/>
  <c r="AZ23" i="88" s="1"/>
  <c r="AZ19" i="88"/>
  <c r="P5" i="88"/>
  <c r="AY22" i="88"/>
  <c r="AX19" i="88"/>
  <c r="P107" i="88"/>
  <c r="AX23" i="88" s="1"/>
  <c r="P97" i="88"/>
  <c r="P99" i="88" s="1"/>
  <c r="O107" i="88"/>
  <c r="AW23" i="88" s="1"/>
  <c r="AW19" i="88"/>
  <c r="O97" i="88"/>
  <c r="O99" i="88" s="1"/>
  <c r="O100" i="88" s="1"/>
  <c r="O7" i="88" s="1"/>
  <c r="M5" i="88"/>
  <c r="AV22" i="88"/>
  <c r="M107" i="88"/>
  <c r="AU23" i="88" s="1"/>
  <c r="L107" i="88"/>
  <c r="L108" i="88" s="1"/>
  <c r="L97" i="88"/>
  <c r="L99" i="88" s="1"/>
  <c r="L100" i="88" s="1"/>
  <c r="L7" i="88" s="1"/>
  <c r="AH123" i="88"/>
  <c r="J5" i="88"/>
  <c r="K97" i="88"/>
  <c r="K99" i="88" s="1"/>
  <c r="J107" i="88"/>
  <c r="H5" i="88"/>
  <c r="I107" i="88"/>
  <c r="AS23" i="88" s="1"/>
  <c r="J97" i="88"/>
  <c r="J99" i="88" s="1"/>
  <c r="AS22" i="88"/>
  <c r="H107" i="88"/>
  <c r="H108" i="88"/>
  <c r="H97" i="88"/>
  <c r="H99" i="88" s="1"/>
  <c r="H100" i="88" s="1"/>
  <c r="H7" i="88" s="1"/>
  <c r="F5" i="88"/>
  <c r="AR19" i="88"/>
  <c r="AR22" i="88" s="1"/>
  <c r="G107" i="88"/>
  <c r="AR23" i="88" s="1"/>
  <c r="AI62" i="88"/>
  <c r="G97" i="88"/>
  <c r="G99" i="88" s="1"/>
  <c r="AI101" i="88"/>
  <c r="E5" i="88"/>
  <c r="AQ22" i="88"/>
  <c r="E107" i="88"/>
  <c r="AP23" i="88" s="1"/>
  <c r="AI58" i="88"/>
  <c r="D107" i="88"/>
  <c r="AO23" i="88" s="1"/>
  <c r="AO19" i="88"/>
  <c r="C107" i="88"/>
  <c r="C108" i="88" s="1"/>
  <c r="D97" i="88"/>
  <c r="D99" i="88" s="1"/>
  <c r="AH57" i="88"/>
  <c r="C97" i="88"/>
  <c r="C99" i="88" s="1"/>
  <c r="AI121" i="88"/>
  <c r="AI105" i="88"/>
  <c r="AI123" i="88"/>
  <c r="D118" i="88"/>
  <c r="B107" i="88"/>
  <c r="B108" i="88" s="1"/>
  <c r="B97" i="88"/>
  <c r="B99" i="88" s="1"/>
  <c r="B100" i="88" s="1"/>
  <c r="AH103" i="88"/>
  <c r="AI80" i="88"/>
  <c r="AL13" i="88"/>
  <c r="BA22" i="88"/>
  <c r="AT22" i="88"/>
  <c r="BH22" i="88"/>
  <c r="BG23" i="88"/>
  <c r="BG24" i="88" s="1"/>
  <c r="BB22" i="88"/>
  <c r="BB24" i="88" s="1"/>
  <c r="BI22" i="88"/>
  <c r="BI24" i="88" s="1"/>
  <c r="Q108" i="88"/>
  <c r="AY23" i="88"/>
  <c r="AY24" i="88" s="1"/>
  <c r="BD22" i="88"/>
  <c r="Y100" i="88"/>
  <c r="Y7" i="88" s="1"/>
  <c r="BC19" i="88"/>
  <c r="BC22" i="88" s="1"/>
  <c r="BC24" i="88" s="1"/>
  <c r="U108" i="88"/>
  <c r="AI104" i="88"/>
  <c r="BE16" i="88"/>
  <c r="BE22" i="88" s="1"/>
  <c r="BE24" i="88" s="1"/>
  <c r="AH101" i="88"/>
  <c r="K107" i="88"/>
  <c r="S107" i="88"/>
  <c r="AA107" i="88"/>
  <c r="AA108" i="88" s="1"/>
  <c r="AH102" i="88"/>
  <c r="Z107" i="88"/>
  <c r="BF23" i="88" s="1"/>
  <c r="BF24" i="88" s="1"/>
  <c r="AI103" i="88"/>
  <c r="AH104" i="88"/>
  <c r="AU19" i="88"/>
  <c r="AU22" i="88" s="1"/>
  <c r="AU24" i="88" s="1"/>
  <c r="M108" i="88"/>
  <c r="D5" i="88"/>
  <c r="AH62" i="88"/>
  <c r="AW16" i="88"/>
  <c r="AW22" i="88" s="1"/>
  <c r="AW24" i="88" s="1"/>
  <c r="R5" i="88"/>
  <c r="AO22" i="88"/>
  <c r="AX16" i="88"/>
  <c r="AX22" i="88" s="1"/>
  <c r="AX24" i="88" s="1"/>
  <c r="AN19" i="88"/>
  <c r="AN22" i="88" s="1"/>
  <c r="F107" i="88"/>
  <c r="AQ23" i="88" s="1"/>
  <c r="N107" i="88"/>
  <c r="AV23" i="88" s="1"/>
  <c r="AV24" i="88" s="1"/>
  <c r="V107" i="88"/>
  <c r="BD23" i="88" s="1"/>
  <c r="BH23" i="88"/>
  <c r="T108" i="88"/>
  <c r="AH58" i="88"/>
  <c r="T100" i="88"/>
  <c r="T7" i="88" s="1"/>
  <c r="AC5" i="88"/>
  <c r="AZ16" i="88"/>
  <c r="AZ22" i="88" s="1"/>
  <c r="AZ24" i="88" s="1"/>
  <c r="BJ16" i="88"/>
  <c r="BJ22" i="88" s="1"/>
  <c r="BJ24" i="88" s="1"/>
  <c r="BH19" i="88"/>
  <c r="E97" i="88"/>
  <c r="E99" i="88" s="1"/>
  <c r="E100" i="88" s="1"/>
  <c r="E7" i="88" s="1"/>
  <c r="M97" i="88"/>
  <c r="M99" i="88" s="1"/>
  <c r="M100" i="88" s="1"/>
  <c r="M7" i="88" s="1"/>
  <c r="U97" i="88"/>
  <c r="U99" i="88" s="1"/>
  <c r="U100" i="88" s="1"/>
  <c r="U7" i="88" s="1"/>
  <c r="AC7" i="88"/>
  <c r="AH76" i="88"/>
  <c r="AM19" i="88"/>
  <c r="AM22" i="88" s="1"/>
  <c r="AI92" i="88"/>
  <c r="I5" i="88"/>
  <c r="J108" i="88"/>
  <c r="Q5" i="88"/>
  <c r="R108" i="88"/>
  <c r="Y5" i="88"/>
  <c r="AH92" i="88"/>
  <c r="G246" i="88"/>
  <c r="E251" i="88"/>
  <c r="AE7" i="88"/>
  <c r="T5" i="88"/>
  <c r="AP19" i="88"/>
  <c r="AP22" i="88" s="1"/>
  <c r="F97" i="88"/>
  <c r="F99" i="88" s="1"/>
  <c r="N97" i="88"/>
  <c r="N99" i="88" s="1"/>
  <c r="V97" i="88"/>
  <c r="V99" i="88" s="1"/>
  <c r="AI76" i="88"/>
  <c r="S97" i="88"/>
  <c r="S99" i="88" s="1"/>
  <c r="AI102" i="88"/>
  <c r="E252" i="88"/>
  <c r="I97" i="88"/>
  <c r="I99" i="88" s="1"/>
  <c r="I100" i="88" s="1"/>
  <c r="I7" i="88" s="1"/>
  <c r="Q97" i="88"/>
  <c r="Q99" i="88" s="1"/>
  <c r="Q100" i="88" s="1"/>
  <c r="Q7" i="88" s="1"/>
  <c r="AH105" i="88"/>
  <c r="AF107" i="87"/>
  <c r="AF108" i="87" s="1"/>
  <c r="AF97" i="87"/>
  <c r="AF99" i="87" s="1"/>
  <c r="AF100" i="87" s="1"/>
  <c r="AE107" i="87"/>
  <c r="AE108" i="87" s="1"/>
  <c r="AE97" i="87"/>
  <c r="AE99" i="87" s="1"/>
  <c r="J252" i="89" l="1"/>
  <c r="J118" i="89"/>
  <c r="K246" i="89"/>
  <c r="BH24" i="88"/>
  <c r="AA100" i="88"/>
  <c r="AA7" i="88" s="1"/>
  <c r="Z108" i="88"/>
  <c r="BD24" i="88"/>
  <c r="R100" i="88"/>
  <c r="R7" i="88" s="1"/>
  <c r="P100" i="88"/>
  <c r="P7" i="88" s="1"/>
  <c r="P108" i="88"/>
  <c r="O108" i="88"/>
  <c r="J100" i="88"/>
  <c r="J7" i="88" s="1"/>
  <c r="I108" i="88"/>
  <c r="AS24" i="88"/>
  <c r="AR24" i="88"/>
  <c r="G100" i="88"/>
  <c r="G7" i="88" s="1"/>
  <c r="G108" i="88"/>
  <c r="F100" i="88"/>
  <c r="F7" i="88" s="1"/>
  <c r="E108" i="88"/>
  <c r="AQ24" i="88"/>
  <c r="AP24" i="88"/>
  <c r="C100" i="88"/>
  <c r="C7" i="88" s="1"/>
  <c r="AN23" i="88"/>
  <c r="AN24" i="88" s="1"/>
  <c r="D108" i="88"/>
  <c r="D100" i="88"/>
  <c r="D7" i="88" s="1"/>
  <c r="AO24" i="88"/>
  <c r="BA23" i="88"/>
  <c r="BA24" i="88" s="1"/>
  <c r="S108" i="88"/>
  <c r="AT23" i="88"/>
  <c r="AT24" i="88" s="1"/>
  <c r="K108" i="88"/>
  <c r="H246" i="88"/>
  <c r="B7" i="88"/>
  <c r="V100" i="88"/>
  <c r="V7" i="88" s="1"/>
  <c r="AM23" i="88"/>
  <c r="AM24" i="88" s="1"/>
  <c r="AI107" i="88"/>
  <c r="AH107" i="88"/>
  <c r="AI99" i="88"/>
  <c r="K100" i="88"/>
  <c r="K7" i="88" s="1"/>
  <c r="N100" i="88"/>
  <c r="N7" i="88" s="1"/>
  <c r="F251" i="88"/>
  <c r="E118" i="88"/>
  <c r="AH97" i="88"/>
  <c r="N108" i="88"/>
  <c r="S100" i="88"/>
  <c r="S7" i="88" s="1"/>
  <c r="AT8" i="88"/>
  <c r="AD7" i="88"/>
  <c r="AH99" i="88"/>
  <c r="V108" i="88"/>
  <c r="B256" i="88"/>
  <c r="AI97" i="88"/>
  <c r="Z100" i="88"/>
  <c r="Z7" i="88" s="1"/>
  <c r="F108" i="88"/>
  <c r="C256" i="88"/>
  <c r="AE100" i="87"/>
  <c r="K252" i="89" l="1"/>
  <c r="K118" i="89"/>
  <c r="L246" i="89"/>
  <c r="AH108" i="88"/>
  <c r="K6" i="88"/>
  <c r="AI108" i="88"/>
  <c r="AT9" i="88"/>
  <c r="G251" i="88"/>
  <c r="F118" i="88"/>
  <c r="F252" i="88"/>
  <c r="I246" i="88"/>
  <c r="AH100" i="88"/>
  <c r="A7" i="88"/>
  <c r="AI100" i="88"/>
  <c r="L252" i="89" l="1"/>
  <c r="L118" i="89"/>
  <c r="M246" i="89"/>
  <c r="J246" i="88"/>
  <c r="H251" i="88"/>
  <c r="G252" i="88"/>
  <c r="G118" i="88"/>
  <c r="N246" i="89" l="1"/>
  <c r="M252" i="89"/>
  <c r="M118" i="89"/>
  <c r="I251" i="88"/>
  <c r="H118" i="88"/>
  <c r="H252" i="88"/>
  <c r="K246" i="88"/>
  <c r="O246" i="89" l="1"/>
  <c r="N252" i="89"/>
  <c r="N118" i="89"/>
  <c r="L246" i="88"/>
  <c r="J251" i="88"/>
  <c r="I252" i="88"/>
  <c r="I118" i="88"/>
  <c r="P57" i="87"/>
  <c r="O123" i="87"/>
  <c r="O57" i="87"/>
  <c r="N57" i="87"/>
  <c r="N123" i="87"/>
  <c r="M123" i="87"/>
  <c r="M57" i="87"/>
  <c r="L123" i="87"/>
  <c r="L57" i="87"/>
  <c r="L58" i="87"/>
  <c r="L62" i="87"/>
  <c r="L76" i="87"/>
  <c r="L80" i="87"/>
  <c r="L92" i="87"/>
  <c r="L108" i="87" s="1"/>
  <c r="L101" i="87"/>
  <c r="L102" i="87"/>
  <c r="L103" i="87"/>
  <c r="L104" i="87"/>
  <c r="L105" i="87"/>
  <c r="L107" i="87"/>
  <c r="L118" i="87"/>
  <c r="K123" i="87"/>
  <c r="K57" i="87"/>
  <c r="K58" i="87"/>
  <c r="K62" i="87"/>
  <c r="K76" i="87"/>
  <c r="AT18" i="87" s="1"/>
  <c r="K80" i="87"/>
  <c r="K92" i="87"/>
  <c r="K101" i="87"/>
  <c r="K102" i="87"/>
  <c r="K103" i="87"/>
  <c r="K104" i="87"/>
  <c r="K105" i="87"/>
  <c r="K118" i="87"/>
  <c r="J123" i="87"/>
  <c r="J57" i="87"/>
  <c r="J58" i="87"/>
  <c r="J62" i="87"/>
  <c r="J76" i="87"/>
  <c r="J80" i="87"/>
  <c r="J92" i="87"/>
  <c r="J101" i="87"/>
  <c r="J102" i="87"/>
  <c r="J103" i="87"/>
  <c r="J104" i="87"/>
  <c r="J105" i="87"/>
  <c r="J118" i="87"/>
  <c r="I123" i="87"/>
  <c r="I57" i="87"/>
  <c r="I58" i="87"/>
  <c r="I62" i="87"/>
  <c r="AS17" i="87" s="1"/>
  <c r="I76" i="87"/>
  <c r="I80" i="87"/>
  <c r="AS20" i="87" s="1"/>
  <c r="I92" i="87"/>
  <c r="AS19" i="87" s="1"/>
  <c r="I101" i="87"/>
  <c r="I102" i="87"/>
  <c r="I103" i="87"/>
  <c r="I104" i="87"/>
  <c r="I105" i="87"/>
  <c r="I118" i="87"/>
  <c r="H123" i="87"/>
  <c r="H57" i="87"/>
  <c r="H58" i="87"/>
  <c r="H62" i="87"/>
  <c r="H76" i="87"/>
  <c r="H80" i="87"/>
  <c r="H92" i="87"/>
  <c r="G5" i="87" s="1"/>
  <c r="H101" i="87"/>
  <c r="H102" i="87"/>
  <c r="H103" i="87"/>
  <c r="H104" i="87"/>
  <c r="H105" i="87"/>
  <c r="H107" i="87"/>
  <c r="H118" i="87"/>
  <c r="G123" i="87"/>
  <c r="G57" i="87"/>
  <c r="G58" i="87"/>
  <c r="G62" i="87"/>
  <c r="G76" i="87"/>
  <c r="AR18" i="87" s="1"/>
  <c r="G80" i="87"/>
  <c r="G92" i="87"/>
  <c r="AR19" i="87" s="1"/>
  <c r="G101" i="87"/>
  <c r="G102" i="87"/>
  <c r="G107" i="87" s="1"/>
  <c r="AR23" i="87" s="1"/>
  <c r="G103" i="87"/>
  <c r="G104" i="87"/>
  <c r="G105" i="87"/>
  <c r="G118" i="87"/>
  <c r="F123" i="87"/>
  <c r="F57" i="87"/>
  <c r="F58" i="87"/>
  <c r="F62" i="87"/>
  <c r="AQ17" i="87" s="1"/>
  <c r="F76" i="87"/>
  <c r="F80" i="87"/>
  <c r="F92" i="87"/>
  <c r="E5" i="87" s="1"/>
  <c r="F101" i="87"/>
  <c r="F107" i="87" s="1"/>
  <c r="F102" i="87"/>
  <c r="F103" i="87"/>
  <c r="F104" i="87"/>
  <c r="F105" i="87"/>
  <c r="F118" i="87"/>
  <c r="E123" i="87"/>
  <c r="E57" i="87"/>
  <c r="E58" i="87"/>
  <c r="E62" i="87"/>
  <c r="E76" i="87"/>
  <c r="AP18" i="87" s="1"/>
  <c r="E80" i="87"/>
  <c r="AP20" i="87" s="1"/>
  <c r="E92" i="87"/>
  <c r="E101" i="87"/>
  <c r="E102" i="87"/>
  <c r="E103" i="87"/>
  <c r="E104" i="87"/>
  <c r="E105" i="87"/>
  <c r="E118" i="87"/>
  <c r="D123" i="87"/>
  <c r="D121" i="87"/>
  <c r="D57" i="87"/>
  <c r="D58" i="87"/>
  <c r="D62" i="87"/>
  <c r="AO17" i="87" s="1"/>
  <c r="D76" i="87"/>
  <c r="AO18" i="87" s="1"/>
  <c r="D80" i="87"/>
  <c r="D92" i="87"/>
  <c r="AO19" i="87" s="1"/>
  <c r="D101" i="87"/>
  <c r="D102" i="87"/>
  <c r="D107" i="87" s="1"/>
  <c r="AO23" i="87" s="1"/>
  <c r="D103" i="87"/>
  <c r="D104" i="87"/>
  <c r="D105" i="87"/>
  <c r="D118" i="87"/>
  <c r="C123" i="87"/>
  <c r="C121" i="87"/>
  <c r="C57" i="87"/>
  <c r="AH57" i="87"/>
  <c r="C58" i="87"/>
  <c r="C62" i="87"/>
  <c r="C76" i="87"/>
  <c r="AN18" i="87" s="1"/>
  <c r="C80" i="87"/>
  <c r="C92" i="87"/>
  <c r="C101" i="87"/>
  <c r="C102" i="87"/>
  <c r="C103" i="87"/>
  <c r="C104" i="87"/>
  <c r="C105" i="87"/>
  <c r="C118" i="87"/>
  <c r="AI121" i="87"/>
  <c r="B123" i="87"/>
  <c r="B121" i="87"/>
  <c r="B57" i="87"/>
  <c r="B118" i="87"/>
  <c r="B105" i="87"/>
  <c r="B104" i="87"/>
  <c r="B103" i="87"/>
  <c r="B102" i="87"/>
  <c r="B101" i="87"/>
  <c r="B92" i="87"/>
  <c r="B80" i="87"/>
  <c r="B76" i="87"/>
  <c r="AM18" i="87" s="1"/>
  <c r="B62" i="87"/>
  <c r="B58" i="87"/>
  <c r="AG252" i="87"/>
  <c r="C252" i="87"/>
  <c r="D251" i="87"/>
  <c r="E250" i="87"/>
  <c r="F250" i="87" s="1"/>
  <c r="G250" i="87" s="1"/>
  <c r="H250" i="87" s="1"/>
  <c r="I250" i="87" s="1"/>
  <c r="J250" i="87" s="1"/>
  <c r="K250" i="87" s="1"/>
  <c r="L250" i="87" s="1"/>
  <c r="M250" i="87" s="1"/>
  <c r="N250" i="87" s="1"/>
  <c r="O250" i="87" s="1"/>
  <c r="P250" i="87" s="1"/>
  <c r="Q250" i="87" s="1"/>
  <c r="R250" i="87" s="1"/>
  <c r="S250" i="87" s="1"/>
  <c r="T250" i="87" s="1"/>
  <c r="U250" i="87" s="1"/>
  <c r="V250" i="87" s="1"/>
  <c r="W250" i="87" s="1"/>
  <c r="X250" i="87" s="1"/>
  <c r="Y250" i="87" s="1"/>
  <c r="Z250" i="87" s="1"/>
  <c r="AA250" i="87" s="1"/>
  <c r="AB250" i="87" s="1"/>
  <c r="AC250" i="87" s="1"/>
  <c r="AD250" i="87" s="1"/>
  <c r="AE250" i="87" s="1"/>
  <c r="AF250" i="87" s="1"/>
  <c r="B250" i="87" s="1"/>
  <c r="D250" i="87"/>
  <c r="D249" i="87"/>
  <c r="E249" i="87" s="1"/>
  <c r="F249" i="87" s="1"/>
  <c r="G249" i="87" s="1"/>
  <c r="H249" i="87" s="1"/>
  <c r="I249" i="87" s="1"/>
  <c r="J249" i="87" s="1"/>
  <c r="K249" i="87" s="1"/>
  <c r="L249" i="87" s="1"/>
  <c r="M249" i="87" s="1"/>
  <c r="N249" i="87" s="1"/>
  <c r="O249" i="87" s="1"/>
  <c r="P249" i="87" s="1"/>
  <c r="Q249" i="87" s="1"/>
  <c r="R249" i="87" s="1"/>
  <c r="S249" i="87" s="1"/>
  <c r="T249" i="87" s="1"/>
  <c r="U249" i="87" s="1"/>
  <c r="V249" i="87" s="1"/>
  <c r="W249" i="87" s="1"/>
  <c r="X249" i="87" s="1"/>
  <c r="Y249" i="87" s="1"/>
  <c r="Z249" i="87" s="1"/>
  <c r="AA249" i="87" s="1"/>
  <c r="AB249" i="87" s="1"/>
  <c r="AC249" i="87" s="1"/>
  <c r="AD249" i="87" s="1"/>
  <c r="AE249" i="87" s="1"/>
  <c r="AF249" i="87" s="1"/>
  <c r="B249" i="87" s="1"/>
  <c r="D248" i="87"/>
  <c r="E248" i="87" s="1"/>
  <c r="F248" i="87" s="1"/>
  <c r="D247" i="87"/>
  <c r="E247" i="87" s="1"/>
  <c r="F247" i="87" s="1"/>
  <c r="G247" i="87" s="1"/>
  <c r="H247" i="87" s="1"/>
  <c r="I247" i="87" s="1"/>
  <c r="J247" i="87" s="1"/>
  <c r="K247" i="87" s="1"/>
  <c r="L247" i="87" s="1"/>
  <c r="M247" i="87" s="1"/>
  <c r="N247" i="87" s="1"/>
  <c r="O247" i="87" s="1"/>
  <c r="P247" i="87" s="1"/>
  <c r="Q247" i="87" s="1"/>
  <c r="R247" i="87" s="1"/>
  <c r="S247" i="87" s="1"/>
  <c r="T247" i="87" s="1"/>
  <c r="U247" i="87" s="1"/>
  <c r="V247" i="87" s="1"/>
  <c r="W247" i="87" s="1"/>
  <c r="X247" i="87" s="1"/>
  <c r="Y247" i="87" s="1"/>
  <c r="Z247" i="87" s="1"/>
  <c r="AA247" i="87" s="1"/>
  <c r="AB247" i="87" s="1"/>
  <c r="AC247" i="87" s="1"/>
  <c r="AD247" i="87" s="1"/>
  <c r="AE247" i="87" s="1"/>
  <c r="AF247" i="87" s="1"/>
  <c r="B247" i="87" s="1"/>
  <c r="E246" i="87"/>
  <c r="F246" i="87" s="1"/>
  <c r="G246" i="87" s="1"/>
  <c r="D246" i="87"/>
  <c r="AG244" i="87"/>
  <c r="AF244" i="87"/>
  <c r="AE244" i="87"/>
  <c r="AD244" i="87"/>
  <c r="AC244" i="87"/>
  <c r="AB244" i="87"/>
  <c r="AA244" i="87"/>
  <c r="Z244" i="87"/>
  <c r="Z118" i="87" s="1"/>
  <c r="Y244" i="87"/>
  <c r="Y118" i="87" s="1"/>
  <c r="X244" i="87"/>
  <c r="W244" i="87"/>
  <c r="V244" i="87"/>
  <c r="U244" i="87"/>
  <c r="T244" i="87"/>
  <c r="S244" i="87"/>
  <c r="R244" i="87"/>
  <c r="Q244" i="87"/>
  <c r="P244" i="87"/>
  <c r="O244" i="87"/>
  <c r="N244" i="87"/>
  <c r="M244" i="87"/>
  <c r="L244" i="87"/>
  <c r="K244" i="87"/>
  <c r="J244" i="87"/>
  <c r="I244" i="87"/>
  <c r="H244" i="87"/>
  <c r="G244" i="87"/>
  <c r="F244" i="87"/>
  <c r="E244" i="87"/>
  <c r="D244" i="87"/>
  <c r="C244" i="87"/>
  <c r="B244" i="87"/>
  <c r="AI130" i="87"/>
  <c r="AH130" i="87"/>
  <c r="AI129" i="87"/>
  <c r="AH129" i="87"/>
  <c r="AI128" i="87"/>
  <c r="AH128" i="87"/>
  <c r="AI127" i="87"/>
  <c r="AH127" i="87"/>
  <c r="AI126" i="87"/>
  <c r="AH126" i="87"/>
  <c r="AI122" i="87"/>
  <c r="AH122" i="87"/>
  <c r="AH121" i="87"/>
  <c r="AI120" i="87"/>
  <c r="AH120" i="87"/>
  <c r="AI119" i="87"/>
  <c r="AH119" i="87"/>
  <c r="AI117" i="87"/>
  <c r="AH117" i="87"/>
  <c r="AI116" i="87"/>
  <c r="AH116" i="87"/>
  <c r="AI115" i="87"/>
  <c r="AH115" i="87"/>
  <c r="AI114" i="87"/>
  <c r="AH114" i="87"/>
  <c r="AI113" i="87"/>
  <c r="AH113" i="87"/>
  <c r="AI112" i="87"/>
  <c r="AH112" i="87"/>
  <c r="AI111" i="87"/>
  <c r="AH111" i="87"/>
  <c r="AI110" i="87"/>
  <c r="AH110" i="87"/>
  <c r="AI109" i="87"/>
  <c r="AH109" i="87"/>
  <c r="AI106" i="87"/>
  <c r="AH106" i="87"/>
  <c r="AD105" i="87"/>
  <c r="AC105" i="87"/>
  <c r="AB105" i="87"/>
  <c r="AA105" i="87"/>
  <c r="Z105" i="87"/>
  <c r="Y105" i="87"/>
  <c r="X105" i="87"/>
  <c r="W105" i="87"/>
  <c r="V105" i="87"/>
  <c r="U105" i="87"/>
  <c r="T105" i="87"/>
  <c r="S105" i="87"/>
  <c r="R105" i="87"/>
  <c r="Q105" i="87"/>
  <c r="P105" i="87"/>
  <c r="O105" i="87"/>
  <c r="N105" i="87"/>
  <c r="M105" i="87"/>
  <c r="AD104" i="87"/>
  <c r="AC104" i="87"/>
  <c r="AB104" i="87"/>
  <c r="AA104" i="87"/>
  <c r="Z104" i="87"/>
  <c r="Y104" i="87"/>
  <c r="X104" i="87"/>
  <c r="W104" i="87"/>
  <c r="V104" i="87"/>
  <c r="U104" i="87"/>
  <c r="T104" i="87"/>
  <c r="S104" i="87"/>
  <c r="R104" i="87"/>
  <c r="Q104" i="87"/>
  <c r="P104" i="87"/>
  <c r="O104" i="87"/>
  <c r="N104" i="87"/>
  <c r="M104" i="87"/>
  <c r="AD103" i="87"/>
  <c r="AC103" i="87"/>
  <c r="AB103" i="87"/>
  <c r="AA103" i="87"/>
  <c r="Z103" i="87"/>
  <c r="Y103" i="87"/>
  <c r="X103" i="87"/>
  <c r="W103" i="87"/>
  <c r="V103" i="87"/>
  <c r="U103" i="87"/>
  <c r="T103" i="87"/>
  <c r="S103" i="87"/>
  <c r="R103" i="87"/>
  <c r="Q103" i="87"/>
  <c r="P103" i="87"/>
  <c r="O103" i="87"/>
  <c r="N103" i="87"/>
  <c r="M103" i="87"/>
  <c r="AD102" i="87"/>
  <c r="AC102" i="87"/>
  <c r="AB102" i="87"/>
  <c r="AA102" i="87"/>
  <c r="Z102" i="87"/>
  <c r="Y102" i="87"/>
  <c r="X102" i="87"/>
  <c r="W102" i="87"/>
  <c r="V102" i="87"/>
  <c r="U102" i="87"/>
  <c r="T102" i="87"/>
  <c r="S102" i="87"/>
  <c r="R102" i="87"/>
  <c r="Q102" i="87"/>
  <c r="P102" i="87"/>
  <c r="O102" i="87"/>
  <c r="N102" i="87"/>
  <c r="M102" i="87"/>
  <c r="BJ23" i="87"/>
  <c r="BI23" i="87"/>
  <c r="AD101" i="87"/>
  <c r="AC101" i="87"/>
  <c r="AB101" i="87"/>
  <c r="AA101" i="87"/>
  <c r="AA107" i="87" s="1"/>
  <c r="Z101" i="87"/>
  <c r="Y101" i="87"/>
  <c r="X101" i="87"/>
  <c r="X107" i="87" s="1"/>
  <c r="W101" i="87"/>
  <c r="V101" i="87"/>
  <c r="U101" i="87"/>
  <c r="T101" i="87"/>
  <c r="S101" i="87"/>
  <c r="S107" i="87" s="1"/>
  <c r="BA23" i="87" s="1"/>
  <c r="R101" i="87"/>
  <c r="Q101" i="87"/>
  <c r="Q107" i="87" s="1"/>
  <c r="AY23" i="87" s="1"/>
  <c r="P101" i="87"/>
  <c r="P107" i="87" s="1"/>
  <c r="AX23" i="87" s="1"/>
  <c r="O101" i="87"/>
  <c r="N101" i="87"/>
  <c r="M101" i="87"/>
  <c r="AI98" i="87"/>
  <c r="AH98" i="87"/>
  <c r="AE7" i="87"/>
  <c r="AI96" i="87"/>
  <c r="AH96" i="87"/>
  <c r="AG96" i="87"/>
  <c r="AG99" i="87" s="1"/>
  <c r="AI95" i="87"/>
  <c r="AH95" i="87"/>
  <c r="AI94" i="87"/>
  <c r="AH94" i="87"/>
  <c r="AI93" i="87"/>
  <c r="AH93" i="87"/>
  <c r="AG92" i="87"/>
  <c r="AD92" i="87"/>
  <c r="BH19" i="87" s="1"/>
  <c r="AC92" i="87"/>
  <c r="AB92" i="87"/>
  <c r="AA92" i="87"/>
  <c r="Z5" i="87" s="1"/>
  <c r="Z92" i="87"/>
  <c r="Y92" i="87"/>
  <c r="X5" i="87" s="1"/>
  <c r="X92" i="87"/>
  <c r="BE19" i="87" s="1"/>
  <c r="W92" i="87"/>
  <c r="V5" i="87" s="1"/>
  <c r="V92" i="87"/>
  <c r="U5" i="87" s="1"/>
  <c r="U92" i="87"/>
  <c r="BC19" i="87" s="1"/>
  <c r="T92" i="87"/>
  <c r="S92" i="87"/>
  <c r="R5" i="87" s="1"/>
  <c r="R92" i="87"/>
  <c r="Q92" i="87"/>
  <c r="P5" i="87" s="1"/>
  <c r="P92" i="87"/>
  <c r="AX19" i="87" s="1"/>
  <c r="O92" i="87"/>
  <c r="N92" i="87"/>
  <c r="AV19" i="87" s="1"/>
  <c r="M92" i="87"/>
  <c r="AU19" i="87" s="1"/>
  <c r="AI91" i="87"/>
  <c r="AH91" i="87"/>
  <c r="AI90" i="87"/>
  <c r="AH90" i="87"/>
  <c r="AI89" i="87"/>
  <c r="AH89" i="87"/>
  <c r="AI88" i="87"/>
  <c r="AH88" i="87"/>
  <c r="AI87" i="87"/>
  <c r="AH87" i="87"/>
  <c r="AI86" i="87"/>
  <c r="AH86" i="87"/>
  <c r="AI85" i="87"/>
  <c r="AH85" i="87"/>
  <c r="AI84" i="87"/>
  <c r="AH84" i="87"/>
  <c r="AI83" i="87"/>
  <c r="AH83" i="87"/>
  <c r="AI82" i="87"/>
  <c r="AH82" i="87"/>
  <c r="AI81" i="87"/>
  <c r="AH81" i="87"/>
  <c r="AG80" i="87"/>
  <c r="AD80" i="87"/>
  <c r="AC80" i="87"/>
  <c r="AB80" i="87"/>
  <c r="AA80" i="87"/>
  <c r="Z80" i="87"/>
  <c r="BF20" i="87" s="1"/>
  <c r="Y80" i="87"/>
  <c r="X80" i="87"/>
  <c r="W80" i="87"/>
  <c r="V80" i="87"/>
  <c r="U80" i="87"/>
  <c r="T80" i="87"/>
  <c r="S80" i="87"/>
  <c r="BA20" i="87" s="1"/>
  <c r="R80" i="87"/>
  <c r="AZ20" i="87" s="1"/>
  <c r="Q80" i="87"/>
  <c r="P80" i="87"/>
  <c r="O80" i="87"/>
  <c r="N80" i="87"/>
  <c r="M80" i="87"/>
  <c r="AT20" i="87"/>
  <c r="AN20" i="87"/>
  <c r="AI79" i="87"/>
  <c r="AH79" i="87"/>
  <c r="AI78" i="87"/>
  <c r="AH78" i="87"/>
  <c r="AI77" i="87"/>
  <c r="AH77" i="87"/>
  <c r="AD76" i="87"/>
  <c r="BH18" i="87" s="1"/>
  <c r="AC76" i="87"/>
  <c r="AB76" i="87"/>
  <c r="BG18" i="87" s="1"/>
  <c r="AA76" i="87"/>
  <c r="Z76" i="87"/>
  <c r="BF18" i="87" s="1"/>
  <c r="Y76" i="87"/>
  <c r="X76" i="87"/>
  <c r="W76" i="87"/>
  <c r="V76" i="87"/>
  <c r="U76" i="87"/>
  <c r="BC18" i="87" s="1"/>
  <c r="T76" i="87"/>
  <c r="BB18" i="87" s="1"/>
  <c r="S76" i="87"/>
  <c r="BA18" i="87" s="1"/>
  <c r="R76" i="87"/>
  <c r="AZ18" i="87" s="1"/>
  <c r="Q76" i="87"/>
  <c r="AY18" i="87" s="1"/>
  <c r="P76" i="87"/>
  <c r="AX18" i="87" s="1"/>
  <c r="O76" i="87"/>
  <c r="N76" i="87"/>
  <c r="AV18" i="87" s="1"/>
  <c r="M76" i="87"/>
  <c r="AU18" i="87" s="1"/>
  <c r="AI75" i="87"/>
  <c r="AH75" i="87"/>
  <c r="AG75" i="87"/>
  <c r="AG76" i="87" s="1"/>
  <c r="AG3" i="87" s="1"/>
  <c r="AI74" i="87"/>
  <c r="AH74" i="87"/>
  <c r="AI73" i="87"/>
  <c r="AH73" i="87"/>
  <c r="AI72" i="87"/>
  <c r="AH72" i="87"/>
  <c r="AI71" i="87"/>
  <c r="AH71" i="87"/>
  <c r="AI70" i="87"/>
  <c r="AH70" i="87"/>
  <c r="AI69" i="87"/>
  <c r="AH69" i="87"/>
  <c r="AI68" i="87"/>
  <c r="AH68" i="87"/>
  <c r="AI67" i="87"/>
  <c r="AH67" i="87"/>
  <c r="AI66" i="87"/>
  <c r="AH66" i="87"/>
  <c r="AI65" i="87"/>
  <c r="AH65" i="87"/>
  <c r="AI64" i="87"/>
  <c r="AH64" i="87"/>
  <c r="AI63" i="87"/>
  <c r="AH63" i="87"/>
  <c r="AG62" i="87"/>
  <c r="BJ17" i="87"/>
  <c r="AD62" i="87"/>
  <c r="AC62" i="87"/>
  <c r="AB62" i="87"/>
  <c r="AA62" i="87"/>
  <c r="Z62" i="87"/>
  <c r="BF17" i="87" s="1"/>
  <c r="Y62" i="87"/>
  <c r="X62" i="87"/>
  <c r="BE17" i="87" s="1"/>
  <c r="W62" i="87"/>
  <c r="V62" i="87"/>
  <c r="U62" i="87"/>
  <c r="T62" i="87"/>
  <c r="BB17" i="87" s="1"/>
  <c r="S62" i="87"/>
  <c r="BA17" i="87" s="1"/>
  <c r="R62" i="87"/>
  <c r="Q62" i="87"/>
  <c r="AY17" i="87" s="1"/>
  <c r="P62" i="87"/>
  <c r="AX17" i="87" s="1"/>
  <c r="O62" i="87"/>
  <c r="AW17" i="87" s="1"/>
  <c r="N62" i="87"/>
  <c r="AV17" i="87" s="1"/>
  <c r="M62" i="87"/>
  <c r="AU17" i="87" s="1"/>
  <c r="AI61" i="87"/>
  <c r="AH61" i="87"/>
  <c r="AI60" i="87"/>
  <c r="AH60" i="87"/>
  <c r="AI59" i="87"/>
  <c r="AH59" i="87"/>
  <c r="AG58" i="87"/>
  <c r="BI16" i="87"/>
  <c r="AD58" i="87"/>
  <c r="AC58" i="87"/>
  <c r="AB58" i="87"/>
  <c r="AA58" i="87"/>
  <c r="Z58" i="87"/>
  <c r="BF16" i="87" s="1"/>
  <c r="Y58" i="87"/>
  <c r="X58" i="87"/>
  <c r="BE16" i="87" s="1"/>
  <c r="W58" i="87"/>
  <c r="V58" i="87"/>
  <c r="U58" i="87"/>
  <c r="T58" i="87"/>
  <c r="S58" i="87"/>
  <c r="R58" i="87"/>
  <c r="AZ16" i="87" s="1"/>
  <c r="Q58" i="87"/>
  <c r="P58" i="87"/>
  <c r="AX16" i="87" s="1"/>
  <c r="O58" i="87"/>
  <c r="AW16" i="87" s="1"/>
  <c r="N58" i="87"/>
  <c r="M58" i="87"/>
  <c r="AR16" i="87"/>
  <c r="AI56" i="87"/>
  <c r="AH56" i="87"/>
  <c r="AI55" i="87"/>
  <c r="AH55" i="87"/>
  <c r="AI54" i="87"/>
  <c r="AH54" i="87"/>
  <c r="AI53" i="87"/>
  <c r="AH53" i="87"/>
  <c r="AI52" i="87"/>
  <c r="AH52" i="87"/>
  <c r="AI51" i="87"/>
  <c r="AH51" i="87"/>
  <c r="AI50" i="87"/>
  <c r="AH50" i="87"/>
  <c r="AI49" i="87"/>
  <c r="AH49" i="87"/>
  <c r="AI48" i="87"/>
  <c r="AH48" i="87"/>
  <c r="AI47" i="87"/>
  <c r="AH47" i="87"/>
  <c r="AI46" i="87"/>
  <c r="AH46" i="87"/>
  <c r="AI45" i="87"/>
  <c r="AH45" i="87"/>
  <c r="AI44" i="87"/>
  <c r="AH44" i="87"/>
  <c r="AI43" i="87"/>
  <c r="AH43" i="87"/>
  <c r="AI42" i="87"/>
  <c r="AH42" i="87"/>
  <c r="AI41" i="87"/>
  <c r="AH41" i="87"/>
  <c r="AI40" i="87"/>
  <c r="AH40" i="87"/>
  <c r="AI39" i="87"/>
  <c r="AH39" i="87"/>
  <c r="AI38" i="87"/>
  <c r="AH38" i="87"/>
  <c r="AI37" i="87"/>
  <c r="AH37" i="87"/>
  <c r="AI36" i="87"/>
  <c r="AH36" i="87"/>
  <c r="AI35" i="87"/>
  <c r="AH35" i="87"/>
  <c r="AI34" i="87"/>
  <c r="AH34" i="87"/>
  <c r="AI33" i="87"/>
  <c r="AH33" i="87"/>
  <c r="AI32" i="87"/>
  <c r="AH32" i="87"/>
  <c r="AI31" i="87"/>
  <c r="AH31" i="87"/>
  <c r="AI30" i="87"/>
  <c r="AH30" i="87"/>
  <c r="AI29" i="87"/>
  <c r="AH29" i="87"/>
  <c r="AI28" i="87"/>
  <c r="AH28" i="87"/>
  <c r="AI27" i="87"/>
  <c r="AH27" i="87"/>
  <c r="AI26" i="87"/>
  <c r="AH26" i="87"/>
  <c r="AI25" i="87"/>
  <c r="AH25" i="87"/>
  <c r="AI24" i="87"/>
  <c r="AH24" i="87"/>
  <c r="BE23" i="87"/>
  <c r="AI23" i="87"/>
  <c r="AH23" i="87"/>
  <c r="AI22" i="87"/>
  <c r="AH22" i="87"/>
  <c r="BJ21" i="87"/>
  <c r="BI21" i="87"/>
  <c r="BH21" i="87"/>
  <c r="BG21" i="87"/>
  <c r="BF21" i="87"/>
  <c r="BE21" i="87"/>
  <c r="BD21" i="87"/>
  <c r="BC21" i="87"/>
  <c r="BB21" i="87"/>
  <c r="BA21" i="87"/>
  <c r="AZ21" i="87"/>
  <c r="AY21" i="87"/>
  <c r="AX21" i="87"/>
  <c r="AW21" i="87"/>
  <c r="AV21" i="87"/>
  <c r="AU21" i="87"/>
  <c r="AT21" i="87"/>
  <c r="AS21" i="87"/>
  <c r="AR21" i="87"/>
  <c r="AQ21" i="87"/>
  <c r="AP21" i="87"/>
  <c r="AO21" i="87"/>
  <c r="AN21" i="87"/>
  <c r="AM21" i="87"/>
  <c r="AI21" i="87"/>
  <c r="AH21" i="87"/>
  <c r="BJ20" i="87"/>
  <c r="BI20" i="87"/>
  <c r="BH20" i="87"/>
  <c r="BG20" i="87"/>
  <c r="BE20" i="87"/>
  <c r="BD20" i="87"/>
  <c r="BC20" i="87"/>
  <c r="BB20" i="87"/>
  <c r="AY20" i="87"/>
  <c r="AX20" i="87"/>
  <c r="AW20" i="87"/>
  <c r="AV20" i="87"/>
  <c r="AU20" i="87"/>
  <c r="AR20" i="87"/>
  <c r="AQ20" i="87"/>
  <c r="AO20" i="87"/>
  <c r="AI20" i="87"/>
  <c r="AH20" i="87"/>
  <c r="BJ19" i="87"/>
  <c r="BI19" i="87"/>
  <c r="AI19" i="87"/>
  <c r="AH19" i="87"/>
  <c r="BJ18" i="87"/>
  <c r="BI18" i="87"/>
  <c r="BE18" i="87"/>
  <c r="BD18" i="87"/>
  <c r="AW18" i="87"/>
  <c r="AS18" i="87"/>
  <c r="AQ18" i="87"/>
  <c r="AI18" i="87"/>
  <c r="AH18" i="87"/>
  <c r="BI17" i="87"/>
  <c r="BH17" i="87"/>
  <c r="BG17" i="87"/>
  <c r="BD17" i="87"/>
  <c r="BC17" i="87"/>
  <c r="AZ17" i="87"/>
  <c r="AT17" i="87"/>
  <c r="AN17" i="87"/>
  <c r="AM17" i="87"/>
  <c r="AI17" i="87"/>
  <c r="AH17" i="87"/>
  <c r="BJ16" i="87"/>
  <c r="BC16" i="87"/>
  <c r="BB16" i="87"/>
  <c r="BA16" i="87"/>
  <c r="AY16" i="87"/>
  <c r="AV16" i="87"/>
  <c r="AT16" i="87"/>
  <c r="AS16" i="87"/>
  <c r="AP16" i="87"/>
  <c r="AO16" i="87"/>
  <c r="AN16" i="87"/>
  <c r="AM16" i="87"/>
  <c r="AI16" i="87"/>
  <c r="AH16" i="87"/>
  <c r="AI15" i="87"/>
  <c r="AH15" i="87"/>
  <c r="AI14" i="87"/>
  <c r="AH14" i="87"/>
  <c r="AI13" i="87"/>
  <c r="AH13" i="87"/>
  <c r="AL12" i="87"/>
  <c r="AI12" i="87"/>
  <c r="AH12" i="87"/>
  <c r="AI11" i="87"/>
  <c r="AH11" i="87"/>
  <c r="AE5" i="87"/>
  <c r="AD5" i="87"/>
  <c r="AA5" i="87"/>
  <c r="F5" i="87"/>
  <c r="C5" i="87"/>
  <c r="AG4" i="87"/>
  <c r="K4" i="87"/>
  <c r="E4" i="87"/>
  <c r="H4" i="87" s="1"/>
  <c r="B4" i="87"/>
  <c r="D258" i="87" s="1"/>
  <c r="AG2" i="87"/>
  <c r="AG6" i="87" s="1"/>
  <c r="AF123" i="86"/>
  <c r="AF121" i="86"/>
  <c r="AF57" i="86"/>
  <c r="AE57" i="86"/>
  <c r="AE58" i="86"/>
  <c r="AF58" i="86"/>
  <c r="AE62" i="86"/>
  <c r="AF62" i="86"/>
  <c r="AE76" i="86"/>
  <c r="AF76" i="86"/>
  <c r="AE80" i="86"/>
  <c r="AF80" i="86"/>
  <c r="AE92" i="86"/>
  <c r="AD5" i="86" s="1"/>
  <c r="AF92" i="86"/>
  <c r="AE5" i="86" s="1"/>
  <c r="AE101" i="86"/>
  <c r="AF101" i="86"/>
  <c r="AE102" i="86"/>
  <c r="AF102" i="86"/>
  <c r="AE103" i="86"/>
  <c r="AF103" i="86"/>
  <c r="AE104" i="86"/>
  <c r="AF104" i="86"/>
  <c r="AF107" i="86" s="1"/>
  <c r="CI23" i="86" s="1"/>
  <c r="AE105" i="86"/>
  <c r="AF105" i="86"/>
  <c r="AD123" i="86"/>
  <c r="AD121" i="86"/>
  <c r="AD57" i="86"/>
  <c r="AD58" i="86"/>
  <c r="CG16" i="86" s="1"/>
  <c r="AD62" i="86"/>
  <c r="CG17" i="86" s="1"/>
  <c r="AD76" i="86"/>
  <c r="AD80" i="86"/>
  <c r="AC123" i="86"/>
  <c r="AC121" i="86"/>
  <c r="AC57" i="86"/>
  <c r="AC58" i="86"/>
  <c r="AC62" i="86"/>
  <c r="AC76" i="86"/>
  <c r="AC80" i="86"/>
  <c r="AC92" i="86"/>
  <c r="AC101" i="86"/>
  <c r="AC102" i="86"/>
  <c r="AC103" i="86"/>
  <c r="AC104" i="86"/>
  <c r="AC105" i="86"/>
  <c r="AB123" i="86"/>
  <c r="AB58" i="86"/>
  <c r="AB62" i="86"/>
  <c r="AB76" i="86"/>
  <c r="AB80" i="86"/>
  <c r="AB92" i="86"/>
  <c r="CF19" i="86" s="1"/>
  <c r="AB101" i="86"/>
  <c r="AB102" i="86"/>
  <c r="AB103" i="86"/>
  <c r="AB104" i="86"/>
  <c r="AB105" i="86"/>
  <c r="AA123" i="86"/>
  <c r="Z123" i="86"/>
  <c r="Y123" i="86"/>
  <c r="X123" i="86"/>
  <c r="W123" i="86"/>
  <c r="V123" i="86"/>
  <c r="U58" i="86"/>
  <c r="U62" i="86"/>
  <c r="U76" i="86"/>
  <c r="U80" i="86"/>
  <c r="U92" i="86"/>
  <c r="CB19" i="86" s="1"/>
  <c r="U101" i="86"/>
  <c r="U102" i="86"/>
  <c r="U103" i="86"/>
  <c r="U104" i="86"/>
  <c r="U105" i="86"/>
  <c r="T58" i="86"/>
  <c r="T62" i="86"/>
  <c r="CA17" i="86" s="1"/>
  <c r="T76" i="86"/>
  <c r="T80" i="86"/>
  <c r="T92" i="86"/>
  <c r="T101" i="86"/>
  <c r="T102" i="86"/>
  <c r="T103" i="86"/>
  <c r="T104" i="86"/>
  <c r="T105" i="86"/>
  <c r="S123" i="86"/>
  <c r="R123" i="86"/>
  <c r="R57" i="86"/>
  <c r="Q57" i="86"/>
  <c r="Q123" i="86"/>
  <c r="P123" i="86"/>
  <c r="P57" i="86"/>
  <c r="AI57" i="86" s="1"/>
  <c r="O123" i="86"/>
  <c r="O57" i="86"/>
  <c r="N57" i="86"/>
  <c r="N123" i="86"/>
  <c r="M123" i="86"/>
  <c r="L123" i="86"/>
  <c r="K123" i="86"/>
  <c r="K58" i="86"/>
  <c r="AT16" i="86" s="1"/>
  <c r="L58" i="86"/>
  <c r="J123" i="86"/>
  <c r="J58" i="86"/>
  <c r="J62" i="86"/>
  <c r="J76" i="86"/>
  <c r="I123" i="86"/>
  <c r="I58" i="86"/>
  <c r="I62" i="86"/>
  <c r="AS17" i="86" s="1"/>
  <c r="H123" i="86"/>
  <c r="H58" i="86"/>
  <c r="G123" i="86"/>
  <c r="F123" i="86"/>
  <c r="E123" i="86"/>
  <c r="AH125" i="86"/>
  <c r="AI125" i="86"/>
  <c r="AH124" i="86"/>
  <c r="AI124" i="86"/>
  <c r="AG252" i="86"/>
  <c r="AG75" i="86" s="1"/>
  <c r="AG76" i="86" s="1"/>
  <c r="AG3" i="86" s="1"/>
  <c r="C252" i="86"/>
  <c r="D251" i="86"/>
  <c r="E251" i="86" s="1"/>
  <c r="F251" i="86" s="1"/>
  <c r="G251" i="86" s="1"/>
  <c r="H251" i="86" s="1"/>
  <c r="I251" i="86" s="1"/>
  <c r="J251" i="86" s="1"/>
  <c r="K251" i="86" s="1"/>
  <c r="L251" i="86" s="1"/>
  <c r="M251" i="86" s="1"/>
  <c r="N251" i="86" s="1"/>
  <c r="O251" i="86" s="1"/>
  <c r="P251" i="86" s="1"/>
  <c r="Q251" i="86" s="1"/>
  <c r="R251" i="86" s="1"/>
  <c r="S251" i="86" s="1"/>
  <c r="T251" i="86" s="1"/>
  <c r="U251" i="86" s="1"/>
  <c r="V251" i="86" s="1"/>
  <c r="W251" i="86" s="1"/>
  <c r="X251" i="86" s="1"/>
  <c r="Y251" i="86" s="1"/>
  <c r="Z251" i="86" s="1"/>
  <c r="AA251" i="86" s="1"/>
  <c r="AB251" i="86" s="1"/>
  <c r="AC251" i="86" s="1"/>
  <c r="AD251" i="86" s="1"/>
  <c r="AE251" i="86" s="1"/>
  <c r="AF251" i="86" s="1"/>
  <c r="B251" i="86" s="1"/>
  <c r="E250" i="86"/>
  <c r="F250" i="86" s="1"/>
  <c r="G250" i="86" s="1"/>
  <c r="H250" i="86" s="1"/>
  <c r="I250" i="86" s="1"/>
  <c r="J250" i="86" s="1"/>
  <c r="K250" i="86" s="1"/>
  <c r="L250" i="86" s="1"/>
  <c r="M250" i="86" s="1"/>
  <c r="N250" i="86" s="1"/>
  <c r="O250" i="86" s="1"/>
  <c r="P250" i="86" s="1"/>
  <c r="Q250" i="86" s="1"/>
  <c r="R250" i="86" s="1"/>
  <c r="S250" i="86" s="1"/>
  <c r="T250" i="86" s="1"/>
  <c r="U250" i="86" s="1"/>
  <c r="V250" i="86" s="1"/>
  <c r="W250" i="86" s="1"/>
  <c r="X250" i="86" s="1"/>
  <c r="Y250" i="86" s="1"/>
  <c r="Z250" i="86" s="1"/>
  <c r="AA250" i="86" s="1"/>
  <c r="AB250" i="86" s="1"/>
  <c r="AC250" i="86" s="1"/>
  <c r="AD250" i="86" s="1"/>
  <c r="AE250" i="86" s="1"/>
  <c r="AF250" i="86" s="1"/>
  <c r="B250" i="86" s="1"/>
  <c r="D250" i="86"/>
  <c r="D249" i="86"/>
  <c r="E249" i="86" s="1"/>
  <c r="F249" i="86" s="1"/>
  <c r="G249" i="86" s="1"/>
  <c r="H249" i="86" s="1"/>
  <c r="I249" i="86" s="1"/>
  <c r="J249" i="86" s="1"/>
  <c r="K249" i="86" s="1"/>
  <c r="L249" i="86" s="1"/>
  <c r="M249" i="86" s="1"/>
  <c r="N249" i="86" s="1"/>
  <c r="O249" i="86" s="1"/>
  <c r="P249" i="86" s="1"/>
  <c r="Q249" i="86" s="1"/>
  <c r="R249" i="86" s="1"/>
  <c r="S249" i="86" s="1"/>
  <c r="T249" i="86" s="1"/>
  <c r="U249" i="86" s="1"/>
  <c r="V249" i="86" s="1"/>
  <c r="W249" i="86" s="1"/>
  <c r="X249" i="86" s="1"/>
  <c r="Y249" i="86" s="1"/>
  <c r="Z249" i="86" s="1"/>
  <c r="AA249" i="86" s="1"/>
  <c r="AB249" i="86" s="1"/>
  <c r="AC249" i="86" s="1"/>
  <c r="AD249" i="86" s="1"/>
  <c r="AE249" i="86" s="1"/>
  <c r="AF249" i="86" s="1"/>
  <c r="B249" i="86" s="1"/>
  <c r="D248" i="86"/>
  <c r="E248" i="86" s="1"/>
  <c r="F248" i="86" s="1"/>
  <c r="G248" i="86" s="1"/>
  <c r="H248" i="86" s="1"/>
  <c r="I248" i="86" s="1"/>
  <c r="J248" i="86" s="1"/>
  <c r="K248" i="86" s="1"/>
  <c r="L248" i="86" s="1"/>
  <c r="M248" i="86" s="1"/>
  <c r="N248" i="86" s="1"/>
  <c r="O248" i="86" s="1"/>
  <c r="P248" i="86" s="1"/>
  <c r="Q248" i="86" s="1"/>
  <c r="R248" i="86" s="1"/>
  <c r="S248" i="86" s="1"/>
  <c r="T248" i="86" s="1"/>
  <c r="U248" i="86" s="1"/>
  <c r="V248" i="86" s="1"/>
  <c r="W248" i="86" s="1"/>
  <c r="X248" i="86" s="1"/>
  <c r="Y248" i="86" s="1"/>
  <c r="Z248" i="86" s="1"/>
  <c r="AA248" i="86" s="1"/>
  <c r="AB248" i="86" s="1"/>
  <c r="AC248" i="86" s="1"/>
  <c r="AD248" i="86" s="1"/>
  <c r="AE248" i="86" s="1"/>
  <c r="AF248" i="86" s="1"/>
  <c r="B248" i="86" s="1"/>
  <c r="D247" i="86"/>
  <c r="E247" i="86" s="1"/>
  <c r="D246" i="86"/>
  <c r="E246" i="86" s="1"/>
  <c r="F246" i="86" s="1"/>
  <c r="AG244" i="86"/>
  <c r="AF244" i="86"/>
  <c r="AE244" i="86"/>
  <c r="AD244" i="86"/>
  <c r="AC244" i="86"/>
  <c r="AB244" i="86"/>
  <c r="AA244" i="86"/>
  <c r="Z244" i="86"/>
  <c r="Z118" i="86" s="1"/>
  <c r="Y244" i="86"/>
  <c r="X244" i="86"/>
  <c r="W244" i="86"/>
  <c r="V244" i="86"/>
  <c r="U244" i="86"/>
  <c r="T244" i="86"/>
  <c r="S244" i="86"/>
  <c r="R244" i="86"/>
  <c r="Q244" i="86"/>
  <c r="P244" i="86"/>
  <c r="O244" i="86"/>
  <c r="N244" i="86"/>
  <c r="M244" i="86"/>
  <c r="L244" i="86"/>
  <c r="K244" i="86"/>
  <c r="J244" i="86"/>
  <c r="I244" i="86"/>
  <c r="H244" i="86"/>
  <c r="G244" i="86"/>
  <c r="F244" i="86"/>
  <c r="E244" i="86"/>
  <c r="D244" i="86"/>
  <c r="C244" i="86"/>
  <c r="B244" i="86"/>
  <c r="AI130" i="86"/>
  <c r="AH130" i="86"/>
  <c r="AI129" i="86"/>
  <c r="AH129" i="86"/>
  <c r="AI128" i="86"/>
  <c r="AH128" i="86"/>
  <c r="AI127" i="86"/>
  <c r="AH127" i="86"/>
  <c r="AI126" i="86"/>
  <c r="AH126" i="86"/>
  <c r="AI122" i="86"/>
  <c r="AH122" i="86"/>
  <c r="AI121" i="86"/>
  <c r="AI120" i="86"/>
  <c r="AH120" i="86"/>
  <c r="AI119" i="86"/>
  <c r="AH119" i="86"/>
  <c r="C118" i="86"/>
  <c r="AI117" i="86"/>
  <c r="AH117" i="86"/>
  <c r="AI116" i="86"/>
  <c r="AH116" i="86"/>
  <c r="AI115" i="86"/>
  <c r="AH115" i="86"/>
  <c r="AI114" i="86"/>
  <c r="AH114" i="86"/>
  <c r="AI113" i="86"/>
  <c r="AH113" i="86"/>
  <c r="AI112" i="86"/>
  <c r="AH112" i="86"/>
  <c r="AI111" i="86"/>
  <c r="AH111" i="86"/>
  <c r="AI110" i="86"/>
  <c r="AH110" i="86"/>
  <c r="AI109" i="86"/>
  <c r="AH109" i="86"/>
  <c r="AI106" i="86"/>
  <c r="AH106" i="86"/>
  <c r="AD105" i="86"/>
  <c r="AA105" i="86"/>
  <c r="Z105" i="86"/>
  <c r="Y105" i="86"/>
  <c r="X105" i="86"/>
  <c r="W105" i="86"/>
  <c r="V105" i="86"/>
  <c r="S105" i="86"/>
  <c r="R105" i="86"/>
  <c r="Q105" i="86"/>
  <c r="P105" i="86"/>
  <c r="O105" i="86"/>
  <c r="N105" i="86"/>
  <c r="M105" i="86"/>
  <c r="L105" i="86"/>
  <c r="K105" i="86"/>
  <c r="J105" i="86"/>
  <c r="I105" i="86"/>
  <c r="H105" i="86"/>
  <c r="G105" i="86"/>
  <c r="F105" i="86"/>
  <c r="E105" i="86"/>
  <c r="D105" i="86"/>
  <c r="C105" i="86"/>
  <c r="B105" i="86"/>
  <c r="AD104" i="86"/>
  <c r="AA104" i="86"/>
  <c r="Z104" i="86"/>
  <c r="Y104" i="86"/>
  <c r="X104" i="86"/>
  <c r="W104" i="86"/>
  <c r="V104" i="86"/>
  <c r="S104" i="86"/>
  <c r="R104" i="86"/>
  <c r="Q104" i="86"/>
  <c r="P104" i="86"/>
  <c r="O104" i="86"/>
  <c r="N104" i="86"/>
  <c r="M104" i="86"/>
  <c r="L104" i="86"/>
  <c r="K104" i="86"/>
  <c r="J104" i="86"/>
  <c r="I104" i="86"/>
  <c r="H104" i="86"/>
  <c r="G104" i="86"/>
  <c r="F104" i="86"/>
  <c r="E104" i="86"/>
  <c r="D104" i="86"/>
  <c r="C104" i="86"/>
  <c r="B104" i="86"/>
  <c r="AD103" i="86"/>
  <c r="AA103" i="86"/>
  <c r="Z103" i="86"/>
  <c r="Y103" i="86"/>
  <c r="X103" i="86"/>
  <c r="W103" i="86"/>
  <c r="V103" i="86"/>
  <c r="S103" i="86"/>
  <c r="R103" i="86"/>
  <c r="Q103" i="86"/>
  <c r="P103" i="86"/>
  <c r="O103" i="86"/>
  <c r="N103" i="86"/>
  <c r="M103" i="86"/>
  <c r="L103" i="86"/>
  <c r="K103" i="86"/>
  <c r="J103" i="86"/>
  <c r="I103" i="86"/>
  <c r="H103" i="86"/>
  <c r="G103" i="86"/>
  <c r="F103" i="86"/>
  <c r="E103" i="86"/>
  <c r="D103" i="86"/>
  <c r="C103" i="86"/>
  <c r="B103" i="86"/>
  <c r="AD102" i="86"/>
  <c r="AA102" i="86"/>
  <c r="Z102" i="86"/>
  <c r="Y102" i="86"/>
  <c r="X102" i="86"/>
  <c r="W102" i="86"/>
  <c r="V102" i="86"/>
  <c r="S102" i="86"/>
  <c r="R102" i="86"/>
  <c r="Q102" i="86"/>
  <c r="P102" i="86"/>
  <c r="O102" i="86"/>
  <c r="N102" i="86"/>
  <c r="M102" i="86"/>
  <c r="L102" i="86"/>
  <c r="K102" i="86"/>
  <c r="J102" i="86"/>
  <c r="I102" i="86"/>
  <c r="H102" i="86"/>
  <c r="G102" i="86"/>
  <c r="F102" i="86"/>
  <c r="E102" i="86"/>
  <c r="D102" i="86"/>
  <c r="C102" i="86"/>
  <c r="B102" i="86"/>
  <c r="AD101" i="86"/>
  <c r="AA101" i="86"/>
  <c r="Z101" i="86"/>
  <c r="Y101" i="86"/>
  <c r="X101" i="86"/>
  <c r="W101" i="86"/>
  <c r="V101" i="86"/>
  <c r="S101" i="86"/>
  <c r="R101" i="86"/>
  <c r="Q101" i="86"/>
  <c r="P101" i="86"/>
  <c r="O101" i="86"/>
  <c r="N101" i="86"/>
  <c r="M101" i="86"/>
  <c r="L101" i="86"/>
  <c r="K101" i="86"/>
  <c r="J101" i="86"/>
  <c r="I101" i="86"/>
  <c r="H101" i="86"/>
  <c r="G101" i="86"/>
  <c r="F101" i="86"/>
  <c r="E101" i="86"/>
  <c r="D101" i="86"/>
  <c r="C101" i="86"/>
  <c r="B101" i="86"/>
  <c r="AI98" i="86"/>
  <c r="AH98" i="86"/>
  <c r="AI96" i="86"/>
  <c r="AH96" i="86"/>
  <c r="AG96" i="86"/>
  <c r="AI95" i="86"/>
  <c r="AH95" i="86"/>
  <c r="AI94" i="86"/>
  <c r="AH94" i="86"/>
  <c r="AI93" i="86"/>
  <c r="AH93" i="86"/>
  <c r="AG92" i="86"/>
  <c r="AD92" i="86"/>
  <c r="AC5" i="86" s="1"/>
  <c r="AA92" i="86"/>
  <c r="Z5" i="86" s="1"/>
  <c r="Z92" i="86"/>
  <c r="Y92" i="86"/>
  <c r="X5" i="86" s="1"/>
  <c r="X92" i="86"/>
  <c r="CD19" i="86" s="1"/>
  <c r="W92" i="86"/>
  <c r="V5" i="86" s="1"/>
  <c r="V92" i="86"/>
  <c r="CC19" i="86" s="1"/>
  <c r="S92" i="86"/>
  <c r="BZ19" i="86" s="1"/>
  <c r="R92" i="86"/>
  <c r="Q92" i="86"/>
  <c r="BX19" i="86" s="1"/>
  <c r="P92" i="86"/>
  <c r="AX19" i="86" s="1"/>
  <c r="O92" i="86"/>
  <c r="N5" i="86" s="1"/>
  <c r="N92" i="86"/>
  <c r="M5" i="86" s="1"/>
  <c r="M92" i="86"/>
  <c r="AU19" i="86" s="1"/>
  <c r="L92" i="86"/>
  <c r="K5" i="86" s="1"/>
  <c r="K92" i="86"/>
  <c r="AT19" i="86" s="1"/>
  <c r="J92" i="86"/>
  <c r="I92" i="86"/>
  <c r="H92" i="86"/>
  <c r="G5" i="86" s="1"/>
  <c r="G92" i="86"/>
  <c r="F5" i="86" s="1"/>
  <c r="F92" i="86"/>
  <c r="E5" i="86" s="1"/>
  <c r="E92" i="86"/>
  <c r="D92" i="86"/>
  <c r="C5" i="86" s="1"/>
  <c r="C92" i="86"/>
  <c r="AN19" i="86" s="1"/>
  <c r="B92" i="86"/>
  <c r="AI91" i="86"/>
  <c r="AH91" i="86"/>
  <c r="AI90" i="86"/>
  <c r="AH90" i="86"/>
  <c r="AI89" i="86"/>
  <c r="AH89" i="86"/>
  <c r="AI88" i="86"/>
  <c r="AH88" i="86"/>
  <c r="AI87" i="86"/>
  <c r="AH87" i="86"/>
  <c r="AI86" i="86"/>
  <c r="AH86" i="86"/>
  <c r="AI85" i="86"/>
  <c r="AH85" i="86"/>
  <c r="AI84" i="86"/>
  <c r="AH84" i="86"/>
  <c r="AI83" i="86"/>
  <c r="AH83" i="86"/>
  <c r="AI82" i="86"/>
  <c r="AH82" i="86"/>
  <c r="AI81" i="86"/>
  <c r="AH81" i="86"/>
  <c r="AG80" i="86"/>
  <c r="CG20" i="86"/>
  <c r="AA80" i="86"/>
  <c r="Z80" i="86"/>
  <c r="CE20" i="86" s="1"/>
  <c r="Y80" i="86"/>
  <c r="X80" i="86"/>
  <c r="CD20" i="86" s="1"/>
  <c r="W80" i="86"/>
  <c r="V80" i="86"/>
  <c r="CC20" i="86" s="1"/>
  <c r="CB20" i="86"/>
  <c r="S80" i="86"/>
  <c r="R80" i="86"/>
  <c r="BY20" i="86" s="1"/>
  <c r="Q80" i="86"/>
  <c r="P80" i="86"/>
  <c r="O80" i="86"/>
  <c r="N80" i="86"/>
  <c r="AV20" i="86" s="1"/>
  <c r="M80" i="86"/>
  <c r="AU20" i="86" s="1"/>
  <c r="L80" i="86"/>
  <c r="K80" i="86"/>
  <c r="AT20" i="86" s="1"/>
  <c r="J80" i="86"/>
  <c r="I80" i="86"/>
  <c r="H80" i="86"/>
  <c r="G80" i="86"/>
  <c r="F80" i="86"/>
  <c r="AQ20" i="86" s="1"/>
  <c r="E80" i="86"/>
  <c r="AP20" i="86" s="1"/>
  <c r="D80" i="86"/>
  <c r="AO20" i="86" s="1"/>
  <c r="C80" i="86"/>
  <c r="B80" i="86"/>
  <c r="AI79" i="86"/>
  <c r="AH79" i="86"/>
  <c r="AI78" i="86"/>
  <c r="AH78" i="86"/>
  <c r="AI77" i="86"/>
  <c r="AH77" i="86"/>
  <c r="CH18" i="86"/>
  <c r="CG18" i="86"/>
  <c r="AA76" i="86"/>
  <c r="Z76" i="86"/>
  <c r="CE18" i="86" s="1"/>
  <c r="Y76" i="86"/>
  <c r="X76" i="86"/>
  <c r="CD18" i="86" s="1"/>
  <c r="W76" i="86"/>
  <c r="V76" i="86"/>
  <c r="CC18" i="86" s="1"/>
  <c r="CB18" i="86"/>
  <c r="S76" i="86"/>
  <c r="R76" i="86"/>
  <c r="BY18" i="86" s="1"/>
  <c r="Q76" i="86"/>
  <c r="BX18" i="86" s="1"/>
  <c r="P76" i="86"/>
  <c r="AX18" i="86" s="1"/>
  <c r="O76" i="86"/>
  <c r="AW18" i="86" s="1"/>
  <c r="N76" i="86"/>
  <c r="AV18" i="86" s="1"/>
  <c r="M76" i="86"/>
  <c r="AU18" i="86" s="1"/>
  <c r="L76" i="86"/>
  <c r="K76" i="86"/>
  <c r="AT18" i="86" s="1"/>
  <c r="I76" i="86"/>
  <c r="AS18" i="86" s="1"/>
  <c r="H76" i="86"/>
  <c r="G76" i="86"/>
  <c r="F76" i="86"/>
  <c r="AQ18" i="86" s="1"/>
  <c r="E76" i="86"/>
  <c r="AP18" i="86" s="1"/>
  <c r="D76" i="86"/>
  <c r="AO18" i="86" s="1"/>
  <c r="C76" i="86"/>
  <c r="AN18" i="86" s="1"/>
  <c r="B76" i="86"/>
  <c r="AI75" i="86"/>
  <c r="AH75" i="86"/>
  <c r="AI74" i="86"/>
  <c r="AH74" i="86"/>
  <c r="AI73" i="86"/>
  <c r="AH73" i="86"/>
  <c r="AI72" i="86"/>
  <c r="AH72" i="86"/>
  <c r="AI71" i="86"/>
  <c r="AH71" i="86"/>
  <c r="AI70" i="86"/>
  <c r="AH70" i="86"/>
  <c r="AI69" i="86"/>
  <c r="AH69" i="86"/>
  <c r="AI68" i="86"/>
  <c r="AH68" i="86"/>
  <c r="AI67" i="86"/>
  <c r="AH67" i="86"/>
  <c r="AI66" i="86"/>
  <c r="AH66" i="86"/>
  <c r="AI65" i="86"/>
  <c r="AH65" i="86"/>
  <c r="AI64" i="86"/>
  <c r="AH64" i="86"/>
  <c r="AI63" i="86"/>
  <c r="AH63" i="86"/>
  <c r="AG62" i="86"/>
  <c r="CH17" i="86"/>
  <c r="CF17" i="86"/>
  <c r="AA62" i="86"/>
  <c r="Z62" i="86"/>
  <c r="CE17" i="86" s="1"/>
  <c r="Y62" i="86"/>
  <c r="X62" i="86"/>
  <c r="W62" i="86"/>
  <c r="V62" i="86"/>
  <c r="S62" i="86"/>
  <c r="BZ17" i="86" s="1"/>
  <c r="R62" i="86"/>
  <c r="Q62" i="86"/>
  <c r="BX17" i="86" s="1"/>
  <c r="P62" i="86"/>
  <c r="O62" i="86"/>
  <c r="AW17" i="86" s="1"/>
  <c r="N62" i="86"/>
  <c r="M62" i="86"/>
  <c r="L62" i="86"/>
  <c r="K62" i="86"/>
  <c r="AT17" i="86" s="1"/>
  <c r="H62" i="86"/>
  <c r="G62" i="86"/>
  <c r="AR17" i="86" s="1"/>
  <c r="F62" i="86"/>
  <c r="E62" i="86"/>
  <c r="AP17" i="86" s="1"/>
  <c r="D62" i="86"/>
  <c r="AO17" i="86" s="1"/>
  <c r="C62" i="86"/>
  <c r="AN17" i="86" s="1"/>
  <c r="B62" i="86"/>
  <c r="AM17" i="86" s="1"/>
  <c r="AI61" i="86"/>
  <c r="AH61" i="86"/>
  <c r="AI60" i="86"/>
  <c r="AH60" i="86"/>
  <c r="AI59" i="86"/>
  <c r="AH59" i="86"/>
  <c r="AG58" i="86"/>
  <c r="AG2" i="86" s="1"/>
  <c r="CF16" i="86"/>
  <c r="AA58" i="86"/>
  <c r="Z58" i="86"/>
  <c r="Y58" i="86"/>
  <c r="X58" i="86"/>
  <c r="W58" i="86"/>
  <c r="V58" i="86"/>
  <c r="CC16" i="86" s="1"/>
  <c r="CA16" i="86"/>
  <c r="S58" i="86"/>
  <c r="BZ16" i="86" s="1"/>
  <c r="R58" i="86"/>
  <c r="Q58" i="86"/>
  <c r="BX16" i="86" s="1"/>
  <c r="P58" i="86"/>
  <c r="O58" i="86"/>
  <c r="AW16" i="86" s="1"/>
  <c r="N58" i="86"/>
  <c r="AV16" i="86" s="1"/>
  <c r="M58" i="86"/>
  <c r="AU16" i="86" s="1"/>
  <c r="G58" i="86"/>
  <c r="AR16" i="86" s="1"/>
  <c r="F58" i="86"/>
  <c r="E58" i="86"/>
  <c r="D58" i="86"/>
  <c r="C58" i="86"/>
  <c r="B58" i="86"/>
  <c r="AI56" i="86"/>
  <c r="AH56" i="86"/>
  <c r="AI55" i="86"/>
  <c r="AH55" i="86"/>
  <c r="AI54" i="86"/>
  <c r="AH54" i="86"/>
  <c r="AI53" i="86"/>
  <c r="AH53" i="86"/>
  <c r="AI52" i="86"/>
  <c r="AH52" i="86"/>
  <c r="AI51" i="86"/>
  <c r="AH51" i="86"/>
  <c r="AI50" i="86"/>
  <c r="AH50" i="86"/>
  <c r="AI49" i="86"/>
  <c r="AH49" i="86"/>
  <c r="AI48" i="86"/>
  <c r="AH48" i="86"/>
  <c r="AI47" i="86"/>
  <c r="AH47" i="86"/>
  <c r="AI46" i="86"/>
  <c r="AH46" i="86"/>
  <c r="AI45" i="86"/>
  <c r="AH45" i="86"/>
  <c r="AI44" i="86"/>
  <c r="AH44" i="86"/>
  <c r="AI43" i="86"/>
  <c r="AH43" i="86"/>
  <c r="AI42" i="86"/>
  <c r="AH42" i="86"/>
  <c r="AI41" i="86"/>
  <c r="AH41" i="86"/>
  <c r="AI40" i="86"/>
  <c r="AH40" i="86"/>
  <c r="AI39" i="86"/>
  <c r="AH39" i="86"/>
  <c r="AI38" i="86"/>
  <c r="AH38" i="86"/>
  <c r="AI37" i="86"/>
  <c r="AH37" i="86"/>
  <c r="AI36" i="86"/>
  <c r="AH36" i="86"/>
  <c r="AI35" i="86"/>
  <c r="AH35" i="86"/>
  <c r="AI34" i="86"/>
  <c r="AH34" i="86"/>
  <c r="AI33" i="86"/>
  <c r="AH33" i="86"/>
  <c r="AI32" i="86"/>
  <c r="AH32" i="86"/>
  <c r="AI31" i="86"/>
  <c r="AH31" i="86"/>
  <c r="AI30" i="86"/>
  <c r="AH30" i="86"/>
  <c r="AI29" i="86"/>
  <c r="AH29" i="86"/>
  <c r="AI28" i="86"/>
  <c r="AH28" i="86"/>
  <c r="AI27" i="86"/>
  <c r="AH27" i="86"/>
  <c r="AI26" i="86"/>
  <c r="AH26" i="86"/>
  <c r="AI25" i="86"/>
  <c r="AH25" i="86"/>
  <c r="AI24" i="86"/>
  <c r="AH24" i="86"/>
  <c r="AI23" i="86"/>
  <c r="AH23" i="86"/>
  <c r="AI22" i="86"/>
  <c r="AH22" i="86"/>
  <c r="CI21" i="86"/>
  <c r="CH21" i="86"/>
  <c r="CG21" i="86"/>
  <c r="CF21" i="86"/>
  <c r="CE21" i="86"/>
  <c r="CD21" i="86"/>
  <c r="CC21" i="86"/>
  <c r="CB21" i="86"/>
  <c r="CA21" i="86"/>
  <c r="BZ21" i="86"/>
  <c r="BY21" i="86"/>
  <c r="BX21" i="86"/>
  <c r="AX21" i="86"/>
  <c r="AW21" i="86"/>
  <c r="AV21" i="86"/>
  <c r="AU21" i="86"/>
  <c r="AT21" i="86"/>
  <c r="AS21" i="86"/>
  <c r="AR21" i="86"/>
  <c r="AQ21" i="86"/>
  <c r="AP21" i="86"/>
  <c r="AO21" i="86"/>
  <c r="AN21" i="86"/>
  <c r="AM21" i="86"/>
  <c r="AI21" i="86"/>
  <c r="AH21" i="86"/>
  <c r="CI20" i="86"/>
  <c r="CH20" i="86"/>
  <c r="CF20" i="86"/>
  <c r="CA20" i="86"/>
  <c r="BZ20" i="86"/>
  <c r="BX20" i="86"/>
  <c r="AX20" i="86"/>
  <c r="AW20" i="86"/>
  <c r="AS20" i="86"/>
  <c r="AR20" i="86"/>
  <c r="AN20" i="86"/>
  <c r="AI20" i="86"/>
  <c r="AH20" i="86"/>
  <c r="AI19" i="86"/>
  <c r="AH19" i="86"/>
  <c r="CI18" i="86"/>
  <c r="CF18" i="86"/>
  <c r="CA18" i="86"/>
  <c r="BZ18" i="86"/>
  <c r="AR18" i="86"/>
  <c r="AI18" i="86"/>
  <c r="AH18" i="86"/>
  <c r="CD17" i="86"/>
  <c r="CC17" i="86"/>
  <c r="CB17" i="86"/>
  <c r="BY17" i="86"/>
  <c r="AX17" i="86"/>
  <c r="AV17" i="86"/>
  <c r="AU17" i="86"/>
  <c r="AQ17" i="86"/>
  <c r="AI17" i="86"/>
  <c r="AH17" i="86"/>
  <c r="AS16" i="86"/>
  <c r="AI16" i="86"/>
  <c r="AH16" i="86"/>
  <c r="AI15" i="86"/>
  <c r="AH15" i="86"/>
  <c r="AI14" i="86"/>
  <c r="AH14" i="86"/>
  <c r="AI13" i="86"/>
  <c r="AH13" i="86"/>
  <c r="AL12" i="86"/>
  <c r="AI12" i="86"/>
  <c r="AH12" i="86"/>
  <c r="AI11" i="86"/>
  <c r="AH11" i="86"/>
  <c r="S5" i="86"/>
  <c r="AG4" i="86"/>
  <c r="K4" i="86"/>
  <c r="E4" i="86"/>
  <c r="H4" i="86" s="1"/>
  <c r="B4" i="86"/>
  <c r="AF57" i="85"/>
  <c r="AE85" i="85"/>
  <c r="AE57" i="85"/>
  <c r="AD57" i="85"/>
  <c r="AC57" i="85"/>
  <c r="AB57" i="85"/>
  <c r="AB58" i="85"/>
  <c r="AB62" i="85"/>
  <c r="AA124" i="85"/>
  <c r="AA123" i="85"/>
  <c r="AA57" i="85"/>
  <c r="Z123" i="85"/>
  <c r="Z118" i="85"/>
  <c r="Z105" i="85"/>
  <c r="Z107" i="85" s="1"/>
  <c r="Z104" i="85"/>
  <c r="Z103" i="85"/>
  <c r="Z102" i="85"/>
  <c r="Z101" i="85"/>
  <c r="Z92" i="85"/>
  <c r="Z97" i="85" s="1"/>
  <c r="Z99" i="85" s="1"/>
  <c r="Z100" i="85" s="1"/>
  <c r="Z80" i="85"/>
  <c r="Z76" i="85"/>
  <c r="Z62" i="85"/>
  <c r="Z58" i="85"/>
  <c r="Z57" i="85"/>
  <c r="Y123" i="85"/>
  <c r="Y57" i="85"/>
  <c r="Y58" i="85"/>
  <c r="Y62" i="85"/>
  <c r="Y76" i="85"/>
  <c r="Y80" i="85"/>
  <c r="Y92" i="85"/>
  <c r="Y101" i="85"/>
  <c r="Y107" i="85" s="1"/>
  <c r="Y102" i="85"/>
  <c r="Y103" i="85"/>
  <c r="Y104" i="85"/>
  <c r="Y105" i="85"/>
  <c r="Y118" i="85"/>
  <c r="X123" i="85"/>
  <c r="X57" i="85"/>
  <c r="X58" i="85"/>
  <c r="X62" i="85"/>
  <c r="X76" i="85"/>
  <c r="X80" i="85"/>
  <c r="X92" i="85"/>
  <c r="X101" i="85"/>
  <c r="X102" i="85"/>
  <c r="X103" i="85"/>
  <c r="X104" i="85"/>
  <c r="X105" i="85"/>
  <c r="X118" i="85"/>
  <c r="W123" i="85"/>
  <c r="W57" i="85"/>
  <c r="W58" i="85"/>
  <c r="W62" i="85"/>
  <c r="W76" i="85"/>
  <c r="W80" i="85"/>
  <c r="W92" i="85"/>
  <c r="W101" i="85"/>
  <c r="W102" i="85"/>
  <c r="W103" i="85"/>
  <c r="W104" i="85"/>
  <c r="W105" i="85"/>
  <c r="W118" i="85"/>
  <c r="V123" i="85"/>
  <c r="V57" i="85"/>
  <c r="V58" i="85"/>
  <c r="V62" i="85"/>
  <c r="V76" i="85"/>
  <c r="V80" i="85"/>
  <c r="V92" i="85"/>
  <c r="V101" i="85"/>
  <c r="V102" i="85"/>
  <c r="V103" i="85"/>
  <c r="V104" i="85"/>
  <c r="V105" i="85"/>
  <c r="V118" i="85"/>
  <c r="U123" i="85"/>
  <c r="U57" i="85"/>
  <c r="U58" i="85"/>
  <c r="U62" i="85"/>
  <c r="U76" i="85"/>
  <c r="U80" i="85"/>
  <c r="U92" i="85"/>
  <c r="U101" i="85"/>
  <c r="U102" i="85"/>
  <c r="U107" i="85" s="1"/>
  <c r="U103" i="85"/>
  <c r="U104" i="85"/>
  <c r="U105" i="85"/>
  <c r="U118" i="85"/>
  <c r="T123" i="85"/>
  <c r="T57" i="85"/>
  <c r="T58" i="85"/>
  <c r="T62" i="85"/>
  <c r="T76" i="85"/>
  <c r="T80" i="85"/>
  <c r="T92" i="85"/>
  <c r="T101" i="85"/>
  <c r="T107" i="85" s="1"/>
  <c r="T102" i="85"/>
  <c r="T103" i="85"/>
  <c r="T104" i="85"/>
  <c r="T105" i="85"/>
  <c r="T118" i="85"/>
  <c r="T107" i="86" l="1"/>
  <c r="CI19" i="86"/>
  <c r="AH57" i="86"/>
  <c r="E118" i="86"/>
  <c r="AC107" i="86"/>
  <c r="AC108" i="86" s="1"/>
  <c r="Y118" i="86"/>
  <c r="P246" i="89"/>
  <c r="O252" i="89"/>
  <c r="O118" i="89"/>
  <c r="K251" i="88"/>
  <c r="J252" i="88"/>
  <c r="J118" i="88"/>
  <c r="M246" i="88"/>
  <c r="BJ22" i="87"/>
  <c r="BJ24" i="87" s="1"/>
  <c r="AC5" i="87"/>
  <c r="AD97" i="87"/>
  <c r="AD99" i="87" s="1"/>
  <c r="BH16" i="87"/>
  <c r="BH22" i="87" s="1"/>
  <c r="AC97" i="87"/>
  <c r="AC99" i="87" s="1"/>
  <c r="AB107" i="87"/>
  <c r="BG23" i="87" s="1"/>
  <c r="BG19" i="87"/>
  <c r="BG22" i="87" s="1"/>
  <c r="BG24" i="87" s="1"/>
  <c r="AB97" i="87"/>
  <c r="AB99" i="87" s="1"/>
  <c r="AB100" i="87" s="1"/>
  <c r="AB7" i="87" s="1"/>
  <c r="BG16" i="87"/>
  <c r="AA97" i="87"/>
  <c r="AA99" i="87" s="1"/>
  <c r="AA100" i="87" s="1"/>
  <c r="AA7" i="87" s="1"/>
  <c r="Z107" i="87"/>
  <c r="BF23" i="87" s="1"/>
  <c r="Y107" i="87"/>
  <c r="Y108" i="87" s="1"/>
  <c r="Y97" i="87"/>
  <c r="Y99" i="87" s="1"/>
  <c r="W5" i="87"/>
  <c r="X108" i="87"/>
  <c r="X97" i="87"/>
  <c r="X99" i="87" s="1"/>
  <c r="X100" i="87" s="1"/>
  <c r="X7" i="87" s="1"/>
  <c r="W107" i="87"/>
  <c r="W108" i="87" s="1"/>
  <c r="W97" i="87"/>
  <c r="W99" i="87" s="1"/>
  <c r="W100" i="87" s="1"/>
  <c r="W7" i="87" s="1"/>
  <c r="V97" i="87"/>
  <c r="V99" i="87" s="1"/>
  <c r="BD19" i="87"/>
  <c r="BD16" i="87"/>
  <c r="U97" i="87"/>
  <c r="U99" i="87" s="1"/>
  <c r="BC22" i="87"/>
  <c r="T107" i="87"/>
  <c r="BB23" i="87" s="1"/>
  <c r="S5" i="87"/>
  <c r="BB19" i="87"/>
  <c r="T97" i="87"/>
  <c r="T99" i="87" s="1"/>
  <c r="T100" i="87" s="1"/>
  <c r="T7" i="87" s="1"/>
  <c r="S97" i="87"/>
  <c r="S99" i="87" s="1"/>
  <c r="S100" i="87" s="1"/>
  <c r="S7" i="87" s="1"/>
  <c r="R107" i="87"/>
  <c r="AZ23" i="87" s="1"/>
  <c r="AY19" i="87"/>
  <c r="Q97" i="87"/>
  <c r="Q99" i="87" s="1"/>
  <c r="AY22" i="87"/>
  <c r="AY24" i="87" s="1"/>
  <c r="O5" i="87"/>
  <c r="P108" i="87"/>
  <c r="AX22" i="87"/>
  <c r="AX24" i="87" s="1"/>
  <c r="AI57" i="87"/>
  <c r="O107" i="87"/>
  <c r="AW23" i="87" s="1"/>
  <c r="N5" i="87"/>
  <c r="AW19" i="87"/>
  <c r="M5" i="87"/>
  <c r="AV22" i="87"/>
  <c r="N97" i="87"/>
  <c r="N99" i="87" s="1"/>
  <c r="M97" i="87"/>
  <c r="M99" i="87" s="1"/>
  <c r="AI58" i="87"/>
  <c r="AU16" i="87"/>
  <c r="AU22" i="87" s="1"/>
  <c r="L97" i="87"/>
  <c r="L99" i="87" s="1"/>
  <c r="L100" i="87" s="1"/>
  <c r="L7" i="87" s="1"/>
  <c r="K5" i="87"/>
  <c r="K107" i="87"/>
  <c r="AT23" i="87" s="1"/>
  <c r="K97" i="87"/>
  <c r="K99" i="87" s="1"/>
  <c r="J107" i="87"/>
  <c r="J108" i="87" s="1"/>
  <c r="J97" i="87"/>
  <c r="J99" i="87" s="1"/>
  <c r="I107" i="87"/>
  <c r="AS22" i="87"/>
  <c r="I108" i="87"/>
  <c r="H5" i="87"/>
  <c r="I97" i="87"/>
  <c r="I99" i="87" s="1"/>
  <c r="I100" i="87" s="1"/>
  <c r="I7" i="87" s="1"/>
  <c r="H97" i="87"/>
  <c r="H99" i="87" s="1"/>
  <c r="H100" i="87" s="1"/>
  <c r="H7" i="87" s="1"/>
  <c r="H108" i="87"/>
  <c r="G97" i="87"/>
  <c r="G99" i="87" s="1"/>
  <c r="G100" i="87" s="1"/>
  <c r="G108" i="87"/>
  <c r="AR17" i="87"/>
  <c r="AR22" i="87"/>
  <c r="AR24" i="87" s="1"/>
  <c r="AQ19" i="87"/>
  <c r="F108" i="87"/>
  <c r="AQ16" i="87"/>
  <c r="AQ22" i="87" s="1"/>
  <c r="AH80" i="87"/>
  <c r="F97" i="87"/>
  <c r="F99" i="87" s="1"/>
  <c r="F100" i="87" s="1"/>
  <c r="E97" i="87"/>
  <c r="E99" i="87" s="1"/>
  <c r="E107" i="87"/>
  <c r="E108" i="87"/>
  <c r="E100" i="87"/>
  <c r="AP17" i="87"/>
  <c r="D108" i="87"/>
  <c r="AH123" i="87"/>
  <c r="D97" i="87"/>
  <c r="D99" i="87" s="1"/>
  <c r="D100" i="87" s="1"/>
  <c r="D7" i="87" s="1"/>
  <c r="AI123" i="87"/>
  <c r="C107" i="87"/>
  <c r="AN23" i="87" s="1"/>
  <c r="C97" i="87"/>
  <c r="C99" i="87" s="1"/>
  <c r="AI105" i="87"/>
  <c r="AI92" i="87"/>
  <c r="B107" i="87"/>
  <c r="AM23" i="87" s="1"/>
  <c r="AH76" i="87"/>
  <c r="B97" i="87"/>
  <c r="B99" i="87" s="1"/>
  <c r="B100" i="87" s="1"/>
  <c r="AH103" i="87"/>
  <c r="B108" i="87"/>
  <c r="G248" i="87"/>
  <c r="H248" i="87" s="1"/>
  <c r="I248" i="87" s="1"/>
  <c r="J248" i="87" s="1"/>
  <c r="K248" i="87" s="1"/>
  <c r="L248" i="87" s="1"/>
  <c r="M248" i="87" s="1"/>
  <c r="N248" i="87" s="1"/>
  <c r="O248" i="87" s="1"/>
  <c r="P248" i="87" s="1"/>
  <c r="Q248" i="87" s="1"/>
  <c r="R248" i="87" s="1"/>
  <c r="S248" i="87" s="1"/>
  <c r="T248" i="87" s="1"/>
  <c r="U248" i="87" s="1"/>
  <c r="V248" i="87" s="1"/>
  <c r="W248" i="87" s="1"/>
  <c r="X248" i="87" s="1"/>
  <c r="Y248" i="87" s="1"/>
  <c r="Z248" i="87" s="1"/>
  <c r="AA248" i="87" s="1"/>
  <c r="AB248" i="87" s="1"/>
  <c r="AC248" i="87" s="1"/>
  <c r="AD248" i="87" s="1"/>
  <c r="AE248" i="87" s="1"/>
  <c r="AF248" i="87" s="1"/>
  <c r="B248" i="87" s="1"/>
  <c r="AS23" i="87"/>
  <c r="I5" i="87"/>
  <c r="Y5" i="87"/>
  <c r="Z108" i="87"/>
  <c r="BF19" i="87"/>
  <c r="BF22" i="87" s="1"/>
  <c r="BF24" i="87" s="1"/>
  <c r="AH92" i="87"/>
  <c r="AM20" i="87"/>
  <c r="AI76" i="87"/>
  <c r="AI80" i="87"/>
  <c r="AT19" i="87"/>
  <c r="AT22" i="87" s="1"/>
  <c r="AA108" i="87"/>
  <c r="Q100" i="87"/>
  <c r="Q7" i="87" s="1"/>
  <c r="Q108" i="87"/>
  <c r="AF7" i="87"/>
  <c r="AP23" i="87"/>
  <c r="M107" i="87"/>
  <c r="AU23" i="87" s="1"/>
  <c r="U107" i="87"/>
  <c r="BC23" i="87" s="1"/>
  <c r="BC24" i="87" s="1"/>
  <c r="AC107" i="87"/>
  <c r="AC100" i="87" s="1"/>
  <c r="AC7" i="87" s="1"/>
  <c r="Y100" i="87"/>
  <c r="Y7" i="87" s="1"/>
  <c r="AQ23" i="87"/>
  <c r="N107" i="87"/>
  <c r="AV23" i="87" s="1"/>
  <c r="AV24" i="87" s="1"/>
  <c r="V107" i="87"/>
  <c r="BD23" i="87" s="1"/>
  <c r="AD107" i="87"/>
  <c r="BH23" i="87" s="1"/>
  <c r="E251" i="87"/>
  <c r="J5" i="87"/>
  <c r="N100" i="87"/>
  <c r="N7" i="87" s="1"/>
  <c r="B5" i="87"/>
  <c r="AO22" i="87"/>
  <c r="AO24" i="87" s="1"/>
  <c r="BE22" i="87"/>
  <c r="BE24" i="87" s="1"/>
  <c r="AI62" i="87"/>
  <c r="P97" i="87"/>
  <c r="P99" i="87" s="1"/>
  <c r="P100" i="87" s="1"/>
  <c r="P7" i="87" s="1"/>
  <c r="AH101" i="87"/>
  <c r="AI103" i="87"/>
  <c r="D252" i="87"/>
  <c r="AM19" i="87"/>
  <c r="AM22" i="87" s="1"/>
  <c r="AF5" i="87"/>
  <c r="Q5" i="87"/>
  <c r="AZ19" i="87"/>
  <c r="AZ22" i="87" s="1"/>
  <c r="AZ24" i="87" s="1"/>
  <c r="R108" i="87"/>
  <c r="BA19" i="87"/>
  <c r="BA22" i="87" s="1"/>
  <c r="BA24" i="87" s="1"/>
  <c r="S108" i="87"/>
  <c r="AW22" i="87"/>
  <c r="AW24" i="87" s="1"/>
  <c r="BI22" i="87"/>
  <c r="BI24" i="87" s="1"/>
  <c r="O97" i="87"/>
  <c r="O99" i="87" s="1"/>
  <c r="O100" i="87" s="1"/>
  <c r="O7" i="87" s="1"/>
  <c r="AI104" i="87"/>
  <c r="BB22" i="87"/>
  <c r="BB24" i="87" s="1"/>
  <c r="AN19" i="87"/>
  <c r="AN22" i="87" s="1"/>
  <c r="AN24" i="87" s="1"/>
  <c r="AG97" i="87"/>
  <c r="AI101" i="87"/>
  <c r="AI102" i="87"/>
  <c r="H246" i="87"/>
  <c r="D5" i="87"/>
  <c r="L5" i="87"/>
  <c r="T5" i="87"/>
  <c r="AB5" i="87"/>
  <c r="AL13" i="87"/>
  <c r="AP19" i="87"/>
  <c r="AP22" i="87" s="1"/>
  <c r="AP24" i="87" s="1"/>
  <c r="AH102" i="87"/>
  <c r="AH58" i="87"/>
  <c r="AH62" i="87"/>
  <c r="R97" i="87"/>
  <c r="R99" i="87" s="1"/>
  <c r="R100" i="87" s="1"/>
  <c r="R7" i="87" s="1"/>
  <c r="Z97" i="87"/>
  <c r="Z99" i="87" s="1"/>
  <c r="Z100" i="87" s="1"/>
  <c r="Z7" i="87" s="1"/>
  <c r="AH104" i="87"/>
  <c r="AH105" i="87"/>
  <c r="U108" i="87"/>
  <c r="AE107" i="86"/>
  <c r="AE108" i="86" s="1"/>
  <c r="AE97" i="86"/>
  <c r="AE99" i="86" s="1"/>
  <c r="AF108" i="86"/>
  <c r="AF97" i="86"/>
  <c r="AF99" i="86" s="1"/>
  <c r="AF100" i="86" s="1"/>
  <c r="AF7" i="86" s="1"/>
  <c r="CH16" i="86"/>
  <c r="CH19" i="86"/>
  <c r="CH22" i="86" s="1"/>
  <c r="CI17" i="86"/>
  <c r="AH121" i="86"/>
  <c r="CG19" i="86"/>
  <c r="AC97" i="86"/>
  <c r="AC99" i="86" s="1"/>
  <c r="AB97" i="86"/>
  <c r="AB99" i="86" s="1"/>
  <c r="AB107" i="86"/>
  <c r="AB108" i="86" s="1"/>
  <c r="CF22" i="86"/>
  <c r="AA107" i="86"/>
  <c r="AA108" i="86" s="1"/>
  <c r="AA97" i="86"/>
  <c r="AA99" i="86" s="1"/>
  <c r="AA100" i="86" s="1"/>
  <c r="AA7" i="86" s="1"/>
  <c r="Y107" i="86"/>
  <c r="X107" i="86"/>
  <c r="CD23" i="86" s="1"/>
  <c r="W5" i="86"/>
  <c r="X97" i="86"/>
  <c r="X99" i="86" s="1"/>
  <c r="U5" i="86"/>
  <c r="U107" i="86"/>
  <c r="U108" i="86" s="1"/>
  <c r="U97" i="86"/>
  <c r="U99" i="86" s="1"/>
  <c r="T108" i="86"/>
  <c r="T97" i="86"/>
  <c r="T99" i="86" s="1"/>
  <c r="T100" i="86" s="1"/>
  <c r="T7" i="86" s="1"/>
  <c r="CA19" i="86"/>
  <c r="CA22" i="86" s="1"/>
  <c r="R5" i="86"/>
  <c r="S107" i="86"/>
  <c r="P5" i="86"/>
  <c r="Q107" i="86"/>
  <c r="BX23" i="86" s="1"/>
  <c r="P97" i="86"/>
  <c r="P99" i="86" s="1"/>
  <c r="P107" i="86"/>
  <c r="AX23" i="86" s="1"/>
  <c r="O5" i="86"/>
  <c r="AW19" i="86"/>
  <c r="AG6" i="86"/>
  <c r="BX22" i="86"/>
  <c r="BX24" i="86" s="1"/>
  <c r="CA23" i="86"/>
  <c r="AA5" i="86"/>
  <c r="V97" i="86"/>
  <c r="V99" i="86" s="1"/>
  <c r="AD97" i="86"/>
  <c r="AD99" i="86" s="1"/>
  <c r="CB16" i="86"/>
  <c r="CB22" i="86" s="1"/>
  <c r="O97" i="86"/>
  <c r="O99" i="86" s="1"/>
  <c r="W97" i="86"/>
  <c r="W99" i="86" s="1"/>
  <c r="R107" i="86"/>
  <c r="BY23" i="86" s="1"/>
  <c r="Z107" i="86"/>
  <c r="CE23" i="86" s="1"/>
  <c r="CD16" i="86"/>
  <c r="CD22" i="86" s="1"/>
  <c r="CD24" i="86" s="1"/>
  <c r="Q97" i="86"/>
  <c r="Q99" i="86" s="1"/>
  <c r="Q100" i="86" s="1"/>
  <c r="Q7" i="86" s="1"/>
  <c r="Y97" i="86"/>
  <c r="Y99" i="86" s="1"/>
  <c r="Y100" i="86" s="1"/>
  <c r="Y7" i="86" s="1"/>
  <c r="AG99" i="86"/>
  <c r="V107" i="86"/>
  <c r="CC23" i="86" s="1"/>
  <c r="AD107" i="86"/>
  <c r="CG23" i="86" s="1"/>
  <c r="I97" i="86"/>
  <c r="I99" i="86" s="1"/>
  <c r="Y108" i="86"/>
  <c r="AW22" i="86"/>
  <c r="CG22" i="86"/>
  <c r="CG24" i="86" s="1"/>
  <c r="BZ22" i="86"/>
  <c r="AX16" i="86"/>
  <c r="AX22" i="86" s="1"/>
  <c r="CI16" i="86"/>
  <c r="O107" i="86"/>
  <c r="AW23" i="86" s="1"/>
  <c r="W107" i="86"/>
  <c r="W108" i="86" s="1"/>
  <c r="CH23" i="86"/>
  <c r="AV19" i="86"/>
  <c r="N107" i="86"/>
  <c r="AV23" i="86" s="1"/>
  <c r="N97" i="86"/>
  <c r="N99" i="86" s="1"/>
  <c r="AH123" i="86"/>
  <c r="AI123" i="86"/>
  <c r="AI104" i="86"/>
  <c r="M107" i="86"/>
  <c r="AU23" i="86" s="1"/>
  <c r="M97" i="86"/>
  <c r="M99" i="86" s="1"/>
  <c r="M100" i="86" s="1"/>
  <c r="M7" i="86" s="1"/>
  <c r="L107" i="86"/>
  <c r="L108" i="86" s="1"/>
  <c r="L97" i="86"/>
  <c r="L99" i="86" s="1"/>
  <c r="J5" i="86"/>
  <c r="K107" i="86"/>
  <c r="AT22" i="86"/>
  <c r="K97" i="86"/>
  <c r="K99" i="86" s="1"/>
  <c r="K100" i="86" s="1"/>
  <c r="K7" i="86" s="1"/>
  <c r="J97" i="86"/>
  <c r="J99" i="86" s="1"/>
  <c r="J107" i="86"/>
  <c r="J108" i="86" s="1"/>
  <c r="I107" i="86"/>
  <c r="AS23" i="86" s="1"/>
  <c r="AS19" i="86"/>
  <c r="AS22" i="86" s="1"/>
  <c r="H5" i="86"/>
  <c r="H107" i="86"/>
  <c r="H108" i="86" s="1"/>
  <c r="H97" i="86"/>
  <c r="H99" i="86" s="1"/>
  <c r="AR19" i="86"/>
  <c r="G107" i="86"/>
  <c r="AR23" i="86" s="1"/>
  <c r="AR22" i="86"/>
  <c r="AQ19" i="86"/>
  <c r="AQ22" i="86" s="1"/>
  <c r="AQ24" i="86" s="1"/>
  <c r="F97" i="86"/>
  <c r="F99" i="86" s="1"/>
  <c r="AQ16" i="86"/>
  <c r="E97" i="86"/>
  <c r="E99" i="86" s="1"/>
  <c r="E100" i="86" s="1"/>
  <c r="E7" i="86" s="1"/>
  <c r="AP16" i="86"/>
  <c r="AO19" i="86"/>
  <c r="AI103" i="86"/>
  <c r="D97" i="86"/>
  <c r="D99" i="86" s="1"/>
  <c r="AO16" i="86"/>
  <c r="AO22" i="86" s="1"/>
  <c r="C107" i="86"/>
  <c r="AN23" i="86" s="1"/>
  <c r="C108" i="86"/>
  <c r="B5" i="86"/>
  <c r="AH76" i="86"/>
  <c r="C97" i="86"/>
  <c r="C99" i="86" s="1"/>
  <c r="AV22" i="86"/>
  <c r="AH105" i="86"/>
  <c r="D107" i="86"/>
  <c r="AO23" i="86" s="1"/>
  <c r="F247" i="86"/>
  <c r="G247" i="86" s="1"/>
  <c r="H247" i="86" s="1"/>
  <c r="I247" i="86" s="1"/>
  <c r="J247" i="86" s="1"/>
  <c r="K247" i="86" s="1"/>
  <c r="L247" i="86" s="1"/>
  <c r="M247" i="86" s="1"/>
  <c r="N247" i="86" s="1"/>
  <c r="O247" i="86" s="1"/>
  <c r="P247" i="86" s="1"/>
  <c r="Q247" i="86" s="1"/>
  <c r="R247" i="86" s="1"/>
  <c r="S247" i="86" s="1"/>
  <c r="T247" i="86" s="1"/>
  <c r="U247" i="86" s="1"/>
  <c r="V247" i="86" s="1"/>
  <c r="W247" i="86" s="1"/>
  <c r="X247" i="86" s="1"/>
  <c r="Y247" i="86" s="1"/>
  <c r="Z247" i="86" s="1"/>
  <c r="AA247" i="86" s="1"/>
  <c r="AB247" i="86" s="1"/>
  <c r="AC247" i="86" s="1"/>
  <c r="AD247" i="86" s="1"/>
  <c r="AE247" i="86" s="1"/>
  <c r="AF247" i="86" s="1"/>
  <c r="B247" i="86" s="1"/>
  <c r="E252" i="86"/>
  <c r="AG97" i="86"/>
  <c r="AI62" i="86"/>
  <c r="AH62" i="86"/>
  <c r="AM19" i="86"/>
  <c r="AF5" i="86"/>
  <c r="AI92" i="86"/>
  <c r="I5" i="86"/>
  <c r="Q5" i="86"/>
  <c r="BY19" i="86"/>
  <c r="Y5" i="86"/>
  <c r="CE19" i="86"/>
  <c r="AH92" i="86"/>
  <c r="AI102" i="86"/>
  <c r="D258" i="86"/>
  <c r="AL13" i="86"/>
  <c r="AI58" i="86"/>
  <c r="B97" i="86"/>
  <c r="AM16" i="86"/>
  <c r="BY16" i="86"/>
  <c r="R97" i="86"/>
  <c r="R99" i="86" s="1"/>
  <c r="CE16" i="86"/>
  <c r="Z97" i="86"/>
  <c r="Z99" i="86" s="1"/>
  <c r="AH58" i="86"/>
  <c r="AI80" i="86"/>
  <c r="AM20" i="86"/>
  <c r="AH80" i="86"/>
  <c r="AI101" i="86"/>
  <c r="E107" i="86"/>
  <c r="AP23" i="86" s="1"/>
  <c r="AH104" i="86"/>
  <c r="G97" i="86"/>
  <c r="G99" i="86" s="1"/>
  <c r="AT23" i="86"/>
  <c r="AT24" i="86" s="1"/>
  <c r="K108" i="86"/>
  <c r="BZ23" i="86"/>
  <c r="S108" i="86"/>
  <c r="D252" i="86"/>
  <c r="AM18" i="86"/>
  <c r="AI76" i="86"/>
  <c r="E108" i="86"/>
  <c r="F107" i="86"/>
  <c r="AQ23" i="86" s="1"/>
  <c r="AH103" i="86"/>
  <c r="P108" i="86"/>
  <c r="G246" i="86"/>
  <c r="F252" i="86"/>
  <c r="F118" i="86"/>
  <c r="X108" i="86"/>
  <c r="CC22" i="86"/>
  <c r="AU22" i="86"/>
  <c r="AI105" i="86"/>
  <c r="AH101" i="86"/>
  <c r="B107" i="86"/>
  <c r="D5" i="86"/>
  <c r="L5" i="86"/>
  <c r="T5" i="86"/>
  <c r="AB5" i="86"/>
  <c r="AN16" i="86"/>
  <c r="AN22" i="86" s="1"/>
  <c r="AN24" i="86" s="1"/>
  <c r="AP19" i="86"/>
  <c r="AH102" i="86"/>
  <c r="S97" i="86"/>
  <c r="S99" i="86" s="1"/>
  <c r="S100" i="86" s="1"/>
  <c r="S7" i="86" s="1"/>
  <c r="D118" i="86"/>
  <c r="Z108" i="85"/>
  <c r="Y97" i="85"/>
  <c r="Y99" i="85" s="1"/>
  <c r="Y100" i="85" s="1"/>
  <c r="Y108" i="85"/>
  <c r="X97" i="85"/>
  <c r="X99" i="85" s="1"/>
  <c r="X107" i="85"/>
  <c r="X108" i="85" s="1"/>
  <c r="W97" i="85"/>
  <c r="W99" i="85" s="1"/>
  <c r="W107" i="85"/>
  <c r="W108" i="85" s="1"/>
  <c r="V107" i="85"/>
  <c r="V108" i="85" s="1"/>
  <c r="V97" i="85"/>
  <c r="V99" i="85" s="1"/>
  <c r="V100" i="85" s="1"/>
  <c r="U97" i="85"/>
  <c r="U99" i="85" s="1"/>
  <c r="U100" i="85" s="1"/>
  <c r="U108" i="85"/>
  <c r="T97" i="85"/>
  <c r="T99" i="85" s="1"/>
  <c r="T100" i="85" s="1"/>
  <c r="T108" i="85"/>
  <c r="AE100" i="86" l="1"/>
  <c r="AE7" i="86" s="1"/>
  <c r="F100" i="86"/>
  <c r="F7" i="86" s="1"/>
  <c r="CB23" i="86"/>
  <c r="U100" i="86"/>
  <c r="U7" i="86" s="1"/>
  <c r="X100" i="86"/>
  <c r="X7" i="86" s="1"/>
  <c r="Z100" i="86"/>
  <c r="Z7" i="86" s="1"/>
  <c r="AC100" i="86"/>
  <c r="AC7" i="86" s="1"/>
  <c r="CB24" i="86"/>
  <c r="Q246" i="89"/>
  <c r="P252" i="89"/>
  <c r="N246" i="88"/>
  <c r="L251" i="88"/>
  <c r="K252" i="88"/>
  <c r="K118" i="88"/>
  <c r="BH24" i="87"/>
  <c r="AC108" i="87"/>
  <c r="AB108" i="87"/>
  <c r="BD22" i="87"/>
  <c r="BD24" i="87" s="1"/>
  <c r="V100" i="87"/>
  <c r="V7" i="87" s="1"/>
  <c r="T108" i="87"/>
  <c r="O108" i="87"/>
  <c r="N108" i="87"/>
  <c r="AU24" i="87"/>
  <c r="AT24" i="87"/>
  <c r="K100" i="87"/>
  <c r="K7" i="87" s="1"/>
  <c r="K108" i="87"/>
  <c r="J100" i="87"/>
  <c r="J7" i="87" s="1"/>
  <c r="AS24" i="87"/>
  <c r="AQ24" i="87"/>
  <c r="C100" i="87"/>
  <c r="C7" i="87" s="1"/>
  <c r="C108" i="87"/>
  <c r="AT8" i="87"/>
  <c r="AM24" i="87"/>
  <c r="C256" i="87"/>
  <c r="G7" i="87"/>
  <c r="B256" i="87"/>
  <c r="AI97" i="87"/>
  <c r="AH97" i="87"/>
  <c r="F251" i="87"/>
  <c r="AD100" i="87"/>
  <c r="AD7" i="87" s="1"/>
  <c r="AI107" i="87"/>
  <c r="M108" i="87"/>
  <c r="U100" i="87"/>
  <c r="U7" i="87" s="1"/>
  <c r="I246" i="87"/>
  <c r="E252" i="87"/>
  <c r="AH107" i="87"/>
  <c r="F7" i="87"/>
  <c r="M100" i="87"/>
  <c r="M7" i="87" s="1"/>
  <c r="AD108" i="87"/>
  <c r="E7" i="87"/>
  <c r="V108" i="87"/>
  <c r="CI22" i="86"/>
  <c r="CI24" i="86" s="1"/>
  <c r="CH24" i="86"/>
  <c r="CF23" i="86"/>
  <c r="CF24" i="86"/>
  <c r="AB100" i="86"/>
  <c r="AB7" i="86" s="1"/>
  <c r="CA24" i="86"/>
  <c r="BZ24" i="86"/>
  <c r="Q108" i="86"/>
  <c r="AX24" i="86"/>
  <c r="P100" i="86"/>
  <c r="P7" i="86" s="1"/>
  <c r="O100" i="86"/>
  <c r="O7" i="86" s="1"/>
  <c r="AP22" i="86"/>
  <c r="AP24" i="86" s="1"/>
  <c r="CE22" i="86"/>
  <c r="CE24" i="86" s="1"/>
  <c r="AV24" i="86"/>
  <c r="CC24" i="86"/>
  <c r="R100" i="86"/>
  <c r="R7" i="86" s="1"/>
  <c r="C100" i="86"/>
  <c r="C7" i="86" s="1"/>
  <c r="J100" i="86"/>
  <c r="J7" i="86" s="1"/>
  <c r="W100" i="86"/>
  <c r="W7" i="86" s="1"/>
  <c r="O108" i="86"/>
  <c r="V108" i="86"/>
  <c r="Z108" i="86"/>
  <c r="AS24" i="86"/>
  <c r="AD108" i="86"/>
  <c r="AW24" i="86"/>
  <c r="G108" i="86"/>
  <c r="N108" i="86"/>
  <c r="AD100" i="86"/>
  <c r="AD7" i="86" s="1"/>
  <c r="R108" i="86"/>
  <c r="L100" i="86"/>
  <c r="L7" i="86" s="1"/>
  <c r="V100" i="86"/>
  <c r="V7" i="86" s="1"/>
  <c r="M108" i="86"/>
  <c r="AU24" i="86"/>
  <c r="N100" i="86"/>
  <c r="N7" i="86" s="1"/>
  <c r="I108" i="86"/>
  <c r="I100" i="86"/>
  <c r="I7" i="86" s="1"/>
  <c r="H100" i="86"/>
  <c r="H7" i="86" s="1"/>
  <c r="AR24" i="86"/>
  <c r="F108" i="86"/>
  <c r="AM23" i="86"/>
  <c r="AI107" i="86"/>
  <c r="AH107" i="86"/>
  <c r="H246" i="86"/>
  <c r="G252" i="86"/>
  <c r="G118" i="86"/>
  <c r="C256" i="86"/>
  <c r="G100" i="86"/>
  <c r="G7" i="86" s="1"/>
  <c r="B256" i="86"/>
  <c r="BY22" i="86"/>
  <c r="BY24" i="86" s="1"/>
  <c r="AO24" i="86"/>
  <c r="D108" i="86"/>
  <c r="D100" i="86"/>
  <c r="D7" i="86" s="1"/>
  <c r="AM22" i="86"/>
  <c r="B99" i="86"/>
  <c r="AI97" i="86"/>
  <c r="AH97" i="86"/>
  <c r="B108" i="86"/>
  <c r="X100" i="85"/>
  <c r="W100" i="85"/>
  <c r="Q252" i="89" l="1"/>
  <c r="Q118" i="89"/>
  <c r="R246" i="89"/>
  <c r="M251" i="88"/>
  <c r="L252" i="88"/>
  <c r="L118" i="88"/>
  <c r="O246" i="88"/>
  <c r="AI108" i="87"/>
  <c r="AT9" i="87"/>
  <c r="K6" i="87"/>
  <c r="AH99" i="87"/>
  <c r="AI99" i="87"/>
  <c r="G251" i="87"/>
  <c r="F252" i="87"/>
  <c r="AH108" i="87"/>
  <c r="J246" i="87"/>
  <c r="I246" i="86"/>
  <c r="H252" i="86"/>
  <c r="H118" i="86"/>
  <c r="AH99" i="86"/>
  <c r="B100" i="86"/>
  <c r="AI99" i="86"/>
  <c r="AM24" i="86"/>
  <c r="AT9" i="86" s="1"/>
  <c r="AT8" i="86"/>
  <c r="AI108" i="86"/>
  <c r="AH108" i="86"/>
  <c r="K6" i="86"/>
  <c r="R252" i="89" l="1"/>
  <c r="R118" i="89"/>
  <c r="S246" i="89"/>
  <c r="P246" i="88"/>
  <c r="N251" i="88"/>
  <c r="M118" i="88"/>
  <c r="M252" i="88"/>
  <c r="H251" i="87"/>
  <c r="G252" i="87"/>
  <c r="B7" i="87"/>
  <c r="A7" i="87" s="1"/>
  <c r="AH100" i="87"/>
  <c r="AI100" i="87"/>
  <c r="K246" i="87"/>
  <c r="B7" i="86"/>
  <c r="A7" i="86" s="1"/>
  <c r="AI100" i="86"/>
  <c r="AH100" i="86"/>
  <c r="I252" i="86"/>
  <c r="I118" i="86"/>
  <c r="J246" i="86"/>
  <c r="S252" i="89" l="1"/>
  <c r="S118" i="89"/>
  <c r="T246" i="89"/>
  <c r="O251" i="88"/>
  <c r="N252" i="88"/>
  <c r="N118" i="88"/>
  <c r="Q246" i="88"/>
  <c r="L246" i="87"/>
  <c r="I251" i="87"/>
  <c r="H252" i="87"/>
  <c r="J252" i="86"/>
  <c r="J118" i="86"/>
  <c r="K246" i="86"/>
  <c r="T252" i="89" l="1"/>
  <c r="T118" i="89"/>
  <c r="U246" i="89"/>
  <c r="R246" i="88"/>
  <c r="P251" i="88"/>
  <c r="O252" i="88"/>
  <c r="O118" i="88"/>
  <c r="M246" i="87"/>
  <c r="J251" i="87"/>
  <c r="I252" i="87"/>
  <c r="K252" i="86"/>
  <c r="K118" i="86"/>
  <c r="L246" i="86"/>
  <c r="U118" i="89" l="1"/>
  <c r="V246" i="89"/>
  <c r="U252" i="89"/>
  <c r="Q251" i="88"/>
  <c r="P252" i="88"/>
  <c r="S246" i="88"/>
  <c r="K251" i="87"/>
  <c r="J252" i="87"/>
  <c r="N246" i="87"/>
  <c r="L252" i="86"/>
  <c r="L118" i="86"/>
  <c r="M246" i="86"/>
  <c r="W246" i="89" l="1"/>
  <c r="V252" i="89"/>
  <c r="V118" i="89"/>
  <c r="T246" i="88"/>
  <c r="R251" i="88"/>
  <c r="Q252" i="88"/>
  <c r="Q118" i="88"/>
  <c r="O246" i="87"/>
  <c r="L251" i="87"/>
  <c r="K252" i="87"/>
  <c r="N246" i="86"/>
  <c r="M252" i="86"/>
  <c r="M118" i="86"/>
  <c r="X246" i="89" l="1"/>
  <c r="W252" i="89"/>
  <c r="W118" i="89"/>
  <c r="S251" i="88"/>
  <c r="R118" i="88"/>
  <c r="R252" i="88"/>
  <c r="U246" i="88"/>
  <c r="M251" i="87"/>
  <c r="L252" i="87"/>
  <c r="P246" i="87"/>
  <c r="O246" i="86"/>
  <c r="N252" i="86"/>
  <c r="N118" i="86"/>
  <c r="Y246" i="89" l="1"/>
  <c r="X252" i="89"/>
  <c r="X118" i="89"/>
  <c r="V246" i="88"/>
  <c r="T251" i="88"/>
  <c r="S252" i="88"/>
  <c r="S118" i="88"/>
  <c r="Q246" i="87"/>
  <c r="N251" i="87"/>
  <c r="M252" i="87"/>
  <c r="M118" i="87"/>
  <c r="P246" i="86"/>
  <c r="O252" i="86"/>
  <c r="O118" i="86"/>
  <c r="Y252" i="89" l="1"/>
  <c r="Z246" i="89"/>
  <c r="U251" i="88"/>
  <c r="T118" i="88"/>
  <c r="T252" i="88"/>
  <c r="W246" i="88"/>
  <c r="O251" i="87"/>
  <c r="N118" i="87"/>
  <c r="N252" i="87"/>
  <c r="R246" i="87"/>
  <c r="Q246" i="86"/>
  <c r="P252" i="86"/>
  <c r="Z252" i="89" l="1"/>
  <c r="AA246" i="89"/>
  <c r="X246" i="88"/>
  <c r="V251" i="88"/>
  <c r="U118" i="88"/>
  <c r="U252" i="88"/>
  <c r="S246" i="87"/>
  <c r="P251" i="87"/>
  <c r="O252" i="87"/>
  <c r="O118" i="87"/>
  <c r="Q252" i="86"/>
  <c r="Q118" i="86"/>
  <c r="R246" i="86"/>
  <c r="AA252" i="89" l="1"/>
  <c r="AA118" i="89"/>
  <c r="AB246" i="89"/>
  <c r="W251" i="88"/>
  <c r="V252" i="88"/>
  <c r="V118" i="88"/>
  <c r="Y246" i="88"/>
  <c r="Q251" i="87"/>
  <c r="P252" i="87"/>
  <c r="T246" i="87"/>
  <c r="R252" i="86"/>
  <c r="R118" i="86"/>
  <c r="S246" i="86"/>
  <c r="AB252" i="89" l="1"/>
  <c r="AB118" i="89"/>
  <c r="AC246" i="89"/>
  <c r="Z246" i="88"/>
  <c r="X251" i="88"/>
  <c r="W252" i="88"/>
  <c r="W118" i="88"/>
  <c r="U246" i="87"/>
  <c r="R251" i="87"/>
  <c r="Q252" i="87"/>
  <c r="Q118" i="87"/>
  <c r="S252" i="86"/>
  <c r="S118" i="86"/>
  <c r="T246" i="86"/>
  <c r="T118" i="86" s="1"/>
  <c r="AC118" i="89" l="1"/>
  <c r="AD246" i="89"/>
  <c r="AC252" i="89"/>
  <c r="Y251" i="88"/>
  <c r="X118" i="88"/>
  <c r="X252" i="88"/>
  <c r="AA246" i="88"/>
  <c r="S251" i="87"/>
  <c r="R252" i="87"/>
  <c r="R118" i="87"/>
  <c r="V246" i="87"/>
  <c r="T252" i="86"/>
  <c r="U246" i="86"/>
  <c r="U118" i="86" s="1"/>
  <c r="AE246" i="89" l="1"/>
  <c r="AD252" i="89"/>
  <c r="AD118" i="89"/>
  <c r="AB246" i="88"/>
  <c r="Z251" i="88"/>
  <c r="Y252" i="88"/>
  <c r="W246" i="87"/>
  <c r="T251" i="87"/>
  <c r="S252" i="87"/>
  <c r="S118" i="87"/>
  <c r="V246" i="86"/>
  <c r="U252" i="86"/>
  <c r="AF246" i="89" l="1"/>
  <c r="AE252" i="89"/>
  <c r="AE118" i="89"/>
  <c r="AA251" i="88"/>
  <c r="Z252" i="88"/>
  <c r="AC246" i="88"/>
  <c r="U251" i="87"/>
  <c r="T252" i="87"/>
  <c r="T118" i="87"/>
  <c r="X246" i="87"/>
  <c r="W246" i="86"/>
  <c r="V252" i="86"/>
  <c r="V118" i="86"/>
  <c r="AF252" i="89" l="1"/>
  <c r="AF118" i="89"/>
  <c r="B246" i="89"/>
  <c r="AD246" i="88"/>
  <c r="AB251" i="88"/>
  <c r="AA252" i="88"/>
  <c r="AA118" i="88"/>
  <c r="Y246" i="87"/>
  <c r="V251" i="87"/>
  <c r="U252" i="87"/>
  <c r="U118" i="87"/>
  <c r="X246" i="86"/>
  <c r="W252" i="86"/>
  <c r="W118" i="86"/>
  <c r="B252" i="89" l="1"/>
  <c r="AC251" i="88"/>
  <c r="AB252" i="88"/>
  <c r="AE246" i="88"/>
  <c r="W251" i="87"/>
  <c r="V252" i="87"/>
  <c r="V118" i="87"/>
  <c r="Z246" i="87"/>
  <c r="Y246" i="86"/>
  <c r="X252" i="86"/>
  <c r="X118" i="86"/>
  <c r="AI118" i="89" l="1"/>
  <c r="AH118" i="89"/>
  <c r="AF246" i="88"/>
  <c r="AD251" i="88"/>
  <c r="AC252" i="88"/>
  <c r="AA246" i="87"/>
  <c r="X251" i="87"/>
  <c r="W252" i="87"/>
  <c r="W118" i="87"/>
  <c r="Y252" i="86"/>
  <c r="Z246" i="86"/>
  <c r="AE251" i="88" l="1"/>
  <c r="AD252" i="88"/>
  <c r="B246" i="88"/>
  <c r="Y251" i="87"/>
  <c r="X118" i="87"/>
  <c r="X252" i="87"/>
  <c r="AB246" i="87"/>
  <c r="Z252" i="86"/>
  <c r="AA246" i="86"/>
  <c r="AF251" i="88" l="1"/>
  <c r="AE252" i="88"/>
  <c r="AC246" i="87"/>
  <c r="Z251" i="87"/>
  <c r="Y252" i="87"/>
  <c r="AA252" i="86"/>
  <c r="AA118" i="86"/>
  <c r="AB246" i="86"/>
  <c r="AB118" i="86" s="1"/>
  <c r="B251" i="88" l="1"/>
  <c r="AF252" i="88"/>
  <c r="AA251" i="87"/>
  <c r="Z252" i="87"/>
  <c r="AD246" i="87"/>
  <c r="AB252" i="86"/>
  <c r="AC246" i="86"/>
  <c r="AC118" i="86" s="1"/>
  <c r="B252" i="88" l="1"/>
  <c r="AE246" i="87"/>
  <c r="AB251" i="87"/>
  <c r="AA118" i="87"/>
  <c r="AA252" i="87"/>
  <c r="AD246" i="86"/>
  <c r="AC252" i="86"/>
  <c r="AH118" i="88" l="1"/>
  <c r="AI118" i="88"/>
  <c r="AC251" i="87"/>
  <c r="AB252" i="87"/>
  <c r="AB118" i="87"/>
  <c r="AF246" i="87"/>
  <c r="AE246" i="86"/>
  <c r="AE118" i="86" s="1"/>
  <c r="AD252" i="86"/>
  <c r="AD118" i="86"/>
  <c r="B246" i="87" l="1"/>
  <c r="AD251" i="87"/>
  <c r="AC118" i="87"/>
  <c r="AC252" i="87"/>
  <c r="AF246" i="86"/>
  <c r="AF118" i="86" s="1"/>
  <c r="AE252" i="86"/>
  <c r="AE251" i="87" l="1"/>
  <c r="AD118" i="87"/>
  <c r="AD252" i="87"/>
  <c r="AF252" i="86"/>
  <c r="B246" i="86"/>
  <c r="AF251" i="87" l="1"/>
  <c r="AE252" i="87"/>
  <c r="B252" i="86"/>
  <c r="B118" i="86"/>
  <c r="B251" i="87" l="1"/>
  <c r="AF252" i="87"/>
  <c r="AI118" i="86"/>
  <c r="AH118" i="86"/>
  <c r="B252" i="87" l="1"/>
  <c r="AI118" i="87" l="1"/>
  <c r="AH118" i="87"/>
  <c r="S123" i="85" l="1"/>
  <c r="S57" i="85"/>
  <c r="S58" i="85"/>
  <c r="S62" i="85"/>
  <c r="S76" i="85"/>
  <c r="S80" i="85"/>
  <c r="S92" i="85"/>
  <c r="S101" i="85"/>
  <c r="S102" i="85"/>
  <c r="S103" i="85"/>
  <c r="S104" i="85"/>
  <c r="S105" i="85"/>
  <c r="S118" i="85"/>
  <c r="R123" i="85"/>
  <c r="R121" i="85"/>
  <c r="R57" i="85"/>
  <c r="R58" i="85"/>
  <c r="Q123" i="85"/>
  <c r="Q121" i="85"/>
  <c r="Q57" i="85"/>
  <c r="P123" i="85"/>
  <c r="P121" i="85"/>
  <c r="P57" i="85"/>
  <c r="O123" i="85"/>
  <c r="O121" i="85"/>
  <c r="O57" i="85"/>
  <c r="N123" i="85"/>
  <c r="N121" i="85"/>
  <c r="N57" i="85"/>
  <c r="M123" i="85"/>
  <c r="M121" i="85"/>
  <c r="M57" i="85"/>
  <c r="M58" i="85"/>
  <c r="M62" i="85"/>
  <c r="AU17" i="85" s="1"/>
  <c r="M76" i="85"/>
  <c r="M80" i="85"/>
  <c r="AU20" i="85" s="1"/>
  <c r="E123" i="85"/>
  <c r="AI123" i="85" s="1"/>
  <c r="D123" i="85"/>
  <c r="AF57" i="84"/>
  <c r="C123" i="85"/>
  <c r="B123" i="85"/>
  <c r="AG252" i="85"/>
  <c r="C252" i="85"/>
  <c r="D251" i="85"/>
  <c r="E250" i="85"/>
  <c r="F250" i="85" s="1"/>
  <c r="G250" i="85" s="1"/>
  <c r="H250" i="85" s="1"/>
  <c r="I250" i="85" s="1"/>
  <c r="J250" i="85" s="1"/>
  <c r="K250" i="85" s="1"/>
  <c r="L250" i="85" s="1"/>
  <c r="M250" i="85" s="1"/>
  <c r="N250" i="85" s="1"/>
  <c r="O250" i="85" s="1"/>
  <c r="P250" i="85" s="1"/>
  <c r="Q250" i="85" s="1"/>
  <c r="R250" i="85" s="1"/>
  <c r="S250" i="85" s="1"/>
  <c r="T250" i="85" s="1"/>
  <c r="U250" i="85" s="1"/>
  <c r="V250" i="85" s="1"/>
  <c r="W250" i="85" s="1"/>
  <c r="X250" i="85" s="1"/>
  <c r="Y250" i="85" s="1"/>
  <c r="Z250" i="85" s="1"/>
  <c r="AA250" i="85" s="1"/>
  <c r="AB250" i="85" s="1"/>
  <c r="AC250" i="85" s="1"/>
  <c r="AD250" i="85" s="1"/>
  <c r="AE250" i="85" s="1"/>
  <c r="AF250" i="85" s="1"/>
  <c r="B250" i="85" s="1"/>
  <c r="D250" i="85"/>
  <c r="D249" i="85"/>
  <c r="E249" i="85" s="1"/>
  <c r="F249" i="85" s="1"/>
  <c r="G249" i="85" s="1"/>
  <c r="H249" i="85" s="1"/>
  <c r="I249" i="85" s="1"/>
  <c r="J249" i="85" s="1"/>
  <c r="K249" i="85" s="1"/>
  <c r="L249" i="85" s="1"/>
  <c r="M249" i="85" s="1"/>
  <c r="N249" i="85" s="1"/>
  <c r="O249" i="85" s="1"/>
  <c r="P249" i="85" s="1"/>
  <c r="Q249" i="85" s="1"/>
  <c r="R249" i="85" s="1"/>
  <c r="S249" i="85" s="1"/>
  <c r="T249" i="85" s="1"/>
  <c r="U249" i="85" s="1"/>
  <c r="V249" i="85" s="1"/>
  <c r="W249" i="85" s="1"/>
  <c r="X249" i="85" s="1"/>
  <c r="Y249" i="85" s="1"/>
  <c r="Z249" i="85" s="1"/>
  <c r="AA249" i="85" s="1"/>
  <c r="AB249" i="85" s="1"/>
  <c r="AC249" i="85" s="1"/>
  <c r="AD249" i="85" s="1"/>
  <c r="AE249" i="85" s="1"/>
  <c r="AF249" i="85" s="1"/>
  <c r="B249" i="85" s="1"/>
  <c r="D248" i="85"/>
  <c r="E248" i="85" s="1"/>
  <c r="F248" i="85" s="1"/>
  <c r="G248" i="85" s="1"/>
  <c r="H248" i="85" s="1"/>
  <c r="I248" i="85" s="1"/>
  <c r="J248" i="85" s="1"/>
  <c r="K248" i="85" s="1"/>
  <c r="L248" i="85" s="1"/>
  <c r="M248" i="85" s="1"/>
  <c r="N248" i="85" s="1"/>
  <c r="O248" i="85" s="1"/>
  <c r="P248" i="85" s="1"/>
  <c r="Q248" i="85" s="1"/>
  <c r="R248" i="85" s="1"/>
  <c r="S248" i="85" s="1"/>
  <c r="T248" i="85" s="1"/>
  <c r="U248" i="85" s="1"/>
  <c r="V248" i="85" s="1"/>
  <c r="W248" i="85" s="1"/>
  <c r="X248" i="85" s="1"/>
  <c r="Y248" i="85" s="1"/>
  <c r="Z248" i="85" s="1"/>
  <c r="AA248" i="85" s="1"/>
  <c r="AB248" i="85" s="1"/>
  <c r="AC248" i="85" s="1"/>
  <c r="AD248" i="85" s="1"/>
  <c r="AE248" i="85" s="1"/>
  <c r="AF248" i="85" s="1"/>
  <c r="B248" i="85" s="1"/>
  <c r="D247" i="85"/>
  <c r="E247" i="85" s="1"/>
  <c r="D246" i="85"/>
  <c r="E246" i="85" s="1"/>
  <c r="F246" i="85" s="1"/>
  <c r="AG244" i="85"/>
  <c r="AF244" i="85"/>
  <c r="AE244" i="85"/>
  <c r="AD244" i="85"/>
  <c r="AC244" i="85"/>
  <c r="AB244" i="85"/>
  <c r="AA244" i="85"/>
  <c r="Z244" i="85"/>
  <c r="Y244" i="85"/>
  <c r="X244" i="85"/>
  <c r="W244" i="85"/>
  <c r="V244" i="85"/>
  <c r="U244" i="85"/>
  <c r="T244" i="85"/>
  <c r="S244" i="85"/>
  <c r="R244" i="85"/>
  <c r="Q244" i="85"/>
  <c r="P244" i="85"/>
  <c r="O244" i="85"/>
  <c r="N244" i="85"/>
  <c r="M244" i="85"/>
  <c r="L244" i="85"/>
  <c r="K244" i="85"/>
  <c r="J244" i="85"/>
  <c r="I244" i="85"/>
  <c r="H244" i="85"/>
  <c r="G244" i="85"/>
  <c r="F244" i="85"/>
  <c r="E244" i="85"/>
  <c r="D244" i="85"/>
  <c r="C244" i="85"/>
  <c r="B244" i="85"/>
  <c r="AI130" i="85"/>
  <c r="AH130" i="85"/>
  <c r="AI129" i="85"/>
  <c r="AH129" i="85"/>
  <c r="AI128" i="85"/>
  <c r="AH128" i="85"/>
  <c r="AI127" i="85"/>
  <c r="AH127" i="85"/>
  <c r="AI126" i="85"/>
  <c r="AH126" i="85"/>
  <c r="AI122" i="85"/>
  <c r="AH122" i="85"/>
  <c r="AI121" i="85"/>
  <c r="AH121" i="85"/>
  <c r="AI120" i="85"/>
  <c r="AH120" i="85"/>
  <c r="AI119" i="85"/>
  <c r="AH119" i="85"/>
  <c r="C118" i="85"/>
  <c r="AI117" i="85"/>
  <c r="AH117" i="85"/>
  <c r="AI116" i="85"/>
  <c r="AH116" i="85"/>
  <c r="AI115" i="85"/>
  <c r="AH115" i="85"/>
  <c r="AI114" i="85"/>
  <c r="AH114" i="85"/>
  <c r="AI113" i="85"/>
  <c r="AH113" i="85"/>
  <c r="AI112" i="85"/>
  <c r="AH112" i="85"/>
  <c r="AI111" i="85"/>
  <c r="AH111" i="85"/>
  <c r="AI110" i="85"/>
  <c r="AH110" i="85"/>
  <c r="AI109" i="85"/>
  <c r="AH109" i="85"/>
  <c r="AI106" i="85"/>
  <c r="AH106" i="85"/>
  <c r="AF105" i="85"/>
  <c r="AE105" i="85"/>
  <c r="AD105" i="85"/>
  <c r="AC105" i="85"/>
  <c r="AB105" i="85"/>
  <c r="AA105" i="85"/>
  <c r="R105" i="85"/>
  <c r="Q105" i="85"/>
  <c r="P105" i="85"/>
  <c r="O105" i="85"/>
  <c r="N105" i="85"/>
  <c r="M105" i="85"/>
  <c r="L105" i="85"/>
  <c r="K105" i="85"/>
  <c r="J105" i="85"/>
  <c r="I105" i="85"/>
  <c r="H105" i="85"/>
  <c r="G105" i="85"/>
  <c r="F105" i="85"/>
  <c r="E105" i="85"/>
  <c r="D105" i="85"/>
  <c r="C105" i="85"/>
  <c r="B105" i="85"/>
  <c r="AF104" i="85"/>
  <c r="AE104" i="85"/>
  <c r="AD104" i="85"/>
  <c r="AC104" i="85"/>
  <c r="AB104" i="85"/>
  <c r="AA104" i="85"/>
  <c r="R104" i="85"/>
  <c r="Q104" i="85"/>
  <c r="P104" i="85"/>
  <c r="O104" i="85"/>
  <c r="N104" i="85"/>
  <c r="M104" i="85"/>
  <c r="L104" i="85"/>
  <c r="K104" i="85"/>
  <c r="J104" i="85"/>
  <c r="I104" i="85"/>
  <c r="H104" i="85"/>
  <c r="G104" i="85"/>
  <c r="F104" i="85"/>
  <c r="E104" i="85"/>
  <c r="D104" i="85"/>
  <c r="C104" i="85"/>
  <c r="B104" i="85"/>
  <c r="AF103" i="85"/>
  <c r="AE103" i="85"/>
  <c r="AD103" i="85"/>
  <c r="AC103" i="85"/>
  <c r="AB103" i="85"/>
  <c r="AA103" i="85"/>
  <c r="R103" i="85"/>
  <c r="Q103" i="85"/>
  <c r="P103" i="85"/>
  <c r="O103" i="85"/>
  <c r="N103" i="85"/>
  <c r="M103" i="85"/>
  <c r="L103" i="85"/>
  <c r="K103" i="85"/>
  <c r="J103" i="85"/>
  <c r="I103" i="85"/>
  <c r="H103" i="85"/>
  <c r="G103" i="85"/>
  <c r="F103" i="85"/>
  <c r="E103" i="85"/>
  <c r="D103" i="85"/>
  <c r="C103" i="85"/>
  <c r="B103" i="85"/>
  <c r="AF102" i="85"/>
  <c r="AE102" i="85"/>
  <c r="AD102" i="85"/>
  <c r="AC102" i="85"/>
  <c r="AB102" i="85"/>
  <c r="AA102" i="85"/>
  <c r="R102" i="85"/>
  <c r="Q102" i="85"/>
  <c r="P102" i="85"/>
  <c r="O102" i="85"/>
  <c r="N102" i="85"/>
  <c r="M102" i="85"/>
  <c r="L102" i="85"/>
  <c r="K102" i="85"/>
  <c r="J102" i="85"/>
  <c r="I102" i="85"/>
  <c r="H102" i="85"/>
  <c r="G102" i="85"/>
  <c r="F102" i="85"/>
  <c r="E102" i="85"/>
  <c r="D102" i="85"/>
  <c r="C102" i="85"/>
  <c r="B102" i="85"/>
  <c r="AF101" i="85"/>
  <c r="AF107" i="85" s="1"/>
  <c r="BJ23" i="85" s="1"/>
  <c r="AE101" i="85"/>
  <c r="AD101" i="85"/>
  <c r="AC101" i="85"/>
  <c r="AB101" i="85"/>
  <c r="AA101" i="85"/>
  <c r="BF23" i="85"/>
  <c r="BE23" i="85"/>
  <c r="R101" i="85"/>
  <c r="Q101" i="85"/>
  <c r="P101" i="85"/>
  <c r="O101" i="85"/>
  <c r="N101" i="85"/>
  <c r="M101" i="85"/>
  <c r="L101" i="85"/>
  <c r="K101" i="85"/>
  <c r="J101" i="85"/>
  <c r="I101" i="85"/>
  <c r="H101" i="85"/>
  <c r="G101" i="85"/>
  <c r="F101" i="85"/>
  <c r="E101" i="85"/>
  <c r="D101" i="85"/>
  <c r="C101" i="85"/>
  <c r="B101" i="85"/>
  <c r="AI98" i="85"/>
  <c r="AH98" i="85"/>
  <c r="AI96" i="85"/>
  <c r="AH96" i="85"/>
  <c r="AG96" i="85"/>
  <c r="AI95" i="85"/>
  <c r="AH95" i="85"/>
  <c r="AI94" i="85"/>
  <c r="AH94" i="85"/>
  <c r="AI93" i="85"/>
  <c r="AH93" i="85"/>
  <c r="AG92" i="85"/>
  <c r="AF92" i="85"/>
  <c r="AE5" i="85" s="1"/>
  <c r="AE92" i="85"/>
  <c r="BI19" i="85" s="1"/>
  <c r="AD92" i="85"/>
  <c r="AC5" i="85" s="1"/>
  <c r="AC92" i="85"/>
  <c r="AB5" i="85" s="1"/>
  <c r="AB92" i="85"/>
  <c r="BG19" i="85" s="1"/>
  <c r="AA92" i="85"/>
  <c r="Z5" i="85" s="1"/>
  <c r="BC19" i="85"/>
  <c r="R92" i="85"/>
  <c r="Q92" i="85"/>
  <c r="P5" i="85" s="1"/>
  <c r="P92" i="85"/>
  <c r="O5" i="85" s="1"/>
  <c r="O92" i="85"/>
  <c r="AW19" i="85" s="1"/>
  <c r="N92" i="85"/>
  <c r="M92" i="85"/>
  <c r="L5" i="85" s="1"/>
  <c r="L92" i="85"/>
  <c r="K5" i="85" s="1"/>
  <c r="K92" i="85"/>
  <c r="AT19" i="85" s="1"/>
  <c r="J92" i="85"/>
  <c r="I92" i="85"/>
  <c r="AS19" i="85" s="1"/>
  <c r="H92" i="85"/>
  <c r="G5" i="85" s="1"/>
  <c r="G92" i="85"/>
  <c r="F92" i="85"/>
  <c r="AQ19" i="85" s="1"/>
  <c r="E92" i="85"/>
  <c r="AP19" i="85" s="1"/>
  <c r="D92" i="85"/>
  <c r="C5" i="85" s="1"/>
  <c r="C92" i="85"/>
  <c r="B92" i="85"/>
  <c r="AI91" i="85"/>
  <c r="AH91" i="85"/>
  <c r="AI90" i="85"/>
  <c r="AH90" i="85"/>
  <c r="AI89" i="85"/>
  <c r="AH89" i="85"/>
  <c r="AI88" i="85"/>
  <c r="AH88" i="85"/>
  <c r="AI87" i="85"/>
  <c r="AH87" i="85"/>
  <c r="AI86" i="85"/>
  <c r="AH86" i="85"/>
  <c r="AI85" i="85"/>
  <c r="AH85" i="85"/>
  <c r="AI84" i="85"/>
  <c r="AH84" i="85"/>
  <c r="AI83" i="85"/>
  <c r="AH83" i="85"/>
  <c r="AI82" i="85"/>
  <c r="AH82" i="85"/>
  <c r="AI81" i="85"/>
  <c r="AH81" i="85"/>
  <c r="AG80" i="85"/>
  <c r="AF80" i="85"/>
  <c r="BJ20" i="85" s="1"/>
  <c r="AE80" i="85"/>
  <c r="BI20" i="85" s="1"/>
  <c r="AD80" i="85"/>
  <c r="AC80" i="85"/>
  <c r="AB80" i="85"/>
  <c r="AA80" i="85"/>
  <c r="BF20" i="85"/>
  <c r="BA20" i="85"/>
  <c r="R80" i="85"/>
  <c r="AZ20" i="85" s="1"/>
  <c r="Q80" i="85"/>
  <c r="AY20" i="85" s="1"/>
  <c r="P80" i="85"/>
  <c r="AX20" i="85" s="1"/>
  <c r="O80" i="85"/>
  <c r="AW20" i="85" s="1"/>
  <c r="N80" i="85"/>
  <c r="L80" i="85"/>
  <c r="K80" i="85"/>
  <c r="J80" i="85"/>
  <c r="I80" i="85"/>
  <c r="H80" i="85"/>
  <c r="G80" i="85"/>
  <c r="AR20" i="85" s="1"/>
  <c r="F80" i="85"/>
  <c r="E80" i="85"/>
  <c r="D80" i="85"/>
  <c r="C80" i="85"/>
  <c r="AN20" i="85" s="1"/>
  <c r="B80" i="85"/>
  <c r="AI79" i="85"/>
  <c r="AH79" i="85"/>
  <c r="AI78" i="85"/>
  <c r="AH78" i="85"/>
  <c r="AI77" i="85"/>
  <c r="AH77" i="85"/>
  <c r="AF76" i="85"/>
  <c r="BJ18" i="85" s="1"/>
  <c r="AE76" i="85"/>
  <c r="BI18" i="85" s="1"/>
  <c r="AD76" i="85"/>
  <c r="BH18" i="85" s="1"/>
  <c r="AC76" i="85"/>
  <c r="AB76" i="85"/>
  <c r="BG18" i="85" s="1"/>
  <c r="AA76" i="85"/>
  <c r="BF18" i="85"/>
  <c r="BE18" i="85"/>
  <c r="BA18" i="85"/>
  <c r="R76" i="85"/>
  <c r="AZ18" i="85" s="1"/>
  <c r="Q76" i="85"/>
  <c r="AY18" i="85" s="1"/>
  <c r="P76" i="85"/>
  <c r="AX18" i="85" s="1"/>
  <c r="O76" i="85"/>
  <c r="AW18" i="85" s="1"/>
  <c r="N76" i="85"/>
  <c r="AV18" i="85" s="1"/>
  <c r="L76" i="85"/>
  <c r="K76" i="85"/>
  <c r="AT18" i="85" s="1"/>
  <c r="J76" i="85"/>
  <c r="I76" i="85"/>
  <c r="AS18" i="85" s="1"/>
  <c r="H76" i="85"/>
  <c r="G76" i="85"/>
  <c r="AR18" i="85" s="1"/>
  <c r="F76" i="85"/>
  <c r="AQ18" i="85" s="1"/>
  <c r="E76" i="85"/>
  <c r="AP18" i="85" s="1"/>
  <c r="D76" i="85"/>
  <c r="AO18" i="85" s="1"/>
  <c r="C76" i="85"/>
  <c r="AN18" i="85" s="1"/>
  <c r="B76" i="85"/>
  <c r="AI75" i="85"/>
  <c r="AH75" i="85"/>
  <c r="AG75" i="85"/>
  <c r="AG76" i="85" s="1"/>
  <c r="AG3" i="85" s="1"/>
  <c r="AI74" i="85"/>
  <c r="AH74" i="85"/>
  <c r="AI73" i="85"/>
  <c r="AH73" i="85"/>
  <c r="AI72" i="85"/>
  <c r="AH72" i="85"/>
  <c r="AI71" i="85"/>
  <c r="AH71" i="85"/>
  <c r="AI70" i="85"/>
  <c r="AH70" i="85"/>
  <c r="AI69" i="85"/>
  <c r="AH69" i="85"/>
  <c r="AI68" i="85"/>
  <c r="AH68" i="85"/>
  <c r="AI67" i="85"/>
  <c r="AH67" i="85"/>
  <c r="AI66" i="85"/>
  <c r="AH66" i="85"/>
  <c r="AI65" i="85"/>
  <c r="AH65" i="85"/>
  <c r="AI64" i="85"/>
  <c r="AH64" i="85"/>
  <c r="AI63" i="85"/>
  <c r="AH63" i="85"/>
  <c r="AG62" i="85"/>
  <c r="AF62" i="85"/>
  <c r="BJ17" i="85" s="1"/>
  <c r="AE62" i="85"/>
  <c r="BI17" i="85" s="1"/>
  <c r="AD62" i="85"/>
  <c r="BH17" i="85" s="1"/>
  <c r="AC62" i="85"/>
  <c r="BG17" i="85"/>
  <c r="AA62" i="85"/>
  <c r="BD17" i="85"/>
  <c r="BC17" i="85"/>
  <c r="BB17" i="85"/>
  <c r="R62" i="85"/>
  <c r="Q62" i="85"/>
  <c r="AY17" i="85" s="1"/>
  <c r="P62" i="85"/>
  <c r="AX17" i="85" s="1"/>
  <c r="O62" i="85"/>
  <c r="AW17" i="85" s="1"/>
  <c r="N62" i="85"/>
  <c r="L62" i="85"/>
  <c r="K62" i="85"/>
  <c r="AT17" i="85" s="1"/>
  <c r="J62" i="85"/>
  <c r="I62" i="85"/>
  <c r="AS17" i="85" s="1"/>
  <c r="H62" i="85"/>
  <c r="G62" i="85"/>
  <c r="F62" i="85"/>
  <c r="AQ17" i="85" s="1"/>
  <c r="E62" i="85"/>
  <c r="AP17" i="85" s="1"/>
  <c r="D62" i="85"/>
  <c r="C62" i="85"/>
  <c r="AN17" i="85" s="1"/>
  <c r="B62" i="85"/>
  <c r="AI61" i="85"/>
  <c r="AH61" i="85"/>
  <c r="AI60" i="85"/>
  <c r="AH60" i="85"/>
  <c r="AI59" i="85"/>
  <c r="AH59" i="85"/>
  <c r="AG58" i="85"/>
  <c r="AG2" i="85" s="1"/>
  <c r="AF58" i="85"/>
  <c r="AE58" i="85"/>
  <c r="BI16" i="85" s="1"/>
  <c r="AD58" i="85"/>
  <c r="AC58" i="85"/>
  <c r="AA58" i="85"/>
  <c r="BE16" i="85"/>
  <c r="BB16" i="85"/>
  <c r="Q58" i="85"/>
  <c r="AY16" i="85" s="1"/>
  <c r="P58" i="85"/>
  <c r="AX16" i="85" s="1"/>
  <c r="O58" i="85"/>
  <c r="AW16" i="85" s="1"/>
  <c r="N58" i="85"/>
  <c r="L58" i="85"/>
  <c r="K58" i="85"/>
  <c r="J58" i="85"/>
  <c r="I58" i="85"/>
  <c r="H58" i="85"/>
  <c r="G58" i="85"/>
  <c r="AR16" i="85" s="1"/>
  <c r="F58" i="85"/>
  <c r="E58" i="85"/>
  <c r="AP16" i="85" s="1"/>
  <c r="D58" i="85"/>
  <c r="C58" i="85"/>
  <c r="AN16" i="85" s="1"/>
  <c r="B58" i="85"/>
  <c r="AM16" i="85" s="1"/>
  <c r="AI57" i="85"/>
  <c r="AH57" i="85"/>
  <c r="AI56" i="85"/>
  <c r="AH56" i="85"/>
  <c r="AI55" i="85"/>
  <c r="AH55" i="85"/>
  <c r="AI54" i="85"/>
  <c r="AH54" i="85"/>
  <c r="AI53" i="85"/>
  <c r="AH53" i="85"/>
  <c r="AI52" i="85"/>
  <c r="AH52" i="85"/>
  <c r="AI51" i="85"/>
  <c r="AH51" i="85"/>
  <c r="AI50" i="85"/>
  <c r="AH50" i="85"/>
  <c r="AI49" i="85"/>
  <c r="AH49" i="85"/>
  <c r="AI48" i="85"/>
  <c r="AH48" i="85"/>
  <c r="AI47" i="85"/>
  <c r="AH47" i="85"/>
  <c r="AI46" i="85"/>
  <c r="AH46" i="85"/>
  <c r="AI45" i="85"/>
  <c r="AH45" i="85"/>
  <c r="AI44" i="85"/>
  <c r="AH44" i="85"/>
  <c r="AI43" i="85"/>
  <c r="AH43" i="85"/>
  <c r="AI42" i="85"/>
  <c r="AH42" i="85"/>
  <c r="AI41" i="85"/>
  <c r="AH41" i="85"/>
  <c r="AI40" i="85"/>
  <c r="AH40" i="85"/>
  <c r="AI39" i="85"/>
  <c r="AH39" i="85"/>
  <c r="AI38" i="85"/>
  <c r="AH38" i="85"/>
  <c r="AI37" i="85"/>
  <c r="AH37" i="85"/>
  <c r="AI36" i="85"/>
  <c r="AH36" i="85"/>
  <c r="AI35" i="85"/>
  <c r="AH35" i="85"/>
  <c r="AI34" i="85"/>
  <c r="AH34" i="85"/>
  <c r="AI33" i="85"/>
  <c r="AH33" i="85"/>
  <c r="AI32" i="85"/>
  <c r="AH32" i="85"/>
  <c r="AI31" i="85"/>
  <c r="AH31" i="85"/>
  <c r="AI30" i="85"/>
  <c r="AH30" i="85"/>
  <c r="AI29" i="85"/>
  <c r="AH29" i="85"/>
  <c r="AI28" i="85"/>
  <c r="AH28" i="85"/>
  <c r="AI27" i="85"/>
  <c r="AH27" i="85"/>
  <c r="AI26" i="85"/>
  <c r="AH26" i="85"/>
  <c r="AI25" i="85"/>
  <c r="AH25" i="85"/>
  <c r="AI24" i="85"/>
  <c r="AH24" i="85"/>
  <c r="AI23" i="85"/>
  <c r="AH23" i="85"/>
  <c r="AI22" i="85"/>
  <c r="AH22" i="85"/>
  <c r="BJ21" i="85"/>
  <c r="BI21" i="85"/>
  <c r="BH21" i="85"/>
  <c r="BG21" i="85"/>
  <c r="BF21" i="85"/>
  <c r="BE21" i="85"/>
  <c r="BD21" i="85"/>
  <c r="BC21" i="85"/>
  <c r="BB21" i="85"/>
  <c r="BA21" i="85"/>
  <c r="AZ21" i="85"/>
  <c r="AY21" i="85"/>
  <c r="AX21" i="85"/>
  <c r="AW21" i="85"/>
  <c r="AV21" i="85"/>
  <c r="AU21" i="85"/>
  <c r="AT21" i="85"/>
  <c r="AS21" i="85"/>
  <c r="AR21" i="85"/>
  <c r="AQ21" i="85"/>
  <c r="AP21" i="85"/>
  <c r="AO21" i="85"/>
  <c r="AN21" i="85"/>
  <c r="AM21" i="85"/>
  <c r="AI21" i="85"/>
  <c r="AH21" i="85"/>
  <c r="BH20" i="85"/>
  <c r="BG20" i="85"/>
  <c r="BE20" i="85"/>
  <c r="BD20" i="85"/>
  <c r="BC20" i="85"/>
  <c r="BB20" i="85"/>
  <c r="AV20" i="85"/>
  <c r="AT20" i="85"/>
  <c r="AS20" i="85"/>
  <c r="AQ20" i="85"/>
  <c r="AP20" i="85"/>
  <c r="AO20" i="85"/>
  <c r="AI20" i="85"/>
  <c r="AH20" i="85"/>
  <c r="BE19" i="85"/>
  <c r="BD19" i="85"/>
  <c r="BB19" i="85"/>
  <c r="BA19" i="85"/>
  <c r="AI19" i="85"/>
  <c r="AH19" i="85"/>
  <c r="BD18" i="85"/>
  <c r="BC18" i="85"/>
  <c r="BB18" i="85"/>
  <c r="AU18" i="85"/>
  <c r="AI18" i="85"/>
  <c r="AH18" i="85"/>
  <c r="BF17" i="85"/>
  <c r="BE17" i="85"/>
  <c r="BA17" i="85"/>
  <c r="AZ17" i="85"/>
  <c r="AV17" i="85"/>
  <c r="AR17" i="85"/>
  <c r="AO17" i="85"/>
  <c r="AM17" i="85"/>
  <c r="AI17" i="85"/>
  <c r="AH17" i="85"/>
  <c r="BJ16" i="85"/>
  <c r="BH16" i="85"/>
  <c r="BG16" i="85"/>
  <c r="BF16" i="85"/>
  <c r="BD16" i="85"/>
  <c r="BA16" i="85"/>
  <c r="AZ16" i="85"/>
  <c r="AU16" i="85"/>
  <c r="AT16" i="85"/>
  <c r="AS16" i="85"/>
  <c r="AI16" i="85"/>
  <c r="AH16" i="85"/>
  <c r="AI15" i="85"/>
  <c r="AH15" i="85"/>
  <c r="AI14" i="85"/>
  <c r="AH14" i="85"/>
  <c r="AI13" i="85"/>
  <c r="AH13" i="85"/>
  <c r="AL12" i="85"/>
  <c r="AI12" i="85"/>
  <c r="AH12" i="85"/>
  <c r="AI11" i="85"/>
  <c r="AH11" i="85"/>
  <c r="X5" i="85"/>
  <c r="W5" i="85"/>
  <c r="V5" i="85"/>
  <c r="U5" i="85"/>
  <c r="T5" i="85"/>
  <c r="S5" i="85"/>
  <c r="R5" i="85"/>
  <c r="AG4" i="85"/>
  <c r="K4" i="85"/>
  <c r="E4" i="85"/>
  <c r="H4" i="85" s="1"/>
  <c r="B4" i="85"/>
  <c r="D258" i="85" s="1"/>
  <c r="AF123" i="84"/>
  <c r="BJ19" i="85" l="1"/>
  <c r="AD5" i="85"/>
  <c r="BH19" i="85"/>
  <c r="BH22" i="85" s="1"/>
  <c r="AC97" i="85"/>
  <c r="AC99" i="85" s="1"/>
  <c r="AA5" i="85"/>
  <c r="S107" i="85"/>
  <c r="S108" i="85" s="1"/>
  <c r="S97" i="85"/>
  <c r="S99" i="85" s="1"/>
  <c r="S100" i="85" s="1"/>
  <c r="S7" i="85" s="1"/>
  <c r="R107" i="85"/>
  <c r="AZ23" i="85" s="1"/>
  <c r="Q107" i="85"/>
  <c r="AY19" i="85"/>
  <c r="AX19" i="85"/>
  <c r="P107" i="85"/>
  <c r="AX23" i="85" s="1"/>
  <c r="O107" i="85"/>
  <c r="AW23" i="85" s="1"/>
  <c r="Y7" i="85"/>
  <c r="AD97" i="85"/>
  <c r="AD99" i="85" s="1"/>
  <c r="AG6" i="85"/>
  <c r="D118" i="85"/>
  <c r="AY22" i="85"/>
  <c r="BC16" i="85"/>
  <c r="BC22" i="85" s="1"/>
  <c r="BC24" i="85" s="1"/>
  <c r="O108" i="85"/>
  <c r="BA23" i="85"/>
  <c r="AA107" i="85"/>
  <c r="AA108" i="85" s="1"/>
  <c r="N107" i="85"/>
  <c r="AV23" i="85" s="1"/>
  <c r="BD23" i="85"/>
  <c r="AD107" i="85"/>
  <c r="BH23" i="85" s="1"/>
  <c r="BC23" i="85"/>
  <c r="AC107" i="85"/>
  <c r="AC108" i="85" s="1"/>
  <c r="AA97" i="85"/>
  <c r="AA99" i="85" s="1"/>
  <c r="AE107" i="85"/>
  <c r="BI23" i="85" s="1"/>
  <c r="AH123" i="85"/>
  <c r="AB97" i="85"/>
  <c r="AB99" i="85" s="1"/>
  <c r="BE22" i="85"/>
  <c r="Q97" i="85"/>
  <c r="Q99" i="85" s="1"/>
  <c r="Q100" i="85" s="1"/>
  <c r="Q7" i="85" s="1"/>
  <c r="BG22" i="85"/>
  <c r="AG99" i="85"/>
  <c r="AX22" i="85"/>
  <c r="AX24" i="85" s="1"/>
  <c r="AF97" i="85"/>
  <c r="AF99" i="85" s="1"/>
  <c r="BI22" i="85"/>
  <c r="AW22" i="85"/>
  <c r="AW24" i="85" s="1"/>
  <c r="M5" i="85"/>
  <c r="AV19" i="85"/>
  <c r="N97" i="85"/>
  <c r="N99" i="85" s="1"/>
  <c r="AV16" i="85"/>
  <c r="AU19" i="85"/>
  <c r="AU22" i="85" s="1"/>
  <c r="M97" i="85"/>
  <c r="M99" i="85" s="1"/>
  <c r="M107" i="85"/>
  <c r="AU23" i="85" s="1"/>
  <c r="L97" i="85"/>
  <c r="L99" i="85" s="1"/>
  <c r="J5" i="85"/>
  <c r="K107" i="85"/>
  <c r="AT23" i="85" s="1"/>
  <c r="J107" i="85"/>
  <c r="I107" i="85"/>
  <c r="I108" i="85" s="1"/>
  <c r="G107" i="85"/>
  <c r="AR23" i="85" s="1"/>
  <c r="AI104" i="85"/>
  <c r="E5" i="85"/>
  <c r="AH105" i="85"/>
  <c r="H5" i="85"/>
  <c r="F107" i="85"/>
  <c r="AQ23" i="85" s="1"/>
  <c r="I97" i="85"/>
  <c r="I99" i="85" s="1"/>
  <c r="I100" i="85" s="1"/>
  <c r="I7" i="85" s="1"/>
  <c r="AS22" i="85"/>
  <c r="K97" i="85"/>
  <c r="K99" i="85" s="1"/>
  <c r="F97" i="85"/>
  <c r="F99" i="85" s="1"/>
  <c r="H97" i="85"/>
  <c r="H99" i="85" s="1"/>
  <c r="AQ16" i="85"/>
  <c r="AQ22" i="85" s="1"/>
  <c r="AI103" i="85"/>
  <c r="E107" i="85"/>
  <c r="AP23" i="85" s="1"/>
  <c r="D5" i="85"/>
  <c r="E97" i="85"/>
  <c r="E99" i="85" s="1"/>
  <c r="AP22" i="85"/>
  <c r="AO19" i="85"/>
  <c r="AH76" i="85"/>
  <c r="D97" i="85"/>
  <c r="D99" i="85" s="1"/>
  <c r="AI62" i="85"/>
  <c r="C107" i="85"/>
  <c r="AN23" i="85" s="1"/>
  <c r="AI102" i="85"/>
  <c r="C97" i="85"/>
  <c r="C99" i="85" s="1"/>
  <c r="B5" i="85"/>
  <c r="AN19" i="85"/>
  <c r="AN22" i="85" s="1"/>
  <c r="AH103" i="85"/>
  <c r="B107" i="85"/>
  <c r="AM23" i="85" s="1"/>
  <c r="G246" i="85"/>
  <c r="I5" i="85"/>
  <c r="J108" i="85"/>
  <c r="H107" i="85"/>
  <c r="H108" i="85" s="1"/>
  <c r="AH101" i="85"/>
  <c r="Y5" i="85"/>
  <c r="BF19" i="85"/>
  <c r="BF22" i="85" s="1"/>
  <c r="BF24" i="85" s="1"/>
  <c r="AG97" i="85"/>
  <c r="AM20" i="85"/>
  <c r="AI80" i="85"/>
  <c r="AH80" i="85"/>
  <c r="AI101" i="85"/>
  <c r="AY23" i="85"/>
  <c r="Q108" i="85"/>
  <c r="AF108" i="85"/>
  <c r="AF100" i="85"/>
  <c r="AF7" i="85" s="1"/>
  <c r="AM19" i="85"/>
  <c r="AF5" i="85"/>
  <c r="AI92" i="85"/>
  <c r="AI58" i="85"/>
  <c r="J97" i="85"/>
  <c r="J99" i="85" s="1"/>
  <c r="J100" i="85" s="1"/>
  <c r="J7" i="85" s="1"/>
  <c r="R97" i="85"/>
  <c r="R99" i="85" s="1"/>
  <c r="R100" i="85" s="1"/>
  <c r="R7" i="85" s="1"/>
  <c r="Z7" i="85"/>
  <c r="G97" i="85"/>
  <c r="G99" i="85" s="1"/>
  <c r="D107" i="85"/>
  <c r="AO23" i="85" s="1"/>
  <c r="L107" i="85"/>
  <c r="BB23" i="85"/>
  <c r="AB107" i="85"/>
  <c r="BG23" i="85" s="1"/>
  <c r="E252" i="85"/>
  <c r="F247" i="85"/>
  <c r="G247" i="85" s="1"/>
  <c r="H247" i="85" s="1"/>
  <c r="I247" i="85" s="1"/>
  <c r="J247" i="85" s="1"/>
  <c r="K247" i="85" s="1"/>
  <c r="L247" i="85" s="1"/>
  <c r="M247" i="85" s="1"/>
  <c r="N247" i="85" s="1"/>
  <c r="O247" i="85" s="1"/>
  <c r="P247" i="85" s="1"/>
  <c r="Q247" i="85" s="1"/>
  <c r="R247" i="85" s="1"/>
  <c r="S247" i="85" s="1"/>
  <c r="T247" i="85" s="1"/>
  <c r="U247" i="85" s="1"/>
  <c r="V247" i="85" s="1"/>
  <c r="W247" i="85" s="1"/>
  <c r="X247" i="85" s="1"/>
  <c r="Y247" i="85" s="1"/>
  <c r="Z247" i="85" s="1"/>
  <c r="AA247" i="85" s="1"/>
  <c r="AB247" i="85" s="1"/>
  <c r="AC247" i="85" s="1"/>
  <c r="AD247" i="85" s="1"/>
  <c r="AE247" i="85" s="1"/>
  <c r="AF247" i="85" s="1"/>
  <c r="B247" i="85" s="1"/>
  <c r="P108" i="85"/>
  <c r="BE24" i="85"/>
  <c r="Q5" i="85"/>
  <c r="AZ19" i="85"/>
  <c r="R108" i="85"/>
  <c r="AH92" i="85"/>
  <c r="AZ22" i="85"/>
  <c r="AZ24" i="85" s="1"/>
  <c r="BJ22" i="85"/>
  <c r="BJ24" i="85" s="1"/>
  <c r="BA22" i="85"/>
  <c r="BB22" i="85"/>
  <c r="AM18" i="85"/>
  <c r="AI76" i="85"/>
  <c r="M108" i="85"/>
  <c r="O97" i="85"/>
  <c r="O99" i="85" s="1"/>
  <c r="O100" i="85" s="1"/>
  <c r="O7" i="85" s="1"/>
  <c r="AT22" i="85"/>
  <c r="BD22" i="85"/>
  <c r="BD24" i="85" s="1"/>
  <c r="M100" i="85"/>
  <c r="M7" i="85" s="1"/>
  <c r="U7" i="85"/>
  <c r="AE97" i="85"/>
  <c r="AE99" i="85" s="1"/>
  <c r="AE100" i="85" s="1"/>
  <c r="AE7" i="85" s="1"/>
  <c r="AI105" i="85"/>
  <c r="D252" i="85"/>
  <c r="P97" i="85"/>
  <c r="P99" i="85" s="1"/>
  <c r="P100" i="85" s="1"/>
  <c r="P7" i="85" s="1"/>
  <c r="X7" i="85"/>
  <c r="E251" i="85"/>
  <c r="AL13" i="85"/>
  <c r="AH102" i="85"/>
  <c r="AO16" i="85"/>
  <c r="AO22" i="85" s="1"/>
  <c r="AH58" i="85"/>
  <c r="AH62" i="85"/>
  <c r="B97" i="85"/>
  <c r="F5" i="85"/>
  <c r="N5" i="85"/>
  <c r="AR19" i="85"/>
  <c r="AR22" i="85" s="1"/>
  <c r="AR24" i="85" s="1"/>
  <c r="AH104" i="85"/>
  <c r="AE57" i="84"/>
  <c r="AE123" i="84"/>
  <c r="AD123" i="84"/>
  <c r="AD57" i="84"/>
  <c r="AC100" i="85" l="1"/>
  <c r="AC7" i="85" s="1"/>
  <c r="BG24" i="85"/>
  <c r="BA24" i="85"/>
  <c r="AY24" i="85"/>
  <c r="AQ24" i="85"/>
  <c r="AT24" i="85"/>
  <c r="AB100" i="85"/>
  <c r="AB7" i="85" s="1"/>
  <c r="BB24" i="85"/>
  <c r="B108" i="85"/>
  <c r="AN24" i="85"/>
  <c r="F100" i="85"/>
  <c r="F7" i="85" s="1"/>
  <c r="W7" i="85"/>
  <c r="AA100" i="85"/>
  <c r="AA7" i="85" s="1"/>
  <c r="AD108" i="85"/>
  <c r="E108" i="85"/>
  <c r="AB108" i="85"/>
  <c r="AP24" i="85"/>
  <c r="BI24" i="85"/>
  <c r="AE108" i="85"/>
  <c r="C100" i="85"/>
  <c r="C7" i="85" s="1"/>
  <c r="E100" i="85"/>
  <c r="E7" i="85" s="1"/>
  <c r="N100" i="85"/>
  <c r="N7" i="85" s="1"/>
  <c r="BH24" i="85"/>
  <c r="N108" i="85"/>
  <c r="AD100" i="85"/>
  <c r="AD7" i="85" s="1"/>
  <c r="V7" i="85"/>
  <c r="AV22" i="85"/>
  <c r="AV24" i="85" s="1"/>
  <c r="AU24" i="85"/>
  <c r="L100" i="85"/>
  <c r="L7" i="85" s="1"/>
  <c r="K108" i="85"/>
  <c r="K100" i="85"/>
  <c r="K7" i="85" s="1"/>
  <c r="AS23" i="85"/>
  <c r="AS24" i="85" s="1"/>
  <c r="G108" i="85"/>
  <c r="F108" i="85"/>
  <c r="C108" i="85"/>
  <c r="AM22" i="85"/>
  <c r="AM24" i="85" s="1"/>
  <c r="C256" i="85"/>
  <c r="G100" i="85"/>
  <c r="G7" i="85" s="1"/>
  <c r="B256" i="85"/>
  <c r="D100" i="85"/>
  <c r="D7" i="85" s="1"/>
  <c r="F252" i="85"/>
  <c r="AO24" i="85"/>
  <c r="L108" i="85"/>
  <c r="D108" i="85"/>
  <c r="H100" i="85"/>
  <c r="H7" i="85" s="1"/>
  <c r="H246" i="85"/>
  <c r="B99" i="85"/>
  <c r="AI97" i="85"/>
  <c r="AH97" i="85"/>
  <c r="F251" i="85"/>
  <c r="E118" i="85"/>
  <c r="AI107" i="85"/>
  <c r="T7" i="85"/>
  <c r="AH107" i="85"/>
  <c r="AC57" i="84"/>
  <c r="AC123" i="84"/>
  <c r="AB123" i="84"/>
  <c r="AB57" i="84"/>
  <c r="AA123" i="84"/>
  <c r="AA58" i="84"/>
  <c r="AA62" i="84"/>
  <c r="AA76" i="84"/>
  <c r="AA80" i="84"/>
  <c r="AA92" i="84"/>
  <c r="AA101" i="84"/>
  <c r="AA102" i="84"/>
  <c r="AA103" i="84"/>
  <c r="AA104" i="84"/>
  <c r="AA105" i="84"/>
  <c r="AA118" i="84"/>
  <c r="Z123" i="84"/>
  <c r="Z58" i="84"/>
  <c r="Z62" i="84"/>
  <c r="Z76" i="84"/>
  <c r="Z80" i="84"/>
  <c r="BF20" i="84" s="1"/>
  <c r="Z92" i="84"/>
  <c r="Z101" i="84"/>
  <c r="Z102" i="84"/>
  <c r="Z103" i="84"/>
  <c r="Z104" i="84"/>
  <c r="Z105" i="84"/>
  <c r="Z118" i="84"/>
  <c r="Y123" i="84"/>
  <c r="Y58" i="84"/>
  <c r="Y62" i="84"/>
  <c r="Y76" i="84"/>
  <c r="Y80" i="84"/>
  <c r="Y92" i="84"/>
  <c r="X5" i="84" s="1"/>
  <c r="Y101" i="84"/>
  <c r="Y102" i="84"/>
  <c r="Y103" i="84"/>
  <c r="Y104" i="84"/>
  <c r="Y105" i="84"/>
  <c r="Y118" i="84"/>
  <c r="X123" i="84"/>
  <c r="X58" i="84"/>
  <c r="X62" i="84"/>
  <c r="X76" i="84"/>
  <c r="BE18" i="84" s="1"/>
  <c r="X80" i="84"/>
  <c r="BE20" i="84" s="1"/>
  <c r="X92" i="84"/>
  <c r="X101" i="84"/>
  <c r="X102" i="84"/>
  <c r="X103" i="84"/>
  <c r="X104" i="84"/>
  <c r="X105" i="84"/>
  <c r="X118" i="84"/>
  <c r="W123" i="84"/>
  <c r="W58" i="84"/>
  <c r="W62" i="84"/>
  <c r="W76" i="84"/>
  <c r="W80" i="84"/>
  <c r="W92" i="84"/>
  <c r="W101" i="84"/>
  <c r="W102" i="84"/>
  <c r="W103" i="84"/>
  <c r="W104" i="84"/>
  <c r="W105" i="84"/>
  <c r="W118" i="84"/>
  <c r="V123" i="84"/>
  <c r="V58" i="84"/>
  <c r="V62" i="84"/>
  <c r="V76" i="84"/>
  <c r="V80" i="84"/>
  <c r="BD20" i="84" s="1"/>
  <c r="V92" i="84"/>
  <c r="BD19" i="84" s="1"/>
  <c r="V101" i="84"/>
  <c r="V102" i="84"/>
  <c r="V103" i="84"/>
  <c r="V104" i="84"/>
  <c r="V105" i="84"/>
  <c r="V118" i="84"/>
  <c r="U123" i="84"/>
  <c r="U58" i="84"/>
  <c r="U62" i="84"/>
  <c r="U76" i="84"/>
  <c r="U80" i="84"/>
  <c r="U92" i="84"/>
  <c r="U101" i="84"/>
  <c r="U107" i="84" s="1"/>
  <c r="U102" i="84"/>
  <c r="U103" i="84"/>
  <c r="U104" i="84"/>
  <c r="U105" i="84"/>
  <c r="U118" i="84"/>
  <c r="T123" i="84"/>
  <c r="T58" i="84"/>
  <c r="T62" i="84"/>
  <c r="T76" i="84"/>
  <c r="T80" i="84"/>
  <c r="T92" i="84"/>
  <c r="T97" i="84" s="1"/>
  <c r="T99" i="84" s="1"/>
  <c r="T101" i="84"/>
  <c r="T102" i="84"/>
  <c r="T103" i="84"/>
  <c r="T107" i="84" s="1"/>
  <c r="T104" i="84"/>
  <c r="T105" i="84"/>
  <c r="T118" i="84"/>
  <c r="S123" i="84"/>
  <c r="S58" i="84"/>
  <c r="S62" i="84"/>
  <c r="S76" i="84"/>
  <c r="S80" i="84"/>
  <c r="S92" i="84"/>
  <c r="S101" i="84"/>
  <c r="S107" i="84" s="1"/>
  <c r="S102" i="84"/>
  <c r="S103" i="84"/>
  <c r="S104" i="84"/>
  <c r="S105" i="84"/>
  <c r="R123" i="84"/>
  <c r="Q123" i="84"/>
  <c r="Q58" i="84"/>
  <c r="M123" i="84"/>
  <c r="L123" i="84"/>
  <c r="K123" i="84"/>
  <c r="J123" i="84"/>
  <c r="I123" i="84"/>
  <c r="H123" i="84"/>
  <c r="G123" i="84"/>
  <c r="F123" i="84"/>
  <c r="E123" i="84"/>
  <c r="D58" i="84"/>
  <c r="D62" i="84"/>
  <c r="D76" i="84"/>
  <c r="AO18" i="84" s="1"/>
  <c r="D80" i="84"/>
  <c r="D92" i="84"/>
  <c r="AO19" i="84" s="1"/>
  <c r="D101" i="84"/>
  <c r="D102" i="84"/>
  <c r="D103" i="84"/>
  <c r="D104" i="84"/>
  <c r="D105" i="84"/>
  <c r="C58" i="84"/>
  <c r="AN16" i="84" s="1"/>
  <c r="C62" i="84"/>
  <c r="C76" i="84"/>
  <c r="C80" i="84"/>
  <c r="AN20" i="84" s="1"/>
  <c r="C92" i="84"/>
  <c r="AN19" i="84" s="1"/>
  <c r="C101" i="84"/>
  <c r="C102" i="84"/>
  <c r="C103" i="84"/>
  <c r="C104" i="84"/>
  <c r="C105" i="84"/>
  <c r="C118" i="84"/>
  <c r="B105" i="84"/>
  <c r="B104" i="84"/>
  <c r="B103" i="84"/>
  <c r="B102" i="84"/>
  <c r="B101" i="84"/>
  <c r="B92" i="84"/>
  <c r="B80" i="84"/>
  <c r="B76" i="84"/>
  <c r="B62" i="84"/>
  <c r="B58" i="84"/>
  <c r="AG252" i="84"/>
  <c r="C252" i="84"/>
  <c r="D251" i="84"/>
  <c r="D250" i="84"/>
  <c r="E250" i="84" s="1"/>
  <c r="F250" i="84" s="1"/>
  <c r="G250" i="84" s="1"/>
  <c r="H250" i="84" s="1"/>
  <c r="I250" i="84" s="1"/>
  <c r="J250" i="84" s="1"/>
  <c r="K250" i="84" s="1"/>
  <c r="L250" i="84" s="1"/>
  <c r="M250" i="84" s="1"/>
  <c r="N250" i="84" s="1"/>
  <c r="O250" i="84" s="1"/>
  <c r="P250" i="84" s="1"/>
  <c r="Q250" i="84" s="1"/>
  <c r="R250" i="84" s="1"/>
  <c r="S250" i="84" s="1"/>
  <c r="T250" i="84" s="1"/>
  <c r="U250" i="84" s="1"/>
  <c r="V250" i="84" s="1"/>
  <c r="W250" i="84" s="1"/>
  <c r="X250" i="84" s="1"/>
  <c r="Y250" i="84" s="1"/>
  <c r="Z250" i="84" s="1"/>
  <c r="AA250" i="84" s="1"/>
  <c r="AB250" i="84" s="1"/>
  <c r="AC250" i="84" s="1"/>
  <c r="AD250" i="84" s="1"/>
  <c r="AE250" i="84" s="1"/>
  <c r="AF250" i="84" s="1"/>
  <c r="B250" i="84" s="1"/>
  <c r="D249" i="84"/>
  <c r="E249" i="84" s="1"/>
  <c r="F249" i="84" s="1"/>
  <c r="G249" i="84" s="1"/>
  <c r="H249" i="84" s="1"/>
  <c r="I249" i="84" s="1"/>
  <c r="J249" i="84" s="1"/>
  <c r="K249" i="84" s="1"/>
  <c r="L249" i="84" s="1"/>
  <c r="M249" i="84" s="1"/>
  <c r="N249" i="84" s="1"/>
  <c r="O249" i="84" s="1"/>
  <c r="P249" i="84" s="1"/>
  <c r="Q249" i="84" s="1"/>
  <c r="R249" i="84" s="1"/>
  <c r="S249" i="84" s="1"/>
  <c r="T249" i="84" s="1"/>
  <c r="U249" i="84" s="1"/>
  <c r="V249" i="84" s="1"/>
  <c r="W249" i="84" s="1"/>
  <c r="X249" i="84" s="1"/>
  <c r="Y249" i="84" s="1"/>
  <c r="Z249" i="84" s="1"/>
  <c r="AA249" i="84" s="1"/>
  <c r="AB249" i="84" s="1"/>
  <c r="AC249" i="84" s="1"/>
  <c r="AD249" i="84" s="1"/>
  <c r="AE249" i="84" s="1"/>
  <c r="AF249" i="84" s="1"/>
  <c r="B249" i="84" s="1"/>
  <c r="D248" i="84"/>
  <c r="E248" i="84" s="1"/>
  <c r="F248" i="84" s="1"/>
  <c r="G248" i="84" s="1"/>
  <c r="H248" i="84" s="1"/>
  <c r="I248" i="84" s="1"/>
  <c r="J248" i="84" s="1"/>
  <c r="K248" i="84" s="1"/>
  <c r="L248" i="84" s="1"/>
  <c r="M248" i="84" s="1"/>
  <c r="N248" i="84" s="1"/>
  <c r="O248" i="84" s="1"/>
  <c r="P248" i="84" s="1"/>
  <c r="Q248" i="84" s="1"/>
  <c r="R248" i="84" s="1"/>
  <c r="S248" i="84" s="1"/>
  <c r="T248" i="84" s="1"/>
  <c r="U248" i="84" s="1"/>
  <c r="V248" i="84" s="1"/>
  <c r="W248" i="84" s="1"/>
  <c r="X248" i="84" s="1"/>
  <c r="Y248" i="84" s="1"/>
  <c r="Z248" i="84" s="1"/>
  <c r="AA248" i="84" s="1"/>
  <c r="AB248" i="84" s="1"/>
  <c r="AC248" i="84" s="1"/>
  <c r="AD248" i="84" s="1"/>
  <c r="AE248" i="84" s="1"/>
  <c r="AF248" i="84" s="1"/>
  <c r="B248" i="84" s="1"/>
  <c r="D247" i="84"/>
  <c r="E246" i="84"/>
  <c r="F246" i="84" s="1"/>
  <c r="D246" i="84"/>
  <c r="D118" i="84" s="1"/>
  <c r="AG244" i="84"/>
  <c r="AF244" i="84"/>
  <c r="AE244" i="84"/>
  <c r="AD244" i="84"/>
  <c r="AC244" i="84"/>
  <c r="AB244" i="84"/>
  <c r="AA244" i="84"/>
  <c r="Z244" i="84"/>
  <c r="Y244" i="84"/>
  <c r="X244" i="84"/>
  <c r="W244" i="84"/>
  <c r="V244" i="84"/>
  <c r="U244" i="84"/>
  <c r="T244" i="84"/>
  <c r="S244" i="84"/>
  <c r="R244" i="84"/>
  <c r="Q244" i="84"/>
  <c r="P244" i="84"/>
  <c r="O244" i="84"/>
  <c r="N244" i="84"/>
  <c r="M244" i="84"/>
  <c r="L244" i="84"/>
  <c r="K244" i="84"/>
  <c r="J244" i="84"/>
  <c r="I244" i="84"/>
  <c r="H244" i="84"/>
  <c r="G244" i="84"/>
  <c r="F244" i="84"/>
  <c r="E244" i="84"/>
  <c r="D244" i="84"/>
  <c r="C244" i="84"/>
  <c r="B244" i="84"/>
  <c r="AI130" i="84"/>
  <c r="AH130" i="84"/>
  <c r="AI129" i="84"/>
  <c r="AH129" i="84"/>
  <c r="AI128" i="84"/>
  <c r="AH128" i="84"/>
  <c r="AI127" i="84"/>
  <c r="AH127" i="84"/>
  <c r="AI126" i="84"/>
  <c r="AH126" i="84"/>
  <c r="AI122" i="84"/>
  <c r="AH122" i="84"/>
  <c r="AI121" i="84"/>
  <c r="AH121" i="84"/>
  <c r="AI120" i="84"/>
  <c r="AH120" i="84"/>
  <c r="AI119" i="84"/>
  <c r="AH119" i="84"/>
  <c r="AI117" i="84"/>
  <c r="AH117" i="84"/>
  <c r="AI116" i="84"/>
  <c r="AH116" i="84"/>
  <c r="AI115" i="84"/>
  <c r="AH115" i="84"/>
  <c r="AI114" i="84"/>
  <c r="AH114" i="84"/>
  <c r="AI113" i="84"/>
  <c r="AH113" i="84"/>
  <c r="AI112" i="84"/>
  <c r="AH112" i="84"/>
  <c r="AI111" i="84"/>
  <c r="AH111" i="84"/>
  <c r="AI110" i="84"/>
  <c r="AH110" i="84"/>
  <c r="AI109" i="84"/>
  <c r="AH109" i="84"/>
  <c r="AI106" i="84"/>
  <c r="AH106" i="84"/>
  <c r="AF105" i="84"/>
  <c r="AE105" i="84"/>
  <c r="AD105" i="84"/>
  <c r="AC105" i="84"/>
  <c r="AB105" i="84"/>
  <c r="R105" i="84"/>
  <c r="Q105" i="84"/>
  <c r="P105" i="84"/>
  <c r="O105" i="84"/>
  <c r="N105" i="84"/>
  <c r="M105" i="84"/>
  <c r="L105" i="84"/>
  <c r="K105" i="84"/>
  <c r="J105" i="84"/>
  <c r="I105" i="84"/>
  <c r="H105" i="84"/>
  <c r="G105" i="84"/>
  <c r="F105" i="84"/>
  <c r="E105" i="84"/>
  <c r="AF104" i="84"/>
  <c r="AE104" i="84"/>
  <c r="AD104" i="84"/>
  <c r="AC104" i="84"/>
  <c r="AB104" i="84"/>
  <c r="R104" i="84"/>
  <c r="Q104" i="84"/>
  <c r="P104" i="84"/>
  <c r="O104" i="84"/>
  <c r="N104" i="84"/>
  <c r="M104" i="84"/>
  <c r="L104" i="84"/>
  <c r="K104" i="84"/>
  <c r="J104" i="84"/>
  <c r="I104" i="84"/>
  <c r="H104" i="84"/>
  <c r="G104" i="84"/>
  <c r="F104" i="84"/>
  <c r="E104" i="84"/>
  <c r="AF103" i="84"/>
  <c r="AE103" i="84"/>
  <c r="AD103" i="84"/>
  <c r="AC103" i="84"/>
  <c r="AB103" i="84"/>
  <c r="R103" i="84"/>
  <c r="Q103" i="84"/>
  <c r="P103" i="84"/>
  <c r="O103" i="84"/>
  <c r="N103" i="84"/>
  <c r="M103" i="84"/>
  <c r="L103" i="84"/>
  <c r="K103" i="84"/>
  <c r="J103" i="84"/>
  <c r="I103" i="84"/>
  <c r="H103" i="84"/>
  <c r="G103" i="84"/>
  <c r="F103" i="84"/>
  <c r="E103" i="84"/>
  <c r="AF102" i="84"/>
  <c r="AE102" i="84"/>
  <c r="AD102" i="84"/>
  <c r="AC102" i="84"/>
  <c r="AB102" i="84"/>
  <c r="R102" i="84"/>
  <c r="Q102" i="84"/>
  <c r="P102" i="84"/>
  <c r="O102" i="84"/>
  <c r="N102" i="84"/>
  <c r="M102" i="84"/>
  <c r="L102" i="84"/>
  <c r="K102" i="84"/>
  <c r="J102" i="84"/>
  <c r="I102" i="84"/>
  <c r="H102" i="84"/>
  <c r="G102" i="84"/>
  <c r="F102" i="84"/>
  <c r="E102" i="84"/>
  <c r="AF101" i="84"/>
  <c r="AE101" i="84"/>
  <c r="AD101" i="84"/>
  <c r="AC101" i="84"/>
  <c r="AB101" i="84"/>
  <c r="R101" i="84"/>
  <c r="Q101" i="84"/>
  <c r="P101" i="84"/>
  <c r="O101" i="84"/>
  <c r="N101" i="84"/>
  <c r="M101" i="84"/>
  <c r="L101" i="84"/>
  <c r="K101" i="84"/>
  <c r="J101" i="84"/>
  <c r="I101" i="84"/>
  <c r="H101" i="84"/>
  <c r="G101" i="84"/>
  <c r="F101" i="84"/>
  <c r="E101" i="84"/>
  <c r="AI98" i="84"/>
  <c r="AH98" i="84"/>
  <c r="AI96" i="84"/>
  <c r="AH96" i="84"/>
  <c r="AG96" i="84"/>
  <c r="AI95" i="84"/>
  <c r="AH95" i="84"/>
  <c r="AI94" i="84"/>
  <c r="AH94" i="84"/>
  <c r="AI93" i="84"/>
  <c r="AH93" i="84"/>
  <c r="AG92" i="84"/>
  <c r="AF92" i="84"/>
  <c r="BJ19" i="84" s="1"/>
  <c r="AE92" i="84"/>
  <c r="AD5" i="84" s="1"/>
  <c r="AD92" i="84"/>
  <c r="AC5" i="84" s="1"/>
  <c r="AC92" i="84"/>
  <c r="AB92" i="84"/>
  <c r="BG19" i="84" s="1"/>
  <c r="Z5" i="84"/>
  <c r="BF19" i="84"/>
  <c r="BE19" i="84"/>
  <c r="R92" i="84"/>
  <c r="Q92" i="84"/>
  <c r="P5" i="84" s="1"/>
  <c r="P92" i="84"/>
  <c r="AX19" i="84" s="1"/>
  <c r="O92" i="84"/>
  <c r="N5" i="84" s="1"/>
  <c r="N92" i="84"/>
  <c r="M5" i="84" s="1"/>
  <c r="M92" i="84"/>
  <c r="L92" i="84"/>
  <c r="K5" i="84" s="1"/>
  <c r="K92" i="84"/>
  <c r="AT19" i="84" s="1"/>
  <c r="J92" i="84"/>
  <c r="I92" i="84"/>
  <c r="AS19" i="84" s="1"/>
  <c r="H92" i="84"/>
  <c r="G5" i="84" s="1"/>
  <c r="G92" i="84"/>
  <c r="F5" i="84" s="1"/>
  <c r="F92" i="84"/>
  <c r="E5" i="84" s="1"/>
  <c r="E92" i="84"/>
  <c r="AP19" i="84" s="1"/>
  <c r="AI91" i="84"/>
  <c r="AH91" i="84"/>
  <c r="AI90" i="84"/>
  <c r="AH90" i="84"/>
  <c r="AI89" i="84"/>
  <c r="AH89" i="84"/>
  <c r="AI88" i="84"/>
  <c r="AH88" i="84"/>
  <c r="AI87" i="84"/>
  <c r="AH87" i="84"/>
  <c r="AI86" i="84"/>
  <c r="AH86" i="84"/>
  <c r="AI85" i="84"/>
  <c r="AH85" i="84"/>
  <c r="AI84" i="84"/>
  <c r="AH84" i="84"/>
  <c r="AI83" i="84"/>
  <c r="AH83" i="84"/>
  <c r="AI82" i="84"/>
  <c r="AH82" i="84"/>
  <c r="AI81" i="84"/>
  <c r="AH81" i="84"/>
  <c r="AG80" i="84"/>
  <c r="AG4" i="84" s="1"/>
  <c r="AF80" i="84"/>
  <c r="BJ20" i="84" s="1"/>
  <c r="AE80" i="84"/>
  <c r="AD80" i="84"/>
  <c r="AC80" i="84"/>
  <c r="AB80" i="84"/>
  <c r="R80" i="84"/>
  <c r="AZ20" i="84" s="1"/>
  <c r="Q80" i="84"/>
  <c r="P80" i="84"/>
  <c r="AX20" i="84" s="1"/>
  <c r="O80" i="84"/>
  <c r="AW20" i="84" s="1"/>
  <c r="N80" i="84"/>
  <c r="M80" i="84"/>
  <c r="L80" i="84"/>
  <c r="K80" i="84"/>
  <c r="J80" i="84"/>
  <c r="I80" i="84"/>
  <c r="AS20" i="84" s="1"/>
  <c r="H80" i="84"/>
  <c r="G80" i="84"/>
  <c r="AR20" i="84" s="1"/>
  <c r="F80" i="84"/>
  <c r="AQ20" i="84" s="1"/>
  <c r="E80" i="84"/>
  <c r="AP20" i="84" s="1"/>
  <c r="AI79" i="84"/>
  <c r="AH79" i="84"/>
  <c r="AI78" i="84"/>
  <c r="AH78" i="84"/>
  <c r="AI77" i="84"/>
  <c r="AH77" i="84"/>
  <c r="AG76" i="84"/>
  <c r="AG3" i="84" s="1"/>
  <c r="AF76" i="84"/>
  <c r="BJ18" i="84" s="1"/>
  <c r="AE76" i="84"/>
  <c r="BI18" i="84" s="1"/>
  <c r="AD76" i="84"/>
  <c r="BH18" i="84" s="1"/>
  <c r="AC76" i="84"/>
  <c r="AB76" i="84"/>
  <c r="BF18" i="84"/>
  <c r="BC18" i="84"/>
  <c r="BA18" i="84"/>
  <c r="R76" i="84"/>
  <c r="AZ18" i="84" s="1"/>
  <c r="Q76" i="84"/>
  <c r="AY18" i="84" s="1"/>
  <c r="P76" i="84"/>
  <c r="AX18" i="84" s="1"/>
  <c r="O76" i="84"/>
  <c r="N76" i="84"/>
  <c r="AV18" i="84" s="1"/>
  <c r="M76" i="84"/>
  <c r="AU18" i="84" s="1"/>
  <c r="L76" i="84"/>
  <c r="K76" i="84"/>
  <c r="AT18" i="84" s="1"/>
  <c r="J76" i="84"/>
  <c r="I76" i="84"/>
  <c r="AS18" i="84" s="1"/>
  <c r="H76" i="84"/>
  <c r="G76" i="84"/>
  <c r="AR18" i="84" s="1"/>
  <c r="F76" i="84"/>
  <c r="E76" i="84"/>
  <c r="AI75" i="84"/>
  <c r="AH75" i="84"/>
  <c r="AG75" i="84"/>
  <c r="AI74" i="84"/>
  <c r="AH74" i="84"/>
  <c r="AI73" i="84"/>
  <c r="AH73" i="84"/>
  <c r="AI72" i="84"/>
  <c r="AH72" i="84"/>
  <c r="AI71" i="84"/>
  <c r="AH71" i="84"/>
  <c r="AI70" i="84"/>
  <c r="AH70" i="84"/>
  <c r="AI69" i="84"/>
  <c r="AH69" i="84"/>
  <c r="AI68" i="84"/>
  <c r="AH68" i="84"/>
  <c r="AI67" i="84"/>
  <c r="AH67" i="84"/>
  <c r="AI66" i="84"/>
  <c r="AH66" i="84"/>
  <c r="AI65" i="84"/>
  <c r="AH65" i="84"/>
  <c r="AI64" i="84"/>
  <c r="AH64" i="84"/>
  <c r="AI63" i="84"/>
  <c r="AH63" i="84"/>
  <c r="AG62" i="84"/>
  <c r="AF62" i="84"/>
  <c r="BJ17" i="84" s="1"/>
  <c r="AE62" i="84"/>
  <c r="BI17" i="84" s="1"/>
  <c r="AD62" i="84"/>
  <c r="BH17" i="84" s="1"/>
  <c r="AC62" i="84"/>
  <c r="AB62" i="84"/>
  <c r="BG17" i="84" s="1"/>
  <c r="BF17" i="84"/>
  <c r="BD17" i="84"/>
  <c r="BC17" i="84"/>
  <c r="BA17" i="84"/>
  <c r="R62" i="84"/>
  <c r="AZ17" i="84" s="1"/>
  <c r="Q62" i="84"/>
  <c r="P62" i="84"/>
  <c r="AX17" i="84" s="1"/>
  <c r="O62" i="84"/>
  <c r="AW17" i="84" s="1"/>
  <c r="N62" i="84"/>
  <c r="AV17" i="84" s="1"/>
  <c r="M62" i="84"/>
  <c r="AU17" i="84" s="1"/>
  <c r="L62" i="84"/>
  <c r="K62" i="84"/>
  <c r="AT17" i="84" s="1"/>
  <c r="J62" i="84"/>
  <c r="I62" i="84"/>
  <c r="AS17" i="84" s="1"/>
  <c r="H62" i="84"/>
  <c r="G62" i="84"/>
  <c r="AR17" i="84" s="1"/>
  <c r="F62" i="84"/>
  <c r="AQ17" i="84" s="1"/>
  <c r="E62" i="84"/>
  <c r="AP17" i="84" s="1"/>
  <c r="AI61" i="84"/>
  <c r="AH61" i="84"/>
  <c r="AI60" i="84"/>
  <c r="AH60" i="84"/>
  <c r="AI59" i="84"/>
  <c r="AH59" i="84"/>
  <c r="AG58" i="84"/>
  <c r="AF58" i="84"/>
  <c r="BJ16" i="84" s="1"/>
  <c r="AE58" i="84"/>
  <c r="BI16" i="84" s="1"/>
  <c r="AD58" i="84"/>
  <c r="AC58" i="84"/>
  <c r="AB58" i="84"/>
  <c r="BG16" i="84" s="1"/>
  <c r="BE16" i="84"/>
  <c r="BA16" i="84"/>
  <c r="R58" i="84"/>
  <c r="AZ16" i="84" s="1"/>
  <c r="AY16" i="84"/>
  <c r="P58" i="84"/>
  <c r="AX16" i="84" s="1"/>
  <c r="O58" i="84"/>
  <c r="AW16" i="84" s="1"/>
  <c r="N58" i="84"/>
  <c r="M58" i="84"/>
  <c r="L58" i="84"/>
  <c r="K58" i="84"/>
  <c r="J58" i="84"/>
  <c r="I58" i="84"/>
  <c r="H58" i="84"/>
  <c r="G58" i="84"/>
  <c r="AR16" i="84" s="1"/>
  <c r="F58" i="84"/>
  <c r="AQ16" i="84" s="1"/>
  <c r="E58" i="84"/>
  <c r="AI57" i="84"/>
  <c r="AH57" i="84"/>
  <c r="AI56" i="84"/>
  <c r="AH56" i="84"/>
  <c r="AI55" i="84"/>
  <c r="AH55" i="84"/>
  <c r="AI54" i="84"/>
  <c r="AH54" i="84"/>
  <c r="AI53" i="84"/>
  <c r="AH53" i="84"/>
  <c r="AI52" i="84"/>
  <c r="AH52" i="84"/>
  <c r="AI51" i="84"/>
  <c r="AH51" i="84"/>
  <c r="AI50" i="84"/>
  <c r="AH50" i="84"/>
  <c r="AI49" i="84"/>
  <c r="AH49" i="84"/>
  <c r="AI48" i="84"/>
  <c r="AH48" i="84"/>
  <c r="AI47" i="84"/>
  <c r="AH47" i="84"/>
  <c r="AI46" i="84"/>
  <c r="AH46" i="84"/>
  <c r="AI45" i="84"/>
  <c r="AH45" i="84"/>
  <c r="AI44" i="84"/>
  <c r="AH44" i="84"/>
  <c r="AI43" i="84"/>
  <c r="AH43" i="84"/>
  <c r="AI42" i="84"/>
  <c r="AH42" i="84"/>
  <c r="AI41" i="84"/>
  <c r="AH41" i="84"/>
  <c r="AI40" i="84"/>
  <c r="AH40" i="84"/>
  <c r="AI39" i="84"/>
  <c r="AH39" i="84"/>
  <c r="AI38" i="84"/>
  <c r="AH38" i="84"/>
  <c r="AI37" i="84"/>
  <c r="AH37" i="84"/>
  <c r="AI36" i="84"/>
  <c r="AH36" i="84"/>
  <c r="AI35" i="84"/>
  <c r="AH35" i="84"/>
  <c r="AI34" i="84"/>
  <c r="AH34" i="84"/>
  <c r="AI33" i="84"/>
  <c r="AH33" i="84"/>
  <c r="AI32" i="84"/>
  <c r="AH32" i="84"/>
  <c r="AI31" i="84"/>
  <c r="AH31" i="84"/>
  <c r="AI30" i="84"/>
  <c r="AH30" i="84"/>
  <c r="AI29" i="84"/>
  <c r="AH29" i="84"/>
  <c r="AI28" i="84"/>
  <c r="AH28" i="84"/>
  <c r="AI27" i="84"/>
  <c r="AH27" i="84"/>
  <c r="AI26" i="84"/>
  <c r="AH26" i="84"/>
  <c r="AI25" i="84"/>
  <c r="AH25" i="84"/>
  <c r="AI24" i="84"/>
  <c r="AH24" i="84"/>
  <c r="AI23" i="84"/>
  <c r="AH23" i="84"/>
  <c r="AI22" i="84"/>
  <c r="AH22" i="84"/>
  <c r="BJ21" i="84"/>
  <c r="BI21" i="84"/>
  <c r="BH21" i="84"/>
  <c r="BG21" i="84"/>
  <c r="BF21" i="84"/>
  <c r="BE21" i="84"/>
  <c r="BD21" i="84"/>
  <c r="BC21" i="84"/>
  <c r="BB21" i="84"/>
  <c r="BA21" i="84"/>
  <c r="AZ21" i="84"/>
  <c r="AY21" i="84"/>
  <c r="AX21" i="84"/>
  <c r="AW21" i="84"/>
  <c r="AV21" i="84"/>
  <c r="AU21" i="84"/>
  <c r="AT21" i="84"/>
  <c r="AS21" i="84"/>
  <c r="AR21" i="84"/>
  <c r="AQ21" i="84"/>
  <c r="AP21" i="84"/>
  <c r="AO21" i="84"/>
  <c r="AN21" i="84"/>
  <c r="AM21" i="84"/>
  <c r="AI21" i="84"/>
  <c r="AH21" i="84"/>
  <c r="BH20" i="84"/>
  <c r="BG20" i="84"/>
  <c r="BB20" i="84"/>
  <c r="BA20" i="84"/>
  <c r="AY20" i="84"/>
  <c r="AV20" i="84"/>
  <c r="AU20" i="84"/>
  <c r="AT20" i="84"/>
  <c r="AO20" i="84"/>
  <c r="AI20" i="84"/>
  <c r="AH20" i="84"/>
  <c r="BI19" i="84"/>
  <c r="AR19" i="84"/>
  <c r="AI19" i="84"/>
  <c r="AH19" i="84"/>
  <c r="BG18" i="84"/>
  <c r="BD18" i="84"/>
  <c r="BB18" i="84"/>
  <c r="AW18" i="84"/>
  <c r="AQ18" i="84"/>
  <c r="AP18" i="84"/>
  <c r="AN18" i="84"/>
  <c r="AI18" i="84"/>
  <c r="AH18" i="84"/>
  <c r="BE17" i="84"/>
  <c r="BB17" i="84"/>
  <c r="AY17" i="84"/>
  <c r="AO17" i="84"/>
  <c r="AI17" i="84"/>
  <c r="AH17" i="84"/>
  <c r="AT16" i="84"/>
  <c r="AS16" i="84"/>
  <c r="AO16" i="84"/>
  <c r="AI16" i="84"/>
  <c r="AH16" i="84"/>
  <c r="AI15" i="84"/>
  <c r="AH15" i="84"/>
  <c r="AI14" i="84"/>
  <c r="AH14" i="84"/>
  <c r="AI13" i="84"/>
  <c r="AH13" i="84"/>
  <c r="AL12" i="84"/>
  <c r="AI12" i="84"/>
  <c r="AH12" i="84"/>
  <c r="AI11" i="84"/>
  <c r="AH11" i="84"/>
  <c r="R5" i="84"/>
  <c r="K4" i="84"/>
  <c r="E4" i="84"/>
  <c r="H4" i="84" s="1"/>
  <c r="B4" i="84"/>
  <c r="D258" i="84" s="1"/>
  <c r="AG2" i="84"/>
  <c r="AF58" i="83"/>
  <c r="AF62" i="83"/>
  <c r="AF76" i="83"/>
  <c r="BJ18" i="83" s="1"/>
  <c r="AF80" i="83"/>
  <c r="AF92" i="83"/>
  <c r="AF101" i="83"/>
  <c r="AF102" i="83"/>
  <c r="AF103" i="83"/>
  <c r="AF104" i="83"/>
  <c r="AF105" i="83"/>
  <c r="AF118" i="83"/>
  <c r="AE58" i="83"/>
  <c r="AE62" i="83"/>
  <c r="AE76" i="83"/>
  <c r="AE80" i="83"/>
  <c r="AE92" i="83"/>
  <c r="AE101" i="83"/>
  <c r="AE102" i="83"/>
  <c r="AE103" i="83"/>
  <c r="AE104" i="83"/>
  <c r="AE105" i="83"/>
  <c r="AE118" i="83"/>
  <c r="AD58" i="83"/>
  <c r="AD62" i="83"/>
  <c r="AD76" i="83"/>
  <c r="AD80" i="83"/>
  <c r="BH20" i="83" s="1"/>
  <c r="AD92" i="83"/>
  <c r="BH19" i="83" s="1"/>
  <c r="AD101" i="83"/>
  <c r="AD107" i="83" s="1"/>
  <c r="AD102" i="83"/>
  <c r="AD103" i="83"/>
  <c r="AD104" i="83"/>
  <c r="AD105" i="83"/>
  <c r="AD118" i="83"/>
  <c r="AD123" i="83"/>
  <c r="AC58" i="83"/>
  <c r="AC62" i="83"/>
  <c r="AC76" i="83"/>
  <c r="AC80" i="83"/>
  <c r="AC92" i="83"/>
  <c r="AC101" i="83"/>
  <c r="AC107" i="83" s="1"/>
  <c r="AC102" i="83"/>
  <c r="AC103" i="83"/>
  <c r="AC104" i="83"/>
  <c r="AC105" i="83"/>
  <c r="AC118" i="83"/>
  <c r="AC123" i="83"/>
  <c r="AB123" i="83"/>
  <c r="AA57" i="83"/>
  <c r="AA123" i="83"/>
  <c r="Z123" i="83"/>
  <c r="Z57" i="83"/>
  <c r="Y57" i="83"/>
  <c r="Y123" i="83"/>
  <c r="X123" i="83"/>
  <c r="X57" i="83"/>
  <c r="W57" i="83"/>
  <c r="W123" i="83"/>
  <c r="U57" i="83"/>
  <c r="U123" i="83"/>
  <c r="T123" i="83"/>
  <c r="T57" i="83"/>
  <c r="S123" i="83"/>
  <c r="Q123" i="83"/>
  <c r="P57" i="83"/>
  <c r="O57" i="83"/>
  <c r="N57" i="83"/>
  <c r="N58" i="83"/>
  <c r="N62" i="83"/>
  <c r="M57" i="83"/>
  <c r="L123" i="83"/>
  <c r="L121" i="83"/>
  <c r="AH121" i="83" s="1"/>
  <c r="L57" i="83"/>
  <c r="K123" i="83"/>
  <c r="K57" i="83"/>
  <c r="J123" i="83"/>
  <c r="J121" i="83"/>
  <c r="J57" i="83"/>
  <c r="I123" i="83"/>
  <c r="I57" i="83"/>
  <c r="I58" i="83"/>
  <c r="I62" i="83"/>
  <c r="H123" i="83"/>
  <c r="H121" i="83"/>
  <c r="G123" i="83"/>
  <c r="G121" i="83"/>
  <c r="H57" i="83"/>
  <c r="G57" i="83"/>
  <c r="F123" i="83"/>
  <c r="F121" i="83"/>
  <c r="F57" i="83"/>
  <c r="E123" i="83"/>
  <c r="E121" i="83"/>
  <c r="E57" i="83"/>
  <c r="D123" i="83"/>
  <c r="D121" i="83"/>
  <c r="D57" i="83"/>
  <c r="D58" i="83"/>
  <c r="D62" i="83"/>
  <c r="D76" i="83"/>
  <c r="AO18" i="83" s="1"/>
  <c r="D80" i="83"/>
  <c r="D92" i="83"/>
  <c r="D101" i="83"/>
  <c r="D102" i="83"/>
  <c r="D103" i="83"/>
  <c r="D104" i="83"/>
  <c r="D105" i="83"/>
  <c r="D118" i="83"/>
  <c r="C123" i="83"/>
  <c r="C121" i="83"/>
  <c r="C57" i="83"/>
  <c r="C58" i="83"/>
  <c r="C62" i="83"/>
  <c r="B123" i="83"/>
  <c r="B121" i="83"/>
  <c r="B57" i="83"/>
  <c r="B118" i="83"/>
  <c r="B105" i="83"/>
  <c r="B104" i="83"/>
  <c r="B103" i="83"/>
  <c r="B102" i="83"/>
  <c r="B101" i="83"/>
  <c r="B92" i="83"/>
  <c r="AM19" i="83" s="1"/>
  <c r="B80" i="83"/>
  <c r="B76" i="83"/>
  <c r="AM18" i="83" s="1"/>
  <c r="B62" i="83"/>
  <c r="B58" i="83"/>
  <c r="AG252" i="83"/>
  <c r="C252" i="83"/>
  <c r="D251" i="83"/>
  <c r="E251" i="83" s="1"/>
  <c r="F251" i="83" s="1"/>
  <c r="G251" i="83" s="1"/>
  <c r="H251" i="83" s="1"/>
  <c r="I251" i="83" s="1"/>
  <c r="J251" i="83" s="1"/>
  <c r="K251" i="83" s="1"/>
  <c r="L251" i="83" s="1"/>
  <c r="M251" i="83" s="1"/>
  <c r="N251" i="83" s="1"/>
  <c r="O251" i="83" s="1"/>
  <c r="P251" i="83" s="1"/>
  <c r="Q251" i="83" s="1"/>
  <c r="R251" i="83" s="1"/>
  <c r="S251" i="83" s="1"/>
  <c r="T251" i="83" s="1"/>
  <c r="U251" i="83" s="1"/>
  <c r="V251" i="83" s="1"/>
  <c r="W251" i="83" s="1"/>
  <c r="X251" i="83" s="1"/>
  <c r="Y251" i="83" s="1"/>
  <c r="Z251" i="83" s="1"/>
  <c r="AA251" i="83" s="1"/>
  <c r="AB251" i="83" s="1"/>
  <c r="AC251" i="83" s="1"/>
  <c r="AD251" i="83" s="1"/>
  <c r="AE251" i="83" s="1"/>
  <c r="AF251" i="83" s="1"/>
  <c r="B251" i="83" s="1"/>
  <c r="D250" i="83"/>
  <c r="E250" i="83" s="1"/>
  <c r="F250" i="83" s="1"/>
  <c r="G250" i="83" s="1"/>
  <c r="H250" i="83" s="1"/>
  <c r="I250" i="83" s="1"/>
  <c r="J250" i="83" s="1"/>
  <c r="K250" i="83" s="1"/>
  <c r="L250" i="83" s="1"/>
  <c r="M250" i="83" s="1"/>
  <c r="N250" i="83" s="1"/>
  <c r="O250" i="83" s="1"/>
  <c r="P250" i="83" s="1"/>
  <c r="Q250" i="83" s="1"/>
  <c r="R250" i="83" s="1"/>
  <c r="S250" i="83" s="1"/>
  <c r="T250" i="83" s="1"/>
  <c r="U250" i="83" s="1"/>
  <c r="V250" i="83" s="1"/>
  <c r="W250" i="83" s="1"/>
  <c r="X250" i="83" s="1"/>
  <c r="Y250" i="83" s="1"/>
  <c r="Z250" i="83" s="1"/>
  <c r="AA250" i="83" s="1"/>
  <c r="AB250" i="83" s="1"/>
  <c r="AC250" i="83" s="1"/>
  <c r="AD250" i="83" s="1"/>
  <c r="AE250" i="83" s="1"/>
  <c r="AF250" i="83" s="1"/>
  <c r="B250" i="83" s="1"/>
  <c r="H249" i="83"/>
  <c r="I249" i="83" s="1"/>
  <c r="J249" i="83" s="1"/>
  <c r="K249" i="83" s="1"/>
  <c r="L249" i="83" s="1"/>
  <c r="M249" i="83" s="1"/>
  <c r="N249" i="83" s="1"/>
  <c r="O249" i="83" s="1"/>
  <c r="P249" i="83" s="1"/>
  <c r="Q249" i="83" s="1"/>
  <c r="R249" i="83" s="1"/>
  <c r="S249" i="83" s="1"/>
  <c r="T249" i="83" s="1"/>
  <c r="U249" i="83" s="1"/>
  <c r="V249" i="83" s="1"/>
  <c r="W249" i="83" s="1"/>
  <c r="X249" i="83" s="1"/>
  <c r="Y249" i="83" s="1"/>
  <c r="Z249" i="83" s="1"/>
  <c r="AA249" i="83" s="1"/>
  <c r="AB249" i="83" s="1"/>
  <c r="AC249" i="83" s="1"/>
  <c r="AD249" i="83" s="1"/>
  <c r="AE249" i="83" s="1"/>
  <c r="AF249" i="83" s="1"/>
  <c r="B249" i="83" s="1"/>
  <c r="D249" i="83"/>
  <c r="E249" i="83" s="1"/>
  <c r="F249" i="83" s="1"/>
  <c r="G249" i="83" s="1"/>
  <c r="G248" i="83"/>
  <c r="H248" i="83" s="1"/>
  <c r="I248" i="83" s="1"/>
  <c r="J248" i="83" s="1"/>
  <c r="K248" i="83" s="1"/>
  <c r="L248" i="83" s="1"/>
  <c r="M248" i="83" s="1"/>
  <c r="N248" i="83" s="1"/>
  <c r="O248" i="83" s="1"/>
  <c r="P248" i="83" s="1"/>
  <c r="Q248" i="83" s="1"/>
  <c r="R248" i="83" s="1"/>
  <c r="S248" i="83" s="1"/>
  <c r="T248" i="83" s="1"/>
  <c r="U248" i="83" s="1"/>
  <c r="V248" i="83" s="1"/>
  <c r="W248" i="83" s="1"/>
  <c r="X248" i="83" s="1"/>
  <c r="Y248" i="83" s="1"/>
  <c r="Z248" i="83" s="1"/>
  <c r="AA248" i="83" s="1"/>
  <c r="AB248" i="83" s="1"/>
  <c r="AC248" i="83" s="1"/>
  <c r="AD248" i="83" s="1"/>
  <c r="AE248" i="83" s="1"/>
  <c r="AF248" i="83" s="1"/>
  <c r="B248" i="83" s="1"/>
  <c r="F248" i="83"/>
  <c r="D248" i="83"/>
  <c r="E248" i="83" s="1"/>
  <c r="E247" i="83"/>
  <c r="F247" i="83" s="1"/>
  <c r="G247" i="83" s="1"/>
  <c r="H247" i="83" s="1"/>
  <c r="I247" i="83" s="1"/>
  <c r="J247" i="83" s="1"/>
  <c r="K247" i="83" s="1"/>
  <c r="L247" i="83" s="1"/>
  <c r="M247" i="83" s="1"/>
  <c r="N247" i="83" s="1"/>
  <c r="O247" i="83" s="1"/>
  <c r="P247" i="83" s="1"/>
  <c r="Q247" i="83" s="1"/>
  <c r="R247" i="83" s="1"/>
  <c r="S247" i="83" s="1"/>
  <c r="T247" i="83" s="1"/>
  <c r="U247" i="83" s="1"/>
  <c r="V247" i="83" s="1"/>
  <c r="W247" i="83" s="1"/>
  <c r="X247" i="83" s="1"/>
  <c r="Y247" i="83" s="1"/>
  <c r="Z247" i="83" s="1"/>
  <c r="AA247" i="83" s="1"/>
  <c r="AB247" i="83" s="1"/>
  <c r="AC247" i="83" s="1"/>
  <c r="AD247" i="83" s="1"/>
  <c r="AE247" i="83" s="1"/>
  <c r="AF247" i="83" s="1"/>
  <c r="B247" i="83" s="1"/>
  <c r="D247" i="83"/>
  <c r="D246" i="83"/>
  <c r="AG244" i="83"/>
  <c r="AF244" i="83"/>
  <c r="AE244" i="83"/>
  <c r="AD244" i="83"/>
  <c r="AC244" i="83"/>
  <c r="AB244" i="83"/>
  <c r="AA244" i="83"/>
  <c r="Z244" i="83"/>
  <c r="Z118" i="83" s="1"/>
  <c r="Y244" i="83"/>
  <c r="Y118" i="83" s="1"/>
  <c r="X244" i="83"/>
  <c r="W244" i="83"/>
  <c r="V244" i="83"/>
  <c r="U244" i="83"/>
  <c r="T244" i="83"/>
  <c r="S244" i="83"/>
  <c r="R244" i="83"/>
  <c r="Q244" i="83"/>
  <c r="P244" i="83"/>
  <c r="O244" i="83"/>
  <c r="N244" i="83"/>
  <c r="M244" i="83"/>
  <c r="L244" i="83"/>
  <c r="K244" i="83"/>
  <c r="J244" i="83"/>
  <c r="I244" i="83"/>
  <c r="H244" i="83"/>
  <c r="G244" i="83"/>
  <c r="F244" i="83"/>
  <c r="E244" i="83"/>
  <c r="D244" i="83"/>
  <c r="C244" i="83"/>
  <c r="B244" i="83"/>
  <c r="AI130" i="83"/>
  <c r="AH130" i="83"/>
  <c r="AI129" i="83"/>
  <c r="AH129" i="83"/>
  <c r="AI128" i="83"/>
  <c r="AH128" i="83"/>
  <c r="AI127" i="83"/>
  <c r="AH127" i="83"/>
  <c r="AI126" i="83"/>
  <c r="AH126" i="83"/>
  <c r="AI122" i="83"/>
  <c r="AH122" i="83"/>
  <c r="AI121" i="83"/>
  <c r="AI120" i="83"/>
  <c r="AH120" i="83"/>
  <c r="AI119" i="83"/>
  <c r="AH119" i="83"/>
  <c r="C118" i="83"/>
  <c r="AI117" i="83"/>
  <c r="AH117" i="83"/>
  <c r="AI116" i="83"/>
  <c r="AH116" i="83"/>
  <c r="AI115" i="83"/>
  <c r="AH115" i="83"/>
  <c r="AI114" i="83"/>
  <c r="AH114" i="83"/>
  <c r="AI113" i="83"/>
  <c r="AH113" i="83"/>
  <c r="AI112" i="83"/>
  <c r="AH112" i="83"/>
  <c r="AI111" i="83"/>
  <c r="AH111" i="83"/>
  <c r="AI110" i="83"/>
  <c r="AH110" i="83"/>
  <c r="AI109" i="83"/>
  <c r="AH109" i="83"/>
  <c r="AI106" i="83"/>
  <c r="AH106" i="83"/>
  <c r="AB105" i="83"/>
  <c r="AA105" i="83"/>
  <c r="Z105" i="83"/>
  <c r="Y105" i="83"/>
  <c r="X105" i="83"/>
  <c r="W105" i="83"/>
  <c r="V105" i="83"/>
  <c r="U105" i="83"/>
  <c r="T105" i="83"/>
  <c r="S105" i="83"/>
  <c r="R105" i="83"/>
  <c r="Q105" i="83"/>
  <c r="P105" i="83"/>
  <c r="O105" i="83"/>
  <c r="N105" i="83"/>
  <c r="M105" i="83"/>
  <c r="L105" i="83"/>
  <c r="K105" i="83"/>
  <c r="J105" i="83"/>
  <c r="I105" i="83"/>
  <c r="H105" i="83"/>
  <c r="G105" i="83"/>
  <c r="F105" i="83"/>
  <c r="E105" i="83"/>
  <c r="C105" i="83"/>
  <c r="AB104" i="83"/>
  <c r="AA104" i="83"/>
  <c r="Z104" i="83"/>
  <c r="Y104" i="83"/>
  <c r="X104" i="83"/>
  <c r="W104" i="83"/>
  <c r="V104" i="83"/>
  <c r="U104" i="83"/>
  <c r="T104" i="83"/>
  <c r="S104" i="83"/>
  <c r="R104" i="83"/>
  <c r="Q104" i="83"/>
  <c r="P104" i="83"/>
  <c r="O104" i="83"/>
  <c r="N104" i="83"/>
  <c r="M104" i="83"/>
  <c r="L104" i="83"/>
  <c r="K104" i="83"/>
  <c r="J104" i="83"/>
  <c r="I104" i="83"/>
  <c r="H104" i="83"/>
  <c r="G104" i="83"/>
  <c r="F104" i="83"/>
  <c r="E104" i="83"/>
  <c r="C104" i="83"/>
  <c r="AB103" i="83"/>
  <c r="AA103" i="83"/>
  <c r="Z103" i="83"/>
  <c r="Y103" i="83"/>
  <c r="X103" i="83"/>
  <c r="W103" i="83"/>
  <c r="V103" i="83"/>
  <c r="U103" i="83"/>
  <c r="T103" i="83"/>
  <c r="S103" i="83"/>
  <c r="R103" i="83"/>
  <c r="Q103" i="83"/>
  <c r="P103" i="83"/>
  <c r="O103" i="83"/>
  <c r="N103" i="83"/>
  <c r="M103" i="83"/>
  <c r="L103" i="83"/>
  <c r="K103" i="83"/>
  <c r="J103" i="83"/>
  <c r="I103" i="83"/>
  <c r="H103" i="83"/>
  <c r="G103" i="83"/>
  <c r="F103" i="83"/>
  <c r="E103" i="83"/>
  <c r="C103" i="83"/>
  <c r="AB102" i="83"/>
  <c r="AA102" i="83"/>
  <c r="Z102" i="83"/>
  <c r="Y102" i="83"/>
  <c r="X102" i="83"/>
  <c r="W102" i="83"/>
  <c r="V102" i="83"/>
  <c r="U102" i="83"/>
  <c r="T102" i="83"/>
  <c r="S102" i="83"/>
  <c r="R102" i="83"/>
  <c r="Q102" i="83"/>
  <c r="P102" i="83"/>
  <c r="O102" i="83"/>
  <c r="N102" i="83"/>
  <c r="M102" i="83"/>
  <c r="L102" i="83"/>
  <c r="K102" i="83"/>
  <c r="J102" i="83"/>
  <c r="I102" i="83"/>
  <c r="H102" i="83"/>
  <c r="G102" i="83"/>
  <c r="F102" i="83"/>
  <c r="E102" i="83"/>
  <c r="AH102" i="83" s="1"/>
  <c r="C102" i="83"/>
  <c r="AI102" i="83"/>
  <c r="AB101" i="83"/>
  <c r="AB107" i="83" s="1"/>
  <c r="BG23" i="83" s="1"/>
  <c r="AA101" i="83"/>
  <c r="Z101" i="83"/>
  <c r="Z107" i="83" s="1"/>
  <c r="BF23" i="83" s="1"/>
  <c r="Y101" i="83"/>
  <c r="X101" i="83"/>
  <c r="W101" i="83"/>
  <c r="V101" i="83"/>
  <c r="U101" i="83"/>
  <c r="T101" i="83"/>
  <c r="T107" i="83" s="1"/>
  <c r="BB23" i="83" s="1"/>
  <c r="S101" i="83"/>
  <c r="R101" i="83"/>
  <c r="Q101" i="83"/>
  <c r="Q107" i="83" s="1"/>
  <c r="P101" i="83"/>
  <c r="O101" i="83"/>
  <c r="N101" i="83"/>
  <c r="M101" i="83"/>
  <c r="L101" i="83"/>
  <c r="L107" i="83" s="1"/>
  <c r="K101" i="83"/>
  <c r="J101" i="83"/>
  <c r="J107" i="83" s="1"/>
  <c r="I101" i="83"/>
  <c r="H101" i="83"/>
  <c r="G101" i="83"/>
  <c r="F101" i="83"/>
  <c r="E101" i="83"/>
  <c r="C101" i="83"/>
  <c r="AI98" i="83"/>
  <c r="AH98" i="83"/>
  <c r="AI96" i="83"/>
  <c r="AH96" i="83"/>
  <c r="AG96" i="83"/>
  <c r="AG99" i="83" s="1"/>
  <c r="AI95" i="83"/>
  <c r="AH95" i="83"/>
  <c r="AI94" i="83"/>
  <c r="AH94" i="83"/>
  <c r="AI93" i="83"/>
  <c r="AH93" i="83"/>
  <c r="AG92" i="83"/>
  <c r="AB92" i="83"/>
  <c r="AA5" i="83" s="1"/>
  <c r="AA92" i="83"/>
  <c r="Z92" i="83"/>
  <c r="Y5" i="83" s="1"/>
  <c r="Y92" i="83"/>
  <c r="X5" i="83" s="1"/>
  <c r="X92" i="83"/>
  <c r="W92" i="83"/>
  <c r="V5" i="83" s="1"/>
  <c r="V92" i="83"/>
  <c r="BD19" i="83" s="1"/>
  <c r="U92" i="83"/>
  <c r="BC19" i="83" s="1"/>
  <c r="T92" i="83"/>
  <c r="S92" i="83"/>
  <c r="R5" i="83" s="1"/>
  <c r="R92" i="83"/>
  <c r="Q5" i="83" s="1"/>
  <c r="Q92" i="83"/>
  <c r="P5" i="83" s="1"/>
  <c r="P92" i="83"/>
  <c r="O5" i="83" s="1"/>
  <c r="O92" i="83"/>
  <c r="N5" i="83" s="1"/>
  <c r="N92" i="83"/>
  <c r="AV19" i="83" s="1"/>
  <c r="M92" i="83"/>
  <c r="AU19" i="83" s="1"/>
  <c r="L92" i="83"/>
  <c r="K5" i="83" s="1"/>
  <c r="K92" i="83"/>
  <c r="J5" i="83" s="1"/>
  <c r="J92" i="83"/>
  <c r="I5" i="83" s="1"/>
  <c r="I92" i="83"/>
  <c r="H5" i="83" s="1"/>
  <c r="H92" i="83"/>
  <c r="G5" i="83" s="1"/>
  <c r="G92" i="83"/>
  <c r="F5" i="83" s="1"/>
  <c r="F92" i="83"/>
  <c r="AQ19" i="83" s="1"/>
  <c r="E92" i="83"/>
  <c r="AP19" i="83" s="1"/>
  <c r="C92" i="83"/>
  <c r="AI91" i="83"/>
  <c r="AH91" i="83"/>
  <c r="AI90" i="83"/>
  <c r="AH90" i="83"/>
  <c r="AI89" i="83"/>
  <c r="AH89" i="83"/>
  <c r="AI88" i="83"/>
  <c r="AH88" i="83"/>
  <c r="AI87" i="83"/>
  <c r="AH87" i="83"/>
  <c r="AI86" i="83"/>
  <c r="AH86" i="83"/>
  <c r="AI85" i="83"/>
  <c r="AH85" i="83"/>
  <c r="AI84" i="83"/>
  <c r="AH84" i="83"/>
  <c r="AI83" i="83"/>
  <c r="AH83" i="83"/>
  <c r="AI82" i="83"/>
  <c r="AH82" i="83"/>
  <c r="AI81" i="83"/>
  <c r="AH81" i="83"/>
  <c r="AG80" i="83"/>
  <c r="BJ20" i="83"/>
  <c r="AB80" i="83"/>
  <c r="BG20" i="83" s="1"/>
  <c r="AA80" i="83"/>
  <c r="Z80" i="83"/>
  <c r="Y80" i="83"/>
  <c r="X80" i="83"/>
  <c r="BE20" i="83" s="1"/>
  <c r="W80" i="83"/>
  <c r="V80" i="83"/>
  <c r="U80" i="83"/>
  <c r="T80" i="83"/>
  <c r="S80" i="83"/>
  <c r="BA20" i="83" s="1"/>
  <c r="R80" i="83"/>
  <c r="AZ20" i="83" s="1"/>
  <c r="Q80" i="83"/>
  <c r="P80" i="83"/>
  <c r="AX20" i="83" s="1"/>
  <c r="O80" i="83"/>
  <c r="N80" i="83"/>
  <c r="M80" i="83"/>
  <c r="L80" i="83"/>
  <c r="K80" i="83"/>
  <c r="AT20" i="83" s="1"/>
  <c r="J80" i="83"/>
  <c r="I80" i="83"/>
  <c r="H80" i="83"/>
  <c r="G80" i="83"/>
  <c r="AR20" i="83" s="1"/>
  <c r="F80" i="83"/>
  <c r="E80" i="83"/>
  <c r="AO20" i="83"/>
  <c r="C80" i="83"/>
  <c r="AN20" i="83" s="1"/>
  <c r="AM20" i="83"/>
  <c r="AI79" i="83"/>
  <c r="AH79" i="83"/>
  <c r="AI78" i="83"/>
  <c r="AH78" i="83"/>
  <c r="AI77" i="83"/>
  <c r="AH77" i="83"/>
  <c r="AB76" i="83"/>
  <c r="BG18" i="83" s="1"/>
  <c r="AA76" i="83"/>
  <c r="Z76" i="83"/>
  <c r="BF18" i="83" s="1"/>
  <c r="Y76" i="83"/>
  <c r="X76" i="83"/>
  <c r="BE18" i="83" s="1"/>
  <c r="W76" i="83"/>
  <c r="V76" i="83"/>
  <c r="BD18" i="83" s="1"/>
  <c r="U76" i="83"/>
  <c r="T76" i="83"/>
  <c r="S76" i="83"/>
  <c r="R76" i="83"/>
  <c r="AZ18" i="83" s="1"/>
  <c r="Q76" i="83"/>
  <c r="AY18" i="83" s="1"/>
  <c r="P76" i="83"/>
  <c r="AX18" i="83" s="1"/>
  <c r="O76" i="83"/>
  <c r="AW18" i="83" s="1"/>
  <c r="N76" i="83"/>
  <c r="M76" i="83"/>
  <c r="AU18" i="83" s="1"/>
  <c r="L76" i="83"/>
  <c r="K76" i="83"/>
  <c r="AT18" i="83" s="1"/>
  <c r="J76" i="83"/>
  <c r="I76" i="83"/>
  <c r="H76" i="83"/>
  <c r="G76" i="83"/>
  <c r="AR18" i="83" s="1"/>
  <c r="F76" i="83"/>
  <c r="AQ18" i="83" s="1"/>
  <c r="E76" i="83"/>
  <c r="C76" i="83"/>
  <c r="AN18" i="83" s="1"/>
  <c r="AI75" i="83"/>
  <c r="AH75" i="83"/>
  <c r="AG75" i="83"/>
  <c r="AG76" i="83" s="1"/>
  <c r="AG3" i="83" s="1"/>
  <c r="AG6" i="83" s="1"/>
  <c r="AI74" i="83"/>
  <c r="AH74" i="83"/>
  <c r="AI73" i="83"/>
  <c r="AH73" i="83"/>
  <c r="AI72" i="83"/>
  <c r="AH72" i="83"/>
  <c r="AI71" i="83"/>
  <c r="AH71" i="83"/>
  <c r="AI70" i="83"/>
  <c r="AH70" i="83"/>
  <c r="AI69" i="83"/>
  <c r="AH69" i="83"/>
  <c r="AI68" i="83"/>
  <c r="AH68" i="83"/>
  <c r="AI67" i="83"/>
  <c r="AH67" i="83"/>
  <c r="AI66" i="83"/>
  <c r="AH66" i="83"/>
  <c r="AI65" i="83"/>
  <c r="AH65" i="83"/>
  <c r="AI64" i="83"/>
  <c r="AH64" i="83"/>
  <c r="AI63" i="83"/>
  <c r="AH63" i="83"/>
  <c r="AG62" i="83"/>
  <c r="BI17" i="83"/>
  <c r="AB62" i="83"/>
  <c r="AA62" i="83"/>
  <c r="Z62" i="83"/>
  <c r="BF17" i="83" s="1"/>
  <c r="Y62" i="83"/>
  <c r="X62" i="83"/>
  <c r="BE17" i="83" s="1"/>
  <c r="W62" i="83"/>
  <c r="V62" i="83"/>
  <c r="U62" i="83"/>
  <c r="BC17" i="83" s="1"/>
  <c r="T62" i="83"/>
  <c r="S62" i="83"/>
  <c r="BA17" i="83" s="1"/>
  <c r="R62" i="83"/>
  <c r="AZ17" i="83" s="1"/>
  <c r="Q62" i="83"/>
  <c r="AY17" i="83" s="1"/>
  <c r="P62" i="83"/>
  <c r="AX17" i="83" s="1"/>
  <c r="O62" i="83"/>
  <c r="AW17" i="83" s="1"/>
  <c r="M62" i="83"/>
  <c r="AU17" i="83" s="1"/>
  <c r="L62" i="83"/>
  <c r="K62" i="83"/>
  <c r="AT17" i="83" s="1"/>
  <c r="J62" i="83"/>
  <c r="AS17" i="83"/>
  <c r="H62" i="83"/>
  <c r="G62" i="83"/>
  <c r="AR17" i="83" s="1"/>
  <c r="F62" i="83"/>
  <c r="AQ17" i="83" s="1"/>
  <c r="E62" i="83"/>
  <c r="AP17" i="83" s="1"/>
  <c r="AO17" i="83"/>
  <c r="AI61" i="83"/>
  <c r="AH61" i="83"/>
  <c r="AI60" i="83"/>
  <c r="AH60" i="83"/>
  <c r="AI59" i="83"/>
  <c r="AH59" i="83"/>
  <c r="AG58" i="83"/>
  <c r="BI16" i="83"/>
  <c r="AB58" i="83"/>
  <c r="AA58" i="83"/>
  <c r="Z58" i="83"/>
  <c r="Y58" i="83"/>
  <c r="X58" i="83"/>
  <c r="W58" i="83"/>
  <c r="V58" i="83"/>
  <c r="U58" i="83"/>
  <c r="BC16" i="83" s="1"/>
  <c r="T58" i="83"/>
  <c r="S58" i="83"/>
  <c r="R58" i="83"/>
  <c r="Q58" i="83"/>
  <c r="AY16" i="83" s="1"/>
  <c r="P58" i="83"/>
  <c r="O58" i="83"/>
  <c r="M58" i="83"/>
  <c r="AU16" i="83" s="1"/>
  <c r="L58" i="83"/>
  <c r="K58" i="83"/>
  <c r="AT16" i="83" s="1"/>
  <c r="J58" i="83"/>
  <c r="AS16" i="83"/>
  <c r="H58" i="83"/>
  <c r="G58" i="83"/>
  <c r="AR16" i="83" s="1"/>
  <c r="F58" i="83"/>
  <c r="E58" i="83"/>
  <c r="AP16" i="83" s="1"/>
  <c r="AI56" i="83"/>
  <c r="AH56" i="83"/>
  <c r="AI55" i="83"/>
  <c r="AH55" i="83"/>
  <c r="AI54" i="83"/>
  <c r="AH54" i="83"/>
  <c r="AI53" i="83"/>
  <c r="AH53" i="83"/>
  <c r="AI52" i="83"/>
  <c r="AH52" i="83"/>
  <c r="AI51" i="83"/>
  <c r="AH51" i="83"/>
  <c r="AI50" i="83"/>
  <c r="AH50" i="83"/>
  <c r="AI49" i="83"/>
  <c r="AH49" i="83"/>
  <c r="AI48" i="83"/>
  <c r="AH48" i="83"/>
  <c r="AI47" i="83"/>
  <c r="AH47" i="83"/>
  <c r="AI46" i="83"/>
  <c r="AH46" i="83"/>
  <c r="AI45" i="83"/>
  <c r="AH45" i="83"/>
  <c r="AI44" i="83"/>
  <c r="AH44" i="83"/>
  <c r="AI43" i="83"/>
  <c r="AH43" i="83"/>
  <c r="AI42" i="83"/>
  <c r="AH42" i="83"/>
  <c r="AI41" i="83"/>
  <c r="AH41" i="83"/>
  <c r="AI40" i="83"/>
  <c r="AH40" i="83"/>
  <c r="AI39" i="83"/>
  <c r="AH39" i="83"/>
  <c r="AI38" i="83"/>
  <c r="AH38" i="83"/>
  <c r="AI37" i="83"/>
  <c r="AH37" i="83"/>
  <c r="AI36" i="83"/>
  <c r="AH36" i="83"/>
  <c r="AI35" i="83"/>
  <c r="AH35" i="83"/>
  <c r="AI34" i="83"/>
  <c r="AH34" i="83"/>
  <c r="AI33" i="83"/>
  <c r="AH33" i="83"/>
  <c r="AI32" i="83"/>
  <c r="AH32" i="83"/>
  <c r="AI31" i="83"/>
  <c r="AH31" i="83"/>
  <c r="AI30" i="83"/>
  <c r="AH30" i="83"/>
  <c r="AI29" i="83"/>
  <c r="AH29" i="83"/>
  <c r="AI28" i="83"/>
  <c r="AH28" i="83"/>
  <c r="AI27" i="83"/>
  <c r="AH27" i="83"/>
  <c r="AI26" i="83"/>
  <c r="AH26" i="83"/>
  <c r="AI25" i="83"/>
  <c r="AH25" i="83"/>
  <c r="AI24" i="83"/>
  <c r="AH24" i="83"/>
  <c r="AI23" i="83"/>
  <c r="AH23" i="83"/>
  <c r="AI22" i="83"/>
  <c r="AH22" i="83"/>
  <c r="BJ21" i="83"/>
  <c r="BI21" i="83"/>
  <c r="BH21" i="83"/>
  <c r="BG21" i="83"/>
  <c r="BF21" i="83"/>
  <c r="BE21" i="83"/>
  <c r="BD21" i="83"/>
  <c r="BC21" i="83"/>
  <c r="BB21" i="83"/>
  <c r="BA21" i="83"/>
  <c r="AZ21" i="83"/>
  <c r="AY21" i="83"/>
  <c r="AX21" i="83"/>
  <c r="AW21" i="83"/>
  <c r="AV21" i="83"/>
  <c r="AU21" i="83"/>
  <c r="AT21" i="83"/>
  <c r="AS21" i="83"/>
  <c r="AR21" i="83"/>
  <c r="AQ21" i="83"/>
  <c r="AP21" i="83"/>
  <c r="AO21" i="83"/>
  <c r="AN21" i="83"/>
  <c r="AM21" i="83"/>
  <c r="AI21" i="83"/>
  <c r="AH21" i="83"/>
  <c r="BI20" i="83"/>
  <c r="BF20" i="83"/>
  <c r="BD20" i="83"/>
  <c r="BC20" i="83"/>
  <c r="BB20" i="83"/>
  <c r="AY20" i="83"/>
  <c r="AW20" i="83"/>
  <c r="AV20" i="83"/>
  <c r="AU20" i="83"/>
  <c r="AS20" i="83"/>
  <c r="AQ20" i="83"/>
  <c r="AP20" i="83"/>
  <c r="AI20" i="83"/>
  <c r="AH20" i="83"/>
  <c r="BI19" i="83"/>
  <c r="AY19" i="83"/>
  <c r="AI19" i="83"/>
  <c r="AH19" i="83"/>
  <c r="BI18" i="83"/>
  <c r="BH18" i="83"/>
  <c r="BC18" i="83"/>
  <c r="BB18" i="83"/>
  <c r="BA18" i="83"/>
  <c r="AP18" i="83"/>
  <c r="AI18" i="83"/>
  <c r="AH18" i="83"/>
  <c r="BJ17" i="83"/>
  <c r="BH17" i="83"/>
  <c r="BG17" i="83"/>
  <c r="BD17" i="83"/>
  <c r="BB17" i="83"/>
  <c r="AV17" i="83"/>
  <c r="AN17" i="83"/>
  <c r="AM17" i="83"/>
  <c r="AI17" i="83"/>
  <c r="AH17" i="83"/>
  <c r="BJ16" i="83"/>
  <c r="BH16" i="83"/>
  <c r="BF16" i="83"/>
  <c r="BE16" i="83"/>
  <c r="BD16" i="83"/>
  <c r="BB16" i="83"/>
  <c r="BA16" i="83"/>
  <c r="AZ16" i="83"/>
  <c r="AV16" i="83"/>
  <c r="AQ16" i="83"/>
  <c r="AO16" i="83"/>
  <c r="AN16" i="83"/>
  <c r="AM16" i="83"/>
  <c r="AI16" i="83"/>
  <c r="AH16" i="83"/>
  <c r="AI15" i="83"/>
  <c r="AH15" i="83"/>
  <c r="AI14" i="83"/>
  <c r="AH14" i="83"/>
  <c r="AI13" i="83"/>
  <c r="AH13" i="83"/>
  <c r="AL12" i="83"/>
  <c r="AI12" i="83"/>
  <c r="AH12" i="83"/>
  <c r="AI11" i="83"/>
  <c r="AH11" i="83"/>
  <c r="AF5" i="83"/>
  <c r="AD5" i="83"/>
  <c r="AB5" i="83"/>
  <c r="M5" i="83"/>
  <c r="AG4" i="83"/>
  <c r="K4" i="83"/>
  <c r="E4" i="83"/>
  <c r="H4" i="83" s="1"/>
  <c r="B4" i="83"/>
  <c r="D258" i="83" s="1"/>
  <c r="AG2" i="83"/>
  <c r="AF123" i="82"/>
  <c r="AF121" i="82"/>
  <c r="AF57" i="82"/>
  <c r="AE123" i="82"/>
  <c r="AE121" i="82"/>
  <c r="AE57" i="82"/>
  <c r="AE58" i="82"/>
  <c r="AE62" i="82"/>
  <c r="AE76" i="82"/>
  <c r="AE80" i="82"/>
  <c r="AE92" i="82"/>
  <c r="AE101" i="82"/>
  <c r="AE102" i="82"/>
  <c r="AE103" i="82"/>
  <c r="AE104" i="82"/>
  <c r="AE105" i="82"/>
  <c r="AD123" i="82"/>
  <c r="AD118" i="82" s="1"/>
  <c r="AD121" i="82"/>
  <c r="AD57" i="82"/>
  <c r="AD58" i="82"/>
  <c r="AD62" i="82"/>
  <c r="AD76" i="82"/>
  <c r="AD80" i="82"/>
  <c r="AD92" i="82"/>
  <c r="AD101" i="82"/>
  <c r="AD102" i="82"/>
  <c r="AD103" i="82"/>
  <c r="AD104" i="82"/>
  <c r="AD105" i="82"/>
  <c r="AC123" i="82"/>
  <c r="AC121" i="82"/>
  <c r="AC57" i="82"/>
  <c r="AB123" i="82"/>
  <c r="AB121" i="82"/>
  <c r="AB57" i="82"/>
  <c r="AA123" i="82"/>
  <c r="Z123" i="82"/>
  <c r="Y123" i="82"/>
  <c r="X123" i="82"/>
  <c r="W123" i="82"/>
  <c r="V123" i="82"/>
  <c r="U123" i="82"/>
  <c r="S123" i="82"/>
  <c r="R57" i="82"/>
  <c r="R123" i="82"/>
  <c r="Q57" i="82"/>
  <c r="Q58" i="82"/>
  <c r="Q62" i="82"/>
  <c r="Q76" i="82"/>
  <c r="Q80" i="82"/>
  <c r="Q92" i="82"/>
  <c r="Q101" i="82"/>
  <c r="Q102" i="82"/>
  <c r="Q103" i="82"/>
  <c r="Q104" i="82"/>
  <c r="Q105" i="82"/>
  <c r="P57" i="82"/>
  <c r="P123" i="82"/>
  <c r="O57" i="82"/>
  <c r="O123" i="82"/>
  <c r="N57" i="82"/>
  <c r="N123" i="82"/>
  <c r="K6" i="85" l="1"/>
  <c r="AI108" i="85"/>
  <c r="AT8" i="85"/>
  <c r="I246" i="85"/>
  <c r="G251" i="85"/>
  <c r="F118" i="85"/>
  <c r="AH108" i="85"/>
  <c r="AH99" i="85"/>
  <c r="B100" i="85"/>
  <c r="AI99" i="85"/>
  <c r="AT9" i="85"/>
  <c r="AD97" i="84"/>
  <c r="AD99" i="84" s="1"/>
  <c r="AB97" i="84"/>
  <c r="AB99" i="84" s="1"/>
  <c r="AA97" i="84"/>
  <c r="AA99" i="84" s="1"/>
  <c r="AA107" i="84"/>
  <c r="AA108" i="84" s="1"/>
  <c r="Z107" i="84"/>
  <c r="Z108" i="84" s="1"/>
  <c r="Z97" i="84"/>
  <c r="Z99" i="84" s="1"/>
  <c r="Z100" i="84" s="1"/>
  <c r="Z7" i="84" s="1"/>
  <c r="Y97" i="84"/>
  <c r="Y99" i="84" s="1"/>
  <c r="Y107" i="84"/>
  <c r="X107" i="84"/>
  <c r="X108" i="84"/>
  <c r="X97" i="84"/>
  <c r="X99" i="84" s="1"/>
  <c r="X100" i="84" s="1"/>
  <c r="X7" i="84" s="1"/>
  <c r="W107" i="84"/>
  <c r="W108" i="84" s="1"/>
  <c r="W97" i="84"/>
  <c r="W99" i="84" s="1"/>
  <c r="W100" i="84" s="1"/>
  <c r="V5" i="84"/>
  <c r="V107" i="84"/>
  <c r="V108" i="84"/>
  <c r="U5" i="84"/>
  <c r="V97" i="84"/>
  <c r="V99" i="84" s="1"/>
  <c r="V100" i="84" s="1"/>
  <c r="U97" i="84"/>
  <c r="U99" i="84" s="1"/>
  <c r="U100" i="84" s="1"/>
  <c r="U108" i="84"/>
  <c r="BC20" i="84"/>
  <c r="T100" i="84"/>
  <c r="T108" i="84"/>
  <c r="BB19" i="84"/>
  <c r="S97" i="84"/>
  <c r="S99" i="84" s="1"/>
  <c r="S100" i="84" s="1"/>
  <c r="S7" i="84" s="1"/>
  <c r="BA19" i="84"/>
  <c r="AG6" i="84"/>
  <c r="W5" i="84"/>
  <c r="AE97" i="84"/>
  <c r="AE99" i="84" s="1"/>
  <c r="S108" i="84"/>
  <c r="AE5" i="84"/>
  <c r="O5" i="84"/>
  <c r="BF23" i="84"/>
  <c r="BE23" i="84"/>
  <c r="AF107" i="84"/>
  <c r="BJ23" i="84" s="1"/>
  <c r="J5" i="84"/>
  <c r="AA5" i="84"/>
  <c r="R107" i="84"/>
  <c r="AZ23" i="84" s="1"/>
  <c r="Q107" i="84"/>
  <c r="AY23" i="84" s="1"/>
  <c r="P107" i="84"/>
  <c r="AX23" i="84" s="1"/>
  <c r="AW19" i="84"/>
  <c r="AW22" i="84" s="1"/>
  <c r="AV19" i="84"/>
  <c r="N97" i="84"/>
  <c r="N99" i="84" s="1"/>
  <c r="AV16" i="84"/>
  <c r="AX22" i="84"/>
  <c r="AX24" i="84" s="1"/>
  <c r="AC97" i="84"/>
  <c r="AC99" i="84" s="1"/>
  <c r="AI123" i="84"/>
  <c r="S5" i="84"/>
  <c r="BH16" i="84"/>
  <c r="BI20" i="84"/>
  <c r="BI22" i="84" s="1"/>
  <c r="BG22" i="84"/>
  <c r="P97" i="84"/>
  <c r="P99" i="84" s="1"/>
  <c r="AF97" i="84"/>
  <c r="AF99" i="84" s="1"/>
  <c r="T7" i="84"/>
  <c r="AB107" i="84"/>
  <c r="AB100" i="84" s="1"/>
  <c r="AB7" i="84" s="1"/>
  <c r="Q97" i="84"/>
  <c r="Q99" i="84" s="1"/>
  <c r="AG97" i="84"/>
  <c r="AG99" i="84"/>
  <c r="BB16" i="84"/>
  <c r="N107" i="84"/>
  <c r="AV23" i="84" s="1"/>
  <c r="BD23" i="84"/>
  <c r="AD107" i="84"/>
  <c r="BH23" i="84" s="1"/>
  <c r="AD100" i="84"/>
  <c r="AD7" i="84" s="1"/>
  <c r="BC16" i="84"/>
  <c r="BA22" i="84"/>
  <c r="BD16" i="84"/>
  <c r="BD22" i="84" s="1"/>
  <c r="M97" i="84"/>
  <c r="M99" i="84" s="1"/>
  <c r="AU16" i="84"/>
  <c r="L107" i="84"/>
  <c r="L108" i="84" s="1"/>
  <c r="L97" i="84"/>
  <c r="L99" i="84" s="1"/>
  <c r="K107" i="84"/>
  <c r="K108" i="84" s="1"/>
  <c r="AT22" i="84"/>
  <c r="K97" i="84"/>
  <c r="K99" i="84" s="1"/>
  <c r="J107" i="84"/>
  <c r="J108" i="84" s="1"/>
  <c r="I107" i="84"/>
  <c r="AS23" i="84" s="1"/>
  <c r="H5" i="84"/>
  <c r="AS22" i="84"/>
  <c r="I97" i="84"/>
  <c r="I99" i="84" s="1"/>
  <c r="H107" i="84"/>
  <c r="H108" i="84" s="1"/>
  <c r="H97" i="84"/>
  <c r="H99" i="84" s="1"/>
  <c r="AR22" i="84"/>
  <c r="F107" i="84"/>
  <c r="AQ23" i="84" s="1"/>
  <c r="F97" i="84"/>
  <c r="F99" i="84" s="1"/>
  <c r="AH123" i="84"/>
  <c r="E97" i="84"/>
  <c r="E99" i="84" s="1"/>
  <c r="D97" i="84"/>
  <c r="D99" i="84" s="1"/>
  <c r="D100" i="84" s="1"/>
  <c r="D7" i="84" s="1"/>
  <c r="AO22" i="84"/>
  <c r="C5" i="84"/>
  <c r="D108" i="84"/>
  <c r="AI104" i="84"/>
  <c r="B5" i="84"/>
  <c r="C97" i="84"/>
  <c r="C99" i="84" s="1"/>
  <c r="C100" i="84" s="1"/>
  <c r="C7" i="84" s="1"/>
  <c r="AI62" i="84"/>
  <c r="AN17" i="84"/>
  <c r="C108" i="84"/>
  <c r="AI105" i="84"/>
  <c r="B108" i="84"/>
  <c r="B97" i="84"/>
  <c r="B99" i="84" s="1"/>
  <c r="B100" i="84" s="1"/>
  <c r="AM16" i="84"/>
  <c r="AH104" i="84"/>
  <c r="AI101" i="84"/>
  <c r="AL13" i="84"/>
  <c r="BE22" i="84"/>
  <c r="AI103" i="84"/>
  <c r="D252" i="84"/>
  <c r="E247" i="84"/>
  <c r="G107" i="84"/>
  <c r="O107" i="84"/>
  <c r="AE107" i="84"/>
  <c r="AF5" i="84"/>
  <c r="AM19" i="84"/>
  <c r="AI92" i="84"/>
  <c r="I5" i="84"/>
  <c r="Q5" i="84"/>
  <c r="R108" i="84"/>
  <c r="AZ19" i="84"/>
  <c r="AZ22" i="84" s="1"/>
  <c r="AZ24" i="84" s="1"/>
  <c r="Y5" i="84"/>
  <c r="AH92" i="84"/>
  <c r="AI102" i="84"/>
  <c r="AI58" i="84"/>
  <c r="J97" i="84"/>
  <c r="J99" i="84" s="1"/>
  <c r="R97" i="84"/>
  <c r="R99" i="84" s="1"/>
  <c r="R100" i="84" s="1"/>
  <c r="R7" i="84" s="1"/>
  <c r="AM20" i="84"/>
  <c r="AI80" i="84"/>
  <c r="AH80" i="84"/>
  <c r="AN22" i="84"/>
  <c r="BJ22" i="84"/>
  <c r="BJ24" i="84" s="1"/>
  <c r="AM18" i="84"/>
  <c r="AI76" i="84"/>
  <c r="AH76" i="84"/>
  <c r="G97" i="84"/>
  <c r="G99" i="84" s="1"/>
  <c r="AN23" i="84"/>
  <c r="BA23" i="84"/>
  <c r="E251" i="84"/>
  <c r="O97" i="84"/>
  <c r="O99" i="84" s="1"/>
  <c r="AO23" i="84"/>
  <c r="BB23" i="84"/>
  <c r="AB108" i="84"/>
  <c r="BG23" i="84"/>
  <c r="E107" i="84"/>
  <c r="AP23" i="84" s="1"/>
  <c r="M107" i="84"/>
  <c r="AU23" i="84" s="1"/>
  <c r="BC23" i="84"/>
  <c r="AC107" i="84"/>
  <c r="AC108" i="84" s="1"/>
  <c r="G246" i="84"/>
  <c r="F108" i="84"/>
  <c r="N108" i="84"/>
  <c r="AM17" i="84"/>
  <c r="AQ19" i="84"/>
  <c r="AQ22" i="84" s="1"/>
  <c r="AY19" i="84"/>
  <c r="AY22" i="84" s="1"/>
  <c r="AY24" i="84" s="1"/>
  <c r="AH101" i="84"/>
  <c r="D5" i="84"/>
  <c r="L5" i="84"/>
  <c r="T5" i="84"/>
  <c r="AB5" i="84"/>
  <c r="AP16" i="84"/>
  <c r="AP22" i="84" s="1"/>
  <c r="BF16" i="84"/>
  <c r="BF22" i="84" s="1"/>
  <c r="BH19" i="84"/>
  <c r="AH102" i="84"/>
  <c r="AH58" i="84"/>
  <c r="AH62" i="84"/>
  <c r="AH103" i="84"/>
  <c r="AU19" i="84"/>
  <c r="BC19" i="84"/>
  <c r="AH105" i="84"/>
  <c r="AF107" i="83"/>
  <c r="AF108" i="83" s="1"/>
  <c r="AF97" i="83"/>
  <c r="AF99" i="83" s="1"/>
  <c r="AE107" i="83"/>
  <c r="BI23" i="83" s="1"/>
  <c r="AE97" i="83"/>
  <c r="AE99" i="83" s="1"/>
  <c r="AE100" i="83" s="1"/>
  <c r="AE7" i="83" s="1"/>
  <c r="BI22" i="83"/>
  <c r="BI24" i="83" s="1"/>
  <c r="AE108" i="83"/>
  <c r="AD97" i="83"/>
  <c r="AD99" i="83" s="1"/>
  <c r="AD100" i="83" s="1"/>
  <c r="AD7" i="83" s="1"/>
  <c r="BH22" i="83"/>
  <c r="AD108" i="83"/>
  <c r="AC5" i="83"/>
  <c r="AC108" i="83"/>
  <c r="AC97" i="83"/>
  <c r="AC99" i="83" s="1"/>
  <c r="AC100" i="83" s="1"/>
  <c r="BG19" i="83"/>
  <c r="AB97" i="83"/>
  <c r="AB99" i="83" s="1"/>
  <c r="AB100" i="83" s="1"/>
  <c r="AB7" i="83" s="1"/>
  <c r="AA97" i="83"/>
  <c r="AA99" i="83" s="1"/>
  <c r="AA107" i="83"/>
  <c r="BF19" i="83"/>
  <c r="BF22" i="83" s="1"/>
  <c r="BF24" i="83" s="1"/>
  <c r="Y107" i="83"/>
  <c r="Y108" i="83"/>
  <c r="Y97" i="83"/>
  <c r="Y99" i="83" s="1"/>
  <c r="X97" i="83"/>
  <c r="X99" i="83" s="1"/>
  <c r="W97" i="83"/>
  <c r="W99" i="83" s="1"/>
  <c r="W107" i="83"/>
  <c r="U5" i="83"/>
  <c r="V97" i="83"/>
  <c r="V99" i="83" s="1"/>
  <c r="BD22" i="83"/>
  <c r="AI80" i="83"/>
  <c r="T5" i="83"/>
  <c r="T97" i="83"/>
  <c r="T99" i="83" s="1"/>
  <c r="T100" i="83" s="1"/>
  <c r="T7" i="83" s="1"/>
  <c r="S107" i="83"/>
  <c r="BA23" i="83" s="1"/>
  <c r="S97" i="83"/>
  <c r="S99" i="83" s="1"/>
  <c r="S100" i="83" s="1"/>
  <c r="S7" i="83" s="1"/>
  <c r="R107" i="83"/>
  <c r="AZ23" i="83" s="1"/>
  <c r="AZ19" i="83"/>
  <c r="AZ22" i="83" s="1"/>
  <c r="Q97" i="83"/>
  <c r="Q99" i="83" s="1"/>
  <c r="P97" i="83"/>
  <c r="P99" i="83" s="1"/>
  <c r="AX16" i="83"/>
  <c r="O107" i="83"/>
  <c r="AW23" i="83" s="1"/>
  <c r="AW19" i="83"/>
  <c r="O97" i="83"/>
  <c r="O99" i="83" s="1"/>
  <c r="O100" i="83" s="1"/>
  <c r="O7" i="83" s="1"/>
  <c r="AW16" i="83"/>
  <c r="N97" i="83"/>
  <c r="N99" i="83" s="1"/>
  <c r="AV18" i="83"/>
  <c r="L5" i="83"/>
  <c r="L97" i="83"/>
  <c r="L99" i="83" s="1"/>
  <c r="L100" i="83" s="1"/>
  <c r="L7" i="83" s="1"/>
  <c r="AI123" i="83"/>
  <c r="K107" i="83"/>
  <c r="AT23" i="83" s="1"/>
  <c r="AI57" i="83"/>
  <c r="AI103" i="83"/>
  <c r="AS19" i="83"/>
  <c r="I97" i="83"/>
  <c r="I99" i="83" s="1"/>
  <c r="AS18" i="83"/>
  <c r="AS22" i="83" s="1"/>
  <c r="AH123" i="83"/>
  <c r="H97" i="83"/>
  <c r="H99" i="83" s="1"/>
  <c r="G107" i="83"/>
  <c r="AR23" i="83" s="1"/>
  <c r="AR19" i="83"/>
  <c r="AR22" i="83" s="1"/>
  <c r="AR24" i="83" s="1"/>
  <c r="AH57" i="83"/>
  <c r="AI101" i="83"/>
  <c r="E5" i="83"/>
  <c r="AQ22" i="83"/>
  <c r="F97" i="83"/>
  <c r="F99" i="83" s="1"/>
  <c r="D5" i="83"/>
  <c r="AP22" i="83"/>
  <c r="D107" i="83"/>
  <c r="AO23" i="83" s="1"/>
  <c r="D97" i="83"/>
  <c r="D99" i="83" s="1"/>
  <c r="AI105" i="83"/>
  <c r="AH101" i="83"/>
  <c r="C107" i="83"/>
  <c r="AN23" i="83" s="1"/>
  <c r="C97" i="83"/>
  <c r="C99" i="83" s="1"/>
  <c r="C100" i="83" s="1"/>
  <c r="C7" i="83" s="1"/>
  <c r="B107" i="83"/>
  <c r="B108" i="83" s="1"/>
  <c r="B97" i="83"/>
  <c r="B99" i="83" s="1"/>
  <c r="B100" i="83" s="1"/>
  <c r="AM22" i="83"/>
  <c r="AL13" i="83"/>
  <c r="BB22" i="83"/>
  <c r="BB24" i="83" s="1"/>
  <c r="AY23" i="83"/>
  <c r="Q108" i="83"/>
  <c r="Q100" i="83"/>
  <c r="Q7" i="83" s="1"/>
  <c r="Y100" i="83"/>
  <c r="Y7" i="83" s="1"/>
  <c r="K97" i="83"/>
  <c r="K99" i="83" s="1"/>
  <c r="K100" i="83" s="1"/>
  <c r="K7" i="83" s="1"/>
  <c r="AA108" i="83"/>
  <c r="AW22" i="83"/>
  <c r="AW24" i="83" s="1"/>
  <c r="AI58" i="83"/>
  <c r="J97" i="83"/>
  <c r="J99" i="83" s="1"/>
  <c r="J100" i="83" s="1"/>
  <c r="J7" i="83" s="1"/>
  <c r="R97" i="83"/>
  <c r="R99" i="83" s="1"/>
  <c r="R100" i="83" s="1"/>
  <c r="R7" i="83" s="1"/>
  <c r="Z97" i="83"/>
  <c r="Z99" i="83" s="1"/>
  <c r="Z100" i="83" s="1"/>
  <c r="Z7" i="83" s="1"/>
  <c r="AH76" i="83"/>
  <c r="AH80" i="83"/>
  <c r="AH92" i="83"/>
  <c r="AO19" i="83"/>
  <c r="AO22" i="83" s="1"/>
  <c r="AO24" i="83" s="1"/>
  <c r="T108" i="83"/>
  <c r="BB19" i="83"/>
  <c r="AB108" i="83"/>
  <c r="AG97" i="83"/>
  <c r="E107" i="83"/>
  <c r="AP23" i="83" s="1"/>
  <c r="AP24" i="83" s="1"/>
  <c r="M107" i="83"/>
  <c r="AU23" i="83" s="1"/>
  <c r="U107" i="83"/>
  <c r="BC23" i="83" s="1"/>
  <c r="AC7" i="83"/>
  <c r="AT19" i="83"/>
  <c r="AT22" i="83" s="1"/>
  <c r="AT24" i="83" s="1"/>
  <c r="K108" i="83"/>
  <c r="C5" i="83"/>
  <c r="AN19" i="83"/>
  <c r="AN22" i="83" s="1"/>
  <c r="AX19" i="83"/>
  <c r="AX22" i="83" s="1"/>
  <c r="AX24" i="83" s="1"/>
  <c r="AU22" i="83"/>
  <c r="BC22" i="83"/>
  <c r="E97" i="83"/>
  <c r="E99" i="83" s="1"/>
  <c r="U97" i="83"/>
  <c r="U99" i="83" s="1"/>
  <c r="F107" i="83"/>
  <c r="N107" i="83"/>
  <c r="V107" i="83"/>
  <c r="I107" i="83"/>
  <c r="AI76" i="83"/>
  <c r="S108" i="83"/>
  <c r="BA19" i="83"/>
  <c r="BA22" i="83" s="1"/>
  <c r="BA24" i="83" s="1"/>
  <c r="AI92" i="83"/>
  <c r="B5" i="83"/>
  <c r="L108" i="83"/>
  <c r="Z5" i="83"/>
  <c r="G97" i="83"/>
  <c r="G99" i="83" s="1"/>
  <c r="G108" i="83"/>
  <c r="O108" i="83"/>
  <c r="W108" i="83"/>
  <c r="H107" i="83"/>
  <c r="H100" i="83" s="1"/>
  <c r="H7" i="83" s="1"/>
  <c r="P107" i="83"/>
  <c r="AX23" i="83" s="1"/>
  <c r="X107" i="83"/>
  <c r="BE23" i="83" s="1"/>
  <c r="BJ23" i="83"/>
  <c r="J108" i="83"/>
  <c r="Z108" i="83"/>
  <c r="AI62" i="83"/>
  <c r="BE19" i="83"/>
  <c r="BE22" i="83" s="1"/>
  <c r="W5" i="83"/>
  <c r="AE5" i="83"/>
  <c r="BJ19" i="83"/>
  <c r="BJ22" i="83" s="1"/>
  <c r="AH105" i="83"/>
  <c r="D252" i="83"/>
  <c r="E246" i="83"/>
  <c r="S5" i="83"/>
  <c r="AV22" i="83"/>
  <c r="AY22" i="83"/>
  <c r="M97" i="83"/>
  <c r="M99" i="83" s="1"/>
  <c r="AI104" i="83"/>
  <c r="BG16" i="83"/>
  <c r="BG22" i="83" s="1"/>
  <c r="BG24" i="83" s="1"/>
  <c r="AH58" i="83"/>
  <c r="AH62" i="83"/>
  <c r="AH103" i="83"/>
  <c r="AH104" i="83"/>
  <c r="AE107" i="82"/>
  <c r="AE108" i="82" s="1"/>
  <c r="AE97" i="82"/>
  <c r="AE99" i="82" s="1"/>
  <c r="AE100" i="82" s="1"/>
  <c r="AD107" i="82"/>
  <c r="AD108" i="82" s="1"/>
  <c r="AD97" i="82"/>
  <c r="AD99" i="82" s="1"/>
  <c r="AD100" i="82" s="1"/>
  <c r="Q107" i="82"/>
  <c r="Q97" i="82"/>
  <c r="Q99" i="82" s="1"/>
  <c r="Q100" i="82" s="1"/>
  <c r="Q108" i="82"/>
  <c r="B7" i="85" l="1"/>
  <c r="A7" i="85" s="1"/>
  <c r="AI100" i="85"/>
  <c r="AH100" i="85"/>
  <c r="H251" i="85"/>
  <c r="G118" i="85"/>
  <c r="G252" i="85"/>
  <c r="J246" i="85"/>
  <c r="BH22" i="84"/>
  <c r="AE100" i="84"/>
  <c r="AE7" i="84" s="1"/>
  <c r="AA100" i="84"/>
  <c r="BF24" i="84"/>
  <c r="Y100" i="84"/>
  <c r="Y7" i="84" s="1"/>
  <c r="Y108" i="84"/>
  <c r="BE24" i="84"/>
  <c r="BB22" i="84"/>
  <c r="AC100" i="84"/>
  <c r="AC7" i="84" s="1"/>
  <c r="J100" i="84"/>
  <c r="J7" i="84" s="1"/>
  <c r="AF100" i="84"/>
  <c r="AF7" i="84" s="1"/>
  <c r="AF108" i="84"/>
  <c r="AT23" i="84"/>
  <c r="AT24" i="84" s="1"/>
  <c r="F100" i="84"/>
  <c r="F7" i="84" s="1"/>
  <c r="BD24" i="84"/>
  <c r="Q108" i="84"/>
  <c r="AA7" i="84"/>
  <c r="BG24" i="84"/>
  <c r="BH24" i="84"/>
  <c r="AD108" i="84"/>
  <c r="BA24" i="84"/>
  <c r="Q100" i="84"/>
  <c r="Q7" i="84" s="1"/>
  <c r="P108" i="84"/>
  <c r="P100" i="84"/>
  <c r="P7" i="84" s="1"/>
  <c r="AV22" i="84"/>
  <c r="AV24" i="84" s="1"/>
  <c r="N100" i="84"/>
  <c r="N7" i="84" s="1"/>
  <c r="AS24" i="84"/>
  <c r="BC22" i="84"/>
  <c r="BC24" i="84" s="1"/>
  <c r="AQ24" i="84"/>
  <c r="E100" i="84"/>
  <c r="E7" i="84" s="1"/>
  <c r="V7" i="84"/>
  <c r="AU22" i="84"/>
  <c r="AU24" i="84" s="1"/>
  <c r="I108" i="84"/>
  <c r="H100" i="84"/>
  <c r="H7" i="84" s="1"/>
  <c r="K100" i="84"/>
  <c r="K7" i="84" s="1"/>
  <c r="E108" i="84"/>
  <c r="O100" i="84"/>
  <c r="O7" i="84" s="1"/>
  <c r="I100" i="84"/>
  <c r="I7" i="84" s="1"/>
  <c r="L100" i="84"/>
  <c r="L7" i="84" s="1"/>
  <c r="M108" i="84"/>
  <c r="AO24" i="84"/>
  <c r="AI97" i="84"/>
  <c r="AH97" i="84"/>
  <c r="O108" i="84"/>
  <c r="AW23" i="84"/>
  <c r="AW24" i="84" s="1"/>
  <c r="BB24" i="84"/>
  <c r="G108" i="84"/>
  <c r="AR23" i="84"/>
  <c r="AR24" i="84" s="1"/>
  <c r="H246" i="84"/>
  <c r="W7" i="84"/>
  <c r="AM23" i="84"/>
  <c r="AI107" i="84"/>
  <c r="AH107" i="84"/>
  <c r="AP24" i="84"/>
  <c r="U7" i="84"/>
  <c r="F251" i="84"/>
  <c r="E118" i="84"/>
  <c r="C256" i="84"/>
  <c r="G100" i="84"/>
  <c r="G7" i="84" s="1"/>
  <c r="B256" i="84"/>
  <c r="AE108" i="84"/>
  <c r="BI23" i="84"/>
  <c r="BI24" i="84" s="1"/>
  <c r="F247" i="84"/>
  <c r="E252" i="84"/>
  <c r="AM22" i="84"/>
  <c r="M100" i="84"/>
  <c r="M7" i="84" s="1"/>
  <c r="AN24" i="84"/>
  <c r="AF100" i="83"/>
  <c r="AF7" i="83" s="1"/>
  <c r="BJ24" i="83"/>
  <c r="AA100" i="83"/>
  <c r="AA7" i="83" s="1"/>
  <c r="BE24" i="83"/>
  <c r="W100" i="83"/>
  <c r="W7" i="83" s="1"/>
  <c r="V100" i="83"/>
  <c r="V7" i="83" s="1"/>
  <c r="U100" i="83"/>
  <c r="U7" i="83" s="1"/>
  <c r="AZ24" i="83"/>
  <c r="R108" i="83"/>
  <c r="AY24" i="83"/>
  <c r="N100" i="83"/>
  <c r="N7" i="83" s="1"/>
  <c r="M100" i="83"/>
  <c r="M7" i="83" s="1"/>
  <c r="H108" i="83"/>
  <c r="F100" i="83"/>
  <c r="F7" i="83" s="1"/>
  <c r="AI107" i="83"/>
  <c r="D100" i="83"/>
  <c r="D7" i="83" s="1"/>
  <c r="D108" i="83"/>
  <c r="AH107" i="83"/>
  <c r="C108" i="83"/>
  <c r="AN24" i="83"/>
  <c r="AM23" i="83"/>
  <c r="AM24" i="83" s="1"/>
  <c r="AW28" i="83"/>
  <c r="E100" i="83"/>
  <c r="E7" i="83" s="1"/>
  <c r="AS23" i="83"/>
  <c r="AS24" i="83" s="1"/>
  <c r="I108" i="83"/>
  <c r="U108" i="83"/>
  <c r="C256" i="83"/>
  <c r="B256" i="83"/>
  <c r="G100" i="83"/>
  <c r="G7" i="83" s="1"/>
  <c r="BH23" i="83"/>
  <c r="BH24" i="83" s="1"/>
  <c r="M108" i="83"/>
  <c r="P100" i="83"/>
  <c r="P7" i="83" s="1"/>
  <c r="AI97" i="83"/>
  <c r="AH97" i="83"/>
  <c r="BD23" i="83"/>
  <c r="BD24" i="83" s="1"/>
  <c r="V108" i="83"/>
  <c r="E108" i="83"/>
  <c r="X108" i="83"/>
  <c r="F246" i="83"/>
  <c r="E252" i="83"/>
  <c r="E118" i="83"/>
  <c r="AV23" i="83"/>
  <c r="AV24" i="83" s="1"/>
  <c r="N108" i="83"/>
  <c r="BC24" i="83"/>
  <c r="I100" i="83"/>
  <c r="I7" i="83" s="1"/>
  <c r="P108" i="83"/>
  <c r="AQ23" i="83"/>
  <c r="AQ24" i="83" s="1"/>
  <c r="F108" i="83"/>
  <c r="AU24" i="83"/>
  <c r="X100" i="83"/>
  <c r="X7" i="83" s="1"/>
  <c r="I251" i="85" l="1"/>
  <c r="H252" i="85"/>
  <c r="H118" i="85"/>
  <c r="K246" i="85"/>
  <c r="AI108" i="84"/>
  <c r="AH108" i="84"/>
  <c r="AR8" i="84"/>
  <c r="AM24" i="84"/>
  <c r="AR9" i="84" s="1"/>
  <c r="G251" i="84"/>
  <c r="F118" i="84"/>
  <c r="G247" i="84"/>
  <c r="F252" i="84"/>
  <c r="I246" i="84"/>
  <c r="AH99" i="84"/>
  <c r="AI99" i="84"/>
  <c r="K6" i="84"/>
  <c r="AI108" i="83"/>
  <c r="AW29" i="83"/>
  <c r="AH99" i="83"/>
  <c r="AI99" i="83"/>
  <c r="AH108" i="83"/>
  <c r="G246" i="83"/>
  <c r="F252" i="83"/>
  <c r="F118" i="83"/>
  <c r="K6" i="83"/>
  <c r="L246" i="85" l="1"/>
  <c r="J251" i="85"/>
  <c r="I252" i="85"/>
  <c r="I118" i="85"/>
  <c r="J246" i="84"/>
  <c r="H247" i="84"/>
  <c r="G252" i="84"/>
  <c r="B7" i="84"/>
  <c r="A7" i="84" s="1"/>
  <c r="AI100" i="84"/>
  <c r="AH100" i="84"/>
  <c r="H251" i="84"/>
  <c r="G118" i="84"/>
  <c r="H246" i="83"/>
  <c r="G252" i="83"/>
  <c r="G118" i="83"/>
  <c r="AI100" i="83"/>
  <c r="AH100" i="83"/>
  <c r="B7" i="83"/>
  <c r="A7" i="83" s="1"/>
  <c r="K251" i="85" l="1"/>
  <c r="J252" i="85"/>
  <c r="J118" i="85"/>
  <c r="M246" i="85"/>
  <c r="I247" i="84"/>
  <c r="H252" i="84"/>
  <c r="K246" i="84"/>
  <c r="I251" i="84"/>
  <c r="H118" i="84"/>
  <c r="I246" i="83"/>
  <c r="H252" i="83"/>
  <c r="H118" i="83"/>
  <c r="N246" i="85" l="1"/>
  <c r="L251" i="85"/>
  <c r="K252" i="85"/>
  <c r="K118" i="85"/>
  <c r="J251" i="84"/>
  <c r="I118" i="84"/>
  <c r="L246" i="84"/>
  <c r="J247" i="84"/>
  <c r="I252" i="84"/>
  <c r="I252" i="83"/>
  <c r="I118" i="83"/>
  <c r="J246" i="83"/>
  <c r="M251" i="85" l="1"/>
  <c r="L252" i="85"/>
  <c r="L118" i="85"/>
  <c r="O246" i="85"/>
  <c r="K247" i="84"/>
  <c r="J252" i="84"/>
  <c r="M246" i="84"/>
  <c r="K251" i="84"/>
  <c r="J118" i="84"/>
  <c r="J252" i="83"/>
  <c r="J118" i="83"/>
  <c r="K246" i="83"/>
  <c r="P246" i="85" l="1"/>
  <c r="N251" i="85"/>
  <c r="M252" i="85"/>
  <c r="M118" i="85"/>
  <c r="L251" i="84"/>
  <c r="K118" i="84"/>
  <c r="N246" i="84"/>
  <c r="L247" i="84"/>
  <c r="K252" i="84"/>
  <c r="K252" i="83"/>
  <c r="K118" i="83"/>
  <c r="L246" i="83"/>
  <c r="O251" i="85" l="1"/>
  <c r="N118" i="85"/>
  <c r="N252" i="85"/>
  <c r="Q246" i="85"/>
  <c r="M247" i="84"/>
  <c r="L252" i="84"/>
  <c r="O246" i="84"/>
  <c r="M251" i="84"/>
  <c r="L118" i="84"/>
  <c r="L252" i="83"/>
  <c r="L118" i="83"/>
  <c r="M246" i="83"/>
  <c r="R246" i="85" l="1"/>
  <c r="P251" i="85"/>
  <c r="O252" i="85"/>
  <c r="O118" i="85"/>
  <c r="N251" i="84"/>
  <c r="M118" i="84"/>
  <c r="P246" i="84"/>
  <c r="N247" i="84"/>
  <c r="M252" i="84"/>
  <c r="N246" i="83"/>
  <c r="M252" i="83"/>
  <c r="M118" i="83"/>
  <c r="Q251" i="85" l="1"/>
  <c r="P252" i="85"/>
  <c r="S246" i="85"/>
  <c r="O247" i="84"/>
  <c r="N252" i="84"/>
  <c r="Q246" i="84"/>
  <c r="O251" i="84"/>
  <c r="N118" i="84"/>
  <c r="O246" i="83"/>
  <c r="N252" i="83"/>
  <c r="N118" i="83"/>
  <c r="R251" i="85" l="1"/>
  <c r="Q252" i="85"/>
  <c r="Q118" i="85"/>
  <c r="T246" i="85"/>
  <c r="P251" i="84"/>
  <c r="Q251" i="84" s="1"/>
  <c r="R251" i="84" s="1"/>
  <c r="S251" i="84" s="1"/>
  <c r="T251" i="84" s="1"/>
  <c r="U251" i="84" s="1"/>
  <c r="V251" i="84" s="1"/>
  <c r="W251" i="84" s="1"/>
  <c r="X251" i="84" s="1"/>
  <c r="Y251" i="84" s="1"/>
  <c r="Z251" i="84" s="1"/>
  <c r="AA251" i="84" s="1"/>
  <c r="AB251" i="84" s="1"/>
  <c r="AC251" i="84" s="1"/>
  <c r="AD251" i="84" s="1"/>
  <c r="AE251" i="84" s="1"/>
  <c r="AF251" i="84" s="1"/>
  <c r="B251" i="84" s="1"/>
  <c r="O118" i="84"/>
  <c r="R246" i="84"/>
  <c r="P247" i="84"/>
  <c r="O252" i="84"/>
  <c r="P246" i="83"/>
  <c r="O252" i="83"/>
  <c r="O118" i="83"/>
  <c r="U246" i="85" l="1"/>
  <c r="S251" i="85"/>
  <c r="R118" i="85"/>
  <c r="R252" i="85"/>
  <c r="Q118" i="84"/>
  <c r="Q247" i="84"/>
  <c r="P252" i="84"/>
  <c r="R118" i="84"/>
  <c r="S246" i="84"/>
  <c r="S118" i="84" s="1"/>
  <c r="Q246" i="83"/>
  <c r="P252" i="83"/>
  <c r="T251" i="85" l="1"/>
  <c r="S252" i="85"/>
  <c r="V246" i="85"/>
  <c r="T246" i="84"/>
  <c r="R247" i="84"/>
  <c r="Q252" i="84"/>
  <c r="Q252" i="83"/>
  <c r="Q118" i="83"/>
  <c r="R246" i="83"/>
  <c r="W246" i="85" l="1"/>
  <c r="U251" i="85"/>
  <c r="T252" i="85"/>
  <c r="S247" i="84"/>
  <c r="R252" i="84"/>
  <c r="U246" i="84"/>
  <c r="R252" i="83"/>
  <c r="R118" i="83"/>
  <c r="S246" i="83"/>
  <c r="V251" i="85" l="1"/>
  <c r="U252" i="85"/>
  <c r="X246" i="85"/>
  <c r="V246" i="84"/>
  <c r="T247" i="84"/>
  <c r="S252" i="84"/>
  <c r="S252" i="83"/>
  <c r="S118" i="83"/>
  <c r="T246" i="83"/>
  <c r="Y246" i="85" l="1"/>
  <c r="W251" i="85"/>
  <c r="V252" i="85"/>
  <c r="U247" i="84"/>
  <c r="T252" i="84"/>
  <c r="W246" i="84"/>
  <c r="T252" i="83"/>
  <c r="T118" i="83"/>
  <c r="U246" i="83"/>
  <c r="X251" i="85" l="1"/>
  <c r="W252" i="85"/>
  <c r="Z246" i="85"/>
  <c r="X246" i="84"/>
  <c r="V247" i="84"/>
  <c r="U252" i="84"/>
  <c r="U118" i="83"/>
  <c r="V246" i="83"/>
  <c r="U252" i="83"/>
  <c r="AA246" i="85" l="1"/>
  <c r="Y251" i="85"/>
  <c r="X252" i="85"/>
  <c r="W247" i="84"/>
  <c r="V252" i="84"/>
  <c r="Y246" i="84"/>
  <c r="W246" i="83"/>
  <c r="V252" i="83"/>
  <c r="V118" i="83"/>
  <c r="Z251" i="85" l="1"/>
  <c r="Y252" i="85"/>
  <c r="AB246" i="85"/>
  <c r="Z246" i="84"/>
  <c r="X247" i="84"/>
  <c r="W252" i="84"/>
  <c r="X246" i="83"/>
  <c r="W252" i="83"/>
  <c r="W118" i="83"/>
  <c r="AC246" i="85" l="1"/>
  <c r="AA251" i="85"/>
  <c r="Z252" i="85"/>
  <c r="Y247" i="84"/>
  <c r="X252" i="84"/>
  <c r="AA246" i="84"/>
  <c r="Y246" i="83"/>
  <c r="X252" i="83"/>
  <c r="X118" i="83"/>
  <c r="AB251" i="85" l="1"/>
  <c r="AA118" i="85"/>
  <c r="AA252" i="85"/>
  <c r="AD246" i="85"/>
  <c r="AB246" i="84"/>
  <c r="Z247" i="84"/>
  <c r="Y252" i="84"/>
  <c r="Y252" i="83"/>
  <c r="Z246" i="83"/>
  <c r="AE246" i="85" l="1"/>
  <c r="AC251" i="85"/>
  <c r="AB252" i="85"/>
  <c r="AB118" i="85"/>
  <c r="AA247" i="84"/>
  <c r="Z252" i="84"/>
  <c r="AB118" i="84"/>
  <c r="AC246" i="84"/>
  <c r="Z252" i="83"/>
  <c r="AA246" i="83"/>
  <c r="AD251" i="85" l="1"/>
  <c r="AC252" i="85"/>
  <c r="AC118" i="85"/>
  <c r="AF246" i="85"/>
  <c r="AC118" i="84"/>
  <c r="AD246" i="84"/>
  <c r="AB247" i="84"/>
  <c r="AA252" i="84"/>
  <c r="AA252" i="83"/>
  <c r="AA118" i="83"/>
  <c r="AB246" i="83"/>
  <c r="B246" i="85" l="1"/>
  <c r="AE251" i="85"/>
  <c r="AD252" i="85"/>
  <c r="AD118" i="85"/>
  <c r="AE246" i="84"/>
  <c r="AD118" i="84"/>
  <c r="AC247" i="84"/>
  <c r="AB252" i="84"/>
  <c r="AB252" i="83"/>
  <c r="AB118" i="83"/>
  <c r="AC246" i="83"/>
  <c r="AF251" i="85" l="1"/>
  <c r="AE118" i="85"/>
  <c r="AE252" i="85"/>
  <c r="AD247" i="84"/>
  <c r="AC252" i="84"/>
  <c r="AF246" i="84"/>
  <c r="AE118" i="84"/>
  <c r="AD246" i="83"/>
  <c r="AC252" i="83"/>
  <c r="B251" i="85" l="1"/>
  <c r="AF118" i="85"/>
  <c r="AF252" i="85"/>
  <c r="AF118" i="84"/>
  <c r="B246" i="84"/>
  <c r="B118" i="84" s="1"/>
  <c r="AE247" i="84"/>
  <c r="AD252" i="84"/>
  <c r="AE246" i="83"/>
  <c r="AD252" i="83"/>
  <c r="B252" i="85" l="1"/>
  <c r="B118" i="85"/>
  <c r="AF247" i="84"/>
  <c r="AE252" i="84"/>
  <c r="AF246" i="83"/>
  <c r="AE252" i="83"/>
  <c r="AI118" i="85" l="1"/>
  <c r="AH118" i="85"/>
  <c r="AI118" i="84"/>
  <c r="AH118" i="84"/>
  <c r="B247" i="84"/>
  <c r="B252" i="84" s="1"/>
  <c r="AF252" i="84"/>
  <c r="AF252" i="83"/>
  <c r="B246" i="83"/>
  <c r="B252" i="83" l="1"/>
  <c r="AI118" i="83" l="1"/>
  <c r="AH118" i="83"/>
  <c r="M123" i="82" l="1"/>
  <c r="M57" i="82"/>
  <c r="K123" i="82"/>
  <c r="L123" i="82"/>
  <c r="J123" i="82"/>
  <c r="I123" i="82"/>
  <c r="H123" i="82"/>
  <c r="G123" i="82"/>
  <c r="F123" i="82"/>
  <c r="E123" i="82"/>
  <c r="D123" i="82"/>
  <c r="C123" i="82"/>
  <c r="B123" i="82"/>
  <c r="AG252" i="82"/>
  <c r="AG75" i="82" s="1"/>
  <c r="AG76" i="82" s="1"/>
  <c r="AG3" i="82" s="1"/>
  <c r="C252" i="82"/>
  <c r="D251" i="82"/>
  <c r="D118" i="82" s="1"/>
  <c r="D250" i="82"/>
  <c r="E250" i="82" s="1"/>
  <c r="F250" i="82" s="1"/>
  <c r="G250" i="82" s="1"/>
  <c r="H250" i="82" s="1"/>
  <c r="I250" i="82" s="1"/>
  <c r="J250" i="82" s="1"/>
  <c r="K250" i="82" s="1"/>
  <c r="L250" i="82" s="1"/>
  <c r="M250" i="82" s="1"/>
  <c r="N250" i="82" s="1"/>
  <c r="O250" i="82" s="1"/>
  <c r="P250" i="82" s="1"/>
  <c r="Q250" i="82" s="1"/>
  <c r="R250" i="82" s="1"/>
  <c r="S250" i="82" s="1"/>
  <c r="T250" i="82" s="1"/>
  <c r="U250" i="82" s="1"/>
  <c r="V250" i="82" s="1"/>
  <c r="W250" i="82" s="1"/>
  <c r="X250" i="82" s="1"/>
  <c r="Y250" i="82" s="1"/>
  <c r="Z250" i="82" s="1"/>
  <c r="AA250" i="82" s="1"/>
  <c r="AB250" i="82" s="1"/>
  <c r="AC250" i="82" s="1"/>
  <c r="AD250" i="82" s="1"/>
  <c r="AE250" i="82" s="1"/>
  <c r="AF250" i="82" s="1"/>
  <c r="B250" i="82" s="1"/>
  <c r="D249" i="82"/>
  <c r="E249" i="82" s="1"/>
  <c r="F249" i="82" s="1"/>
  <c r="G249" i="82" s="1"/>
  <c r="H249" i="82" s="1"/>
  <c r="I249" i="82" s="1"/>
  <c r="J249" i="82" s="1"/>
  <c r="K249" i="82" s="1"/>
  <c r="L249" i="82" s="1"/>
  <c r="M249" i="82" s="1"/>
  <c r="N249" i="82" s="1"/>
  <c r="O249" i="82" s="1"/>
  <c r="P249" i="82" s="1"/>
  <c r="Q249" i="82" s="1"/>
  <c r="R249" i="82" s="1"/>
  <c r="S249" i="82" s="1"/>
  <c r="T249" i="82" s="1"/>
  <c r="U249" i="82" s="1"/>
  <c r="V249" i="82" s="1"/>
  <c r="W249" i="82" s="1"/>
  <c r="X249" i="82" s="1"/>
  <c r="Y249" i="82" s="1"/>
  <c r="Z249" i="82" s="1"/>
  <c r="AA249" i="82" s="1"/>
  <c r="AB249" i="82" s="1"/>
  <c r="AC249" i="82" s="1"/>
  <c r="AD249" i="82" s="1"/>
  <c r="AE249" i="82" s="1"/>
  <c r="AF249" i="82" s="1"/>
  <c r="B249" i="82" s="1"/>
  <c r="D248" i="82"/>
  <c r="E248" i="82" s="1"/>
  <c r="F248" i="82" s="1"/>
  <c r="G248" i="82" s="1"/>
  <c r="H248" i="82" s="1"/>
  <c r="I248" i="82" s="1"/>
  <c r="J248" i="82" s="1"/>
  <c r="K248" i="82" s="1"/>
  <c r="L248" i="82" s="1"/>
  <c r="M248" i="82" s="1"/>
  <c r="N248" i="82" s="1"/>
  <c r="O248" i="82" s="1"/>
  <c r="P248" i="82" s="1"/>
  <c r="Q248" i="82" s="1"/>
  <c r="R248" i="82" s="1"/>
  <c r="S248" i="82" s="1"/>
  <c r="T248" i="82" s="1"/>
  <c r="U248" i="82" s="1"/>
  <c r="V248" i="82" s="1"/>
  <c r="W248" i="82" s="1"/>
  <c r="X248" i="82" s="1"/>
  <c r="Y248" i="82" s="1"/>
  <c r="Z248" i="82" s="1"/>
  <c r="AA248" i="82" s="1"/>
  <c r="AB248" i="82" s="1"/>
  <c r="AC248" i="82" s="1"/>
  <c r="AD248" i="82" s="1"/>
  <c r="AE248" i="82" s="1"/>
  <c r="AF248" i="82" s="1"/>
  <c r="B248" i="82" s="1"/>
  <c r="J247" i="82"/>
  <c r="K247" i="82" s="1"/>
  <c r="L247" i="82" s="1"/>
  <c r="M247" i="82" s="1"/>
  <c r="N247" i="82" s="1"/>
  <c r="O247" i="82" s="1"/>
  <c r="P247" i="82" s="1"/>
  <c r="Q247" i="82" s="1"/>
  <c r="R247" i="82" s="1"/>
  <c r="S247" i="82" s="1"/>
  <c r="T247" i="82" s="1"/>
  <c r="U247" i="82" s="1"/>
  <c r="V247" i="82" s="1"/>
  <c r="W247" i="82" s="1"/>
  <c r="X247" i="82" s="1"/>
  <c r="Y247" i="82" s="1"/>
  <c r="Z247" i="82" s="1"/>
  <c r="AA247" i="82" s="1"/>
  <c r="AB247" i="82" s="1"/>
  <c r="AC247" i="82" s="1"/>
  <c r="AD247" i="82" s="1"/>
  <c r="AE247" i="82" s="1"/>
  <c r="AF247" i="82" s="1"/>
  <c r="B247" i="82" s="1"/>
  <c r="D247" i="82"/>
  <c r="E247" i="82" s="1"/>
  <c r="F247" i="82" s="1"/>
  <c r="G247" i="82" s="1"/>
  <c r="H247" i="82" s="1"/>
  <c r="I247" i="82" s="1"/>
  <c r="D246" i="82"/>
  <c r="AG244" i="82"/>
  <c r="AF244" i="82"/>
  <c r="AE244" i="82"/>
  <c r="AD244" i="82"/>
  <c r="AC244" i="82"/>
  <c r="AB244" i="82"/>
  <c r="AA244" i="82"/>
  <c r="Z244" i="82"/>
  <c r="Y244" i="82"/>
  <c r="Y118" i="82" s="1"/>
  <c r="X244" i="82"/>
  <c r="W244" i="82"/>
  <c r="V244" i="82"/>
  <c r="U244" i="82"/>
  <c r="T244" i="82"/>
  <c r="S244" i="82"/>
  <c r="R244" i="82"/>
  <c r="Q244" i="82"/>
  <c r="P244" i="82"/>
  <c r="O244" i="82"/>
  <c r="N244" i="82"/>
  <c r="M244" i="82"/>
  <c r="L244" i="82"/>
  <c r="K244" i="82"/>
  <c r="J244" i="82"/>
  <c r="I244" i="82"/>
  <c r="H244" i="82"/>
  <c r="G244" i="82"/>
  <c r="F244" i="82"/>
  <c r="E244" i="82"/>
  <c r="D244" i="82"/>
  <c r="C244" i="82"/>
  <c r="B244" i="82"/>
  <c r="AI130" i="82"/>
  <c r="AH130" i="82"/>
  <c r="AI129" i="82"/>
  <c r="AH129" i="82"/>
  <c r="AI128" i="82"/>
  <c r="AH128" i="82"/>
  <c r="AI127" i="82"/>
  <c r="AH127" i="82"/>
  <c r="AI126" i="82"/>
  <c r="AH126" i="82"/>
  <c r="AH123" i="82"/>
  <c r="AI122" i="82"/>
  <c r="AH122" i="82"/>
  <c r="AI121" i="82"/>
  <c r="AH121" i="82"/>
  <c r="AI120" i="82"/>
  <c r="AH120" i="82"/>
  <c r="AI119" i="82"/>
  <c r="AH119" i="82"/>
  <c r="Z118" i="82"/>
  <c r="AI117" i="82"/>
  <c r="AH117" i="82"/>
  <c r="AI116" i="82"/>
  <c r="AH116" i="82"/>
  <c r="AI115" i="82"/>
  <c r="AH115" i="82"/>
  <c r="AI114" i="82"/>
  <c r="AH114" i="82"/>
  <c r="AI113" i="82"/>
  <c r="AH113" i="82"/>
  <c r="AI112" i="82"/>
  <c r="AH112" i="82"/>
  <c r="AI111" i="82"/>
  <c r="AH111" i="82"/>
  <c r="AI110" i="82"/>
  <c r="AH110" i="82"/>
  <c r="AI109" i="82"/>
  <c r="AH109" i="82"/>
  <c r="AI106" i="82"/>
  <c r="AH106" i="82"/>
  <c r="AF105" i="82"/>
  <c r="AC105" i="82"/>
  <c r="AB105" i="82"/>
  <c r="AA105" i="82"/>
  <c r="Z105" i="82"/>
  <c r="Y105" i="82"/>
  <c r="X105" i="82"/>
  <c r="W105" i="82"/>
  <c r="V105" i="82"/>
  <c r="U105" i="82"/>
  <c r="T105" i="82"/>
  <c r="S105" i="82"/>
  <c r="R105" i="82"/>
  <c r="P105" i="82"/>
  <c r="O105" i="82"/>
  <c r="N105" i="82"/>
  <c r="M105" i="82"/>
  <c r="L105" i="82"/>
  <c r="K105" i="82"/>
  <c r="J105" i="82"/>
  <c r="I105" i="82"/>
  <c r="H105" i="82"/>
  <c r="G105" i="82"/>
  <c r="F105" i="82"/>
  <c r="E105" i="82"/>
  <c r="D105" i="82"/>
  <c r="C105" i="82"/>
  <c r="B105" i="82"/>
  <c r="AF104" i="82"/>
  <c r="AC104" i="82"/>
  <c r="AB104" i="82"/>
  <c r="AA104" i="82"/>
  <c r="Z104" i="82"/>
  <c r="Y104" i="82"/>
  <c r="X104" i="82"/>
  <c r="W104" i="82"/>
  <c r="V104" i="82"/>
  <c r="U104" i="82"/>
  <c r="T104" i="82"/>
  <c r="S104" i="82"/>
  <c r="R104" i="82"/>
  <c r="P104" i="82"/>
  <c r="O104" i="82"/>
  <c r="N104" i="82"/>
  <c r="M104" i="82"/>
  <c r="L104" i="82"/>
  <c r="K104" i="82"/>
  <c r="J104" i="82"/>
  <c r="I104" i="82"/>
  <c r="H104" i="82"/>
  <c r="G104" i="82"/>
  <c r="F104" i="82"/>
  <c r="E104" i="82"/>
  <c r="D104" i="82"/>
  <c r="C104" i="82"/>
  <c r="B104" i="82"/>
  <c r="AF103" i="82"/>
  <c r="AC103" i="82"/>
  <c r="AB103" i="82"/>
  <c r="AA103" i="82"/>
  <c r="Z103" i="82"/>
  <c r="Y103" i="82"/>
  <c r="X103" i="82"/>
  <c r="W103" i="82"/>
  <c r="V103" i="82"/>
  <c r="U103" i="82"/>
  <c r="T103" i="82"/>
  <c r="S103" i="82"/>
  <c r="R103" i="82"/>
  <c r="P103" i="82"/>
  <c r="O103" i="82"/>
  <c r="N103" i="82"/>
  <c r="M103" i="82"/>
  <c r="L103" i="82"/>
  <c r="K103" i="82"/>
  <c r="J103" i="82"/>
  <c r="I103" i="82"/>
  <c r="H103" i="82"/>
  <c r="G103" i="82"/>
  <c r="F103" i="82"/>
  <c r="E103" i="82"/>
  <c r="D103" i="82"/>
  <c r="C103" i="82"/>
  <c r="B103" i="82"/>
  <c r="AF102" i="82"/>
  <c r="BI23" i="82"/>
  <c r="AC102" i="82"/>
  <c r="AB102" i="82"/>
  <c r="AA102" i="82"/>
  <c r="Z102" i="82"/>
  <c r="Y102" i="82"/>
  <c r="X102" i="82"/>
  <c r="W102" i="82"/>
  <c r="V102" i="82"/>
  <c r="U102" i="82"/>
  <c r="T102" i="82"/>
  <c r="S102" i="82"/>
  <c r="R102" i="82"/>
  <c r="P102" i="82"/>
  <c r="O102" i="82"/>
  <c r="N102" i="82"/>
  <c r="M102" i="82"/>
  <c r="L102" i="82"/>
  <c r="K102" i="82"/>
  <c r="J102" i="82"/>
  <c r="I102" i="82"/>
  <c r="H102" i="82"/>
  <c r="G102" i="82"/>
  <c r="F102" i="82"/>
  <c r="E102" i="82"/>
  <c r="D102" i="82"/>
  <c r="C102" i="82"/>
  <c r="B102" i="82"/>
  <c r="AF101" i="82"/>
  <c r="AC101" i="82"/>
  <c r="AB101" i="82"/>
  <c r="AA101" i="82"/>
  <c r="AA107" i="82" s="1"/>
  <c r="Z101" i="82"/>
  <c r="Y101" i="82"/>
  <c r="Y107" i="82" s="1"/>
  <c r="X101" i="82"/>
  <c r="W101" i="82"/>
  <c r="V101" i="82"/>
  <c r="U101" i="82"/>
  <c r="T101" i="82"/>
  <c r="S101" i="82"/>
  <c r="S107" i="82" s="1"/>
  <c r="BA23" i="82" s="1"/>
  <c r="R101" i="82"/>
  <c r="AY23" i="82"/>
  <c r="P101" i="82"/>
  <c r="O101" i="82"/>
  <c r="N101" i="82"/>
  <c r="M101" i="82"/>
  <c r="L101" i="82"/>
  <c r="K101" i="82"/>
  <c r="J101" i="82"/>
  <c r="I101" i="82"/>
  <c r="H101" i="82"/>
  <c r="G101" i="82"/>
  <c r="F101" i="82"/>
  <c r="E101" i="82"/>
  <c r="D101" i="82"/>
  <c r="C101" i="82"/>
  <c r="C107" i="82" s="1"/>
  <c r="AN23" i="82" s="1"/>
  <c r="B101" i="82"/>
  <c r="AI98" i="82"/>
  <c r="AH98" i="82"/>
  <c r="AI96" i="82"/>
  <c r="AH96" i="82"/>
  <c r="AG96" i="82"/>
  <c r="AI95" i="82"/>
  <c r="AH95" i="82"/>
  <c r="AI94" i="82"/>
  <c r="AH94" i="82"/>
  <c r="AI93" i="82"/>
  <c r="AH93" i="82"/>
  <c r="AG92" i="82"/>
  <c r="AF92" i="82"/>
  <c r="BI19" i="82"/>
  <c r="BH19" i="82"/>
  <c r="AC92" i="82"/>
  <c r="AB5" i="82" s="1"/>
  <c r="AB92" i="82"/>
  <c r="BG19" i="82" s="1"/>
  <c r="AA92" i="82"/>
  <c r="Z5" i="82" s="1"/>
  <c r="Z92" i="82"/>
  <c r="BF19" i="82" s="1"/>
  <c r="Y92" i="82"/>
  <c r="X5" i="82" s="1"/>
  <c r="X92" i="82"/>
  <c r="W5" i="82" s="1"/>
  <c r="W92" i="82"/>
  <c r="V5" i="82" s="1"/>
  <c r="V92" i="82"/>
  <c r="BD19" i="82" s="1"/>
  <c r="U92" i="82"/>
  <c r="BC19" i="82" s="1"/>
  <c r="T92" i="82"/>
  <c r="S5" i="82" s="1"/>
  <c r="S92" i="82"/>
  <c r="BA19" i="82" s="1"/>
  <c r="R92" i="82"/>
  <c r="P92" i="82"/>
  <c r="O5" i="82" s="1"/>
  <c r="O92" i="82"/>
  <c r="N5" i="82" s="1"/>
  <c r="N92" i="82"/>
  <c r="M5" i="82" s="1"/>
  <c r="M92" i="82"/>
  <c r="AU19" i="82" s="1"/>
  <c r="L92" i="82"/>
  <c r="K5" i="82" s="1"/>
  <c r="K92" i="82"/>
  <c r="AT19" i="82" s="1"/>
  <c r="J92" i="82"/>
  <c r="I92" i="82"/>
  <c r="H5" i="82" s="1"/>
  <c r="H92" i="82"/>
  <c r="G5" i="82" s="1"/>
  <c r="G92" i="82"/>
  <c r="F5" i="82" s="1"/>
  <c r="F92" i="82"/>
  <c r="E5" i="82" s="1"/>
  <c r="E92" i="82"/>
  <c r="AP19" i="82" s="1"/>
  <c r="D92" i="82"/>
  <c r="C5" i="82" s="1"/>
  <c r="C92" i="82"/>
  <c r="AN19" i="82" s="1"/>
  <c r="B92" i="82"/>
  <c r="AF5" i="82" s="1"/>
  <c r="AI91" i="82"/>
  <c r="AH91" i="82"/>
  <c r="AI90" i="82"/>
  <c r="AH90" i="82"/>
  <c r="AI89" i="82"/>
  <c r="AH89" i="82"/>
  <c r="AI88" i="82"/>
  <c r="AH88" i="82"/>
  <c r="AI87" i="82"/>
  <c r="AH87" i="82"/>
  <c r="AI86" i="82"/>
  <c r="AH86" i="82"/>
  <c r="AI85" i="82"/>
  <c r="AH85" i="82"/>
  <c r="AI84" i="82"/>
  <c r="AH84" i="82"/>
  <c r="AI83" i="82"/>
  <c r="AH83" i="82"/>
  <c r="AI82" i="82"/>
  <c r="AH82" i="82"/>
  <c r="AI81" i="82"/>
  <c r="AH81" i="82"/>
  <c r="AG80" i="82"/>
  <c r="AF80" i="82"/>
  <c r="BI20" i="82"/>
  <c r="AC80" i="82"/>
  <c r="AB80" i="82"/>
  <c r="BG20" i="82" s="1"/>
  <c r="AA80" i="82"/>
  <c r="Z80" i="82"/>
  <c r="BF20" i="82" s="1"/>
  <c r="Y80" i="82"/>
  <c r="X80" i="82"/>
  <c r="BE20" i="82" s="1"/>
  <c r="W80" i="82"/>
  <c r="V80" i="82"/>
  <c r="U80" i="82"/>
  <c r="BC20" i="82" s="1"/>
  <c r="T80" i="82"/>
  <c r="BB20" i="82" s="1"/>
  <c r="S80" i="82"/>
  <c r="R80" i="82"/>
  <c r="P80" i="82"/>
  <c r="AX20" i="82" s="1"/>
  <c r="O80" i="82"/>
  <c r="AW20" i="82" s="1"/>
  <c r="N80" i="82"/>
  <c r="M80" i="82"/>
  <c r="AU20" i="82" s="1"/>
  <c r="L80" i="82"/>
  <c r="K80" i="82"/>
  <c r="J80" i="82"/>
  <c r="I80" i="82"/>
  <c r="H80" i="82"/>
  <c r="G80" i="82"/>
  <c r="F80" i="82"/>
  <c r="E80" i="82"/>
  <c r="AP20" i="82" s="1"/>
  <c r="D80" i="82"/>
  <c r="AO20" i="82" s="1"/>
  <c r="C80" i="82"/>
  <c r="B80" i="82"/>
  <c r="AI79" i="82"/>
  <c r="AH79" i="82"/>
  <c r="AI78" i="82"/>
  <c r="AH78" i="82"/>
  <c r="AI77" i="82"/>
  <c r="AH77" i="82"/>
  <c r="AF76" i="82"/>
  <c r="BJ18" i="82" s="1"/>
  <c r="AC76" i="82"/>
  <c r="AB76" i="82"/>
  <c r="BG18" i="82" s="1"/>
  <c r="AA76" i="82"/>
  <c r="Z76" i="82"/>
  <c r="BF18" i="82" s="1"/>
  <c r="Y76" i="82"/>
  <c r="X76" i="82"/>
  <c r="BE18" i="82" s="1"/>
  <c r="W76" i="82"/>
  <c r="V76" i="82"/>
  <c r="BD18" i="82" s="1"/>
  <c r="U76" i="82"/>
  <c r="BC18" i="82" s="1"/>
  <c r="T76" i="82"/>
  <c r="BB18" i="82" s="1"/>
  <c r="S76" i="82"/>
  <c r="BA18" i="82" s="1"/>
  <c r="R76" i="82"/>
  <c r="AZ18" i="82" s="1"/>
  <c r="AY18" i="82"/>
  <c r="P76" i="82"/>
  <c r="AX18" i="82" s="1"/>
  <c r="O76" i="82"/>
  <c r="AW18" i="82" s="1"/>
  <c r="N76" i="82"/>
  <c r="AV18" i="82" s="1"/>
  <c r="M76" i="82"/>
  <c r="AU18" i="82" s="1"/>
  <c r="L76" i="82"/>
  <c r="K76" i="82"/>
  <c r="AT18" i="82" s="1"/>
  <c r="J76" i="82"/>
  <c r="I76" i="82"/>
  <c r="AS18" i="82" s="1"/>
  <c r="H76" i="82"/>
  <c r="G76" i="82"/>
  <c r="F76" i="82"/>
  <c r="AQ18" i="82" s="1"/>
  <c r="E76" i="82"/>
  <c r="AP18" i="82" s="1"/>
  <c r="D76" i="82"/>
  <c r="AO18" i="82" s="1"/>
  <c r="C76" i="82"/>
  <c r="B76" i="82"/>
  <c r="AI75" i="82"/>
  <c r="AH75" i="82"/>
  <c r="AI74" i="82"/>
  <c r="AH74" i="82"/>
  <c r="AI73" i="82"/>
  <c r="AH73" i="82"/>
  <c r="AI72" i="82"/>
  <c r="AH72" i="82"/>
  <c r="AI71" i="82"/>
  <c r="AH71" i="82"/>
  <c r="AI70" i="82"/>
  <c r="AH70" i="82"/>
  <c r="AI69" i="82"/>
  <c r="AH69" i="82"/>
  <c r="AI68" i="82"/>
  <c r="AH68" i="82"/>
  <c r="AI67" i="82"/>
  <c r="AH67" i="82"/>
  <c r="AI66" i="82"/>
  <c r="AH66" i="82"/>
  <c r="AI65" i="82"/>
  <c r="AH65" i="82"/>
  <c r="AI64" i="82"/>
  <c r="AH64" i="82"/>
  <c r="AI63" i="82"/>
  <c r="AH63" i="82"/>
  <c r="AG62" i="82"/>
  <c r="AF62" i="82"/>
  <c r="BI17" i="82"/>
  <c r="AC62" i="82"/>
  <c r="AB62" i="82"/>
  <c r="BG17" i="82" s="1"/>
  <c r="AA62" i="82"/>
  <c r="Z62" i="82"/>
  <c r="BF17" i="82" s="1"/>
  <c r="Y62" i="82"/>
  <c r="X62" i="82"/>
  <c r="W62" i="82"/>
  <c r="V62" i="82"/>
  <c r="U62" i="82"/>
  <c r="BC17" i="82" s="1"/>
  <c r="T62" i="82"/>
  <c r="BB17" i="82" s="1"/>
  <c r="S62" i="82"/>
  <c r="R62" i="82"/>
  <c r="AZ17" i="82" s="1"/>
  <c r="P62" i="82"/>
  <c r="AX17" i="82" s="1"/>
  <c r="O62" i="82"/>
  <c r="AW17" i="82" s="1"/>
  <c r="N62" i="82"/>
  <c r="AV17" i="82" s="1"/>
  <c r="M62" i="82"/>
  <c r="AU17" i="82" s="1"/>
  <c r="L62" i="82"/>
  <c r="K62" i="82"/>
  <c r="AT17" i="82" s="1"/>
  <c r="J62" i="82"/>
  <c r="I62" i="82"/>
  <c r="AS17" i="82" s="1"/>
  <c r="H62" i="82"/>
  <c r="G62" i="82"/>
  <c r="AR17" i="82" s="1"/>
  <c r="F62" i="82"/>
  <c r="AQ17" i="82" s="1"/>
  <c r="E62" i="82"/>
  <c r="AP17" i="82" s="1"/>
  <c r="D62" i="82"/>
  <c r="AO17" i="82" s="1"/>
  <c r="C62" i="82"/>
  <c r="AN17" i="82" s="1"/>
  <c r="B62" i="82"/>
  <c r="AI61" i="82"/>
  <c r="AH61" i="82"/>
  <c r="AI60" i="82"/>
  <c r="AH60" i="82"/>
  <c r="AI59" i="82"/>
  <c r="AH59" i="82"/>
  <c r="AG58" i="82"/>
  <c r="AF58" i="82"/>
  <c r="BI16" i="82"/>
  <c r="AC58" i="82"/>
  <c r="AB58" i="82"/>
  <c r="BG16" i="82" s="1"/>
  <c r="AA58" i="82"/>
  <c r="Z58" i="82"/>
  <c r="BF16" i="82" s="1"/>
  <c r="Y58" i="82"/>
  <c r="X58" i="82"/>
  <c r="BE16" i="82" s="1"/>
  <c r="W58" i="82"/>
  <c r="V58" i="82"/>
  <c r="BD16" i="82" s="1"/>
  <c r="U58" i="82"/>
  <c r="BC16" i="82" s="1"/>
  <c r="T58" i="82"/>
  <c r="BB16" i="82" s="1"/>
  <c r="S58" i="82"/>
  <c r="R58" i="82"/>
  <c r="P58" i="82"/>
  <c r="AX16" i="82" s="1"/>
  <c r="O58" i="82"/>
  <c r="AW16" i="82" s="1"/>
  <c r="N58" i="82"/>
  <c r="AV16" i="82" s="1"/>
  <c r="M58" i="82"/>
  <c r="AU16" i="82" s="1"/>
  <c r="L58" i="82"/>
  <c r="K58" i="82"/>
  <c r="J58" i="82"/>
  <c r="I58" i="82"/>
  <c r="H58" i="82"/>
  <c r="G58" i="82"/>
  <c r="F58" i="82"/>
  <c r="E58" i="82"/>
  <c r="AP16" i="82" s="1"/>
  <c r="D58" i="82"/>
  <c r="AO16" i="82" s="1"/>
  <c r="C58" i="82"/>
  <c r="B58" i="82"/>
  <c r="AI57" i="82"/>
  <c r="AH57" i="82"/>
  <c r="AI56" i="82"/>
  <c r="AH56" i="82"/>
  <c r="AI55" i="82"/>
  <c r="AH55" i="82"/>
  <c r="AI54" i="82"/>
  <c r="AH54" i="82"/>
  <c r="AI53" i="82"/>
  <c r="AH53" i="82"/>
  <c r="AI52" i="82"/>
  <c r="AH52" i="82"/>
  <c r="AI51" i="82"/>
  <c r="AH51" i="82"/>
  <c r="AI50" i="82"/>
  <c r="AH50" i="82"/>
  <c r="AI49" i="82"/>
  <c r="AH49" i="82"/>
  <c r="AI48" i="82"/>
  <c r="AH48" i="82"/>
  <c r="AI47" i="82"/>
  <c r="AH47" i="82"/>
  <c r="AI46" i="82"/>
  <c r="AH46" i="82"/>
  <c r="AI45" i="82"/>
  <c r="AH45" i="82"/>
  <c r="AI44" i="82"/>
  <c r="AH44" i="82"/>
  <c r="AI43" i="82"/>
  <c r="AH43" i="82"/>
  <c r="AI42" i="82"/>
  <c r="AH42" i="82"/>
  <c r="AI41" i="82"/>
  <c r="AH41" i="82"/>
  <c r="AI40" i="82"/>
  <c r="AH40" i="82"/>
  <c r="AI39" i="82"/>
  <c r="AH39" i="82"/>
  <c r="AI38" i="82"/>
  <c r="AH38" i="82"/>
  <c r="AI37" i="82"/>
  <c r="AH37" i="82"/>
  <c r="AI36" i="82"/>
  <c r="AH36" i="82"/>
  <c r="AI35" i="82"/>
  <c r="AH35" i="82"/>
  <c r="AI34" i="82"/>
  <c r="AH34" i="82"/>
  <c r="AI33" i="82"/>
  <c r="AH33" i="82"/>
  <c r="AI32" i="82"/>
  <c r="AH32" i="82"/>
  <c r="AI31" i="82"/>
  <c r="AH31" i="82"/>
  <c r="AI30" i="82"/>
  <c r="AH30" i="82"/>
  <c r="AI29" i="82"/>
  <c r="AH29" i="82"/>
  <c r="AI28" i="82"/>
  <c r="AH28" i="82"/>
  <c r="AI27" i="82"/>
  <c r="AH27" i="82"/>
  <c r="AI26" i="82"/>
  <c r="AH26" i="82"/>
  <c r="AI25" i="82"/>
  <c r="AH25" i="82"/>
  <c r="AI24" i="82"/>
  <c r="AH24" i="82"/>
  <c r="AI23" i="82"/>
  <c r="AH23" i="82"/>
  <c r="AI22" i="82"/>
  <c r="AH22" i="82"/>
  <c r="BJ21" i="82"/>
  <c r="BI21" i="82"/>
  <c r="BH21" i="82"/>
  <c r="BG21" i="82"/>
  <c r="BF21" i="82"/>
  <c r="BE21" i="82"/>
  <c r="BD21" i="82"/>
  <c r="BC21" i="82"/>
  <c r="BB21" i="82"/>
  <c r="BA21" i="82"/>
  <c r="AZ21" i="82"/>
  <c r="AY21" i="82"/>
  <c r="AX21" i="82"/>
  <c r="AW21" i="82"/>
  <c r="AV21" i="82"/>
  <c r="AU21" i="82"/>
  <c r="AT21" i="82"/>
  <c r="AS21" i="82"/>
  <c r="AR21" i="82"/>
  <c r="AQ21" i="82"/>
  <c r="AP21" i="82"/>
  <c r="AO21" i="82"/>
  <c r="AN21" i="82"/>
  <c r="AM21" i="82"/>
  <c r="AI21" i="82"/>
  <c r="AH21" i="82"/>
  <c r="BJ20" i="82"/>
  <c r="BH20" i="82"/>
  <c r="BD20" i="82"/>
  <c r="BA20" i="82"/>
  <c r="AZ20" i="82"/>
  <c r="AY20" i="82"/>
  <c r="AV20" i="82"/>
  <c r="AT20" i="82"/>
  <c r="AS20" i="82"/>
  <c r="AR20" i="82"/>
  <c r="AQ20" i="82"/>
  <c r="AN20" i="82"/>
  <c r="AI20" i="82"/>
  <c r="AH20" i="82"/>
  <c r="AI19" i="82"/>
  <c r="AH19" i="82"/>
  <c r="BI18" i="82"/>
  <c r="BH18" i="82"/>
  <c r="AR18" i="82"/>
  <c r="AN18" i="82"/>
  <c r="AI18" i="82"/>
  <c r="AH18" i="82"/>
  <c r="BJ17" i="82"/>
  <c r="BH17" i="82"/>
  <c r="BE17" i="82"/>
  <c r="BD17" i="82"/>
  <c r="BA17" i="82"/>
  <c r="AY17" i="82"/>
  <c r="AM17" i="82"/>
  <c r="AI17" i="82"/>
  <c r="AH17" i="82"/>
  <c r="BJ16" i="82"/>
  <c r="BH16" i="82"/>
  <c r="AQ16" i="82"/>
  <c r="AN16" i="82"/>
  <c r="AI16" i="82"/>
  <c r="AH16" i="82"/>
  <c r="AI15" i="82"/>
  <c r="AH15" i="82"/>
  <c r="AI14" i="82"/>
  <c r="AH14" i="82"/>
  <c r="AI13" i="82"/>
  <c r="AH13" i="82"/>
  <c r="AL12" i="82"/>
  <c r="AI12" i="82"/>
  <c r="AH12" i="82"/>
  <c r="AI11" i="82"/>
  <c r="AH11" i="82"/>
  <c r="P5" i="82"/>
  <c r="AG4" i="82"/>
  <c r="K4" i="82"/>
  <c r="E4" i="82"/>
  <c r="H4" i="82" s="1"/>
  <c r="B4" i="82"/>
  <c r="D258" i="82" s="1"/>
  <c r="AG2" i="82"/>
  <c r="AF123" i="81"/>
  <c r="AE123" i="81"/>
  <c r="AD123" i="81"/>
  <c r="AC123" i="81"/>
  <c r="AB123" i="81"/>
  <c r="AA123" i="81"/>
  <c r="Z123" i="81"/>
  <c r="Y57" i="81"/>
  <c r="X123" i="81"/>
  <c r="W58" i="81"/>
  <c r="X58" i="81"/>
  <c r="W62" i="81"/>
  <c r="X62" i="81"/>
  <c r="W76" i="81"/>
  <c r="X76" i="81"/>
  <c r="W80" i="81"/>
  <c r="X80" i="81"/>
  <c r="W92" i="81"/>
  <c r="X92" i="81"/>
  <c r="W101" i="81"/>
  <c r="X101" i="81"/>
  <c r="W102" i="81"/>
  <c r="X102" i="81"/>
  <c r="W103" i="81"/>
  <c r="X103" i="81"/>
  <c r="W104" i="81"/>
  <c r="X104" i="81"/>
  <c r="W105" i="81"/>
  <c r="X105" i="81"/>
  <c r="W123" i="81"/>
  <c r="V123" i="81"/>
  <c r="V58" i="81"/>
  <c r="V62" i="81"/>
  <c r="V76" i="81"/>
  <c r="V80" i="81"/>
  <c r="V92" i="81"/>
  <c r="V101" i="81"/>
  <c r="V102" i="81"/>
  <c r="V103" i="81"/>
  <c r="V104" i="81"/>
  <c r="V105" i="81"/>
  <c r="V107" i="81" l="1"/>
  <c r="AC97" i="82"/>
  <c r="AC99" i="82" s="1"/>
  <c r="AA5" i="82"/>
  <c r="AA97" i="82"/>
  <c r="AA99" i="82" s="1"/>
  <c r="BF22" i="82"/>
  <c r="W107" i="82"/>
  <c r="T5" i="82"/>
  <c r="BB19" i="82"/>
  <c r="R5" i="82"/>
  <c r="S97" i="82"/>
  <c r="S99" i="82" s="1"/>
  <c r="R97" i="82"/>
  <c r="R99" i="82" s="1"/>
  <c r="R100" i="82" s="1"/>
  <c r="R7" i="82" s="1"/>
  <c r="AX19" i="82"/>
  <c r="O107" i="82"/>
  <c r="AW23" i="82" s="1"/>
  <c r="J5" i="82"/>
  <c r="K107" i="82"/>
  <c r="AT23" i="82" s="1"/>
  <c r="K97" i="82"/>
  <c r="K99" i="82" s="1"/>
  <c r="K100" i="82" s="1"/>
  <c r="K7" i="82" s="1"/>
  <c r="J97" i="82"/>
  <c r="J99" i="82" s="1"/>
  <c r="AS19" i="82"/>
  <c r="I107" i="82"/>
  <c r="AS23" i="82" s="1"/>
  <c r="AZ16" i="82"/>
  <c r="BA16" i="82"/>
  <c r="BA22" i="82" s="1"/>
  <c r="BA24" i="82" s="1"/>
  <c r="L97" i="82"/>
  <c r="L99" i="82" s="1"/>
  <c r="T97" i="82"/>
  <c r="T99" i="82" s="1"/>
  <c r="AB97" i="82"/>
  <c r="AB99" i="82" s="1"/>
  <c r="P108" i="82"/>
  <c r="AG99" i="82"/>
  <c r="AV19" i="82"/>
  <c r="AV22" i="82" s="1"/>
  <c r="Y108" i="82"/>
  <c r="AC5" i="82"/>
  <c r="BD22" i="82"/>
  <c r="AW19" i="82"/>
  <c r="AW22" i="82" s="1"/>
  <c r="AW24" i="82" s="1"/>
  <c r="N97" i="82"/>
  <c r="N99" i="82" s="1"/>
  <c r="V97" i="82"/>
  <c r="V99" i="82" s="1"/>
  <c r="AG6" i="82"/>
  <c r="U5" i="82"/>
  <c r="AD5" i="82"/>
  <c r="AX22" i="82"/>
  <c r="AX24" i="82" s="1"/>
  <c r="O97" i="82"/>
  <c r="O99" i="82" s="1"/>
  <c r="O100" i="82" s="1"/>
  <c r="O7" i="82" s="1"/>
  <c r="W97" i="82"/>
  <c r="W99" i="82" s="1"/>
  <c r="W100" i="82" s="1"/>
  <c r="W7" i="82" s="1"/>
  <c r="BI22" i="82"/>
  <c r="BI24" i="82" s="1"/>
  <c r="H107" i="82"/>
  <c r="H108" i="82" s="1"/>
  <c r="P107" i="82"/>
  <c r="AX23" i="82" s="1"/>
  <c r="X107" i="82"/>
  <c r="BE23" i="82" s="1"/>
  <c r="AF107" i="82"/>
  <c r="BJ23" i="82" s="1"/>
  <c r="AI123" i="82"/>
  <c r="BG22" i="82"/>
  <c r="AY19" i="82"/>
  <c r="AI102" i="82"/>
  <c r="J107" i="82"/>
  <c r="J100" i="82" s="1"/>
  <c r="J7" i="82" s="1"/>
  <c r="R107" i="82"/>
  <c r="AZ23" i="82" s="1"/>
  <c r="Z107" i="82"/>
  <c r="BF23" i="82" s="1"/>
  <c r="BF24" i="82" s="1"/>
  <c r="I97" i="82"/>
  <c r="I99" i="82" s="1"/>
  <c r="I100" i="82" s="1"/>
  <c r="I7" i="82" s="1"/>
  <c r="Q7" i="82"/>
  <c r="Y97" i="82"/>
  <c r="Y99" i="82" s="1"/>
  <c r="Y100" i="82" s="1"/>
  <c r="Y7" i="82" s="1"/>
  <c r="AI101" i="82"/>
  <c r="L107" i="82"/>
  <c r="L108" i="82" s="1"/>
  <c r="T107" i="82"/>
  <c r="BB23" i="82" s="1"/>
  <c r="AB107" i="82"/>
  <c r="BG23" i="82" s="1"/>
  <c r="S100" i="82"/>
  <c r="S7" i="82" s="1"/>
  <c r="AA100" i="82"/>
  <c r="AA7" i="82" s="1"/>
  <c r="W108" i="82"/>
  <c r="M97" i="82"/>
  <c r="M99" i="82" s="1"/>
  <c r="AY16" i="82"/>
  <c r="AT16" i="82"/>
  <c r="AT22" i="82" s="1"/>
  <c r="AT24" i="82" s="1"/>
  <c r="AS16" i="82"/>
  <c r="AS22" i="82" s="1"/>
  <c r="AS24" i="82" s="1"/>
  <c r="AR19" i="82"/>
  <c r="G107" i="82"/>
  <c r="AR23" i="82" s="1"/>
  <c r="G97" i="82"/>
  <c r="G99" i="82" s="1"/>
  <c r="G100" i="82" s="1"/>
  <c r="G7" i="82" s="1"/>
  <c r="AQ19" i="82"/>
  <c r="AH105" i="82"/>
  <c r="AQ22" i="82"/>
  <c r="F97" i="82"/>
  <c r="F99" i="82" s="1"/>
  <c r="AI104" i="82"/>
  <c r="AP22" i="82"/>
  <c r="E97" i="82"/>
  <c r="E99" i="82" s="1"/>
  <c r="AO19" i="82"/>
  <c r="AO22" i="82" s="1"/>
  <c r="AO24" i="82" s="1"/>
  <c r="D97" i="82"/>
  <c r="D99" i="82" s="1"/>
  <c r="C118" i="82"/>
  <c r="B5" i="82"/>
  <c r="C97" i="82"/>
  <c r="C99" i="82" s="1"/>
  <c r="C100" i="82" s="1"/>
  <c r="C7" i="82" s="1"/>
  <c r="AH76" i="82"/>
  <c r="AN22" i="82"/>
  <c r="AN24" i="82" s="1"/>
  <c r="AL13" i="82"/>
  <c r="BH22" i="82"/>
  <c r="AU22" i="82"/>
  <c r="BC22" i="82"/>
  <c r="G108" i="82"/>
  <c r="O108" i="82"/>
  <c r="D107" i="82"/>
  <c r="AO23" i="82" s="1"/>
  <c r="AH103" i="82"/>
  <c r="BE19" i="82"/>
  <c r="BE22" i="82" s="1"/>
  <c r="U97" i="82"/>
  <c r="U99" i="82" s="1"/>
  <c r="I108" i="82"/>
  <c r="AE5" i="82"/>
  <c r="AR16" i="82"/>
  <c r="AR22" i="82" s="1"/>
  <c r="AR24" i="82" s="1"/>
  <c r="BJ19" i="82"/>
  <c r="BJ22" i="82" s="1"/>
  <c r="BJ24" i="82" s="1"/>
  <c r="H97" i="82"/>
  <c r="H99" i="82" s="1"/>
  <c r="H100" i="82" s="1"/>
  <c r="H7" i="82" s="1"/>
  <c r="P97" i="82"/>
  <c r="P99" i="82" s="1"/>
  <c r="P100" i="82" s="1"/>
  <c r="P7" i="82" s="1"/>
  <c r="X97" i="82"/>
  <c r="X99" i="82" s="1"/>
  <c r="AF97" i="82"/>
  <c r="AF99" i="82" s="1"/>
  <c r="AF100" i="82" s="1"/>
  <c r="AF7" i="82" s="1"/>
  <c r="AI62" i="82"/>
  <c r="AM19" i="82"/>
  <c r="AI92" i="82"/>
  <c r="J108" i="82"/>
  <c r="I5" i="82"/>
  <c r="AZ19" i="82"/>
  <c r="AZ22" i="82" s="1"/>
  <c r="Q5" i="82"/>
  <c r="Y5" i="82"/>
  <c r="AH92" i="82"/>
  <c r="E107" i="82"/>
  <c r="AP23" i="82" s="1"/>
  <c r="M107" i="82"/>
  <c r="AU23" i="82" s="1"/>
  <c r="U107" i="82"/>
  <c r="BC23" i="82" s="1"/>
  <c r="AC107" i="82"/>
  <c r="AC108" i="82" s="1"/>
  <c r="AI105" i="82"/>
  <c r="D100" i="82"/>
  <c r="D7" i="82" s="1"/>
  <c r="BB22" i="82"/>
  <c r="AG97" i="82"/>
  <c r="AI80" i="82"/>
  <c r="AM20" i="82"/>
  <c r="AH80" i="82"/>
  <c r="C108" i="82"/>
  <c r="K108" i="82"/>
  <c r="S108" i="82"/>
  <c r="AA108" i="82"/>
  <c r="AE7" i="82"/>
  <c r="F107" i="82"/>
  <c r="N107" i="82"/>
  <c r="V107" i="82"/>
  <c r="AD7" i="82"/>
  <c r="AI58" i="82"/>
  <c r="AH58" i="82"/>
  <c r="B97" i="82"/>
  <c r="AM16" i="82"/>
  <c r="AM18" i="82"/>
  <c r="AI76" i="82"/>
  <c r="AI103" i="82"/>
  <c r="D252" i="82"/>
  <c r="AH101" i="82"/>
  <c r="B107" i="82"/>
  <c r="E251" i="82"/>
  <c r="F251" i="82" s="1"/>
  <c r="G251" i="82" s="1"/>
  <c r="H251" i="82" s="1"/>
  <c r="I251" i="82" s="1"/>
  <c r="J251" i="82" s="1"/>
  <c r="K251" i="82" s="1"/>
  <c r="L251" i="82" s="1"/>
  <c r="M251" i="82" s="1"/>
  <c r="N251" i="82" s="1"/>
  <c r="O251" i="82" s="1"/>
  <c r="P251" i="82" s="1"/>
  <c r="Q251" i="82" s="1"/>
  <c r="R251" i="82" s="1"/>
  <c r="S251" i="82" s="1"/>
  <c r="T251" i="82" s="1"/>
  <c r="U251" i="82" s="1"/>
  <c r="V251" i="82" s="1"/>
  <c r="W251" i="82" s="1"/>
  <c r="X251" i="82" s="1"/>
  <c r="Y251" i="82" s="1"/>
  <c r="Z251" i="82" s="1"/>
  <c r="AA251" i="82" s="1"/>
  <c r="AB251" i="82" s="1"/>
  <c r="AC251" i="82" s="1"/>
  <c r="AD251" i="82" s="1"/>
  <c r="AE251" i="82" s="1"/>
  <c r="AF251" i="82" s="1"/>
  <c r="B251" i="82" s="1"/>
  <c r="AH102" i="82"/>
  <c r="Z97" i="82"/>
  <c r="Z99" i="82" s="1"/>
  <c r="E246" i="82"/>
  <c r="AH62" i="82"/>
  <c r="D5" i="82"/>
  <c r="L5" i="82"/>
  <c r="AH104" i="82"/>
  <c r="W107" i="81"/>
  <c r="W108" i="81" s="1"/>
  <c r="W97" i="81"/>
  <c r="W99" i="81" s="1"/>
  <c r="X107" i="81"/>
  <c r="X108" i="81" s="1"/>
  <c r="X97" i="81"/>
  <c r="X99" i="81" s="1"/>
  <c r="V97" i="81"/>
  <c r="V99" i="81" s="1"/>
  <c r="V100" i="81" s="1"/>
  <c r="V108" i="81"/>
  <c r="W100" i="81" l="1"/>
  <c r="AF108" i="82"/>
  <c r="AC100" i="82"/>
  <c r="AC7" i="82" s="1"/>
  <c r="BE24" i="82"/>
  <c r="X100" i="82"/>
  <c r="X7" i="82" s="1"/>
  <c r="V100" i="82"/>
  <c r="V7" i="82" s="1"/>
  <c r="AY22" i="82"/>
  <c r="AY24" i="82" s="1"/>
  <c r="AU24" i="82"/>
  <c r="AB100" i="82"/>
  <c r="AB7" i="82" s="1"/>
  <c r="AM22" i="82"/>
  <c r="AM24" i="82" s="1"/>
  <c r="BB24" i="82"/>
  <c r="T100" i="82"/>
  <c r="T7" i="82" s="1"/>
  <c r="AB108" i="82"/>
  <c r="L100" i="82"/>
  <c r="L7" i="82" s="1"/>
  <c r="Z108" i="82"/>
  <c r="M100" i="82"/>
  <c r="M7" i="82" s="1"/>
  <c r="T108" i="82"/>
  <c r="Z100" i="82"/>
  <c r="Z7" i="82" s="1"/>
  <c r="R108" i="82"/>
  <c r="BG24" i="82"/>
  <c r="D108" i="82"/>
  <c r="AZ24" i="82"/>
  <c r="X108" i="82"/>
  <c r="AP24" i="82"/>
  <c r="E108" i="82"/>
  <c r="F108" i="82"/>
  <c r="AQ23" i="82"/>
  <c r="AQ24" i="82" s="1"/>
  <c r="U100" i="82"/>
  <c r="U7" i="82" s="1"/>
  <c r="U108" i="82"/>
  <c r="M108" i="82"/>
  <c r="AV23" i="82"/>
  <c r="AV24" i="82" s="1"/>
  <c r="N108" i="82"/>
  <c r="AM23" i="82"/>
  <c r="AI107" i="82"/>
  <c r="AH107" i="82"/>
  <c r="E100" i="82"/>
  <c r="E7" i="82" s="1"/>
  <c r="B108" i="82"/>
  <c r="B99" i="82"/>
  <c r="AI97" i="82"/>
  <c r="AH97" i="82"/>
  <c r="B256" i="82"/>
  <c r="BH23" i="82"/>
  <c r="BH24" i="82" s="1"/>
  <c r="N100" i="82"/>
  <c r="N7" i="82" s="1"/>
  <c r="F246" i="82"/>
  <c r="E252" i="82"/>
  <c r="E118" i="82"/>
  <c r="BD23" i="82"/>
  <c r="BD24" i="82" s="1"/>
  <c r="V108" i="82"/>
  <c r="F100" i="82"/>
  <c r="F7" i="82" s="1"/>
  <c r="BC24" i="82"/>
  <c r="C256" i="82"/>
  <c r="X100" i="81"/>
  <c r="G246" i="82" l="1"/>
  <c r="F252" i="82"/>
  <c r="F118" i="82"/>
  <c r="AI108" i="82"/>
  <c r="AH108" i="82"/>
  <c r="AH99" i="82"/>
  <c r="B100" i="82"/>
  <c r="AI99" i="82"/>
  <c r="K6" i="82"/>
  <c r="U58" i="81"/>
  <c r="U62" i="81"/>
  <c r="U76" i="81"/>
  <c r="U80" i="81"/>
  <c r="U92" i="81"/>
  <c r="U101" i="81"/>
  <c r="U102" i="81"/>
  <c r="U103" i="81"/>
  <c r="U104" i="81"/>
  <c r="U105" i="81"/>
  <c r="T58" i="81"/>
  <c r="T62" i="81"/>
  <c r="T76" i="81"/>
  <c r="T80" i="81"/>
  <c r="T92" i="81"/>
  <c r="T101" i="81"/>
  <c r="T102" i="81"/>
  <c r="T103" i="81"/>
  <c r="T104" i="81"/>
  <c r="T105" i="81"/>
  <c r="S58" i="81"/>
  <c r="S62" i="81"/>
  <c r="S76" i="81"/>
  <c r="S80" i="81"/>
  <c r="S92" i="81"/>
  <c r="S101" i="81"/>
  <c r="S102" i="81"/>
  <c r="S103" i="81"/>
  <c r="S104" i="81"/>
  <c r="S105" i="81"/>
  <c r="S121" i="81"/>
  <c r="S123" i="81"/>
  <c r="R123" i="81"/>
  <c r="R121" i="81"/>
  <c r="Q123" i="81"/>
  <c r="Q121" i="81"/>
  <c r="Q57" i="81"/>
  <c r="P123" i="81"/>
  <c r="P121" i="81"/>
  <c r="P57" i="81"/>
  <c r="O123" i="81"/>
  <c r="O121" i="81"/>
  <c r="O57" i="81"/>
  <c r="N123" i="81"/>
  <c r="N121" i="81"/>
  <c r="N57" i="81"/>
  <c r="T107" i="81" l="1"/>
  <c r="B7" i="82"/>
  <c r="A7" i="82" s="1"/>
  <c r="AI100" i="82"/>
  <c r="AH100" i="82"/>
  <c r="G252" i="82"/>
  <c r="G118" i="82"/>
  <c r="H246" i="82"/>
  <c r="U107" i="81"/>
  <c r="U108" i="81" s="1"/>
  <c r="U97" i="81"/>
  <c r="U99" i="81" s="1"/>
  <c r="T97" i="81"/>
  <c r="T99" i="81" s="1"/>
  <c r="T100" i="81" s="1"/>
  <c r="T108" i="81"/>
  <c r="S107" i="81"/>
  <c r="S108" i="81" s="1"/>
  <c r="S97" i="81"/>
  <c r="S99" i="81" s="1"/>
  <c r="S100" i="81" s="1"/>
  <c r="U100" i="81" l="1"/>
  <c r="I246" i="82"/>
  <c r="H252" i="82"/>
  <c r="H118" i="82"/>
  <c r="M123" i="81"/>
  <c r="M121" i="81"/>
  <c r="AH121" i="81" s="1"/>
  <c r="M57" i="81"/>
  <c r="AH57" i="81" s="1"/>
  <c r="L123" i="81"/>
  <c r="K123" i="81"/>
  <c r="K58" i="81"/>
  <c r="CT16" i="81" s="1"/>
  <c r="J123" i="81"/>
  <c r="I123" i="81"/>
  <c r="H123" i="81"/>
  <c r="G123" i="81"/>
  <c r="F123" i="81"/>
  <c r="F58" i="81"/>
  <c r="F62" i="81"/>
  <c r="E123" i="81"/>
  <c r="E58" i="81"/>
  <c r="E62" i="81"/>
  <c r="D123" i="81"/>
  <c r="C57" i="81"/>
  <c r="C123" i="81"/>
  <c r="C118" i="81" s="1"/>
  <c r="B123" i="81"/>
  <c r="AG252" i="81"/>
  <c r="C252" i="81"/>
  <c r="D251" i="81"/>
  <c r="E251" i="81" s="1"/>
  <c r="F251" i="81" s="1"/>
  <c r="G251" i="81" s="1"/>
  <c r="H251" i="81" s="1"/>
  <c r="I251" i="81" s="1"/>
  <c r="J251" i="81" s="1"/>
  <c r="K251" i="81" s="1"/>
  <c r="L251" i="81" s="1"/>
  <c r="M251" i="81" s="1"/>
  <c r="N251" i="81" s="1"/>
  <c r="O251" i="81" s="1"/>
  <c r="P251" i="81" s="1"/>
  <c r="Q251" i="81" s="1"/>
  <c r="R251" i="81" s="1"/>
  <c r="S251" i="81" s="1"/>
  <c r="T251" i="81" s="1"/>
  <c r="U251" i="81" s="1"/>
  <c r="V251" i="81" s="1"/>
  <c r="W251" i="81" s="1"/>
  <c r="X251" i="81" s="1"/>
  <c r="Y251" i="81" s="1"/>
  <c r="Z251" i="81" s="1"/>
  <c r="AA251" i="81" s="1"/>
  <c r="AB251" i="81" s="1"/>
  <c r="AC251" i="81" s="1"/>
  <c r="AD251" i="81" s="1"/>
  <c r="AE251" i="81" s="1"/>
  <c r="AF251" i="81" s="1"/>
  <c r="B251" i="81" s="1"/>
  <c r="D250" i="81"/>
  <c r="E250" i="81" s="1"/>
  <c r="F250" i="81" s="1"/>
  <c r="G250" i="81" s="1"/>
  <c r="H250" i="81" s="1"/>
  <c r="I250" i="81" s="1"/>
  <c r="J250" i="81" s="1"/>
  <c r="K250" i="81" s="1"/>
  <c r="L250" i="81" s="1"/>
  <c r="M250" i="81" s="1"/>
  <c r="N250" i="81" s="1"/>
  <c r="O250" i="81" s="1"/>
  <c r="P250" i="81" s="1"/>
  <c r="Q250" i="81" s="1"/>
  <c r="R250" i="81" s="1"/>
  <c r="S250" i="81" s="1"/>
  <c r="T250" i="81" s="1"/>
  <c r="U250" i="81" s="1"/>
  <c r="V250" i="81" s="1"/>
  <c r="W250" i="81" s="1"/>
  <c r="X250" i="81" s="1"/>
  <c r="Y250" i="81" s="1"/>
  <c r="Z250" i="81" s="1"/>
  <c r="AA250" i="81" s="1"/>
  <c r="AB250" i="81" s="1"/>
  <c r="AC250" i="81" s="1"/>
  <c r="AD250" i="81" s="1"/>
  <c r="AE250" i="81" s="1"/>
  <c r="AF250" i="81" s="1"/>
  <c r="B250" i="81" s="1"/>
  <c r="D249" i="81"/>
  <c r="E249" i="81" s="1"/>
  <c r="F249" i="81" s="1"/>
  <c r="G249" i="81" s="1"/>
  <c r="H249" i="81" s="1"/>
  <c r="I249" i="81" s="1"/>
  <c r="J249" i="81" s="1"/>
  <c r="K249" i="81" s="1"/>
  <c r="L249" i="81" s="1"/>
  <c r="M249" i="81" s="1"/>
  <c r="N249" i="81" s="1"/>
  <c r="O249" i="81" s="1"/>
  <c r="P249" i="81" s="1"/>
  <c r="Q249" i="81" s="1"/>
  <c r="R249" i="81" s="1"/>
  <c r="S249" i="81" s="1"/>
  <c r="T249" i="81" s="1"/>
  <c r="U249" i="81" s="1"/>
  <c r="V249" i="81" s="1"/>
  <c r="W249" i="81" s="1"/>
  <c r="X249" i="81" s="1"/>
  <c r="Y249" i="81" s="1"/>
  <c r="Z249" i="81" s="1"/>
  <c r="AA249" i="81" s="1"/>
  <c r="AB249" i="81" s="1"/>
  <c r="AC249" i="81" s="1"/>
  <c r="AD249" i="81" s="1"/>
  <c r="AE249" i="81" s="1"/>
  <c r="AF249" i="81" s="1"/>
  <c r="B249" i="81" s="1"/>
  <c r="D248" i="81"/>
  <c r="E248" i="81" s="1"/>
  <c r="F248" i="81" s="1"/>
  <c r="G248" i="81" s="1"/>
  <c r="H248" i="81" s="1"/>
  <c r="I248" i="81" s="1"/>
  <c r="J248" i="81" s="1"/>
  <c r="K248" i="81" s="1"/>
  <c r="L248" i="81" s="1"/>
  <c r="M248" i="81" s="1"/>
  <c r="N248" i="81" s="1"/>
  <c r="O248" i="81" s="1"/>
  <c r="P248" i="81" s="1"/>
  <c r="Q248" i="81" s="1"/>
  <c r="R248" i="81" s="1"/>
  <c r="S248" i="81" s="1"/>
  <c r="T248" i="81" s="1"/>
  <c r="U248" i="81" s="1"/>
  <c r="V248" i="81" s="1"/>
  <c r="W248" i="81" s="1"/>
  <c r="X248" i="81" s="1"/>
  <c r="Y248" i="81" s="1"/>
  <c r="Z248" i="81" s="1"/>
  <c r="AA248" i="81" s="1"/>
  <c r="AB248" i="81" s="1"/>
  <c r="AC248" i="81" s="1"/>
  <c r="AD248" i="81" s="1"/>
  <c r="AE248" i="81" s="1"/>
  <c r="AF248" i="81" s="1"/>
  <c r="B248" i="81" s="1"/>
  <c r="E247" i="81"/>
  <c r="F247" i="81" s="1"/>
  <c r="G247" i="81" s="1"/>
  <c r="H247" i="81" s="1"/>
  <c r="I247" i="81" s="1"/>
  <c r="J247" i="81" s="1"/>
  <c r="K247" i="81" s="1"/>
  <c r="L247" i="81" s="1"/>
  <c r="M247" i="81" s="1"/>
  <c r="N247" i="81" s="1"/>
  <c r="O247" i="81" s="1"/>
  <c r="P247" i="81" s="1"/>
  <c r="Q247" i="81" s="1"/>
  <c r="R247" i="81" s="1"/>
  <c r="S247" i="81" s="1"/>
  <c r="T247" i="81" s="1"/>
  <c r="U247" i="81" s="1"/>
  <c r="V247" i="81" s="1"/>
  <c r="W247" i="81" s="1"/>
  <c r="X247" i="81" s="1"/>
  <c r="Y247" i="81" s="1"/>
  <c r="Z247" i="81" s="1"/>
  <c r="AA247" i="81" s="1"/>
  <c r="AB247" i="81" s="1"/>
  <c r="AC247" i="81" s="1"/>
  <c r="AD247" i="81" s="1"/>
  <c r="AE247" i="81" s="1"/>
  <c r="AF247" i="81" s="1"/>
  <c r="B247" i="81" s="1"/>
  <c r="D247" i="81"/>
  <c r="D246" i="81"/>
  <c r="AG244" i="81"/>
  <c r="AF244" i="81"/>
  <c r="AE244" i="81"/>
  <c r="AD244" i="81"/>
  <c r="AC244" i="81"/>
  <c r="AB244" i="81"/>
  <c r="AA244" i="81"/>
  <c r="Z244" i="81"/>
  <c r="Z118" i="81" s="1"/>
  <c r="Y244" i="81"/>
  <c r="X244" i="81"/>
  <c r="W244" i="81"/>
  <c r="V244" i="81"/>
  <c r="U244" i="81"/>
  <c r="T244" i="81"/>
  <c r="S244" i="81"/>
  <c r="R244" i="81"/>
  <c r="Q244" i="81"/>
  <c r="P244" i="81"/>
  <c r="O244" i="81"/>
  <c r="N244" i="81"/>
  <c r="M244" i="81"/>
  <c r="L244" i="81"/>
  <c r="K244" i="81"/>
  <c r="J244" i="81"/>
  <c r="I244" i="81"/>
  <c r="H244" i="81"/>
  <c r="G244" i="81"/>
  <c r="F244" i="81"/>
  <c r="E244" i="81"/>
  <c r="D244" i="81"/>
  <c r="C244" i="81"/>
  <c r="B244" i="81"/>
  <c r="AI130" i="81"/>
  <c r="AH130" i="81"/>
  <c r="AI129" i="81"/>
  <c r="AH129" i="81"/>
  <c r="AI128" i="81"/>
  <c r="AH128" i="81"/>
  <c r="AI127" i="81"/>
  <c r="AH127" i="81"/>
  <c r="AI126" i="81"/>
  <c r="AH126" i="81"/>
  <c r="AI122" i="81"/>
  <c r="AH122" i="81"/>
  <c r="AI121" i="81"/>
  <c r="AI120" i="81"/>
  <c r="AH120" i="81"/>
  <c r="AI119" i="81"/>
  <c r="AH119" i="81"/>
  <c r="Y118" i="81"/>
  <c r="AI117" i="81"/>
  <c r="AH117" i="81"/>
  <c r="AI116" i="81"/>
  <c r="AH116" i="81"/>
  <c r="AI115" i="81"/>
  <c r="AH115" i="81"/>
  <c r="AI114" i="81"/>
  <c r="AH114" i="81"/>
  <c r="AI113" i="81"/>
  <c r="AH113" i="81"/>
  <c r="AI112" i="81"/>
  <c r="AH112" i="81"/>
  <c r="AI111" i="81"/>
  <c r="AH111" i="81"/>
  <c r="AI110" i="81"/>
  <c r="AH110" i="81"/>
  <c r="AI109" i="81"/>
  <c r="AH109" i="81"/>
  <c r="DB23" i="81"/>
  <c r="DA23" i="81"/>
  <c r="AI106" i="81"/>
  <c r="AH106" i="81"/>
  <c r="AF105" i="81"/>
  <c r="AE105" i="81"/>
  <c r="AD105" i="81"/>
  <c r="AC105" i="81"/>
  <c r="AB105" i="81"/>
  <c r="AA105" i="81"/>
  <c r="Z105" i="81"/>
  <c r="Y105" i="81"/>
  <c r="R105" i="81"/>
  <c r="Q105" i="81"/>
  <c r="P105" i="81"/>
  <c r="O105" i="81"/>
  <c r="N105" i="81"/>
  <c r="M105" i="81"/>
  <c r="L105" i="81"/>
  <c r="K105" i="81"/>
  <c r="J105" i="81"/>
  <c r="I105" i="81"/>
  <c r="H105" i="81"/>
  <c r="G105" i="81"/>
  <c r="F105" i="81"/>
  <c r="E105" i="81"/>
  <c r="D105" i="81"/>
  <c r="C105" i="81"/>
  <c r="B105" i="81"/>
  <c r="AF104" i="81"/>
  <c r="AE104" i="81"/>
  <c r="AD104" i="81"/>
  <c r="AC104" i="81"/>
  <c r="AB104" i="81"/>
  <c r="AA104" i="81"/>
  <c r="Z104" i="81"/>
  <c r="Y104" i="81"/>
  <c r="R104" i="81"/>
  <c r="Q104" i="81"/>
  <c r="P104" i="81"/>
  <c r="O104" i="81"/>
  <c r="N104" i="81"/>
  <c r="M104" i="81"/>
  <c r="L104" i="81"/>
  <c r="K104" i="81"/>
  <c r="J104" i="81"/>
  <c r="I104" i="81"/>
  <c r="H104" i="81"/>
  <c r="G104" i="81"/>
  <c r="F104" i="81"/>
  <c r="E104" i="81"/>
  <c r="D104" i="81"/>
  <c r="C104" i="81"/>
  <c r="B104" i="81"/>
  <c r="AF103" i="81"/>
  <c r="AE103" i="81"/>
  <c r="AD103" i="81"/>
  <c r="AC103" i="81"/>
  <c r="AB103" i="81"/>
  <c r="AA103" i="81"/>
  <c r="Z103" i="81"/>
  <c r="Y103" i="81"/>
  <c r="R103" i="81"/>
  <c r="Q103" i="81"/>
  <c r="P103" i="81"/>
  <c r="O103" i="81"/>
  <c r="N103" i="81"/>
  <c r="M103" i="81"/>
  <c r="L103" i="81"/>
  <c r="K103" i="81"/>
  <c r="J103" i="81"/>
  <c r="I103" i="81"/>
  <c r="H103" i="81"/>
  <c r="G103" i="81"/>
  <c r="F103" i="81"/>
  <c r="E103" i="81"/>
  <c r="D103" i="81"/>
  <c r="C103" i="81"/>
  <c r="B103" i="81"/>
  <c r="AF102" i="81"/>
  <c r="AE102" i="81"/>
  <c r="AD102" i="81"/>
  <c r="AC102" i="81"/>
  <c r="AB102" i="81"/>
  <c r="AA102" i="81"/>
  <c r="Z102" i="81"/>
  <c r="Y102" i="81"/>
  <c r="R102" i="81"/>
  <c r="Q102" i="81"/>
  <c r="P102" i="81"/>
  <c r="O102" i="81"/>
  <c r="N102" i="81"/>
  <c r="M102" i="81"/>
  <c r="L102" i="81"/>
  <c r="K102" i="81"/>
  <c r="J102" i="81"/>
  <c r="I102" i="81"/>
  <c r="H102" i="81"/>
  <c r="G102" i="81"/>
  <c r="F102" i="81"/>
  <c r="E102" i="81"/>
  <c r="D102" i="81"/>
  <c r="C102" i="81"/>
  <c r="B102" i="81"/>
  <c r="AF101" i="81"/>
  <c r="AE101" i="81"/>
  <c r="AD101" i="81"/>
  <c r="AC101" i="81"/>
  <c r="AB101" i="81"/>
  <c r="AA101" i="81"/>
  <c r="Z101" i="81"/>
  <c r="Y101" i="81"/>
  <c r="R101" i="81"/>
  <c r="Q101" i="81"/>
  <c r="P101" i="81"/>
  <c r="O101" i="81"/>
  <c r="N101" i="81"/>
  <c r="M101" i="81"/>
  <c r="L101" i="81"/>
  <c r="L107" i="81" s="1"/>
  <c r="K101" i="81"/>
  <c r="J101" i="81"/>
  <c r="I101" i="81"/>
  <c r="H101" i="81"/>
  <c r="G101" i="81"/>
  <c r="F101" i="81"/>
  <c r="E101" i="81"/>
  <c r="D101" i="81"/>
  <c r="C101" i="81"/>
  <c r="B101" i="81"/>
  <c r="AI98" i="81"/>
  <c r="AH98" i="81"/>
  <c r="AI96" i="81"/>
  <c r="AH96" i="81"/>
  <c r="AG96" i="81"/>
  <c r="AI95" i="81"/>
  <c r="AH95" i="81"/>
  <c r="AI94" i="81"/>
  <c r="AH94" i="81"/>
  <c r="AI93" i="81"/>
  <c r="AH93" i="81"/>
  <c r="AG92" i="81"/>
  <c r="AF92" i="81"/>
  <c r="AE5" i="81" s="1"/>
  <c r="AE92" i="81"/>
  <c r="DI19" i="81" s="1"/>
  <c r="AD92" i="81"/>
  <c r="AC92" i="81"/>
  <c r="AB92" i="81"/>
  <c r="AA92" i="81"/>
  <c r="Z5" i="81" s="1"/>
  <c r="Z92" i="81"/>
  <c r="Y92" i="81"/>
  <c r="X5" i="81" s="1"/>
  <c r="DA19" i="81"/>
  <c r="R92" i="81"/>
  <c r="CZ19" i="81" s="1"/>
  <c r="Q92" i="81"/>
  <c r="CY19" i="81" s="1"/>
  <c r="P92" i="81"/>
  <c r="CX19" i="81" s="1"/>
  <c r="O92" i="81"/>
  <c r="N5" i="81" s="1"/>
  <c r="N92" i="81"/>
  <c r="M92" i="81"/>
  <c r="L5" i="81" s="1"/>
  <c r="L92" i="81"/>
  <c r="K92" i="81"/>
  <c r="CT19" i="81" s="1"/>
  <c r="J92" i="81"/>
  <c r="I5" i="81" s="1"/>
  <c r="I92" i="81"/>
  <c r="H5" i="81" s="1"/>
  <c r="H92" i="81"/>
  <c r="G5" i="81" s="1"/>
  <c r="G92" i="81"/>
  <c r="F5" i="81" s="1"/>
  <c r="F92" i="81"/>
  <c r="E92" i="81"/>
  <c r="D5" i="81" s="1"/>
  <c r="D92" i="81"/>
  <c r="C92" i="81"/>
  <c r="CN19" i="81" s="1"/>
  <c r="B92" i="81"/>
  <c r="CM19" i="81" s="1"/>
  <c r="AI91" i="81"/>
  <c r="AH91" i="81"/>
  <c r="AI90" i="81"/>
  <c r="AH90" i="81"/>
  <c r="AI89" i="81"/>
  <c r="AH89" i="81"/>
  <c r="AI88" i="81"/>
  <c r="AH88" i="81"/>
  <c r="AI87" i="81"/>
  <c r="AH87" i="81"/>
  <c r="AI86" i="81"/>
  <c r="AH86" i="81"/>
  <c r="AI85" i="81"/>
  <c r="AH85" i="81"/>
  <c r="AI84" i="81"/>
  <c r="AH84" i="81"/>
  <c r="AI83" i="81"/>
  <c r="AH83" i="81"/>
  <c r="AI82" i="81"/>
  <c r="AH82" i="81"/>
  <c r="AI81" i="81"/>
  <c r="AH81" i="81"/>
  <c r="AG80" i="81"/>
  <c r="AG4" i="81" s="1"/>
  <c r="AF80" i="81"/>
  <c r="AE80" i="81"/>
  <c r="AD80" i="81"/>
  <c r="DH20" i="81" s="1"/>
  <c r="AC80" i="81"/>
  <c r="AB80" i="81"/>
  <c r="DG20" i="81" s="1"/>
  <c r="AA80" i="81"/>
  <c r="Z80" i="81"/>
  <c r="DF20" i="81" s="1"/>
  <c r="Y80" i="81"/>
  <c r="DA20" i="81"/>
  <c r="R80" i="81"/>
  <c r="CZ20" i="81" s="1"/>
  <c r="Q80" i="81"/>
  <c r="P80" i="81"/>
  <c r="CX20" i="81" s="1"/>
  <c r="O80" i="81"/>
  <c r="N80" i="81"/>
  <c r="M80" i="81"/>
  <c r="CU20" i="81" s="1"/>
  <c r="L80" i="81"/>
  <c r="K80" i="81"/>
  <c r="J80" i="81"/>
  <c r="I80" i="81"/>
  <c r="H80" i="81"/>
  <c r="G80" i="81"/>
  <c r="F80" i="81"/>
  <c r="CQ20" i="81" s="1"/>
  <c r="E80" i="81"/>
  <c r="CP20" i="81" s="1"/>
  <c r="D80" i="81"/>
  <c r="CO20" i="81" s="1"/>
  <c r="C80" i="81"/>
  <c r="B80" i="81"/>
  <c r="CM20" i="81" s="1"/>
  <c r="AI79" i="81"/>
  <c r="AH79" i="81"/>
  <c r="AI78" i="81"/>
  <c r="AH78" i="81"/>
  <c r="AI77" i="81"/>
  <c r="AH77" i="81"/>
  <c r="AF76" i="81"/>
  <c r="AE76" i="81"/>
  <c r="DI18" i="81" s="1"/>
  <c r="AD76" i="81"/>
  <c r="DH18" i="81" s="1"/>
  <c r="AC76" i="81"/>
  <c r="AB76" i="81"/>
  <c r="DG18" i="81" s="1"/>
  <c r="AA76" i="81"/>
  <c r="Z76" i="81"/>
  <c r="DF18" i="81" s="1"/>
  <c r="Y76" i="81"/>
  <c r="DD18" i="81"/>
  <c r="DC18" i="81"/>
  <c r="DB18" i="81"/>
  <c r="DA18" i="81"/>
  <c r="R76" i="81"/>
  <c r="CZ18" i="81" s="1"/>
  <c r="Q76" i="81"/>
  <c r="CY18" i="81" s="1"/>
  <c r="P76" i="81"/>
  <c r="CX18" i="81" s="1"/>
  <c r="O76" i="81"/>
  <c r="CW18" i="81" s="1"/>
  <c r="N76" i="81"/>
  <c r="CV18" i="81" s="1"/>
  <c r="M76" i="81"/>
  <c r="CU18" i="81" s="1"/>
  <c r="L76" i="81"/>
  <c r="K76" i="81"/>
  <c r="CT18" i="81" s="1"/>
  <c r="J76" i="81"/>
  <c r="I76" i="81"/>
  <c r="CS18" i="81" s="1"/>
  <c r="H76" i="81"/>
  <c r="G76" i="81"/>
  <c r="CR18" i="81" s="1"/>
  <c r="F76" i="81"/>
  <c r="E76" i="81"/>
  <c r="CP18" i="81" s="1"/>
  <c r="D76" i="81"/>
  <c r="CO18" i="81" s="1"/>
  <c r="C76" i="81"/>
  <c r="B76" i="81"/>
  <c r="CM18" i="81" s="1"/>
  <c r="AI75" i="81"/>
  <c r="AH75" i="81"/>
  <c r="AG75" i="81"/>
  <c r="AG76" i="81" s="1"/>
  <c r="AI74" i="81"/>
  <c r="AH74" i="81"/>
  <c r="AI73" i="81"/>
  <c r="AH73" i="81"/>
  <c r="AI72" i="81"/>
  <c r="AH72" i="81"/>
  <c r="AI71" i="81"/>
  <c r="AH71" i="81"/>
  <c r="AI70" i="81"/>
  <c r="AH70" i="81"/>
  <c r="AI69" i="81"/>
  <c r="AH69" i="81"/>
  <c r="AI68" i="81"/>
  <c r="AH68" i="81"/>
  <c r="AI67" i="81"/>
  <c r="AH67" i="81"/>
  <c r="AI66" i="81"/>
  <c r="AH66" i="81"/>
  <c r="AI65" i="81"/>
  <c r="AH65" i="81"/>
  <c r="AI64" i="81"/>
  <c r="AH64" i="81"/>
  <c r="AI63" i="81"/>
  <c r="AH63" i="81"/>
  <c r="AG62" i="81"/>
  <c r="AF62" i="81"/>
  <c r="DJ17" i="81" s="1"/>
  <c r="AE62" i="81"/>
  <c r="AD62" i="81"/>
  <c r="DH17" i="81" s="1"/>
  <c r="AC62" i="81"/>
  <c r="AB62" i="81"/>
  <c r="DG17" i="81" s="1"/>
  <c r="AA62" i="81"/>
  <c r="Z62" i="81"/>
  <c r="DF17" i="81" s="1"/>
  <c r="Y62" i="81"/>
  <c r="DE17" i="81"/>
  <c r="R62" i="81"/>
  <c r="CZ17" i="81" s="1"/>
  <c r="Q62" i="81"/>
  <c r="CY17" i="81" s="1"/>
  <c r="P62" i="81"/>
  <c r="CX17" i="81" s="1"/>
  <c r="O62" i="81"/>
  <c r="N62" i="81"/>
  <c r="CV17" i="81" s="1"/>
  <c r="M62" i="81"/>
  <c r="CU17" i="81" s="1"/>
  <c r="L62" i="81"/>
  <c r="K62" i="81"/>
  <c r="CT17" i="81" s="1"/>
  <c r="J62" i="81"/>
  <c r="I62" i="81"/>
  <c r="CS17" i="81" s="1"/>
  <c r="H62" i="81"/>
  <c r="G62" i="81"/>
  <c r="D62" i="81"/>
  <c r="CO17" i="81" s="1"/>
  <c r="C62" i="81"/>
  <c r="CN17" i="81" s="1"/>
  <c r="B62" i="81"/>
  <c r="AI61" i="81"/>
  <c r="AH61" i="81"/>
  <c r="AI60" i="81"/>
  <c r="AH60" i="81"/>
  <c r="AI59" i="81"/>
  <c r="AH59" i="81"/>
  <c r="AG58" i="81"/>
  <c r="AG2" i="81" s="1"/>
  <c r="AF58" i="81"/>
  <c r="AE58" i="81"/>
  <c r="DI16" i="81" s="1"/>
  <c r="AD58" i="81"/>
  <c r="AC58" i="81"/>
  <c r="AB58" i="81"/>
  <c r="AA58" i="81"/>
  <c r="Z58" i="81"/>
  <c r="DF16" i="81" s="1"/>
  <c r="Y58" i="81"/>
  <c r="V7" i="81"/>
  <c r="DA16" i="81"/>
  <c r="R58" i="81"/>
  <c r="CZ16" i="81" s="1"/>
  <c r="Q58" i="81"/>
  <c r="CY16" i="81" s="1"/>
  <c r="P58" i="81"/>
  <c r="CX16" i="81" s="1"/>
  <c r="O58" i="81"/>
  <c r="CW16" i="81" s="1"/>
  <c r="N58" i="81"/>
  <c r="M58" i="81"/>
  <c r="CU16" i="81" s="1"/>
  <c r="L58" i="81"/>
  <c r="J58" i="81"/>
  <c r="I58" i="81"/>
  <c r="CS16" i="81" s="1"/>
  <c r="H58" i="81"/>
  <c r="G58" i="81"/>
  <c r="CR16" i="81" s="1"/>
  <c r="CP16" i="81"/>
  <c r="D58" i="81"/>
  <c r="CO16" i="81" s="1"/>
  <c r="C58" i="81"/>
  <c r="CN16" i="81" s="1"/>
  <c r="B58" i="81"/>
  <c r="AI56" i="81"/>
  <c r="AH56" i="81"/>
  <c r="AI55" i="81"/>
  <c r="AH55" i="81"/>
  <c r="AI54" i="81"/>
  <c r="AH54" i="81"/>
  <c r="AI53" i="81"/>
  <c r="AH53" i="81"/>
  <c r="AI52" i="81"/>
  <c r="AH52" i="81"/>
  <c r="AI51" i="81"/>
  <c r="AH51" i="81"/>
  <c r="AI50" i="81"/>
  <c r="AH50" i="81"/>
  <c r="AI49" i="81"/>
  <c r="AH49" i="81"/>
  <c r="AI48" i="81"/>
  <c r="AH48" i="81"/>
  <c r="AI47" i="81"/>
  <c r="AH47" i="81"/>
  <c r="AI46" i="81"/>
  <c r="AH46" i="81"/>
  <c r="AI45" i="81"/>
  <c r="AH45" i="81"/>
  <c r="AI44" i="81"/>
  <c r="AH44" i="81"/>
  <c r="AI43" i="81"/>
  <c r="AH43" i="81"/>
  <c r="AI42" i="81"/>
  <c r="AH42" i="81"/>
  <c r="AI41" i="81"/>
  <c r="AH41" i="81"/>
  <c r="AI40" i="81"/>
  <c r="AH40" i="81"/>
  <c r="AI39" i="81"/>
  <c r="AH39" i="81"/>
  <c r="AI38" i="81"/>
  <c r="AH38" i="81"/>
  <c r="AI37" i="81"/>
  <c r="AH37" i="81"/>
  <c r="AI36" i="81"/>
  <c r="AH36" i="81"/>
  <c r="AI35" i="81"/>
  <c r="AH35" i="81"/>
  <c r="AI34" i="81"/>
  <c r="AH34" i="81"/>
  <c r="AI33" i="81"/>
  <c r="AH33" i="81"/>
  <c r="AI32" i="81"/>
  <c r="AH32" i="81"/>
  <c r="AI31" i="81"/>
  <c r="AH31" i="81"/>
  <c r="AI30" i="81"/>
  <c r="AH30" i="81"/>
  <c r="AI29" i="81"/>
  <c r="AH29" i="81"/>
  <c r="AI28" i="81"/>
  <c r="AH28" i="81"/>
  <c r="AI27" i="81"/>
  <c r="AH27" i="81"/>
  <c r="AI26" i="81"/>
  <c r="AH26" i="81"/>
  <c r="AI25" i="81"/>
  <c r="AH25" i="81"/>
  <c r="AI24" i="81"/>
  <c r="AH24" i="81"/>
  <c r="DD23" i="81"/>
  <c r="AI23" i="81"/>
  <c r="AH23" i="81"/>
  <c r="AI22" i="81"/>
  <c r="AH22" i="81"/>
  <c r="DJ21" i="81"/>
  <c r="DI21" i="81"/>
  <c r="DH21" i="81"/>
  <c r="DG21" i="81"/>
  <c r="DF21" i="81"/>
  <c r="DE21" i="81"/>
  <c r="DD21" i="81"/>
  <c r="DC21" i="81"/>
  <c r="DB21" i="81"/>
  <c r="DA21" i="81"/>
  <c r="CZ21" i="81"/>
  <c r="CY21" i="81"/>
  <c r="CX21" i="81"/>
  <c r="CW21" i="81"/>
  <c r="CV21" i="81"/>
  <c r="CU21" i="81"/>
  <c r="CT21" i="81"/>
  <c r="CS21" i="81"/>
  <c r="CR21" i="81"/>
  <c r="CQ21" i="81"/>
  <c r="CP21" i="81"/>
  <c r="CO21" i="81"/>
  <c r="CN21" i="81"/>
  <c r="CM21" i="81"/>
  <c r="AI21" i="81"/>
  <c r="AH21" i="81"/>
  <c r="DJ20" i="81"/>
  <c r="DI20" i="81"/>
  <c r="DE20" i="81"/>
  <c r="DD20" i="81"/>
  <c r="DC20" i="81"/>
  <c r="DB20" i="81"/>
  <c r="CY20" i="81"/>
  <c r="CW20" i="81"/>
  <c r="CV20" i="81"/>
  <c r="CT20" i="81"/>
  <c r="CS20" i="81"/>
  <c r="CR20" i="81"/>
  <c r="CN20" i="81"/>
  <c r="AI20" i="81"/>
  <c r="AH20" i="81"/>
  <c r="DE19" i="81"/>
  <c r="DD19" i="81"/>
  <c r="AI19" i="81"/>
  <c r="AH19" i="81"/>
  <c r="DJ18" i="81"/>
  <c r="DE18" i="81"/>
  <c r="CQ18" i="81"/>
  <c r="AI18" i="81"/>
  <c r="AH18" i="81"/>
  <c r="DD17" i="81"/>
  <c r="DC17" i="81"/>
  <c r="DB17" i="81"/>
  <c r="DA17" i="81"/>
  <c r="CQ17" i="81"/>
  <c r="CP17" i="81"/>
  <c r="AI17" i="81"/>
  <c r="AH17" i="81"/>
  <c r="DH16" i="81"/>
  <c r="DG16" i="81"/>
  <c r="DE16" i="81"/>
  <c r="DD16" i="81"/>
  <c r="DC16" i="81"/>
  <c r="DB16" i="81"/>
  <c r="CQ16" i="81"/>
  <c r="CM16" i="81"/>
  <c r="AI16" i="81"/>
  <c r="AH16" i="81"/>
  <c r="AI15" i="81"/>
  <c r="AH15" i="81"/>
  <c r="AI14" i="81"/>
  <c r="AH14" i="81"/>
  <c r="AI13" i="81"/>
  <c r="AH13" i="81"/>
  <c r="CL12" i="81"/>
  <c r="AI12" i="81"/>
  <c r="AH12" i="81"/>
  <c r="AI11" i="81"/>
  <c r="AH11" i="81"/>
  <c r="W5" i="81"/>
  <c r="V5" i="81"/>
  <c r="T5" i="81"/>
  <c r="S5" i="81"/>
  <c r="K4" i="81"/>
  <c r="E4" i="81"/>
  <c r="H4" i="81" s="1"/>
  <c r="B4" i="81"/>
  <c r="D258" i="81" s="1"/>
  <c r="AG3" i="81"/>
  <c r="AF57" i="80"/>
  <c r="AF123" i="80"/>
  <c r="AE57" i="80"/>
  <c r="AE123" i="80"/>
  <c r="AD107" i="81" l="1"/>
  <c r="DH23" i="81" s="1"/>
  <c r="AI57" i="81"/>
  <c r="AG6" i="81"/>
  <c r="AG99" i="81"/>
  <c r="L108" i="81"/>
  <c r="D107" i="81"/>
  <c r="CO23" i="81" s="1"/>
  <c r="AG97" i="81"/>
  <c r="AA107" i="81"/>
  <c r="AA100" i="81" s="1"/>
  <c r="AA7" i="81" s="1"/>
  <c r="I252" i="82"/>
  <c r="I118" i="82"/>
  <c r="J246" i="82"/>
  <c r="DJ19" i="81"/>
  <c r="AF97" i="81"/>
  <c r="AF99" i="81" s="1"/>
  <c r="DJ16" i="81"/>
  <c r="AD5" i="81"/>
  <c r="AE97" i="81"/>
  <c r="AE99" i="81" s="1"/>
  <c r="DI17" i="81"/>
  <c r="DI22" i="81"/>
  <c r="AD108" i="81"/>
  <c r="DH19" i="81"/>
  <c r="DH22" i="81" s="1"/>
  <c r="DH24" i="81" s="1"/>
  <c r="AD97" i="81"/>
  <c r="AD99" i="81" s="1"/>
  <c r="AD100" i="81" s="1"/>
  <c r="AD7" i="81" s="1"/>
  <c r="AB107" i="81"/>
  <c r="DG23" i="81" s="1"/>
  <c r="AA108" i="81"/>
  <c r="AA97" i="81"/>
  <c r="AA99" i="81" s="1"/>
  <c r="Z97" i="81"/>
  <c r="Z99" i="81" s="1"/>
  <c r="Z107" i="81"/>
  <c r="Z108" i="81" s="1"/>
  <c r="DF19" i="81"/>
  <c r="DF22" i="81"/>
  <c r="Y5" i="81"/>
  <c r="Y107" i="81"/>
  <c r="Y108" i="81" s="1"/>
  <c r="Y97" i="81"/>
  <c r="Y99" i="81" s="1"/>
  <c r="Y100" i="81" s="1"/>
  <c r="Y7" i="81" s="1"/>
  <c r="DE22" i="81"/>
  <c r="DA22" i="81"/>
  <c r="DA24" i="81" s="1"/>
  <c r="R107" i="81"/>
  <c r="CZ23" i="81" s="1"/>
  <c r="CZ22" i="81"/>
  <c r="Q107" i="81"/>
  <c r="P5" i="81"/>
  <c r="O5" i="81"/>
  <c r="CY22" i="81"/>
  <c r="Q97" i="81"/>
  <c r="Q99" i="81" s="1"/>
  <c r="CX22" i="81"/>
  <c r="CW19" i="81"/>
  <c r="N107" i="81"/>
  <c r="CV23" i="81" s="1"/>
  <c r="CV19" i="81"/>
  <c r="N97" i="81"/>
  <c r="N99" i="81" s="1"/>
  <c r="CV16" i="81"/>
  <c r="AH123" i="81"/>
  <c r="K107" i="81"/>
  <c r="J5" i="81"/>
  <c r="K97" i="81"/>
  <c r="K99" i="81" s="1"/>
  <c r="K100" i="81" s="1"/>
  <c r="K7" i="81" s="1"/>
  <c r="J107" i="81"/>
  <c r="J108" i="81" s="1"/>
  <c r="J97" i="81"/>
  <c r="J99" i="81" s="1"/>
  <c r="J100" i="81" s="1"/>
  <c r="J7" i="81" s="1"/>
  <c r="AI123" i="81"/>
  <c r="CS19" i="81"/>
  <c r="CS22" i="81" s="1"/>
  <c r="I107" i="81"/>
  <c r="CS23" i="81" s="1"/>
  <c r="H97" i="81"/>
  <c r="H99" i="81" s="1"/>
  <c r="CR19" i="81"/>
  <c r="F107" i="81"/>
  <c r="CQ23" i="81" s="1"/>
  <c r="CQ19" i="81"/>
  <c r="F97" i="81"/>
  <c r="F99" i="81" s="1"/>
  <c r="F100" i="81" s="1"/>
  <c r="F7" i="81" s="1"/>
  <c r="AH103" i="81"/>
  <c r="D108" i="81"/>
  <c r="C107" i="81"/>
  <c r="CN23" i="81" s="1"/>
  <c r="B5" i="81"/>
  <c r="C97" i="81"/>
  <c r="C99" i="81" s="1"/>
  <c r="B107" i="81"/>
  <c r="CM23" i="81" s="1"/>
  <c r="AH102" i="81"/>
  <c r="B97" i="81"/>
  <c r="B99" i="81" s="1"/>
  <c r="CL13" i="81"/>
  <c r="AI102" i="81"/>
  <c r="CT23" i="81"/>
  <c r="K108" i="81"/>
  <c r="AH101" i="81"/>
  <c r="AI101" i="81"/>
  <c r="CN18" i="81"/>
  <c r="CN22" i="81" s="1"/>
  <c r="AH76" i="81"/>
  <c r="CQ22" i="81"/>
  <c r="CQ24" i="81" s="1"/>
  <c r="Q108" i="81"/>
  <c r="CY23" i="81"/>
  <c r="DF23" i="81"/>
  <c r="G97" i="81"/>
  <c r="G99" i="81" s="1"/>
  <c r="CR17" i="81"/>
  <c r="CW17" i="81"/>
  <c r="O97" i="81"/>
  <c r="O99" i="81" s="1"/>
  <c r="K5" i="81"/>
  <c r="CT22" i="81"/>
  <c r="D97" i="81"/>
  <c r="D99" i="81" s="1"/>
  <c r="D100" i="81" s="1"/>
  <c r="D7" i="81" s="1"/>
  <c r="L97" i="81"/>
  <c r="L99" i="81" s="1"/>
  <c r="L100" i="81" s="1"/>
  <c r="L7" i="81" s="1"/>
  <c r="T7" i="81"/>
  <c r="AB97" i="81"/>
  <c r="AB99" i="81" s="1"/>
  <c r="AB100" i="81" s="1"/>
  <c r="AB7" i="81" s="1"/>
  <c r="AH80" i="81"/>
  <c r="AH92" i="81"/>
  <c r="C5" i="81"/>
  <c r="AF5" i="81"/>
  <c r="DG19" i="81"/>
  <c r="DG22" i="81" s="1"/>
  <c r="DG24" i="81" s="1"/>
  <c r="E97" i="81"/>
  <c r="E99" i="81" s="1"/>
  <c r="M97" i="81"/>
  <c r="M99" i="81" s="1"/>
  <c r="AC97" i="81"/>
  <c r="AC99" i="81" s="1"/>
  <c r="AI76" i="81"/>
  <c r="AI80" i="81"/>
  <c r="AI92" i="81"/>
  <c r="P97" i="81"/>
  <c r="P99" i="81" s="1"/>
  <c r="AI105" i="81"/>
  <c r="DB19" i="81"/>
  <c r="DB22" i="81" s="1"/>
  <c r="DB24" i="81" s="1"/>
  <c r="DJ22" i="81"/>
  <c r="CU19" i="81"/>
  <c r="CU22" i="81" s="1"/>
  <c r="DC19" i="81"/>
  <c r="DC22" i="81" s="1"/>
  <c r="AB5" i="81"/>
  <c r="R97" i="81"/>
  <c r="R99" i="81" s="1"/>
  <c r="B108" i="81"/>
  <c r="D252" i="81"/>
  <c r="D118" i="81"/>
  <c r="E246" i="81"/>
  <c r="AI62" i="81"/>
  <c r="AH62" i="81"/>
  <c r="G107" i="81"/>
  <c r="CR23" i="81" s="1"/>
  <c r="O107" i="81"/>
  <c r="CW23" i="81" s="1"/>
  <c r="W7" i="81"/>
  <c r="AE107" i="81"/>
  <c r="DI23" i="81" s="1"/>
  <c r="E107" i="81"/>
  <c r="CP23" i="81" s="1"/>
  <c r="AH104" i="81"/>
  <c r="M107" i="81"/>
  <c r="CU23" i="81" s="1"/>
  <c r="DC23" i="81"/>
  <c r="AC107" i="81"/>
  <c r="AC108" i="81" s="1"/>
  <c r="AI103" i="81"/>
  <c r="AI104" i="81"/>
  <c r="Q5" i="81"/>
  <c r="CO19" i="81"/>
  <c r="CO22" i="81" s="1"/>
  <c r="CO24" i="81" s="1"/>
  <c r="R5" i="81"/>
  <c r="AA5" i="81"/>
  <c r="DD22" i="81"/>
  <c r="DD24" i="81" s="1"/>
  <c r="CM17" i="81"/>
  <c r="CM22" i="81" s="1"/>
  <c r="CM24" i="81" s="1"/>
  <c r="CP19" i="81"/>
  <c r="CP22" i="81" s="1"/>
  <c r="AI58" i="81"/>
  <c r="AH58" i="81"/>
  <c r="I97" i="81"/>
  <c r="I99" i="81" s="1"/>
  <c r="H107" i="81"/>
  <c r="H108" i="81" s="1"/>
  <c r="P107" i="81"/>
  <c r="X7" i="81"/>
  <c r="AF107" i="81"/>
  <c r="S7" i="81"/>
  <c r="E5" i="81"/>
  <c r="M5" i="81"/>
  <c r="U5" i="81"/>
  <c r="AC5" i="81"/>
  <c r="AH105" i="81"/>
  <c r="AD123" i="80"/>
  <c r="AD57" i="80"/>
  <c r="AC57" i="80"/>
  <c r="AC123" i="80"/>
  <c r="AB123" i="80"/>
  <c r="AB57" i="80"/>
  <c r="AA123" i="80"/>
  <c r="AA57" i="80"/>
  <c r="AA58" i="80"/>
  <c r="AA62" i="80"/>
  <c r="AA76" i="80"/>
  <c r="AA80" i="80"/>
  <c r="AA92" i="80"/>
  <c r="AA101" i="80"/>
  <c r="AA102" i="80"/>
  <c r="AA103" i="80"/>
  <c r="AA104" i="80"/>
  <c r="AA105" i="80"/>
  <c r="Z123" i="80"/>
  <c r="Z57" i="80"/>
  <c r="Z58" i="80"/>
  <c r="Z62" i="80"/>
  <c r="Z76" i="80"/>
  <c r="Z80" i="80"/>
  <c r="BF20" i="80" s="1"/>
  <c r="Z92" i="80"/>
  <c r="Z101" i="80"/>
  <c r="Z102" i="80"/>
  <c r="Z103" i="80"/>
  <c r="Z104" i="80"/>
  <c r="Z105" i="80"/>
  <c r="Y123" i="80"/>
  <c r="Y57" i="80"/>
  <c r="Y58" i="80"/>
  <c r="Y62" i="80"/>
  <c r="Y76" i="80"/>
  <c r="Y80" i="80"/>
  <c r="Y92" i="80"/>
  <c r="X5" i="80" s="1"/>
  <c r="Y101" i="80"/>
  <c r="Y102" i="80"/>
  <c r="Y103" i="80"/>
  <c r="Y104" i="80"/>
  <c r="Y105" i="80"/>
  <c r="X123" i="80"/>
  <c r="X57" i="80"/>
  <c r="X58" i="80"/>
  <c r="X62" i="80"/>
  <c r="X76" i="80"/>
  <c r="BE18" i="80" s="1"/>
  <c r="X80" i="80"/>
  <c r="X92" i="80"/>
  <c r="X101" i="80"/>
  <c r="X102" i="80"/>
  <c r="X103" i="80"/>
  <c r="X104" i="80"/>
  <c r="X105" i="80"/>
  <c r="W123" i="80"/>
  <c r="W57" i="80"/>
  <c r="W58" i="80"/>
  <c r="W62" i="80"/>
  <c r="W76" i="80"/>
  <c r="W80" i="80"/>
  <c r="W92" i="80"/>
  <c r="V5" i="80" s="1"/>
  <c r="W101" i="80"/>
  <c r="W102" i="80"/>
  <c r="W103" i="80"/>
  <c r="W104" i="80"/>
  <c r="W105" i="80"/>
  <c r="V123" i="80"/>
  <c r="V57" i="80"/>
  <c r="V58" i="80"/>
  <c r="V62" i="80"/>
  <c r="V76" i="80"/>
  <c r="BD18" i="80" s="1"/>
  <c r="V80" i="80"/>
  <c r="BD20" i="80" s="1"/>
  <c r="V92" i="80"/>
  <c r="V101" i="80"/>
  <c r="V102" i="80"/>
  <c r="V103" i="80"/>
  <c r="V104" i="80"/>
  <c r="V105" i="80"/>
  <c r="U123" i="80"/>
  <c r="U57" i="80"/>
  <c r="U58" i="80"/>
  <c r="U62" i="80"/>
  <c r="BC17" i="80" s="1"/>
  <c r="U76" i="80"/>
  <c r="U80" i="80"/>
  <c r="U92" i="80"/>
  <c r="U101" i="80"/>
  <c r="U102" i="80"/>
  <c r="U103" i="80"/>
  <c r="U104" i="80"/>
  <c r="U105" i="80"/>
  <c r="T123" i="80"/>
  <c r="T57" i="80"/>
  <c r="T58" i="80"/>
  <c r="T62" i="80"/>
  <c r="T76" i="80"/>
  <c r="BB18" i="80" s="1"/>
  <c r="T80" i="80"/>
  <c r="BB20" i="80" s="1"/>
  <c r="T92" i="80"/>
  <c r="BB19" i="80" s="1"/>
  <c r="T101" i="80"/>
  <c r="T102" i="80"/>
  <c r="T103" i="80"/>
  <c r="T104" i="80"/>
  <c r="T105" i="80"/>
  <c r="S123" i="80"/>
  <c r="S57" i="80"/>
  <c r="R123" i="80"/>
  <c r="R57" i="80"/>
  <c r="Q123" i="80"/>
  <c r="P123" i="80"/>
  <c r="O123" i="80"/>
  <c r="N123" i="80"/>
  <c r="M123" i="80"/>
  <c r="C118" i="80"/>
  <c r="N107" i="80"/>
  <c r="AV23" i="80" s="1"/>
  <c r="Q105" i="80"/>
  <c r="P105" i="80"/>
  <c r="O105" i="80"/>
  <c r="N105" i="80"/>
  <c r="M105" i="80"/>
  <c r="L105" i="80"/>
  <c r="K105" i="80"/>
  <c r="J105" i="80"/>
  <c r="I105" i="80"/>
  <c r="H105" i="80"/>
  <c r="G105" i="80"/>
  <c r="F105" i="80"/>
  <c r="E105" i="80"/>
  <c r="D105" i="80"/>
  <c r="C105" i="80"/>
  <c r="B105" i="80"/>
  <c r="Q104" i="80"/>
  <c r="P104" i="80"/>
  <c r="O104" i="80"/>
  <c r="N104" i="80"/>
  <c r="M104" i="80"/>
  <c r="L104" i="80"/>
  <c r="K104" i="80"/>
  <c r="J104" i="80"/>
  <c r="I104" i="80"/>
  <c r="H104" i="80"/>
  <c r="G104" i="80"/>
  <c r="F104" i="80"/>
  <c r="E104" i="80"/>
  <c r="D104" i="80"/>
  <c r="C104" i="80"/>
  <c r="B104" i="80"/>
  <c r="Q103" i="80"/>
  <c r="P103" i="80"/>
  <c r="O103" i="80"/>
  <c r="N103" i="80"/>
  <c r="M103" i="80"/>
  <c r="L103" i="80"/>
  <c r="K103" i="80"/>
  <c r="J103" i="80"/>
  <c r="I103" i="80"/>
  <c r="H103" i="80"/>
  <c r="G103" i="80"/>
  <c r="F103" i="80"/>
  <c r="E103" i="80"/>
  <c r="D103" i="80"/>
  <c r="C103" i="80"/>
  <c r="B103" i="80"/>
  <c r="Q102" i="80"/>
  <c r="P102" i="80"/>
  <c r="O102" i="80"/>
  <c r="N102" i="80"/>
  <c r="M102" i="80"/>
  <c r="L102" i="80"/>
  <c r="K102" i="80"/>
  <c r="J102" i="80"/>
  <c r="I102" i="80"/>
  <c r="H102" i="80"/>
  <c r="G102" i="80"/>
  <c r="F102" i="80"/>
  <c r="E102" i="80"/>
  <c r="D102" i="80"/>
  <c r="C102" i="80"/>
  <c r="B102" i="80"/>
  <c r="Q101" i="80"/>
  <c r="Q107" i="80" s="1"/>
  <c r="P101" i="80"/>
  <c r="P107" i="80" s="1"/>
  <c r="AX23" i="80" s="1"/>
  <c r="O101" i="80"/>
  <c r="O107" i="80" s="1"/>
  <c r="N101" i="80"/>
  <c r="M101" i="80"/>
  <c r="M107" i="80" s="1"/>
  <c r="L101" i="80"/>
  <c r="L107" i="80" s="1"/>
  <c r="K101" i="80"/>
  <c r="K107" i="80" s="1"/>
  <c r="AT23" i="80" s="1"/>
  <c r="J101" i="80"/>
  <c r="J107" i="80" s="1"/>
  <c r="I101" i="80"/>
  <c r="I107" i="80" s="1"/>
  <c r="H101" i="80"/>
  <c r="H107" i="80" s="1"/>
  <c r="G101" i="80"/>
  <c r="G107" i="80" s="1"/>
  <c r="AR23" i="80" s="1"/>
  <c r="F101" i="80"/>
  <c r="F107" i="80" s="1"/>
  <c r="AQ23" i="80" s="1"/>
  <c r="E101" i="80"/>
  <c r="E107" i="80" s="1"/>
  <c r="D101" i="80"/>
  <c r="D107" i="80" s="1"/>
  <c r="C101" i="80"/>
  <c r="C107" i="80" s="1"/>
  <c r="AN23" i="80" s="1"/>
  <c r="B101" i="80"/>
  <c r="B107" i="80" s="1"/>
  <c r="AM23" i="80" s="1"/>
  <c r="Q92" i="80"/>
  <c r="Q108" i="80" s="1"/>
  <c r="P92" i="80"/>
  <c r="P108" i="80" s="1"/>
  <c r="O92" i="80"/>
  <c r="O108" i="80" s="1"/>
  <c r="N92" i="80"/>
  <c r="M92" i="80"/>
  <c r="M108" i="80" s="1"/>
  <c r="L92" i="80"/>
  <c r="L108" i="80" s="1"/>
  <c r="K92" i="80"/>
  <c r="K108" i="80" s="1"/>
  <c r="J92" i="80"/>
  <c r="J108" i="80" s="1"/>
  <c r="I92" i="80"/>
  <c r="I108" i="80" s="1"/>
  <c r="H92" i="80"/>
  <c r="H108" i="80" s="1"/>
  <c r="G92" i="80"/>
  <c r="G108" i="80" s="1"/>
  <c r="F92" i="80"/>
  <c r="E92" i="80"/>
  <c r="E108" i="80" s="1"/>
  <c r="D92" i="80"/>
  <c r="D108" i="80" s="1"/>
  <c r="C92" i="80"/>
  <c r="C108" i="80" s="1"/>
  <c r="B92" i="80"/>
  <c r="B108" i="80" s="1"/>
  <c r="Q80" i="80"/>
  <c r="P80" i="80"/>
  <c r="O80" i="80"/>
  <c r="N80" i="80"/>
  <c r="AV20" i="80" s="1"/>
  <c r="M80" i="80"/>
  <c r="L80" i="80"/>
  <c r="K80" i="80"/>
  <c r="AT20" i="80" s="1"/>
  <c r="J80" i="80"/>
  <c r="I80" i="80"/>
  <c r="H80" i="80"/>
  <c r="G80" i="80"/>
  <c r="F80" i="80"/>
  <c r="AQ20" i="80" s="1"/>
  <c r="E80" i="80"/>
  <c r="D80" i="80"/>
  <c r="AO20" i="80" s="1"/>
  <c r="C80" i="80"/>
  <c r="AN20" i="80" s="1"/>
  <c r="B80" i="80"/>
  <c r="Q76" i="80"/>
  <c r="P76" i="80"/>
  <c r="O76" i="80"/>
  <c r="N76" i="80"/>
  <c r="AV18" i="80" s="1"/>
  <c r="M76" i="80"/>
  <c r="L76" i="80"/>
  <c r="K76" i="80"/>
  <c r="J76" i="80"/>
  <c r="I76" i="80"/>
  <c r="H76" i="80"/>
  <c r="G76" i="80"/>
  <c r="F76" i="80"/>
  <c r="AQ18" i="80" s="1"/>
  <c r="E76" i="80"/>
  <c r="D76" i="80"/>
  <c r="AO18" i="80" s="1"/>
  <c r="C76" i="80"/>
  <c r="AN18" i="80" s="1"/>
  <c r="B76" i="80"/>
  <c r="AM18" i="80" s="1"/>
  <c r="Q62" i="80"/>
  <c r="P62" i="80"/>
  <c r="O62" i="80"/>
  <c r="AW17" i="80" s="1"/>
  <c r="N62" i="80"/>
  <c r="M62" i="80"/>
  <c r="L62" i="80"/>
  <c r="K62" i="80"/>
  <c r="AT17" i="80" s="1"/>
  <c r="J62" i="80"/>
  <c r="I62" i="80"/>
  <c r="AS17" i="80" s="1"/>
  <c r="H62" i="80"/>
  <c r="G62" i="80"/>
  <c r="F62" i="80"/>
  <c r="E62" i="80"/>
  <c r="D62" i="80"/>
  <c r="C62" i="80"/>
  <c r="AN17" i="80" s="1"/>
  <c r="B62" i="80"/>
  <c r="Q58" i="80"/>
  <c r="Q97" i="80" s="1"/>
  <c r="Q99" i="80" s="1"/>
  <c r="Q100" i="80" s="1"/>
  <c r="Q7" i="80" s="1"/>
  <c r="P58" i="80"/>
  <c r="P97" i="80" s="1"/>
  <c r="P99" i="80" s="1"/>
  <c r="P100" i="80" s="1"/>
  <c r="P7" i="80" s="1"/>
  <c r="O58" i="80"/>
  <c r="AW16" i="80" s="1"/>
  <c r="N58" i="80"/>
  <c r="N97" i="80" s="1"/>
  <c r="N99" i="80" s="1"/>
  <c r="M58" i="80"/>
  <c r="M97" i="80" s="1"/>
  <c r="M99" i="80" s="1"/>
  <c r="M100" i="80" s="1"/>
  <c r="L58" i="80"/>
  <c r="L97" i="80" s="1"/>
  <c r="L99" i="80" s="1"/>
  <c r="L100" i="80" s="1"/>
  <c r="K58" i="80"/>
  <c r="K97" i="80" s="1"/>
  <c r="K99" i="80" s="1"/>
  <c r="K100" i="80" s="1"/>
  <c r="J58" i="80"/>
  <c r="J97" i="80" s="1"/>
  <c r="J99" i="80" s="1"/>
  <c r="J100" i="80" s="1"/>
  <c r="J7" i="80" s="1"/>
  <c r="I58" i="80"/>
  <c r="I97" i="80" s="1"/>
  <c r="I99" i="80" s="1"/>
  <c r="I100" i="80" s="1"/>
  <c r="I7" i="80" s="1"/>
  <c r="H58" i="80"/>
  <c r="H97" i="80" s="1"/>
  <c r="H99" i="80" s="1"/>
  <c r="H100" i="80" s="1"/>
  <c r="H7" i="80" s="1"/>
  <c r="G58" i="80"/>
  <c r="G97" i="80" s="1"/>
  <c r="G99" i="80" s="1"/>
  <c r="G100" i="80" s="1"/>
  <c r="F58" i="80"/>
  <c r="E58" i="80"/>
  <c r="E97" i="80" s="1"/>
  <c r="E99" i="80" s="1"/>
  <c r="E100" i="80" s="1"/>
  <c r="D58" i="80"/>
  <c r="D97" i="80" s="1"/>
  <c r="D99" i="80" s="1"/>
  <c r="D100" i="80" s="1"/>
  <c r="C58" i="80"/>
  <c r="C97" i="80" s="1"/>
  <c r="C99" i="80" s="1"/>
  <c r="C100" i="80" s="1"/>
  <c r="B58" i="80"/>
  <c r="B97" i="80" s="1"/>
  <c r="B99" i="80" s="1"/>
  <c r="B100" i="80" s="1"/>
  <c r="Q57" i="80"/>
  <c r="P57" i="80"/>
  <c r="O57" i="80"/>
  <c r="N57" i="80"/>
  <c r="B57" i="80"/>
  <c r="AG252" i="80"/>
  <c r="AG75" i="80" s="1"/>
  <c r="AG76" i="80" s="1"/>
  <c r="AG3" i="80" s="1"/>
  <c r="C252" i="80"/>
  <c r="E251" i="80"/>
  <c r="F251" i="80" s="1"/>
  <c r="G251" i="80" s="1"/>
  <c r="H251" i="80" s="1"/>
  <c r="I251" i="80" s="1"/>
  <c r="J251" i="80" s="1"/>
  <c r="K251" i="80" s="1"/>
  <c r="L251" i="80" s="1"/>
  <c r="M251" i="80" s="1"/>
  <c r="N251" i="80" s="1"/>
  <c r="O251" i="80" s="1"/>
  <c r="P251" i="80" s="1"/>
  <c r="Q251" i="80" s="1"/>
  <c r="R251" i="80" s="1"/>
  <c r="S251" i="80" s="1"/>
  <c r="T251" i="80" s="1"/>
  <c r="U251" i="80" s="1"/>
  <c r="V251" i="80" s="1"/>
  <c r="W251" i="80" s="1"/>
  <c r="X251" i="80" s="1"/>
  <c r="Y251" i="80" s="1"/>
  <c r="Z251" i="80" s="1"/>
  <c r="AA251" i="80" s="1"/>
  <c r="AB251" i="80" s="1"/>
  <c r="AC251" i="80" s="1"/>
  <c r="AD251" i="80" s="1"/>
  <c r="AE251" i="80" s="1"/>
  <c r="AF251" i="80" s="1"/>
  <c r="B251" i="80" s="1"/>
  <c r="D251" i="80"/>
  <c r="D250" i="80"/>
  <c r="E250" i="80" s="1"/>
  <c r="F250" i="80" s="1"/>
  <c r="G250" i="80" s="1"/>
  <c r="H250" i="80" s="1"/>
  <c r="I250" i="80" s="1"/>
  <c r="J250" i="80" s="1"/>
  <c r="K250" i="80" s="1"/>
  <c r="L250" i="80" s="1"/>
  <c r="M250" i="80" s="1"/>
  <c r="N250" i="80" s="1"/>
  <c r="O250" i="80" s="1"/>
  <c r="P250" i="80" s="1"/>
  <c r="Q250" i="80" s="1"/>
  <c r="R250" i="80" s="1"/>
  <c r="S250" i="80" s="1"/>
  <c r="T250" i="80" s="1"/>
  <c r="U250" i="80" s="1"/>
  <c r="V250" i="80" s="1"/>
  <c r="W250" i="80" s="1"/>
  <c r="X250" i="80" s="1"/>
  <c r="Y250" i="80" s="1"/>
  <c r="Z250" i="80" s="1"/>
  <c r="AA250" i="80" s="1"/>
  <c r="AB250" i="80" s="1"/>
  <c r="AC250" i="80" s="1"/>
  <c r="AD250" i="80" s="1"/>
  <c r="AE250" i="80" s="1"/>
  <c r="AF250" i="80" s="1"/>
  <c r="B250" i="80" s="1"/>
  <c r="D249" i="80"/>
  <c r="E249" i="80" s="1"/>
  <c r="F249" i="80" s="1"/>
  <c r="G249" i="80" s="1"/>
  <c r="H249" i="80" s="1"/>
  <c r="I249" i="80" s="1"/>
  <c r="J249" i="80" s="1"/>
  <c r="K249" i="80" s="1"/>
  <c r="L249" i="80" s="1"/>
  <c r="M249" i="80" s="1"/>
  <c r="N249" i="80" s="1"/>
  <c r="O249" i="80" s="1"/>
  <c r="P249" i="80" s="1"/>
  <c r="Q249" i="80" s="1"/>
  <c r="R249" i="80" s="1"/>
  <c r="S249" i="80" s="1"/>
  <c r="T249" i="80" s="1"/>
  <c r="U249" i="80" s="1"/>
  <c r="V249" i="80" s="1"/>
  <c r="W249" i="80" s="1"/>
  <c r="X249" i="80" s="1"/>
  <c r="Y249" i="80" s="1"/>
  <c r="Z249" i="80" s="1"/>
  <c r="AA249" i="80" s="1"/>
  <c r="AB249" i="80" s="1"/>
  <c r="AC249" i="80" s="1"/>
  <c r="AD249" i="80" s="1"/>
  <c r="AE249" i="80" s="1"/>
  <c r="AF249" i="80" s="1"/>
  <c r="B249" i="80" s="1"/>
  <c r="D248" i="80"/>
  <c r="E248" i="80" s="1"/>
  <c r="F248" i="80" s="1"/>
  <c r="G248" i="80" s="1"/>
  <c r="H248" i="80" s="1"/>
  <c r="I248" i="80" s="1"/>
  <c r="J248" i="80" s="1"/>
  <c r="K248" i="80" s="1"/>
  <c r="L248" i="80" s="1"/>
  <c r="M248" i="80" s="1"/>
  <c r="N248" i="80" s="1"/>
  <c r="O248" i="80" s="1"/>
  <c r="P248" i="80" s="1"/>
  <c r="Q248" i="80" s="1"/>
  <c r="R248" i="80" s="1"/>
  <c r="S248" i="80" s="1"/>
  <c r="T248" i="80" s="1"/>
  <c r="U248" i="80" s="1"/>
  <c r="V248" i="80" s="1"/>
  <c r="W248" i="80" s="1"/>
  <c r="X248" i="80" s="1"/>
  <c r="Y248" i="80" s="1"/>
  <c r="Z248" i="80" s="1"/>
  <c r="AA248" i="80" s="1"/>
  <c r="AB248" i="80" s="1"/>
  <c r="AC248" i="80" s="1"/>
  <c r="AD248" i="80" s="1"/>
  <c r="AE248" i="80" s="1"/>
  <c r="AF248" i="80" s="1"/>
  <c r="B248" i="80" s="1"/>
  <c r="E247" i="80"/>
  <c r="F247" i="80" s="1"/>
  <c r="G247" i="80" s="1"/>
  <c r="H247" i="80" s="1"/>
  <c r="I247" i="80" s="1"/>
  <c r="J247" i="80" s="1"/>
  <c r="K247" i="80" s="1"/>
  <c r="L247" i="80" s="1"/>
  <c r="M247" i="80" s="1"/>
  <c r="N247" i="80" s="1"/>
  <c r="O247" i="80" s="1"/>
  <c r="P247" i="80" s="1"/>
  <c r="Q247" i="80" s="1"/>
  <c r="R247" i="80" s="1"/>
  <c r="S247" i="80" s="1"/>
  <c r="T247" i="80" s="1"/>
  <c r="U247" i="80" s="1"/>
  <c r="V247" i="80" s="1"/>
  <c r="W247" i="80" s="1"/>
  <c r="X247" i="80" s="1"/>
  <c r="Y247" i="80" s="1"/>
  <c r="Z247" i="80" s="1"/>
  <c r="AA247" i="80" s="1"/>
  <c r="AB247" i="80" s="1"/>
  <c r="AC247" i="80" s="1"/>
  <c r="AD247" i="80" s="1"/>
  <c r="AE247" i="80" s="1"/>
  <c r="AF247" i="80" s="1"/>
  <c r="B247" i="80" s="1"/>
  <c r="D247" i="80"/>
  <c r="D246" i="80"/>
  <c r="E246" i="80" s="1"/>
  <c r="E118" i="80" s="1"/>
  <c r="AG244" i="80"/>
  <c r="AF244" i="80"/>
  <c r="AE244" i="80"/>
  <c r="AD244" i="80"/>
  <c r="AC244" i="80"/>
  <c r="AB244" i="80"/>
  <c r="AA244" i="80"/>
  <c r="Z244" i="80"/>
  <c r="Y244" i="80"/>
  <c r="X244" i="80"/>
  <c r="W244" i="80"/>
  <c r="V244" i="80"/>
  <c r="U244" i="80"/>
  <c r="T244" i="80"/>
  <c r="S244" i="80"/>
  <c r="R244" i="80"/>
  <c r="Q244" i="80"/>
  <c r="P244" i="80"/>
  <c r="O244" i="80"/>
  <c r="N244" i="80"/>
  <c r="M244" i="80"/>
  <c r="L244" i="80"/>
  <c r="K244" i="80"/>
  <c r="J244" i="80"/>
  <c r="I244" i="80"/>
  <c r="H244" i="80"/>
  <c r="G244" i="80"/>
  <c r="F244" i="80"/>
  <c r="E244" i="80"/>
  <c r="D244" i="80"/>
  <c r="C244" i="80"/>
  <c r="B244" i="80"/>
  <c r="AI130" i="80"/>
  <c r="AH130" i="80"/>
  <c r="AI129" i="80"/>
  <c r="AH129" i="80"/>
  <c r="AI128" i="80"/>
  <c r="AH128" i="80"/>
  <c r="AI127" i="80"/>
  <c r="AH127" i="80"/>
  <c r="AI126" i="80"/>
  <c r="AH126" i="80"/>
  <c r="AI122" i="80"/>
  <c r="AH122" i="80"/>
  <c r="AI121" i="80"/>
  <c r="AH121" i="80"/>
  <c r="AI120" i="80"/>
  <c r="AH120" i="80"/>
  <c r="AI119" i="80"/>
  <c r="AH119" i="80"/>
  <c r="AI117" i="80"/>
  <c r="AH117" i="80"/>
  <c r="AI116" i="80"/>
  <c r="AH116" i="80"/>
  <c r="AI115" i="80"/>
  <c r="AH115" i="80"/>
  <c r="AI114" i="80"/>
  <c r="AH114" i="80"/>
  <c r="AI113" i="80"/>
  <c r="AH113" i="80"/>
  <c r="AI112" i="80"/>
  <c r="AH112" i="80"/>
  <c r="AI111" i="80"/>
  <c r="AH111" i="80"/>
  <c r="AI110" i="80"/>
  <c r="AH110" i="80"/>
  <c r="AI109" i="80"/>
  <c r="AH109" i="80"/>
  <c r="AI106" i="80"/>
  <c r="AH106" i="80"/>
  <c r="AF105" i="80"/>
  <c r="AE105" i="80"/>
  <c r="AD105" i="80"/>
  <c r="AC105" i="80"/>
  <c r="AB105" i="80"/>
  <c r="S105" i="80"/>
  <c r="R105" i="80"/>
  <c r="AF104" i="80"/>
  <c r="AE104" i="80"/>
  <c r="AD104" i="80"/>
  <c r="AC104" i="80"/>
  <c r="AB104" i="80"/>
  <c r="S104" i="80"/>
  <c r="R104" i="80"/>
  <c r="AF103" i="80"/>
  <c r="AE103" i="80"/>
  <c r="AD103" i="80"/>
  <c r="AC103" i="80"/>
  <c r="AB103" i="80"/>
  <c r="S103" i="80"/>
  <c r="R103" i="80"/>
  <c r="AF102" i="80"/>
  <c r="AE102" i="80"/>
  <c r="AD102" i="80"/>
  <c r="AC102" i="80"/>
  <c r="AB102" i="80"/>
  <c r="S102" i="80"/>
  <c r="R102" i="80"/>
  <c r="AF101" i="80"/>
  <c r="AE101" i="80"/>
  <c r="AD101" i="80"/>
  <c r="AC101" i="80"/>
  <c r="AB101" i="80"/>
  <c r="S101" i="80"/>
  <c r="R101" i="80"/>
  <c r="AI98" i="80"/>
  <c r="AH98" i="80"/>
  <c r="AI96" i="80"/>
  <c r="AH96" i="80"/>
  <c r="AG96" i="80"/>
  <c r="AI95" i="80"/>
  <c r="AH95" i="80"/>
  <c r="AI94" i="80"/>
  <c r="AH94" i="80"/>
  <c r="AI93" i="80"/>
  <c r="AH93" i="80"/>
  <c r="AG92" i="80"/>
  <c r="AF92" i="80"/>
  <c r="BJ19" i="80" s="1"/>
  <c r="AE92" i="80"/>
  <c r="BI19" i="80" s="1"/>
  <c r="AD92" i="80"/>
  <c r="BH19" i="80" s="1"/>
  <c r="AC92" i="80"/>
  <c r="AB5" i="80" s="1"/>
  <c r="AB92" i="80"/>
  <c r="BG19" i="80" s="1"/>
  <c r="S92" i="80"/>
  <c r="R92" i="80"/>
  <c r="Q5" i="80" s="1"/>
  <c r="AY19" i="80"/>
  <c r="AX19" i="80"/>
  <c r="AS19" i="80"/>
  <c r="AI91" i="80"/>
  <c r="AH91" i="80"/>
  <c r="AI90" i="80"/>
  <c r="AH90" i="80"/>
  <c r="AI89" i="80"/>
  <c r="AH89" i="80"/>
  <c r="AI88" i="80"/>
  <c r="AH88" i="80"/>
  <c r="AI87" i="80"/>
  <c r="AH87" i="80"/>
  <c r="AI86" i="80"/>
  <c r="AH86" i="80"/>
  <c r="AI85" i="80"/>
  <c r="AH85" i="80"/>
  <c r="AI84" i="80"/>
  <c r="AH84" i="80"/>
  <c r="AI83" i="80"/>
  <c r="AH83" i="80"/>
  <c r="AI82" i="80"/>
  <c r="AH82" i="80"/>
  <c r="AI81" i="80"/>
  <c r="AH81" i="80"/>
  <c r="AG80" i="80"/>
  <c r="AG4" i="80" s="1"/>
  <c r="AF80" i="80"/>
  <c r="AE80" i="80"/>
  <c r="AD80" i="80"/>
  <c r="BH20" i="80" s="1"/>
  <c r="AC80" i="80"/>
  <c r="AB80" i="80"/>
  <c r="BG20" i="80" s="1"/>
  <c r="BE20" i="80"/>
  <c r="S80" i="80"/>
  <c r="BA20" i="80" s="1"/>
  <c r="R80" i="80"/>
  <c r="AY20" i="80"/>
  <c r="AI79" i="80"/>
  <c r="AH79" i="80"/>
  <c r="AI78" i="80"/>
  <c r="AH78" i="80"/>
  <c r="AI77" i="80"/>
  <c r="AH77" i="80"/>
  <c r="AF76" i="80"/>
  <c r="BJ18" i="80" s="1"/>
  <c r="AE76" i="80"/>
  <c r="BI18" i="80" s="1"/>
  <c r="AD76" i="80"/>
  <c r="BH18" i="80" s="1"/>
  <c r="AC76" i="80"/>
  <c r="AB76" i="80"/>
  <c r="BG18" i="80" s="1"/>
  <c r="BF18" i="80"/>
  <c r="S76" i="80"/>
  <c r="BA18" i="80" s="1"/>
  <c r="R76" i="80"/>
  <c r="AZ18" i="80" s="1"/>
  <c r="AS18" i="80"/>
  <c r="AI75" i="80"/>
  <c r="AH75" i="80"/>
  <c r="AI74" i="80"/>
  <c r="AH74" i="80"/>
  <c r="AI73" i="80"/>
  <c r="AH73" i="80"/>
  <c r="AI72" i="80"/>
  <c r="AH72" i="80"/>
  <c r="AI71" i="80"/>
  <c r="AH71" i="80"/>
  <c r="AI70" i="80"/>
  <c r="AH70" i="80"/>
  <c r="AI69" i="80"/>
  <c r="AH69" i="80"/>
  <c r="AI68" i="80"/>
  <c r="AH68" i="80"/>
  <c r="AI67" i="80"/>
  <c r="AH67" i="80"/>
  <c r="AI66" i="80"/>
  <c r="AH66" i="80"/>
  <c r="AI65" i="80"/>
  <c r="AH65" i="80"/>
  <c r="AI64" i="80"/>
  <c r="AH64" i="80"/>
  <c r="AI63" i="80"/>
  <c r="AH63" i="80"/>
  <c r="AG62" i="80"/>
  <c r="AF62" i="80"/>
  <c r="BJ17" i="80" s="1"/>
  <c r="AE62" i="80"/>
  <c r="BI17" i="80" s="1"/>
  <c r="AD62" i="80"/>
  <c r="BH17" i="80" s="1"/>
  <c r="AC62" i="80"/>
  <c r="AB62" i="80"/>
  <c r="BG17" i="80" s="1"/>
  <c r="BE17" i="80"/>
  <c r="S62" i="80"/>
  <c r="BA17" i="80" s="1"/>
  <c r="R62" i="80"/>
  <c r="AZ17" i="80" s="1"/>
  <c r="AU17" i="80"/>
  <c r="AQ17" i="80"/>
  <c r="AP17" i="80"/>
  <c r="AI61" i="80"/>
  <c r="AH61" i="80"/>
  <c r="AI60" i="80"/>
  <c r="AH60" i="80"/>
  <c r="AI59" i="80"/>
  <c r="AH59" i="80"/>
  <c r="AG58" i="80"/>
  <c r="AE58" i="80"/>
  <c r="AD58" i="80"/>
  <c r="BH16" i="80" s="1"/>
  <c r="AC58" i="80"/>
  <c r="AB58" i="80"/>
  <c r="BG16" i="80" s="1"/>
  <c r="BE16" i="80"/>
  <c r="S58" i="80"/>
  <c r="R58" i="80"/>
  <c r="AI56" i="80"/>
  <c r="AH56" i="80"/>
  <c r="AI55" i="80"/>
  <c r="AH55" i="80"/>
  <c r="AI54" i="80"/>
  <c r="AH54" i="80"/>
  <c r="AI53" i="80"/>
  <c r="AH53" i="80"/>
  <c r="AI52" i="80"/>
  <c r="AH52" i="80"/>
  <c r="AI51" i="80"/>
  <c r="AH51" i="80"/>
  <c r="AI50" i="80"/>
  <c r="AH50" i="80"/>
  <c r="AI49" i="80"/>
  <c r="AH49" i="80"/>
  <c r="AI48" i="80"/>
  <c r="AH48" i="80"/>
  <c r="AI47" i="80"/>
  <c r="AH47" i="80"/>
  <c r="AI46" i="80"/>
  <c r="AH46" i="80"/>
  <c r="AI45" i="80"/>
  <c r="AH45" i="80"/>
  <c r="AI44" i="80"/>
  <c r="AH44" i="80"/>
  <c r="AI43" i="80"/>
  <c r="AH43" i="80"/>
  <c r="AI42" i="80"/>
  <c r="AH42" i="80"/>
  <c r="AI41" i="80"/>
  <c r="AH41" i="80"/>
  <c r="AI40" i="80"/>
  <c r="AH40" i="80"/>
  <c r="AI39" i="80"/>
  <c r="AH39" i="80"/>
  <c r="AI38" i="80"/>
  <c r="AH38" i="80"/>
  <c r="AI37" i="80"/>
  <c r="AH37" i="80"/>
  <c r="AI36" i="80"/>
  <c r="AH36" i="80"/>
  <c r="AI35" i="80"/>
  <c r="AH35" i="80"/>
  <c r="AI34" i="80"/>
  <c r="AH34" i="80"/>
  <c r="AI33" i="80"/>
  <c r="AH33" i="80"/>
  <c r="AI32" i="80"/>
  <c r="AH32" i="80"/>
  <c r="AI31" i="80"/>
  <c r="AH31" i="80"/>
  <c r="AI30" i="80"/>
  <c r="AH30" i="80"/>
  <c r="AI29" i="80"/>
  <c r="AH29" i="80"/>
  <c r="AI28" i="80"/>
  <c r="AH28" i="80"/>
  <c r="AI27" i="80"/>
  <c r="AH27" i="80"/>
  <c r="AI26" i="80"/>
  <c r="AH26" i="80"/>
  <c r="AI25" i="80"/>
  <c r="AH25" i="80"/>
  <c r="AI24" i="80"/>
  <c r="AH24" i="80"/>
  <c r="AI23" i="80"/>
  <c r="AH23" i="80"/>
  <c r="AI22" i="80"/>
  <c r="AH22" i="80"/>
  <c r="BJ21" i="80"/>
  <c r="BI21" i="80"/>
  <c r="BH21" i="80"/>
  <c r="BG21" i="80"/>
  <c r="BF21" i="80"/>
  <c r="BE21" i="80"/>
  <c r="BD21" i="80"/>
  <c r="BC21" i="80"/>
  <c r="BB21" i="80"/>
  <c r="BA21" i="80"/>
  <c r="AZ21" i="80"/>
  <c r="AY21" i="80"/>
  <c r="AX21" i="80"/>
  <c r="AW21" i="80"/>
  <c r="AV21" i="80"/>
  <c r="AU21" i="80"/>
  <c r="AT21" i="80"/>
  <c r="AS21" i="80"/>
  <c r="AR21" i="80"/>
  <c r="AQ21" i="80"/>
  <c r="AP21" i="80"/>
  <c r="AO21" i="80"/>
  <c r="AN21" i="80"/>
  <c r="AM21" i="80"/>
  <c r="AI21" i="80"/>
  <c r="AH21" i="80"/>
  <c r="BJ20" i="80"/>
  <c r="BI20" i="80"/>
  <c r="BC20" i="80"/>
  <c r="AZ20" i="80"/>
  <c r="AX20" i="80"/>
  <c r="AW20" i="80"/>
  <c r="AU20" i="80"/>
  <c r="AS20" i="80"/>
  <c r="AR20" i="80"/>
  <c r="AP20" i="80"/>
  <c r="AM20" i="80"/>
  <c r="AI20" i="80"/>
  <c r="AH20" i="80"/>
  <c r="BC19" i="80"/>
  <c r="AW19" i="80"/>
  <c r="AU19" i="80"/>
  <c r="AR19" i="80"/>
  <c r="AP19" i="80"/>
  <c r="AO19" i="80"/>
  <c r="AM19" i="80"/>
  <c r="AI19" i="80"/>
  <c r="AH19" i="80"/>
  <c r="BC18" i="80"/>
  <c r="AY18" i="80"/>
  <c r="AX18" i="80"/>
  <c r="AW18" i="80"/>
  <c r="AU18" i="80"/>
  <c r="AT18" i="80"/>
  <c r="AR18" i="80"/>
  <c r="AP18" i="80"/>
  <c r="AI18" i="80"/>
  <c r="AH18" i="80"/>
  <c r="BF17" i="80"/>
  <c r="BB17" i="80"/>
  <c r="AY17" i="80"/>
  <c r="AX17" i="80"/>
  <c r="AV17" i="80"/>
  <c r="AR17" i="80"/>
  <c r="AO17" i="80"/>
  <c r="AM17" i="80"/>
  <c r="AI17" i="80"/>
  <c r="AH17" i="80"/>
  <c r="BF16" i="80"/>
  <c r="BC16" i="80"/>
  <c r="BB16" i="80"/>
  <c r="BA16" i="80"/>
  <c r="AZ16" i="80"/>
  <c r="AY16" i="80"/>
  <c r="AX16" i="80"/>
  <c r="AS16" i="80"/>
  <c r="AR16" i="80"/>
  <c r="AP16" i="80"/>
  <c r="AO16" i="80"/>
  <c r="AM16" i="80"/>
  <c r="AI16" i="80"/>
  <c r="AH16" i="80"/>
  <c r="AI15" i="80"/>
  <c r="AH15" i="80"/>
  <c r="AI14" i="80"/>
  <c r="AH14" i="80"/>
  <c r="AI13" i="80"/>
  <c r="AH13" i="80"/>
  <c r="AL12" i="80"/>
  <c r="AI12" i="80"/>
  <c r="AH12" i="80"/>
  <c r="AF5" i="80"/>
  <c r="P5" i="80"/>
  <c r="O5" i="80"/>
  <c r="N5" i="80"/>
  <c r="L5" i="80"/>
  <c r="K5" i="80"/>
  <c r="I5" i="80"/>
  <c r="H5" i="80"/>
  <c r="G5" i="80"/>
  <c r="F5" i="80"/>
  <c r="D5" i="80"/>
  <c r="C5" i="80"/>
  <c r="K4" i="80"/>
  <c r="E4" i="80"/>
  <c r="H4" i="80" s="1"/>
  <c r="B4" i="80"/>
  <c r="D258" i="80" s="1"/>
  <c r="AG2" i="80"/>
  <c r="AG252" i="79"/>
  <c r="C252" i="79"/>
  <c r="D251" i="79"/>
  <c r="D118" i="79" s="1"/>
  <c r="D250" i="79"/>
  <c r="E250" i="79" s="1"/>
  <c r="F250" i="79" s="1"/>
  <c r="G250" i="79" s="1"/>
  <c r="H250" i="79" s="1"/>
  <c r="I250" i="79" s="1"/>
  <c r="J250" i="79" s="1"/>
  <c r="K250" i="79" s="1"/>
  <c r="L250" i="79" s="1"/>
  <c r="M250" i="79" s="1"/>
  <c r="N250" i="79" s="1"/>
  <c r="O250" i="79" s="1"/>
  <c r="P250" i="79" s="1"/>
  <c r="Q250" i="79" s="1"/>
  <c r="R250" i="79" s="1"/>
  <c r="S250" i="79" s="1"/>
  <c r="T250" i="79" s="1"/>
  <c r="U250" i="79" s="1"/>
  <c r="V250" i="79" s="1"/>
  <c r="W250" i="79" s="1"/>
  <c r="X250" i="79" s="1"/>
  <c r="Y250" i="79" s="1"/>
  <c r="Z250" i="79" s="1"/>
  <c r="AA250" i="79" s="1"/>
  <c r="AB250" i="79" s="1"/>
  <c r="AC250" i="79" s="1"/>
  <c r="AD250" i="79" s="1"/>
  <c r="AE250" i="79" s="1"/>
  <c r="AF250" i="79" s="1"/>
  <c r="B250" i="79" s="1"/>
  <c r="D249" i="79"/>
  <c r="E249" i="79" s="1"/>
  <c r="F249" i="79" s="1"/>
  <c r="G249" i="79" s="1"/>
  <c r="H249" i="79" s="1"/>
  <c r="I249" i="79" s="1"/>
  <c r="J249" i="79" s="1"/>
  <c r="K249" i="79" s="1"/>
  <c r="L249" i="79" s="1"/>
  <c r="M249" i="79" s="1"/>
  <c r="N249" i="79" s="1"/>
  <c r="O249" i="79" s="1"/>
  <c r="P249" i="79" s="1"/>
  <c r="Q249" i="79" s="1"/>
  <c r="R249" i="79" s="1"/>
  <c r="S249" i="79" s="1"/>
  <c r="T249" i="79" s="1"/>
  <c r="U249" i="79" s="1"/>
  <c r="V249" i="79" s="1"/>
  <c r="W249" i="79" s="1"/>
  <c r="X249" i="79" s="1"/>
  <c r="Y249" i="79" s="1"/>
  <c r="Z249" i="79" s="1"/>
  <c r="AA249" i="79" s="1"/>
  <c r="AB249" i="79" s="1"/>
  <c r="AC249" i="79" s="1"/>
  <c r="AD249" i="79" s="1"/>
  <c r="AE249" i="79" s="1"/>
  <c r="AF249" i="79" s="1"/>
  <c r="B249" i="79" s="1"/>
  <c r="D248" i="79"/>
  <c r="E248" i="79" s="1"/>
  <c r="F248" i="79" s="1"/>
  <c r="G248" i="79" s="1"/>
  <c r="H248" i="79" s="1"/>
  <c r="I248" i="79" s="1"/>
  <c r="J248" i="79" s="1"/>
  <c r="K248" i="79" s="1"/>
  <c r="L248" i="79" s="1"/>
  <c r="M248" i="79" s="1"/>
  <c r="N248" i="79" s="1"/>
  <c r="O248" i="79" s="1"/>
  <c r="P248" i="79" s="1"/>
  <c r="Q248" i="79" s="1"/>
  <c r="R248" i="79" s="1"/>
  <c r="S248" i="79" s="1"/>
  <c r="T248" i="79" s="1"/>
  <c r="U248" i="79" s="1"/>
  <c r="V248" i="79" s="1"/>
  <c r="W248" i="79" s="1"/>
  <c r="X248" i="79" s="1"/>
  <c r="Y248" i="79" s="1"/>
  <c r="Z248" i="79" s="1"/>
  <c r="AA248" i="79" s="1"/>
  <c r="AB248" i="79" s="1"/>
  <c r="AC248" i="79" s="1"/>
  <c r="AD248" i="79" s="1"/>
  <c r="AE248" i="79" s="1"/>
  <c r="AF248" i="79" s="1"/>
  <c r="B248" i="79" s="1"/>
  <c r="D247" i="79"/>
  <c r="E247" i="79" s="1"/>
  <c r="F247" i="79" s="1"/>
  <c r="G247" i="79" s="1"/>
  <c r="H247" i="79" s="1"/>
  <c r="I247" i="79" s="1"/>
  <c r="J247" i="79" s="1"/>
  <c r="K247" i="79" s="1"/>
  <c r="L247" i="79" s="1"/>
  <c r="M247" i="79" s="1"/>
  <c r="N247" i="79" s="1"/>
  <c r="O247" i="79" s="1"/>
  <c r="P247" i="79" s="1"/>
  <c r="Q247" i="79" s="1"/>
  <c r="R247" i="79" s="1"/>
  <c r="S247" i="79" s="1"/>
  <c r="T247" i="79" s="1"/>
  <c r="U247" i="79" s="1"/>
  <c r="V247" i="79" s="1"/>
  <c r="W247" i="79" s="1"/>
  <c r="X247" i="79" s="1"/>
  <c r="Y247" i="79" s="1"/>
  <c r="Z247" i="79" s="1"/>
  <c r="AA247" i="79" s="1"/>
  <c r="AB247" i="79" s="1"/>
  <c r="AC247" i="79" s="1"/>
  <c r="AD247" i="79" s="1"/>
  <c r="AE247" i="79" s="1"/>
  <c r="AF247" i="79" s="1"/>
  <c r="B247" i="79" s="1"/>
  <c r="D246" i="79"/>
  <c r="AG244" i="79"/>
  <c r="AF244" i="79"/>
  <c r="AE244" i="79"/>
  <c r="AD244" i="79"/>
  <c r="AC244" i="79"/>
  <c r="AB244" i="79"/>
  <c r="AA244" i="79"/>
  <c r="Z244" i="79"/>
  <c r="Z118" i="79" s="1"/>
  <c r="Y244" i="79"/>
  <c r="Y118" i="79" s="1"/>
  <c r="X244" i="79"/>
  <c r="W244" i="79"/>
  <c r="V244" i="79"/>
  <c r="U244" i="79"/>
  <c r="T244" i="79"/>
  <c r="S244" i="79"/>
  <c r="R244" i="79"/>
  <c r="Q244" i="79"/>
  <c r="P244" i="79"/>
  <c r="O244" i="79"/>
  <c r="N244" i="79"/>
  <c r="M244" i="79"/>
  <c r="L244" i="79"/>
  <c r="K244" i="79"/>
  <c r="J244" i="79"/>
  <c r="I244" i="79"/>
  <c r="H244" i="79"/>
  <c r="G244" i="79"/>
  <c r="F244" i="79"/>
  <c r="E244" i="79"/>
  <c r="D244" i="79"/>
  <c r="C244" i="79"/>
  <c r="B244" i="79"/>
  <c r="AI130" i="79"/>
  <c r="AH130" i="79"/>
  <c r="AI129" i="79"/>
  <c r="AH129" i="79"/>
  <c r="AI128" i="79"/>
  <c r="AH128" i="79"/>
  <c r="AI127" i="79"/>
  <c r="AH127" i="79"/>
  <c r="AI126" i="79"/>
  <c r="AH126" i="79"/>
  <c r="AI123" i="79"/>
  <c r="AH123" i="79"/>
  <c r="AI122" i="79"/>
  <c r="AH122" i="79"/>
  <c r="AI121" i="79"/>
  <c r="AH121" i="79"/>
  <c r="AI120" i="79"/>
  <c r="AH120" i="79"/>
  <c r="AI119" i="79"/>
  <c r="AH119" i="79"/>
  <c r="C118" i="79"/>
  <c r="AI117" i="79"/>
  <c r="AH117" i="79"/>
  <c r="AI116" i="79"/>
  <c r="AH116" i="79"/>
  <c r="AI115" i="79"/>
  <c r="AH115" i="79"/>
  <c r="AI114" i="79"/>
  <c r="AH114" i="79"/>
  <c r="AI113" i="79"/>
  <c r="AH113" i="79"/>
  <c r="AI112" i="79"/>
  <c r="AH112" i="79"/>
  <c r="AI111" i="79"/>
  <c r="AH111" i="79"/>
  <c r="AI110" i="79"/>
  <c r="AH110" i="79"/>
  <c r="AI109" i="79"/>
  <c r="AH109" i="79"/>
  <c r="AI106" i="79"/>
  <c r="AH106" i="79"/>
  <c r="AF105" i="79"/>
  <c r="AE105" i="79"/>
  <c r="AD105" i="79"/>
  <c r="AC105" i="79"/>
  <c r="AB105" i="79"/>
  <c r="AA105" i="79"/>
  <c r="Z105" i="79"/>
  <c r="Y105" i="79"/>
  <c r="X105" i="79"/>
  <c r="W105" i="79"/>
  <c r="V105" i="79"/>
  <c r="U105" i="79"/>
  <c r="T105" i="79"/>
  <c r="S105" i="79"/>
  <c r="R105" i="79"/>
  <c r="Q105" i="79"/>
  <c r="P105" i="79"/>
  <c r="O105" i="79"/>
  <c r="N105" i="79"/>
  <c r="M105" i="79"/>
  <c r="L105" i="79"/>
  <c r="K105" i="79"/>
  <c r="J105" i="79"/>
  <c r="I105" i="79"/>
  <c r="H105" i="79"/>
  <c r="G105" i="79"/>
  <c r="F105" i="79"/>
  <c r="E105" i="79"/>
  <c r="D105" i="79"/>
  <c r="C105" i="79"/>
  <c r="B105" i="79"/>
  <c r="AF104" i="79"/>
  <c r="AE104" i="79"/>
  <c r="AD104" i="79"/>
  <c r="AC104" i="79"/>
  <c r="AB104" i="79"/>
  <c r="AA104" i="79"/>
  <c r="Z104" i="79"/>
  <c r="Y104" i="79"/>
  <c r="X104" i="79"/>
  <c r="W104" i="79"/>
  <c r="V104" i="79"/>
  <c r="U104" i="79"/>
  <c r="T104" i="79"/>
  <c r="S104" i="79"/>
  <c r="R104" i="79"/>
  <c r="Q104" i="79"/>
  <c r="P104" i="79"/>
  <c r="O104" i="79"/>
  <c r="N104" i="79"/>
  <c r="M104" i="79"/>
  <c r="L104" i="79"/>
  <c r="K104" i="79"/>
  <c r="J104" i="79"/>
  <c r="I104" i="79"/>
  <c r="H104" i="79"/>
  <c r="G104" i="79"/>
  <c r="F104" i="79"/>
  <c r="E104" i="79"/>
  <c r="D104" i="79"/>
  <c r="C104" i="79"/>
  <c r="B104" i="79"/>
  <c r="AF103" i="79"/>
  <c r="AE103" i="79"/>
  <c r="AD103" i="79"/>
  <c r="AC103" i="79"/>
  <c r="AB103" i="79"/>
  <c r="AA103" i="79"/>
  <c r="Z103" i="79"/>
  <c r="Y103" i="79"/>
  <c r="X103" i="79"/>
  <c r="W103" i="79"/>
  <c r="V103" i="79"/>
  <c r="U103" i="79"/>
  <c r="T103" i="79"/>
  <c r="S103" i="79"/>
  <c r="R103" i="79"/>
  <c r="Q103" i="79"/>
  <c r="P103" i="79"/>
  <c r="O103" i="79"/>
  <c r="N103" i="79"/>
  <c r="M103" i="79"/>
  <c r="L103" i="79"/>
  <c r="K103" i="79"/>
  <c r="J103" i="79"/>
  <c r="I103" i="79"/>
  <c r="H103" i="79"/>
  <c r="G103" i="79"/>
  <c r="F103" i="79"/>
  <c r="E103" i="79"/>
  <c r="D103" i="79"/>
  <c r="C103" i="79"/>
  <c r="B103" i="79"/>
  <c r="AF102" i="79"/>
  <c r="AE102" i="79"/>
  <c r="AD102" i="79"/>
  <c r="AC102" i="79"/>
  <c r="AB102" i="79"/>
  <c r="AA102" i="79"/>
  <c r="Z102" i="79"/>
  <c r="Y102" i="79"/>
  <c r="X102" i="79"/>
  <c r="W102" i="79"/>
  <c r="V102" i="79"/>
  <c r="U102" i="79"/>
  <c r="T102" i="79"/>
  <c r="S102" i="79"/>
  <c r="R102" i="79"/>
  <c r="Q102" i="79"/>
  <c r="P102" i="79"/>
  <c r="O102" i="79"/>
  <c r="N102" i="79"/>
  <c r="M102" i="79"/>
  <c r="L102" i="79"/>
  <c r="K102" i="79"/>
  <c r="J102" i="79"/>
  <c r="I102" i="79"/>
  <c r="H102" i="79"/>
  <c r="G102" i="79"/>
  <c r="F102" i="79"/>
  <c r="E102" i="79"/>
  <c r="D102" i="79"/>
  <c r="C102" i="79"/>
  <c r="C107" i="79" s="1"/>
  <c r="AN23" i="79" s="1"/>
  <c r="B102" i="79"/>
  <c r="AF101" i="79"/>
  <c r="AE101" i="79"/>
  <c r="AD101" i="79"/>
  <c r="AC101" i="79"/>
  <c r="AB101" i="79"/>
  <c r="AA101" i="79"/>
  <c r="Z101" i="79"/>
  <c r="Z107" i="79" s="1"/>
  <c r="Y101" i="79"/>
  <c r="X101" i="79"/>
  <c r="W101" i="79"/>
  <c r="V101" i="79"/>
  <c r="U101" i="79"/>
  <c r="T101" i="79"/>
  <c r="S101" i="79"/>
  <c r="R101" i="79"/>
  <c r="R107" i="79" s="1"/>
  <c r="Q101" i="79"/>
  <c r="P101" i="79"/>
  <c r="O101" i="79"/>
  <c r="N101" i="79"/>
  <c r="M101" i="79"/>
  <c r="L101" i="79"/>
  <c r="K101" i="79"/>
  <c r="J101" i="79"/>
  <c r="J107" i="79" s="1"/>
  <c r="I101" i="79"/>
  <c r="H101" i="79"/>
  <c r="G101" i="79"/>
  <c r="F101" i="79"/>
  <c r="E101" i="79"/>
  <c r="D101" i="79"/>
  <c r="C101" i="79"/>
  <c r="B101" i="79"/>
  <c r="B107" i="79" s="1"/>
  <c r="AM23" i="79" s="1"/>
  <c r="AI98" i="79"/>
  <c r="AH98" i="79"/>
  <c r="AI96" i="79"/>
  <c r="AH96" i="79"/>
  <c r="AG96" i="79"/>
  <c r="AI95" i="79"/>
  <c r="AH95" i="79"/>
  <c r="AI94" i="79"/>
  <c r="AH94" i="79"/>
  <c r="AI93" i="79"/>
  <c r="AH93" i="79"/>
  <c r="AG92" i="79"/>
  <c r="AF92" i="79"/>
  <c r="AE92" i="79"/>
  <c r="AD92" i="79"/>
  <c r="AC92" i="79"/>
  <c r="AB5" i="79" s="1"/>
  <c r="AB92" i="79"/>
  <c r="AA92" i="79"/>
  <c r="Z92" i="79"/>
  <c r="Y5" i="79" s="1"/>
  <c r="Y92" i="79"/>
  <c r="X92" i="79"/>
  <c r="W92" i="79"/>
  <c r="V92" i="79"/>
  <c r="U5" i="79" s="1"/>
  <c r="U92" i="79"/>
  <c r="T5" i="79" s="1"/>
  <c r="T92" i="79"/>
  <c r="S92" i="79"/>
  <c r="R92" i="79"/>
  <c r="Q92" i="79"/>
  <c r="P92" i="79"/>
  <c r="AX19" i="79" s="1"/>
  <c r="O92" i="79"/>
  <c r="N92" i="79"/>
  <c r="M5" i="79" s="1"/>
  <c r="M92" i="79"/>
  <c r="AU19" i="79" s="1"/>
  <c r="L92" i="79"/>
  <c r="K92" i="79"/>
  <c r="J92" i="79"/>
  <c r="I92" i="79"/>
  <c r="H5" i="79" s="1"/>
  <c r="H92" i="79"/>
  <c r="G5" i="79" s="1"/>
  <c r="G92" i="79"/>
  <c r="F92" i="79"/>
  <c r="E5" i="79" s="1"/>
  <c r="E92" i="79"/>
  <c r="D5" i="79" s="1"/>
  <c r="D92" i="79"/>
  <c r="C92" i="79"/>
  <c r="B92" i="79"/>
  <c r="AI91" i="79"/>
  <c r="AH91" i="79"/>
  <c r="AI90" i="79"/>
  <c r="AH90" i="79"/>
  <c r="AI89" i="79"/>
  <c r="AH89" i="79"/>
  <c r="AI88" i="79"/>
  <c r="AH88" i="79"/>
  <c r="AI87" i="79"/>
  <c r="AH87" i="79"/>
  <c r="AI86" i="79"/>
  <c r="AH86" i="79"/>
  <c r="AI85" i="79"/>
  <c r="AH85" i="79"/>
  <c r="AI84" i="79"/>
  <c r="AH84" i="79"/>
  <c r="AI83" i="79"/>
  <c r="AH83" i="79"/>
  <c r="AI82" i="79"/>
  <c r="AH82" i="79"/>
  <c r="AI81" i="79"/>
  <c r="AH81" i="79"/>
  <c r="AG80" i="79"/>
  <c r="AF80" i="79"/>
  <c r="AE80" i="79"/>
  <c r="AD80" i="79"/>
  <c r="AC80" i="79"/>
  <c r="AB80" i="79"/>
  <c r="AA80" i="79"/>
  <c r="Z80" i="79"/>
  <c r="Y80" i="79"/>
  <c r="X80" i="79"/>
  <c r="W80" i="79"/>
  <c r="V80" i="79"/>
  <c r="U80" i="79"/>
  <c r="T80" i="79"/>
  <c r="S80" i="79"/>
  <c r="R80" i="79"/>
  <c r="Q80" i="79"/>
  <c r="P80" i="79"/>
  <c r="O80" i="79"/>
  <c r="AW20" i="79" s="1"/>
  <c r="N80" i="79"/>
  <c r="AV20" i="79" s="1"/>
  <c r="M80" i="79"/>
  <c r="L80" i="79"/>
  <c r="K80" i="79"/>
  <c r="AT20" i="79" s="1"/>
  <c r="J80" i="79"/>
  <c r="I80" i="79"/>
  <c r="H80" i="79"/>
  <c r="G80" i="79"/>
  <c r="AR20" i="79" s="1"/>
  <c r="F80" i="79"/>
  <c r="AQ20" i="79" s="1"/>
  <c r="E80" i="79"/>
  <c r="D80" i="79"/>
  <c r="AO20" i="79" s="1"/>
  <c r="C80" i="79"/>
  <c r="AN20" i="79" s="1"/>
  <c r="B80" i="79"/>
  <c r="AM20" i="79" s="1"/>
  <c r="AI79" i="79"/>
  <c r="AH79" i="79"/>
  <c r="AI78" i="79"/>
  <c r="AH78" i="79"/>
  <c r="AI77" i="79"/>
  <c r="AH77" i="79"/>
  <c r="AF76" i="79"/>
  <c r="AE76" i="79"/>
  <c r="AD76" i="79"/>
  <c r="AC76" i="79"/>
  <c r="AB76" i="79"/>
  <c r="AA76" i="79"/>
  <c r="Z76" i="79"/>
  <c r="Y76" i="79"/>
  <c r="X76" i="79"/>
  <c r="W76" i="79"/>
  <c r="V76" i="79"/>
  <c r="U76" i="79"/>
  <c r="T76" i="79"/>
  <c r="S76" i="79"/>
  <c r="R76" i="79"/>
  <c r="Q76" i="79"/>
  <c r="P76" i="79"/>
  <c r="AX18" i="79" s="1"/>
  <c r="O76" i="79"/>
  <c r="AW18" i="79" s="1"/>
  <c r="N76" i="79"/>
  <c r="AV18" i="79" s="1"/>
  <c r="M76" i="79"/>
  <c r="AU18" i="79" s="1"/>
  <c r="L76" i="79"/>
  <c r="K76" i="79"/>
  <c r="J76" i="79"/>
  <c r="I76" i="79"/>
  <c r="H76" i="79"/>
  <c r="G76" i="79"/>
  <c r="AR18" i="79" s="1"/>
  <c r="F76" i="79"/>
  <c r="AQ18" i="79" s="1"/>
  <c r="E76" i="79"/>
  <c r="AP18" i="79" s="1"/>
  <c r="D76" i="79"/>
  <c r="AO18" i="79" s="1"/>
  <c r="C76" i="79"/>
  <c r="AN18" i="79" s="1"/>
  <c r="B76" i="79"/>
  <c r="AI75" i="79"/>
  <c r="AH75" i="79"/>
  <c r="AG75" i="79"/>
  <c r="AG76" i="79" s="1"/>
  <c r="AI74" i="79"/>
  <c r="AH74" i="79"/>
  <c r="AI73" i="79"/>
  <c r="AH73" i="79"/>
  <c r="AI72" i="79"/>
  <c r="AH72" i="79"/>
  <c r="AI71" i="79"/>
  <c r="AH71" i="79"/>
  <c r="AI70" i="79"/>
  <c r="AH70" i="79"/>
  <c r="AI69" i="79"/>
  <c r="AH69" i="79"/>
  <c r="AI68" i="79"/>
  <c r="AH68" i="79"/>
  <c r="AI67" i="79"/>
  <c r="AH67" i="79"/>
  <c r="AI66" i="79"/>
  <c r="AH66" i="79"/>
  <c r="AI65" i="79"/>
  <c r="AH65" i="79"/>
  <c r="AI64" i="79"/>
  <c r="AH64" i="79"/>
  <c r="AI63" i="79"/>
  <c r="AH63" i="79"/>
  <c r="AG62" i="79"/>
  <c r="AF62" i="79"/>
  <c r="AE62" i="79"/>
  <c r="AD62" i="79"/>
  <c r="AC62" i="79"/>
  <c r="AB62" i="79"/>
  <c r="AA62" i="79"/>
  <c r="Z62" i="79"/>
  <c r="Y62" i="79"/>
  <c r="X62" i="79"/>
  <c r="W62" i="79"/>
  <c r="V62" i="79"/>
  <c r="U62" i="79"/>
  <c r="T62" i="79"/>
  <c r="S62" i="79"/>
  <c r="R62" i="79"/>
  <c r="Q62" i="79"/>
  <c r="P62" i="79"/>
  <c r="AX17" i="79" s="1"/>
  <c r="O62" i="79"/>
  <c r="N62" i="79"/>
  <c r="AV17" i="79" s="1"/>
  <c r="M62" i="79"/>
  <c r="L62" i="79"/>
  <c r="K62" i="79"/>
  <c r="AT17" i="79" s="1"/>
  <c r="J62" i="79"/>
  <c r="I62" i="79"/>
  <c r="AS17" i="79" s="1"/>
  <c r="H62" i="79"/>
  <c r="G62" i="79"/>
  <c r="AR17" i="79" s="1"/>
  <c r="F62" i="79"/>
  <c r="E62" i="79"/>
  <c r="D62" i="79"/>
  <c r="C62" i="79"/>
  <c r="AN17" i="79" s="1"/>
  <c r="B62" i="79"/>
  <c r="AI61" i="79"/>
  <c r="AH61" i="79"/>
  <c r="AI60" i="79"/>
  <c r="AH60" i="79"/>
  <c r="AI59" i="79"/>
  <c r="AH59" i="79"/>
  <c r="AG58" i="79"/>
  <c r="AG2" i="79" s="1"/>
  <c r="AF58" i="79"/>
  <c r="AE58" i="79"/>
  <c r="AD58" i="79"/>
  <c r="AC58" i="79"/>
  <c r="AB58" i="79"/>
  <c r="AA58" i="79"/>
  <c r="Z58" i="79"/>
  <c r="Y58" i="79"/>
  <c r="X58" i="79"/>
  <c r="W58" i="79"/>
  <c r="V58" i="79"/>
  <c r="U58" i="79"/>
  <c r="T58" i="79"/>
  <c r="S58" i="79"/>
  <c r="R58" i="79"/>
  <c r="Q58" i="79"/>
  <c r="P58" i="79"/>
  <c r="O58" i="79"/>
  <c r="AW16" i="79" s="1"/>
  <c r="N58" i="79"/>
  <c r="M58" i="79"/>
  <c r="AU16" i="79" s="1"/>
  <c r="L58" i="79"/>
  <c r="K58" i="79"/>
  <c r="J58" i="79"/>
  <c r="I58" i="79"/>
  <c r="AS16" i="79" s="1"/>
  <c r="H58" i="79"/>
  <c r="G58" i="79"/>
  <c r="AR16" i="79" s="1"/>
  <c r="F58" i="79"/>
  <c r="E58" i="79"/>
  <c r="AP16" i="79" s="1"/>
  <c r="D58" i="79"/>
  <c r="C58" i="79"/>
  <c r="B58" i="79"/>
  <c r="AM16" i="79" s="1"/>
  <c r="AI57" i="79"/>
  <c r="AH57" i="79"/>
  <c r="AI56" i="79"/>
  <c r="AH56" i="79"/>
  <c r="AI55" i="79"/>
  <c r="AH55" i="79"/>
  <c r="AI54" i="79"/>
  <c r="AH54" i="79"/>
  <c r="AI53" i="79"/>
  <c r="AH53" i="79"/>
  <c r="AI52" i="79"/>
  <c r="AH52" i="79"/>
  <c r="AI51" i="79"/>
  <c r="AH51" i="79"/>
  <c r="AI50" i="79"/>
  <c r="AH50" i="79"/>
  <c r="AI49" i="79"/>
  <c r="AH49" i="79"/>
  <c r="AI48" i="79"/>
  <c r="AH48" i="79"/>
  <c r="AI47" i="79"/>
  <c r="AH47" i="79"/>
  <c r="AI46" i="79"/>
  <c r="AH46" i="79"/>
  <c r="AI45" i="79"/>
  <c r="AH45" i="79"/>
  <c r="AI44" i="79"/>
  <c r="AH44" i="79"/>
  <c r="AI43" i="79"/>
  <c r="AH43" i="79"/>
  <c r="AI42" i="79"/>
  <c r="AH42" i="79"/>
  <c r="AI41" i="79"/>
  <c r="AH41" i="79"/>
  <c r="AI40" i="79"/>
  <c r="AH40" i="79"/>
  <c r="AI39" i="79"/>
  <c r="AH39" i="79"/>
  <c r="AI38" i="79"/>
  <c r="AH38" i="79"/>
  <c r="AI37" i="79"/>
  <c r="AH37" i="79"/>
  <c r="AI36" i="79"/>
  <c r="AH36" i="79"/>
  <c r="AI35" i="79"/>
  <c r="AH35" i="79"/>
  <c r="AI34" i="79"/>
  <c r="AH34" i="79"/>
  <c r="AI33" i="79"/>
  <c r="AH33" i="79"/>
  <c r="AI32" i="79"/>
  <c r="AH32" i="79"/>
  <c r="AI31" i="79"/>
  <c r="AH31" i="79"/>
  <c r="AI30" i="79"/>
  <c r="AH30" i="79"/>
  <c r="AI29" i="79"/>
  <c r="AH29" i="79"/>
  <c r="AI28" i="79"/>
  <c r="AH28" i="79"/>
  <c r="AI27" i="79"/>
  <c r="AH27" i="79"/>
  <c r="AI26" i="79"/>
  <c r="AH26" i="79"/>
  <c r="AI25" i="79"/>
  <c r="AH25" i="79"/>
  <c r="AI24" i="79"/>
  <c r="AH24" i="79"/>
  <c r="AI23" i="79"/>
  <c r="AH23" i="79"/>
  <c r="AI22" i="79"/>
  <c r="AH22" i="79"/>
  <c r="AX21" i="79"/>
  <c r="AW21" i="79"/>
  <c r="AV21" i="79"/>
  <c r="AU21" i="79"/>
  <c r="AT21" i="79"/>
  <c r="AS21" i="79"/>
  <c r="AR21" i="79"/>
  <c r="AQ21" i="79"/>
  <c r="AP21" i="79"/>
  <c r="AO21" i="79"/>
  <c r="AN21" i="79"/>
  <c r="AM21" i="79"/>
  <c r="AI21" i="79"/>
  <c r="AH21" i="79"/>
  <c r="AX20" i="79"/>
  <c r="AU20" i="79"/>
  <c r="AS20" i="79"/>
  <c r="AP20" i="79"/>
  <c r="AI20" i="79"/>
  <c r="AH20" i="79"/>
  <c r="AW19" i="79"/>
  <c r="AV19" i="79"/>
  <c r="AS19" i="79"/>
  <c r="AR19" i="79"/>
  <c r="AO19" i="79"/>
  <c r="AN19" i="79"/>
  <c r="AI19" i="79"/>
  <c r="AH19" i="79"/>
  <c r="AT18" i="79"/>
  <c r="AS18" i="79"/>
  <c r="AM18" i="79"/>
  <c r="AI18" i="79"/>
  <c r="AH18" i="79"/>
  <c r="AW17" i="79"/>
  <c r="AU17" i="79"/>
  <c r="AQ17" i="79"/>
  <c r="AP17" i="79"/>
  <c r="AO17" i="79"/>
  <c r="AM17" i="79"/>
  <c r="AI17" i="79"/>
  <c r="AH17" i="79"/>
  <c r="AX16" i="79"/>
  <c r="AT16" i="79"/>
  <c r="AI16" i="79"/>
  <c r="AH16" i="79"/>
  <c r="AI15" i="79"/>
  <c r="AH15" i="79"/>
  <c r="AI14" i="79"/>
  <c r="AH14" i="79"/>
  <c r="AI13" i="79"/>
  <c r="AH13" i="79"/>
  <c r="AL12" i="79"/>
  <c r="AI12" i="79"/>
  <c r="AH12" i="79"/>
  <c r="AI11" i="79"/>
  <c r="AH11" i="79"/>
  <c r="AE5" i="79"/>
  <c r="AA5" i="79"/>
  <c r="X5" i="79"/>
  <c r="S5" i="79"/>
  <c r="O5" i="79"/>
  <c r="K5" i="79"/>
  <c r="C5" i="79"/>
  <c r="AG4" i="79"/>
  <c r="K4" i="79"/>
  <c r="E4" i="79"/>
  <c r="H4" i="79" s="1"/>
  <c r="B4" i="79"/>
  <c r="AG3" i="79"/>
  <c r="CT24" i="81" l="1"/>
  <c r="AB108" i="81"/>
  <c r="CN24" i="81"/>
  <c r="CW22" i="81"/>
  <c r="C100" i="81"/>
  <c r="C7" i="81" s="1"/>
  <c r="Q100" i="81"/>
  <c r="Q7" i="81" s="1"/>
  <c r="CU24" i="81"/>
  <c r="I100" i="81"/>
  <c r="I7" i="81" s="1"/>
  <c r="DI24" i="81"/>
  <c r="CV22" i="81"/>
  <c r="CV24" i="81" s="1"/>
  <c r="DF24" i="81"/>
  <c r="R100" i="81"/>
  <c r="R7" i="81" s="1"/>
  <c r="R108" i="81"/>
  <c r="AA97" i="79"/>
  <c r="AA99" i="79" s="1"/>
  <c r="AC5" i="79"/>
  <c r="AP19" i="79"/>
  <c r="AP22" i="79"/>
  <c r="AU22" i="79"/>
  <c r="L5" i="79"/>
  <c r="F97" i="79"/>
  <c r="F99" i="79" s="1"/>
  <c r="AD97" i="79"/>
  <c r="AD99" i="79" s="1"/>
  <c r="H97" i="79"/>
  <c r="H99" i="79" s="1"/>
  <c r="H107" i="79"/>
  <c r="P107" i="79"/>
  <c r="AX23" i="79" s="1"/>
  <c r="X107" i="79"/>
  <c r="AF107" i="79"/>
  <c r="N97" i="79"/>
  <c r="N99" i="79" s="1"/>
  <c r="V97" i="79"/>
  <c r="V99" i="79" s="1"/>
  <c r="X97" i="79"/>
  <c r="X99" i="79" s="1"/>
  <c r="W5" i="79"/>
  <c r="I107" i="79"/>
  <c r="Q107" i="79"/>
  <c r="Y107" i="79"/>
  <c r="P97" i="79"/>
  <c r="P99" i="79" s="1"/>
  <c r="AF97" i="79"/>
  <c r="AF99" i="79" s="1"/>
  <c r="K107" i="79"/>
  <c r="AT23" i="79" s="1"/>
  <c r="S107" i="79"/>
  <c r="AA107" i="79"/>
  <c r="E251" i="79"/>
  <c r="F251" i="79" s="1"/>
  <c r="G251" i="79" s="1"/>
  <c r="H251" i="79" s="1"/>
  <c r="I251" i="79" s="1"/>
  <c r="J251" i="79" s="1"/>
  <c r="K251" i="79" s="1"/>
  <c r="L251" i="79" s="1"/>
  <c r="M251" i="79" s="1"/>
  <c r="N251" i="79" s="1"/>
  <c r="O251" i="79" s="1"/>
  <c r="P251" i="79" s="1"/>
  <c r="Q251" i="79" s="1"/>
  <c r="R251" i="79" s="1"/>
  <c r="S251" i="79" s="1"/>
  <c r="T251" i="79" s="1"/>
  <c r="U251" i="79" s="1"/>
  <c r="V251" i="79" s="1"/>
  <c r="W251" i="79" s="1"/>
  <c r="X251" i="79" s="1"/>
  <c r="Y251" i="79" s="1"/>
  <c r="Z251" i="79" s="1"/>
  <c r="AA251" i="79" s="1"/>
  <c r="AB251" i="79" s="1"/>
  <c r="AC251" i="79" s="1"/>
  <c r="AD251" i="79" s="1"/>
  <c r="AE251" i="79" s="1"/>
  <c r="AF251" i="79" s="1"/>
  <c r="B251" i="79" s="1"/>
  <c r="W97" i="79"/>
  <c r="W99" i="79" s="1"/>
  <c r="AV16" i="79"/>
  <c r="I97" i="79"/>
  <c r="I99" i="79" s="1"/>
  <c r="Q97" i="79"/>
  <c r="Q99" i="79" s="1"/>
  <c r="Y97" i="79"/>
  <c r="Y99" i="79" s="1"/>
  <c r="Y100" i="79" s="1"/>
  <c r="Y7" i="79" s="1"/>
  <c r="D107" i="79"/>
  <c r="AO23" i="79" s="1"/>
  <c r="L107" i="79"/>
  <c r="T107" i="79"/>
  <c r="AB107" i="79"/>
  <c r="AI92" i="79"/>
  <c r="AX22" i="79"/>
  <c r="B97" i="79"/>
  <c r="B99" i="79" s="1"/>
  <c r="J97" i="79"/>
  <c r="J99" i="79" s="1"/>
  <c r="J100" i="79" s="1"/>
  <c r="J7" i="79" s="1"/>
  <c r="R97" i="79"/>
  <c r="R99" i="79" s="1"/>
  <c r="R100" i="79" s="1"/>
  <c r="R7" i="79" s="1"/>
  <c r="Z97" i="79"/>
  <c r="Z99" i="79" s="1"/>
  <c r="Z100" i="79" s="1"/>
  <c r="Z7" i="79" s="1"/>
  <c r="AH76" i="79"/>
  <c r="J108" i="79"/>
  <c r="AG6" i="79"/>
  <c r="P5" i="79"/>
  <c r="AA100" i="79"/>
  <c r="AA7" i="79" s="1"/>
  <c r="AI76" i="79"/>
  <c r="G107" i="79"/>
  <c r="AR23" i="79" s="1"/>
  <c r="O107" i="79"/>
  <c r="AW23" i="79" s="1"/>
  <c r="W107" i="79"/>
  <c r="AE107" i="79"/>
  <c r="AI105" i="79"/>
  <c r="R108" i="79"/>
  <c r="D97" i="79"/>
  <c r="D99" i="79" s="1"/>
  <c r="D100" i="79" s="1"/>
  <c r="D7" i="79" s="1"/>
  <c r="L97" i="79"/>
  <c r="L99" i="79" s="1"/>
  <c r="T97" i="79"/>
  <c r="T99" i="79" s="1"/>
  <c r="AB97" i="79"/>
  <c r="AB99" i="79" s="1"/>
  <c r="AB100" i="79" s="1"/>
  <c r="AB7" i="79" s="1"/>
  <c r="AI104" i="79"/>
  <c r="I5" i="79"/>
  <c r="AF5" i="79"/>
  <c r="AQ16" i="79"/>
  <c r="E97" i="79"/>
  <c r="E99" i="79" s="1"/>
  <c r="M97" i="79"/>
  <c r="M99" i="79" s="1"/>
  <c r="U97" i="79"/>
  <c r="U99" i="79" s="1"/>
  <c r="AC97" i="79"/>
  <c r="AC99" i="79" s="1"/>
  <c r="AG99" i="79"/>
  <c r="H108" i="79"/>
  <c r="X108" i="79"/>
  <c r="AI103" i="79"/>
  <c r="AH105" i="79"/>
  <c r="Y108" i="79"/>
  <c r="J252" i="82"/>
  <c r="J118" i="82"/>
  <c r="K246" i="82"/>
  <c r="AF100" i="81"/>
  <c r="AF7" i="81" s="1"/>
  <c r="Z100" i="81"/>
  <c r="Z7" i="81" s="1"/>
  <c r="DC24" i="81"/>
  <c r="CZ24" i="81"/>
  <c r="CY24" i="81"/>
  <c r="CW24" i="81"/>
  <c r="N108" i="81"/>
  <c r="N100" i="81"/>
  <c r="N7" i="81" s="1"/>
  <c r="CS24" i="81"/>
  <c r="I108" i="81"/>
  <c r="CR22" i="81"/>
  <c r="CR24" i="81" s="1"/>
  <c r="F108" i="81"/>
  <c r="E100" i="81"/>
  <c r="E7" i="81" s="1"/>
  <c r="CP24" i="81"/>
  <c r="C108" i="81"/>
  <c r="F246" i="81"/>
  <c r="E252" i="81"/>
  <c r="E118" i="81"/>
  <c r="AC100" i="81"/>
  <c r="AC7" i="81" s="1"/>
  <c r="H100" i="81"/>
  <c r="H7" i="81" s="1"/>
  <c r="P108" i="81"/>
  <c r="CX23" i="81"/>
  <c r="CX24" i="81" s="1"/>
  <c r="AI97" i="81"/>
  <c r="AE108" i="81"/>
  <c r="U7" i="81"/>
  <c r="AE100" i="81"/>
  <c r="AE7" i="81" s="1"/>
  <c r="AH99" i="81"/>
  <c r="AI99" i="81"/>
  <c r="B100" i="81"/>
  <c r="M108" i="81"/>
  <c r="AH107" i="81"/>
  <c r="M100" i="81"/>
  <c r="M7" i="81" s="1"/>
  <c r="DE23" i="81"/>
  <c r="DE24" i="81" s="1"/>
  <c r="AI107" i="81"/>
  <c r="AH97" i="81"/>
  <c r="C256" i="81"/>
  <c r="G100" i="81"/>
  <c r="G7" i="81" s="1"/>
  <c r="B256" i="81"/>
  <c r="O108" i="81"/>
  <c r="O100" i="81"/>
  <c r="O7" i="81" s="1"/>
  <c r="DJ23" i="81"/>
  <c r="DJ24" i="81" s="1"/>
  <c r="AF108" i="81"/>
  <c r="G108" i="81"/>
  <c r="E108" i="81"/>
  <c r="P100" i="81"/>
  <c r="P7" i="81" s="1"/>
  <c r="AE5" i="80"/>
  <c r="AF107" i="80"/>
  <c r="AF108" i="80" s="1"/>
  <c r="AE97" i="80"/>
  <c r="AE99" i="80" s="1"/>
  <c r="AH57" i="80"/>
  <c r="AI123" i="80"/>
  <c r="AG97" i="80"/>
  <c r="AA5" i="80"/>
  <c r="BI16" i="80"/>
  <c r="BI22" i="80" s="1"/>
  <c r="AN19" i="80"/>
  <c r="AI57" i="80"/>
  <c r="N100" i="80"/>
  <c r="F108" i="80"/>
  <c r="N108" i="80"/>
  <c r="D118" i="80"/>
  <c r="AD5" i="80"/>
  <c r="D252" i="80"/>
  <c r="AC97" i="80"/>
  <c r="AC99" i="80" s="1"/>
  <c r="AD107" i="80"/>
  <c r="BH23" i="80" s="1"/>
  <c r="AT19" i="80"/>
  <c r="AE107" i="80"/>
  <c r="AE108" i="80" s="1"/>
  <c r="AB97" i="80"/>
  <c r="AB99" i="80" s="1"/>
  <c r="BG22" i="80"/>
  <c r="AA97" i="80"/>
  <c r="AA99" i="80" s="1"/>
  <c r="AA107" i="80"/>
  <c r="AA108" i="80" s="1"/>
  <c r="Z107" i="80"/>
  <c r="BF23" i="80" s="1"/>
  <c r="Z97" i="80"/>
  <c r="Z99" i="80" s="1"/>
  <c r="Y97" i="80"/>
  <c r="Y99" i="80" s="1"/>
  <c r="Y107" i="80"/>
  <c r="Y108" i="80" s="1"/>
  <c r="AH123" i="80"/>
  <c r="BE19" i="80"/>
  <c r="BE22" i="80" s="1"/>
  <c r="X97" i="80"/>
  <c r="X99" i="80" s="1"/>
  <c r="W5" i="80"/>
  <c r="X107" i="80"/>
  <c r="BE23" i="80" s="1"/>
  <c r="W107" i="80"/>
  <c r="W108" i="80" s="1"/>
  <c r="W97" i="80"/>
  <c r="W99" i="80" s="1"/>
  <c r="V97" i="80"/>
  <c r="V99" i="80" s="1"/>
  <c r="V107" i="80"/>
  <c r="BD23" i="80" s="1"/>
  <c r="BD19" i="80"/>
  <c r="BD17" i="80"/>
  <c r="T5" i="80"/>
  <c r="U107" i="80"/>
  <c r="U108" i="80" s="1"/>
  <c r="U97" i="80"/>
  <c r="U99" i="80" s="1"/>
  <c r="U100" i="80" s="1"/>
  <c r="U7" i="80" s="1"/>
  <c r="BC22" i="80"/>
  <c r="T107" i="80"/>
  <c r="T108" i="80" s="1"/>
  <c r="S5" i="80"/>
  <c r="T97" i="80"/>
  <c r="T99" i="80" s="1"/>
  <c r="AI102" i="80"/>
  <c r="BB22" i="80"/>
  <c r="S107" i="80"/>
  <c r="BA23" i="80" s="1"/>
  <c r="AI62" i="80"/>
  <c r="AH62" i="80"/>
  <c r="AI103" i="80"/>
  <c r="R107" i="80"/>
  <c r="AZ23" i="80" s="1"/>
  <c r="AH104" i="80"/>
  <c r="R97" i="80"/>
  <c r="R99" i="80" s="1"/>
  <c r="AX22" i="80"/>
  <c r="AX24" i="80" s="1"/>
  <c r="AH80" i="80"/>
  <c r="O97" i="80"/>
  <c r="O99" i="80" s="1"/>
  <c r="O100" i="80" s="1"/>
  <c r="O7" i="80" s="1"/>
  <c r="F97" i="80"/>
  <c r="F99" i="80" s="1"/>
  <c r="F100" i="80" s="1"/>
  <c r="AY22" i="80"/>
  <c r="AV19" i="80"/>
  <c r="AO22" i="80"/>
  <c r="AW22" i="80"/>
  <c r="AP22" i="80"/>
  <c r="G7" i="80"/>
  <c r="B256" i="80"/>
  <c r="AS23" i="80"/>
  <c r="AY23" i="80"/>
  <c r="AY24" i="80" s="1"/>
  <c r="AI104" i="80"/>
  <c r="F246" i="80"/>
  <c r="F118" i="80" s="1"/>
  <c r="E252" i="80"/>
  <c r="S97" i="80"/>
  <c r="S99" i="80" s="1"/>
  <c r="AS22" i="80"/>
  <c r="AS24" i="80" s="1"/>
  <c r="AI101" i="80"/>
  <c r="AG99" i="80"/>
  <c r="AR22" i="80"/>
  <c r="AR24" i="80" s="1"/>
  <c r="AU16" i="80"/>
  <c r="AU22" i="80" s="1"/>
  <c r="AZ19" i="80"/>
  <c r="AZ22" i="80" s="1"/>
  <c r="AZ24" i="80" s="1"/>
  <c r="BJ23" i="80"/>
  <c r="F7" i="80"/>
  <c r="AQ16" i="80"/>
  <c r="N7" i="80"/>
  <c r="AV16" i="80"/>
  <c r="BD16" i="80"/>
  <c r="AD97" i="80"/>
  <c r="AD99" i="80" s="1"/>
  <c r="AI76" i="80"/>
  <c r="AI80" i="80"/>
  <c r="B5" i="80"/>
  <c r="J5" i="80"/>
  <c r="BA19" i="80"/>
  <c r="BA22" i="80" s="1"/>
  <c r="R5" i="80"/>
  <c r="Z5" i="80"/>
  <c r="AI92" i="80"/>
  <c r="AB107" i="80"/>
  <c r="K7" i="80"/>
  <c r="AT16" i="80"/>
  <c r="AT22" i="80" s="1"/>
  <c r="AT24" i="80" s="1"/>
  <c r="BH22" i="80"/>
  <c r="AW23" i="80"/>
  <c r="AP23" i="80"/>
  <c r="AU23" i="80"/>
  <c r="BC23" i="80"/>
  <c r="AC107" i="80"/>
  <c r="AC108" i="80" s="1"/>
  <c r="C7" i="80"/>
  <c r="AN16" i="80"/>
  <c r="AN22" i="80" s="1"/>
  <c r="AN24" i="80" s="1"/>
  <c r="AH101" i="80"/>
  <c r="AH76" i="80"/>
  <c r="BF19" i="80"/>
  <c r="BF22" i="80" s="1"/>
  <c r="AH92" i="80"/>
  <c r="AG6" i="80"/>
  <c r="Y5" i="80"/>
  <c r="AM22" i="80"/>
  <c r="AM24" i="80" s="1"/>
  <c r="AI105" i="80"/>
  <c r="AL13" i="80"/>
  <c r="AH102" i="80"/>
  <c r="AQ19" i="80"/>
  <c r="AH103" i="80"/>
  <c r="E5" i="80"/>
  <c r="M5" i="80"/>
  <c r="U5" i="80"/>
  <c r="AC5" i="80"/>
  <c r="AH105" i="80"/>
  <c r="I108" i="79"/>
  <c r="AS23" i="79"/>
  <c r="AM22" i="79"/>
  <c r="AR22" i="79"/>
  <c r="AR24" i="79" s="1"/>
  <c r="AW22" i="79"/>
  <c r="AW24" i="79" s="1"/>
  <c r="G108" i="79"/>
  <c r="O108" i="79"/>
  <c r="W108" i="79"/>
  <c r="AE108" i="79"/>
  <c r="O97" i="79"/>
  <c r="O99" i="79" s="1"/>
  <c r="O100" i="79" s="1"/>
  <c r="O7" i="79" s="1"/>
  <c r="AH62" i="79"/>
  <c r="AH101" i="79"/>
  <c r="D252" i="79"/>
  <c r="AS22" i="79"/>
  <c r="AG97" i="79"/>
  <c r="AI62" i="79"/>
  <c r="AI101" i="79"/>
  <c r="AI102" i="79"/>
  <c r="AH80" i="79"/>
  <c r="Z108" i="79"/>
  <c r="AH92" i="79"/>
  <c r="P108" i="79"/>
  <c r="S108" i="79"/>
  <c r="R5" i="79"/>
  <c r="C97" i="79"/>
  <c r="C99" i="79" s="1"/>
  <c r="C100" i="79" s="1"/>
  <c r="C7" i="79" s="1"/>
  <c r="AI58" i="79"/>
  <c r="AN16" i="79"/>
  <c r="AN22" i="79" s="1"/>
  <c r="AN24" i="79" s="1"/>
  <c r="K97" i="79"/>
  <c r="K99" i="79" s="1"/>
  <c r="K100" i="79" s="1"/>
  <c r="K7" i="79" s="1"/>
  <c r="AI80" i="79"/>
  <c r="C108" i="79"/>
  <c r="B5" i="79"/>
  <c r="AT19" i="79"/>
  <c r="AT22" i="79" s="1"/>
  <c r="AT24" i="79" s="1"/>
  <c r="K108" i="79"/>
  <c r="J5" i="79"/>
  <c r="AA108" i="79"/>
  <c r="Z5" i="79"/>
  <c r="AE97" i="79"/>
  <c r="AE99" i="79" s="1"/>
  <c r="AE100" i="79" s="1"/>
  <c r="AE7" i="79" s="1"/>
  <c r="Q5" i="79"/>
  <c r="AV22" i="79"/>
  <c r="D108" i="79"/>
  <c r="L108" i="79"/>
  <c r="AB108" i="79"/>
  <c r="E107" i="79"/>
  <c r="M107" i="79"/>
  <c r="AU23" i="79" s="1"/>
  <c r="AU24" i="79" s="1"/>
  <c r="U107" i="79"/>
  <c r="AC107" i="79"/>
  <c r="AC108" i="79" s="1"/>
  <c r="F107" i="79"/>
  <c r="AQ23" i="79" s="1"/>
  <c r="N107" i="79"/>
  <c r="AV23" i="79" s="1"/>
  <c r="V107" i="79"/>
  <c r="AD107" i="79"/>
  <c r="AM19" i="79"/>
  <c r="B108" i="79"/>
  <c r="D258" i="79"/>
  <c r="AL13" i="79"/>
  <c r="G97" i="79"/>
  <c r="G99" i="79" s="1"/>
  <c r="AH102" i="79"/>
  <c r="AO16" i="79"/>
  <c r="AO22" i="79" s="1"/>
  <c r="AO24" i="79" s="1"/>
  <c r="AQ19" i="79"/>
  <c r="AQ22" i="79" s="1"/>
  <c r="AQ24" i="79" s="1"/>
  <c r="AH58" i="79"/>
  <c r="AH103" i="79"/>
  <c r="E246" i="79"/>
  <c r="S97" i="79"/>
  <c r="S99" i="79" s="1"/>
  <c r="S100" i="79" s="1"/>
  <c r="S7" i="79" s="1"/>
  <c r="AH104" i="79"/>
  <c r="F5" i="79"/>
  <c r="N5" i="79"/>
  <c r="V5" i="79"/>
  <c r="AD5" i="79"/>
  <c r="E100" i="79" l="1"/>
  <c r="E7" i="79" s="1"/>
  <c r="E108" i="79"/>
  <c r="Q100" i="79"/>
  <c r="Q7" i="79" s="1"/>
  <c r="X100" i="79"/>
  <c r="X7" i="79" s="1"/>
  <c r="H100" i="79"/>
  <c r="H7" i="79" s="1"/>
  <c r="M100" i="79"/>
  <c r="M7" i="79" s="1"/>
  <c r="AX24" i="79"/>
  <c r="I100" i="79"/>
  <c r="I7" i="79" s="1"/>
  <c r="AF100" i="79"/>
  <c r="AF7" i="79" s="1"/>
  <c r="P100" i="79"/>
  <c r="P7" i="79" s="1"/>
  <c r="AF108" i="79"/>
  <c r="AV24" i="79"/>
  <c r="Q108" i="79"/>
  <c r="F100" i="79"/>
  <c r="F7" i="79" s="1"/>
  <c r="F108" i="79"/>
  <c r="AM24" i="79"/>
  <c r="AT8" i="79"/>
  <c r="T108" i="79"/>
  <c r="T100" i="79"/>
  <c r="T7" i="79" s="1"/>
  <c r="L100" i="79"/>
  <c r="L7" i="79" s="1"/>
  <c r="W100" i="79"/>
  <c r="W7" i="79" s="1"/>
  <c r="L246" i="82"/>
  <c r="K118" i="82"/>
  <c r="K252" i="82"/>
  <c r="AH108" i="81"/>
  <c r="AI108" i="81"/>
  <c r="AH100" i="81"/>
  <c r="B7" i="81"/>
  <c r="A7" i="81" s="1"/>
  <c r="AI100" i="81"/>
  <c r="K6" i="81"/>
  <c r="G246" i="81"/>
  <c r="F252" i="81"/>
  <c r="F118" i="81"/>
  <c r="BI23" i="80"/>
  <c r="BI24" i="80"/>
  <c r="AC100" i="80"/>
  <c r="AC7" i="80" s="1"/>
  <c r="BC24" i="80"/>
  <c r="AD100" i="80"/>
  <c r="AD7" i="80" s="1"/>
  <c r="R108" i="80"/>
  <c r="R100" i="80"/>
  <c r="R7" i="80" s="1"/>
  <c r="AE100" i="80"/>
  <c r="AE7" i="80" s="1"/>
  <c r="AP24" i="80"/>
  <c r="AD108" i="80"/>
  <c r="BH24" i="80"/>
  <c r="AQ22" i="80"/>
  <c r="AQ24" i="80" s="1"/>
  <c r="W100" i="80"/>
  <c r="W7" i="80" s="1"/>
  <c r="AA100" i="80"/>
  <c r="AA7" i="80" s="1"/>
  <c r="Z100" i="80"/>
  <c r="Z7" i="80" s="1"/>
  <c r="BF24" i="80"/>
  <c r="Z108" i="80"/>
  <c r="Y100" i="80"/>
  <c r="Y7" i="80" s="1"/>
  <c r="X100" i="80"/>
  <c r="X7" i="80" s="1"/>
  <c r="BE24" i="80"/>
  <c r="X108" i="80"/>
  <c r="V100" i="80"/>
  <c r="V7" i="80" s="1"/>
  <c r="V108" i="80"/>
  <c r="BD22" i="80"/>
  <c r="BD24" i="80" s="1"/>
  <c r="T100" i="80"/>
  <c r="T7" i="80" s="1"/>
  <c r="S100" i="80"/>
  <c r="S7" i="80" s="1"/>
  <c r="S108" i="80"/>
  <c r="BA24" i="80"/>
  <c r="AW24" i="80"/>
  <c r="AV22" i="80"/>
  <c r="AV24" i="80" s="1"/>
  <c r="AO23" i="80"/>
  <c r="AO24" i="80" s="1"/>
  <c r="E7" i="80"/>
  <c r="D7" i="80"/>
  <c r="G246" i="80"/>
  <c r="G118" i="80" s="1"/>
  <c r="F252" i="80"/>
  <c r="L7" i="80"/>
  <c r="M7" i="80"/>
  <c r="AI107" i="80"/>
  <c r="C256" i="80"/>
  <c r="K6" i="80" s="1"/>
  <c r="AB108" i="80"/>
  <c r="BG23" i="80"/>
  <c r="BG24" i="80" s="1"/>
  <c r="AH107" i="80"/>
  <c r="BB23" i="80"/>
  <c r="BB24" i="80" s="1"/>
  <c r="AU24" i="80"/>
  <c r="AB100" i="80"/>
  <c r="AB7" i="80" s="1"/>
  <c r="U100" i="79"/>
  <c r="U7" i="79" s="1"/>
  <c r="AC100" i="79"/>
  <c r="AC7" i="79" s="1"/>
  <c r="AD100" i="79"/>
  <c r="AD7" i="79" s="1"/>
  <c r="V100" i="79"/>
  <c r="V7" i="79" s="1"/>
  <c r="AP23" i="79"/>
  <c r="AP24" i="79" s="1"/>
  <c r="AH107" i="79"/>
  <c r="AH97" i="79"/>
  <c r="AS24" i="79"/>
  <c r="C256" i="79"/>
  <c r="G100" i="79"/>
  <c r="G7" i="79" s="1"/>
  <c r="B256" i="79"/>
  <c r="AI97" i="79"/>
  <c r="AI107" i="79"/>
  <c r="V108" i="79"/>
  <c r="AH99" i="79"/>
  <c r="B100" i="79"/>
  <c r="AI99" i="79"/>
  <c r="AD108" i="79"/>
  <c r="F246" i="79"/>
  <c r="E118" i="79"/>
  <c r="E252" i="79"/>
  <c r="U108" i="79"/>
  <c r="N108" i="79"/>
  <c r="M108" i="79"/>
  <c r="N100" i="79"/>
  <c r="N7" i="79" s="1"/>
  <c r="AT9" i="79" l="1"/>
  <c r="AI108" i="79"/>
  <c r="L252" i="82"/>
  <c r="L118" i="82"/>
  <c r="M246" i="82"/>
  <c r="H246" i="81"/>
  <c r="G118" i="81"/>
  <c r="G252" i="81"/>
  <c r="AH108" i="80"/>
  <c r="H246" i="80"/>
  <c r="H118" i="80" s="1"/>
  <c r="G252" i="80"/>
  <c r="B7" i="80"/>
  <c r="AI108" i="80"/>
  <c r="AH108" i="79"/>
  <c r="B7" i="79"/>
  <c r="A7" i="79" s="1"/>
  <c r="AI100" i="79"/>
  <c r="AH100" i="79"/>
  <c r="K6" i="79"/>
  <c r="G246" i="79"/>
  <c r="F252" i="79"/>
  <c r="F118" i="79"/>
  <c r="N246" i="82" l="1"/>
  <c r="M252" i="82"/>
  <c r="M118" i="82"/>
  <c r="I246" i="81"/>
  <c r="H252" i="81"/>
  <c r="H118" i="81"/>
  <c r="I246" i="80"/>
  <c r="I118" i="80" s="1"/>
  <c r="H252" i="80"/>
  <c r="H246" i="79"/>
  <c r="G252" i="79"/>
  <c r="G118" i="79"/>
  <c r="O246" i="82" l="1"/>
  <c r="N252" i="82"/>
  <c r="N118" i="82"/>
  <c r="I252" i="81"/>
  <c r="I118" i="81"/>
  <c r="J246" i="81"/>
  <c r="I252" i="80"/>
  <c r="J246" i="80"/>
  <c r="J118" i="80" s="1"/>
  <c r="I246" i="79"/>
  <c r="H252" i="79"/>
  <c r="H118" i="79"/>
  <c r="O252" i="82" l="1"/>
  <c r="O118" i="82"/>
  <c r="P246" i="82"/>
  <c r="J252" i="81"/>
  <c r="J118" i="81"/>
  <c r="K246" i="81"/>
  <c r="J252" i="80"/>
  <c r="K246" i="80"/>
  <c r="K118" i="80" s="1"/>
  <c r="I252" i="79"/>
  <c r="I118" i="79"/>
  <c r="J246" i="79"/>
  <c r="Q246" i="82" l="1"/>
  <c r="P252" i="82"/>
  <c r="K252" i="81"/>
  <c r="K118" i="81"/>
  <c r="L246" i="81"/>
  <c r="K252" i="80"/>
  <c r="L246" i="80"/>
  <c r="L118" i="80" s="1"/>
  <c r="J252" i="79"/>
  <c r="J118" i="79"/>
  <c r="K246" i="79"/>
  <c r="Q252" i="82" l="1"/>
  <c r="R246" i="82"/>
  <c r="L252" i="81"/>
  <c r="L118" i="81"/>
  <c r="M246" i="81"/>
  <c r="L252" i="80"/>
  <c r="M246" i="80"/>
  <c r="M118" i="80" s="1"/>
  <c r="K252" i="79"/>
  <c r="K118" i="79"/>
  <c r="L246" i="79"/>
  <c r="R252" i="82" l="1"/>
  <c r="R118" i="82"/>
  <c r="S246" i="82"/>
  <c r="N246" i="81"/>
  <c r="M252" i="81"/>
  <c r="M118" i="81"/>
  <c r="N246" i="80"/>
  <c r="N118" i="80" s="1"/>
  <c r="M252" i="80"/>
  <c r="L252" i="79"/>
  <c r="L118" i="79"/>
  <c r="M246" i="79"/>
  <c r="S118" i="82" l="1"/>
  <c r="T246" i="82"/>
  <c r="S252" i="82"/>
  <c r="O246" i="81"/>
  <c r="N118" i="81"/>
  <c r="N252" i="81"/>
  <c r="O246" i="80"/>
  <c r="O118" i="80" s="1"/>
  <c r="N252" i="80"/>
  <c r="N246" i="79"/>
  <c r="M118" i="79"/>
  <c r="M252" i="79"/>
  <c r="T252" i="82" l="1"/>
  <c r="U246" i="82"/>
  <c r="T118" i="82"/>
  <c r="P246" i="81"/>
  <c r="O118" i="81"/>
  <c r="O252" i="81"/>
  <c r="P246" i="80"/>
  <c r="O252" i="80"/>
  <c r="O246" i="79"/>
  <c r="N252" i="79"/>
  <c r="N118" i="79"/>
  <c r="U118" i="82" l="1"/>
  <c r="V246" i="82"/>
  <c r="U252" i="82"/>
  <c r="Q246" i="81"/>
  <c r="P252" i="81"/>
  <c r="Q246" i="80"/>
  <c r="Q118" i="80" s="1"/>
  <c r="P252" i="80"/>
  <c r="P246" i="79"/>
  <c r="O252" i="79"/>
  <c r="O118" i="79"/>
  <c r="W246" i="82" l="1"/>
  <c r="V252" i="82"/>
  <c r="V118" i="82"/>
  <c r="Q252" i="81"/>
  <c r="R246" i="81"/>
  <c r="Q118" i="81"/>
  <c r="Q252" i="80"/>
  <c r="R246" i="80"/>
  <c r="Q246" i="79"/>
  <c r="P252" i="79"/>
  <c r="W252" i="82" l="1"/>
  <c r="W118" i="82"/>
  <c r="X246" i="82"/>
  <c r="R252" i="81"/>
  <c r="R118" i="81"/>
  <c r="S246" i="81"/>
  <c r="S118" i="81" s="1"/>
  <c r="R252" i="80"/>
  <c r="R118" i="80"/>
  <c r="S246" i="80"/>
  <c r="Q252" i="79"/>
  <c r="Q118" i="79"/>
  <c r="R246" i="79"/>
  <c r="Y246" i="82" l="1"/>
  <c r="X252" i="82"/>
  <c r="X118" i="82"/>
  <c r="S252" i="81"/>
  <c r="T246" i="81"/>
  <c r="T118" i="81" s="1"/>
  <c r="S252" i="80"/>
  <c r="S118" i="80"/>
  <c r="T246" i="80"/>
  <c r="T118" i="80" s="1"/>
  <c r="R252" i="79"/>
  <c r="R118" i="79"/>
  <c r="S246" i="79"/>
  <c r="Y252" i="82" l="1"/>
  <c r="Z246" i="82"/>
  <c r="T252" i="81"/>
  <c r="U246" i="81"/>
  <c r="T252" i="80"/>
  <c r="U246" i="80"/>
  <c r="U118" i="80" s="1"/>
  <c r="S252" i="79"/>
  <c r="S118" i="79"/>
  <c r="T246" i="79"/>
  <c r="Z252" i="82" l="1"/>
  <c r="AA246" i="82"/>
  <c r="U118" i="81"/>
  <c r="V246" i="81"/>
  <c r="U252" i="81"/>
  <c r="V246" i="80"/>
  <c r="V118" i="80" s="1"/>
  <c r="U252" i="80"/>
  <c r="T252" i="79"/>
  <c r="T118" i="79"/>
  <c r="U246" i="79"/>
  <c r="AA118" i="82" l="1"/>
  <c r="AB246" i="82"/>
  <c r="AA252" i="82"/>
  <c r="W246" i="81"/>
  <c r="W118" i="81" s="1"/>
  <c r="V252" i="81"/>
  <c r="V118" i="81"/>
  <c r="W246" i="80"/>
  <c r="W118" i="80" s="1"/>
  <c r="V252" i="80"/>
  <c r="U118" i="79"/>
  <c r="V246" i="79"/>
  <c r="U252" i="79"/>
  <c r="AB252" i="82" l="1"/>
  <c r="AC246" i="82"/>
  <c r="AB118" i="82"/>
  <c r="X246" i="81"/>
  <c r="X118" i="81" s="1"/>
  <c r="W252" i="81"/>
  <c r="X246" i="80"/>
  <c r="X118" i="80" s="1"/>
  <c r="W252" i="80"/>
  <c r="W246" i="79"/>
  <c r="V252" i="79"/>
  <c r="V118" i="79"/>
  <c r="AC118" i="82" l="1"/>
  <c r="AD246" i="82"/>
  <c r="AC252" i="82"/>
  <c r="Y246" i="81"/>
  <c r="X252" i="81"/>
  <c r="Y246" i="80"/>
  <c r="Y118" i="80" s="1"/>
  <c r="X252" i="80"/>
  <c r="X246" i="79"/>
  <c r="W252" i="79"/>
  <c r="W118" i="79"/>
  <c r="AE246" i="82" l="1"/>
  <c r="AD252" i="82"/>
  <c r="Y252" i="81"/>
  <c r="Z246" i="81"/>
  <c r="Y252" i="80"/>
  <c r="Z246" i="80"/>
  <c r="Z118" i="80" s="1"/>
  <c r="Y246" i="79"/>
  <c r="X252" i="79"/>
  <c r="X118" i="79"/>
  <c r="AE252" i="82" l="1"/>
  <c r="AE118" i="82"/>
  <c r="AF246" i="82"/>
  <c r="Z252" i="81"/>
  <c r="AA246" i="81"/>
  <c r="Z252" i="80"/>
  <c r="AA246" i="80"/>
  <c r="AA118" i="80" s="1"/>
  <c r="Y252" i="79"/>
  <c r="Z246" i="79"/>
  <c r="AF252" i="82" l="1"/>
  <c r="AF118" i="82"/>
  <c r="B246" i="82"/>
  <c r="AA252" i="81"/>
  <c r="AA118" i="81"/>
  <c r="AB246" i="81"/>
  <c r="AA252" i="80"/>
  <c r="AB246" i="80"/>
  <c r="Z252" i="79"/>
  <c r="AA246" i="79"/>
  <c r="B252" i="82" l="1"/>
  <c r="B118" i="82"/>
  <c r="AB252" i="81"/>
  <c r="AB118" i="81"/>
  <c r="AC246" i="81"/>
  <c r="AB252" i="80"/>
  <c r="AB118" i="80"/>
  <c r="AC246" i="80"/>
  <c r="AA252" i="79"/>
  <c r="AA118" i="79"/>
  <c r="AB246" i="79"/>
  <c r="AI118" i="82" l="1"/>
  <c r="AH118" i="82"/>
  <c r="AC118" i="81"/>
  <c r="AD246" i="81"/>
  <c r="AC252" i="81"/>
  <c r="AC118" i="80"/>
  <c r="AD246" i="80"/>
  <c r="AC252" i="80"/>
  <c r="AB252" i="79"/>
  <c r="AB118" i="79"/>
  <c r="AC246" i="79"/>
  <c r="AE246" i="81" l="1"/>
  <c r="AD252" i="81"/>
  <c r="AD118" i="81"/>
  <c r="AE246" i="80"/>
  <c r="AD252" i="80"/>
  <c r="AD118" i="80"/>
  <c r="AC118" i="79"/>
  <c r="AD246" i="79"/>
  <c r="AC252" i="79"/>
  <c r="AF246" i="81" l="1"/>
  <c r="AE118" i="81"/>
  <c r="AE252" i="81"/>
  <c r="AF246" i="80"/>
  <c r="AE252" i="80"/>
  <c r="AE118" i="80"/>
  <c r="AE246" i="79"/>
  <c r="AD252" i="79"/>
  <c r="AD118" i="79"/>
  <c r="AF252" i="81" l="1"/>
  <c r="AF118" i="81"/>
  <c r="B246" i="81"/>
  <c r="AF252" i="80"/>
  <c r="AF118" i="80"/>
  <c r="B246" i="80"/>
  <c r="B118" i="80" s="1"/>
  <c r="AF246" i="79"/>
  <c r="AE252" i="79"/>
  <c r="AE118" i="79"/>
  <c r="B252" i="81" l="1"/>
  <c r="B118" i="81"/>
  <c r="B252" i="80"/>
  <c r="AF252" i="79"/>
  <c r="AF118" i="79"/>
  <c r="B246" i="79"/>
  <c r="AI118" i="81" l="1"/>
  <c r="AH118" i="81"/>
  <c r="AI118" i="80"/>
  <c r="AH118" i="80"/>
  <c r="B252" i="79"/>
  <c r="B118" i="79"/>
  <c r="AI118" i="79" l="1"/>
  <c r="AH118" i="79"/>
  <c r="AF57" i="77" l="1"/>
  <c r="AE57" i="77"/>
  <c r="AC118" i="77"/>
  <c r="AD118" i="77"/>
  <c r="AD57" i="77"/>
  <c r="AC57" i="77"/>
  <c r="AB57" i="77"/>
  <c r="AA123" i="77"/>
  <c r="AA57" i="77"/>
  <c r="Z123" i="77"/>
  <c r="Z118" i="77" s="1"/>
  <c r="Z57" i="77"/>
  <c r="Z58" i="77"/>
  <c r="Z62" i="77"/>
  <c r="Z76" i="77"/>
  <c r="Z80" i="77"/>
  <c r="Z92" i="77"/>
  <c r="Z97" i="77" s="1"/>
  <c r="Z99" i="77" s="1"/>
  <c r="Z101" i="77"/>
  <c r="Z102" i="77"/>
  <c r="Z103" i="77"/>
  <c r="Z104" i="77"/>
  <c r="Z107" i="77" s="1"/>
  <c r="Z105" i="77"/>
  <c r="Y123" i="77"/>
  <c r="Y57" i="77"/>
  <c r="Y58" i="77"/>
  <c r="Y62" i="77"/>
  <c r="Y76" i="77"/>
  <c r="Y80" i="77"/>
  <c r="Y92" i="77"/>
  <c r="Y101" i="77"/>
  <c r="Y102" i="77"/>
  <c r="Y103" i="77"/>
  <c r="Y104" i="77"/>
  <c r="Y105" i="77"/>
  <c r="Y118" i="77"/>
  <c r="X123" i="77"/>
  <c r="X57" i="77"/>
  <c r="X58" i="77"/>
  <c r="X62" i="77"/>
  <c r="X76" i="77"/>
  <c r="X80" i="77"/>
  <c r="X92" i="77"/>
  <c r="X101" i="77"/>
  <c r="X107" i="77" s="1"/>
  <c r="X102" i="77"/>
  <c r="X103" i="77"/>
  <c r="X104" i="77"/>
  <c r="X105" i="77"/>
  <c r="X118" i="77"/>
  <c r="W123" i="77"/>
  <c r="W57" i="77"/>
  <c r="W58" i="77"/>
  <c r="W62" i="77"/>
  <c r="W76" i="77"/>
  <c r="W80" i="77"/>
  <c r="W92" i="77"/>
  <c r="W101" i="77"/>
  <c r="W102" i="77"/>
  <c r="W103" i="77"/>
  <c r="W104" i="77"/>
  <c r="W105" i="77"/>
  <c r="W107" i="77"/>
  <c r="W118" i="77"/>
  <c r="V123" i="77"/>
  <c r="V57" i="77"/>
  <c r="V58" i="77"/>
  <c r="V62" i="77"/>
  <c r="V76" i="77"/>
  <c r="V80" i="77"/>
  <c r="V92" i="77"/>
  <c r="V101" i="77"/>
  <c r="V102" i="77"/>
  <c r="V103" i="77"/>
  <c r="V104" i="77"/>
  <c r="V105" i="77"/>
  <c r="V107" i="77"/>
  <c r="V118" i="77"/>
  <c r="U57" i="77"/>
  <c r="U58" i="77"/>
  <c r="U62" i="77"/>
  <c r="U76" i="77"/>
  <c r="U80" i="77"/>
  <c r="U92" i="77"/>
  <c r="U101" i="77"/>
  <c r="U102" i="77"/>
  <c r="U103" i="77"/>
  <c r="U104" i="77"/>
  <c r="U105" i="77"/>
  <c r="U118" i="77"/>
  <c r="T123" i="77"/>
  <c r="T57" i="77"/>
  <c r="T58" i="77"/>
  <c r="T62" i="77"/>
  <c r="T76" i="77"/>
  <c r="T80" i="77"/>
  <c r="T92" i="77"/>
  <c r="T101" i="77"/>
  <c r="T107" i="77" s="1"/>
  <c r="T102" i="77"/>
  <c r="T103" i="77"/>
  <c r="T104" i="77"/>
  <c r="T105" i="77"/>
  <c r="T118" i="77"/>
  <c r="Z100" i="77" l="1"/>
  <c r="Z108" i="77"/>
  <c r="Y97" i="77"/>
  <c r="Y99" i="77" s="1"/>
  <c r="Y107" i="77"/>
  <c r="Y108" i="77" s="1"/>
  <c r="X97" i="77"/>
  <c r="X99" i="77" s="1"/>
  <c r="X100" i="77" s="1"/>
  <c r="X108" i="77"/>
  <c r="W97" i="77"/>
  <c r="W99" i="77" s="1"/>
  <c r="W100" i="77" s="1"/>
  <c r="W108" i="77"/>
  <c r="V97" i="77"/>
  <c r="V99" i="77" s="1"/>
  <c r="V100" i="77" s="1"/>
  <c r="V108" i="77"/>
  <c r="U97" i="77"/>
  <c r="U99" i="77" s="1"/>
  <c r="U107" i="77"/>
  <c r="U100" i="77" s="1"/>
  <c r="T97" i="77"/>
  <c r="T99" i="77" s="1"/>
  <c r="T100" i="77" s="1"/>
  <c r="T108" i="77"/>
  <c r="Y100" i="77" l="1"/>
  <c r="U108" i="77"/>
  <c r="S123" i="77" l="1"/>
  <c r="S57" i="77"/>
  <c r="S58" i="77"/>
  <c r="S62" i="77"/>
  <c r="S76" i="77"/>
  <c r="S80" i="77"/>
  <c r="S92" i="77"/>
  <c r="S101" i="77"/>
  <c r="S102" i="77"/>
  <c r="S103" i="77"/>
  <c r="S104" i="77"/>
  <c r="S105" i="77"/>
  <c r="S118" i="77"/>
  <c r="R57" i="77"/>
  <c r="S97" i="77" l="1"/>
  <c r="S99" i="77" s="1"/>
  <c r="S107" i="77"/>
  <c r="S108" i="77"/>
  <c r="M118" i="77"/>
  <c r="N118" i="77"/>
  <c r="Q57" i="77"/>
  <c r="P123" i="77"/>
  <c r="P57" i="77"/>
  <c r="P58" i="77"/>
  <c r="P62" i="77"/>
  <c r="O123" i="77"/>
  <c r="O57" i="77"/>
  <c r="O58" i="77"/>
  <c r="O62" i="77"/>
  <c r="M80" i="77"/>
  <c r="N80" i="77"/>
  <c r="M76" i="77"/>
  <c r="N76" i="77"/>
  <c r="M92" i="77"/>
  <c r="M108" i="77" s="1"/>
  <c r="N92" i="77"/>
  <c r="M62" i="77"/>
  <c r="M58" i="77"/>
  <c r="N58" i="77"/>
  <c r="N57" i="77"/>
  <c r="M57" i="77"/>
  <c r="L57" i="77"/>
  <c r="L58" i="77"/>
  <c r="L62" i="77"/>
  <c r="L76" i="77"/>
  <c r="L80" i="77"/>
  <c r="L92" i="77"/>
  <c r="K5" i="77" s="1"/>
  <c r="L101" i="77"/>
  <c r="L102" i="77"/>
  <c r="L103" i="77"/>
  <c r="L104" i="77"/>
  <c r="L105" i="77"/>
  <c r="L118" i="77"/>
  <c r="K57" i="77"/>
  <c r="K58" i="77"/>
  <c r="K62" i="77"/>
  <c r="K76" i="77"/>
  <c r="K80" i="77"/>
  <c r="K92" i="77"/>
  <c r="K101" i="77"/>
  <c r="K102" i="77"/>
  <c r="K103" i="77"/>
  <c r="K104" i="77"/>
  <c r="K105" i="77"/>
  <c r="K107" i="77"/>
  <c r="K118" i="77"/>
  <c r="K121" i="77"/>
  <c r="K123" i="77"/>
  <c r="J57" i="77"/>
  <c r="J58" i="77"/>
  <c r="J62" i="77"/>
  <c r="J76" i="77"/>
  <c r="J80" i="77"/>
  <c r="J92" i="77"/>
  <c r="J97" i="77" s="1"/>
  <c r="J99" i="77" s="1"/>
  <c r="J101" i="77"/>
  <c r="J102" i="77"/>
  <c r="J103" i="77"/>
  <c r="J104" i="77"/>
  <c r="J105" i="77"/>
  <c r="J118" i="77"/>
  <c r="J121" i="77"/>
  <c r="J123" i="77"/>
  <c r="I123" i="77"/>
  <c r="I121" i="77"/>
  <c r="I57" i="77"/>
  <c r="I58" i="77"/>
  <c r="H123" i="77"/>
  <c r="H121" i="77"/>
  <c r="H57" i="77"/>
  <c r="G57" i="77"/>
  <c r="G58" i="77"/>
  <c r="H58" i="77"/>
  <c r="G62" i="77"/>
  <c r="H62" i="77"/>
  <c r="G76" i="77"/>
  <c r="H76" i="77"/>
  <c r="G80" i="77"/>
  <c r="H80" i="77"/>
  <c r="G92" i="77"/>
  <c r="F5" i="77" s="1"/>
  <c r="H92" i="77"/>
  <c r="G101" i="77"/>
  <c r="H101" i="77"/>
  <c r="G102" i="77"/>
  <c r="G107" i="77" s="1"/>
  <c r="G108" i="77" s="1"/>
  <c r="H102" i="77"/>
  <c r="G103" i="77"/>
  <c r="H103" i="77"/>
  <c r="G104" i="77"/>
  <c r="H104" i="77"/>
  <c r="H107" i="77" s="1"/>
  <c r="G105" i="77"/>
  <c r="H105" i="77"/>
  <c r="H118" i="77"/>
  <c r="G118" i="77"/>
  <c r="F123" i="77"/>
  <c r="F121" i="77"/>
  <c r="F57" i="77"/>
  <c r="E123" i="77"/>
  <c r="E121" i="77"/>
  <c r="E57" i="77"/>
  <c r="E58" i="77"/>
  <c r="E62" i="77"/>
  <c r="D123" i="77"/>
  <c r="D121" i="77"/>
  <c r="D57" i="77"/>
  <c r="D58" i="77"/>
  <c r="D62" i="77"/>
  <c r="D76" i="77"/>
  <c r="D80" i="77"/>
  <c r="D92" i="77"/>
  <c r="C5" i="77" s="1"/>
  <c r="D101" i="77"/>
  <c r="D102" i="77"/>
  <c r="D103" i="77"/>
  <c r="D104" i="77"/>
  <c r="D105" i="77"/>
  <c r="C123" i="77"/>
  <c r="C121" i="77"/>
  <c r="AH121" i="77" s="1"/>
  <c r="C57" i="77"/>
  <c r="C58" i="77"/>
  <c r="C62" i="77"/>
  <c r="C76" i="77"/>
  <c r="C80" i="77"/>
  <c r="C92" i="77"/>
  <c r="B5" i="77" s="1"/>
  <c r="C101" i="77"/>
  <c r="C102" i="77"/>
  <c r="C103" i="77"/>
  <c r="C104" i="77"/>
  <c r="C105" i="77"/>
  <c r="B105" i="77"/>
  <c r="B104" i="77"/>
  <c r="B103" i="77"/>
  <c r="B102" i="77"/>
  <c r="B101" i="77"/>
  <c r="B92" i="77"/>
  <c r="B80" i="77"/>
  <c r="B76" i="77"/>
  <c r="B62" i="77"/>
  <c r="B58" i="77"/>
  <c r="AF286" i="77"/>
  <c r="AE286" i="77"/>
  <c r="AD286" i="77"/>
  <c r="AC286" i="77"/>
  <c r="AB286" i="77"/>
  <c r="AA286" i="77"/>
  <c r="Z286" i="77"/>
  <c r="Y286" i="77"/>
  <c r="X286" i="77"/>
  <c r="W286" i="77"/>
  <c r="V286" i="77"/>
  <c r="U286" i="77"/>
  <c r="T286" i="77"/>
  <c r="S286" i="77"/>
  <c r="R286" i="77"/>
  <c r="Q286" i="77"/>
  <c r="P286" i="77"/>
  <c r="O286" i="77"/>
  <c r="N286" i="77"/>
  <c r="M286" i="77"/>
  <c r="L286" i="77"/>
  <c r="K286" i="77"/>
  <c r="J286" i="77"/>
  <c r="I286" i="77"/>
  <c r="H286" i="77"/>
  <c r="G286" i="77"/>
  <c r="F286" i="77"/>
  <c r="E286" i="77"/>
  <c r="D286" i="77"/>
  <c r="C286" i="77"/>
  <c r="B286" i="77"/>
  <c r="A286" i="77"/>
  <c r="AF285" i="77"/>
  <c r="AE285" i="77"/>
  <c r="AD285" i="77"/>
  <c r="AC285" i="77"/>
  <c r="AB285" i="77"/>
  <c r="AA285" i="77"/>
  <c r="Z285" i="77"/>
  <c r="Y285" i="77"/>
  <c r="X285" i="77"/>
  <c r="W285" i="77"/>
  <c r="V285" i="77"/>
  <c r="U285" i="77"/>
  <c r="T285" i="77"/>
  <c r="S285" i="77"/>
  <c r="R285" i="77"/>
  <c r="Q285" i="77"/>
  <c r="P285" i="77"/>
  <c r="O285" i="77"/>
  <c r="N285" i="77"/>
  <c r="M285" i="77"/>
  <c r="L285" i="77"/>
  <c r="K285" i="77"/>
  <c r="J285" i="77"/>
  <c r="I285" i="77"/>
  <c r="H285" i="77"/>
  <c r="G285" i="77"/>
  <c r="F285" i="77"/>
  <c r="E285" i="77"/>
  <c r="D285" i="77"/>
  <c r="C285" i="77"/>
  <c r="B285" i="77"/>
  <c r="A285" i="77"/>
  <c r="AF284" i="77"/>
  <c r="AE284" i="77"/>
  <c r="AD284" i="77"/>
  <c r="AC284" i="77"/>
  <c r="AB284" i="77"/>
  <c r="AA284" i="77"/>
  <c r="Z284" i="77"/>
  <c r="Y284" i="77"/>
  <c r="X284" i="77"/>
  <c r="W284" i="77"/>
  <c r="V284" i="77"/>
  <c r="U284" i="77"/>
  <c r="T284" i="77"/>
  <c r="S284" i="77"/>
  <c r="R284" i="77"/>
  <c r="Q284" i="77"/>
  <c r="P284" i="77"/>
  <c r="O284" i="77"/>
  <c r="N284" i="77"/>
  <c r="M284" i="77"/>
  <c r="L284" i="77"/>
  <c r="K284" i="77"/>
  <c r="J284" i="77"/>
  <c r="I284" i="77"/>
  <c r="H284" i="77"/>
  <c r="G284" i="77"/>
  <c r="F284" i="77"/>
  <c r="E284" i="77"/>
  <c r="D284" i="77"/>
  <c r="C284" i="77"/>
  <c r="B284" i="77"/>
  <c r="A284" i="77"/>
  <c r="AF283" i="77"/>
  <c r="AE283" i="77"/>
  <c r="AD283" i="77"/>
  <c r="AC283" i="77"/>
  <c r="AB283" i="77"/>
  <c r="AA283" i="77"/>
  <c r="Z283" i="77"/>
  <c r="Y283" i="77"/>
  <c r="X283" i="77"/>
  <c r="W283" i="77"/>
  <c r="V283" i="77"/>
  <c r="U283" i="77"/>
  <c r="T283" i="77"/>
  <c r="S283" i="77"/>
  <c r="R283" i="77"/>
  <c r="Q283" i="77"/>
  <c r="P283" i="77"/>
  <c r="O283" i="77"/>
  <c r="N283" i="77"/>
  <c r="M283" i="77"/>
  <c r="L283" i="77"/>
  <c r="K283" i="77"/>
  <c r="J283" i="77"/>
  <c r="I283" i="77"/>
  <c r="H283" i="77"/>
  <c r="G283" i="77"/>
  <c r="F283" i="77"/>
  <c r="E283" i="77"/>
  <c r="D283" i="77"/>
  <c r="C283" i="77"/>
  <c r="B283" i="77"/>
  <c r="A283" i="77"/>
  <c r="B282" i="77"/>
  <c r="S257" i="77"/>
  <c r="AG252" i="77"/>
  <c r="C252" i="77"/>
  <c r="D251" i="77"/>
  <c r="D250" i="77"/>
  <c r="E250" i="77" s="1"/>
  <c r="F250" i="77" s="1"/>
  <c r="G250" i="77" s="1"/>
  <c r="H250" i="77" s="1"/>
  <c r="I250" i="77" s="1"/>
  <c r="J250" i="77" s="1"/>
  <c r="K250" i="77" s="1"/>
  <c r="L250" i="77" s="1"/>
  <c r="M250" i="77" s="1"/>
  <c r="N250" i="77" s="1"/>
  <c r="O250" i="77" s="1"/>
  <c r="P250" i="77" s="1"/>
  <c r="Q250" i="77" s="1"/>
  <c r="R250" i="77" s="1"/>
  <c r="S250" i="77" s="1"/>
  <c r="T250" i="77" s="1"/>
  <c r="U250" i="77" s="1"/>
  <c r="V250" i="77" s="1"/>
  <c r="W250" i="77" s="1"/>
  <c r="X250" i="77" s="1"/>
  <c r="Y250" i="77" s="1"/>
  <c r="Z250" i="77" s="1"/>
  <c r="AA250" i="77" s="1"/>
  <c r="AB250" i="77" s="1"/>
  <c r="AC250" i="77" s="1"/>
  <c r="AD250" i="77" s="1"/>
  <c r="AE250" i="77" s="1"/>
  <c r="AF250" i="77" s="1"/>
  <c r="B250" i="77" s="1"/>
  <c r="D249" i="77"/>
  <c r="E249" i="77" s="1"/>
  <c r="F249" i="77" s="1"/>
  <c r="G249" i="77" s="1"/>
  <c r="H249" i="77" s="1"/>
  <c r="I249" i="77" s="1"/>
  <c r="J249" i="77" s="1"/>
  <c r="K249" i="77" s="1"/>
  <c r="L249" i="77" s="1"/>
  <c r="M249" i="77" s="1"/>
  <c r="N249" i="77" s="1"/>
  <c r="O249" i="77" s="1"/>
  <c r="P249" i="77" s="1"/>
  <c r="Q249" i="77" s="1"/>
  <c r="R249" i="77" s="1"/>
  <c r="S249" i="77" s="1"/>
  <c r="T249" i="77" s="1"/>
  <c r="U249" i="77" s="1"/>
  <c r="V249" i="77" s="1"/>
  <c r="W249" i="77" s="1"/>
  <c r="X249" i="77" s="1"/>
  <c r="Y249" i="77" s="1"/>
  <c r="Z249" i="77" s="1"/>
  <c r="AA249" i="77" s="1"/>
  <c r="AB249" i="77" s="1"/>
  <c r="AC249" i="77" s="1"/>
  <c r="AD249" i="77" s="1"/>
  <c r="AE249" i="77" s="1"/>
  <c r="AF249" i="77" s="1"/>
  <c r="B249" i="77" s="1"/>
  <c r="D248" i="77"/>
  <c r="E248" i="77" s="1"/>
  <c r="F248" i="77" s="1"/>
  <c r="G248" i="77" s="1"/>
  <c r="H248" i="77" s="1"/>
  <c r="I248" i="77" s="1"/>
  <c r="J248" i="77" s="1"/>
  <c r="K248" i="77" s="1"/>
  <c r="L248" i="77" s="1"/>
  <c r="M248" i="77" s="1"/>
  <c r="N248" i="77" s="1"/>
  <c r="O248" i="77" s="1"/>
  <c r="P248" i="77" s="1"/>
  <c r="Q248" i="77" s="1"/>
  <c r="R248" i="77" s="1"/>
  <c r="S248" i="77" s="1"/>
  <c r="T248" i="77" s="1"/>
  <c r="U248" i="77" s="1"/>
  <c r="V248" i="77" s="1"/>
  <c r="W248" i="77" s="1"/>
  <c r="X248" i="77" s="1"/>
  <c r="Y248" i="77" s="1"/>
  <c r="Z248" i="77" s="1"/>
  <c r="AA248" i="77" s="1"/>
  <c r="AB248" i="77" s="1"/>
  <c r="AC248" i="77" s="1"/>
  <c r="AD248" i="77" s="1"/>
  <c r="AE248" i="77" s="1"/>
  <c r="AF248" i="77" s="1"/>
  <c r="B248" i="77" s="1"/>
  <c r="D247" i="77"/>
  <c r="D246" i="77"/>
  <c r="E246" i="77" s="1"/>
  <c r="F246" i="77" s="1"/>
  <c r="G246" i="77" s="1"/>
  <c r="AG244" i="77"/>
  <c r="AF244" i="77"/>
  <c r="AE244" i="77"/>
  <c r="AD244" i="77"/>
  <c r="AC244" i="77"/>
  <c r="AB244" i="77"/>
  <c r="AA244" i="77"/>
  <c r="Z244" i="77"/>
  <c r="Y244" i="77"/>
  <c r="X244" i="77"/>
  <c r="W244" i="77"/>
  <c r="V244" i="77"/>
  <c r="U244" i="77"/>
  <c r="T244" i="77"/>
  <c r="S244" i="77"/>
  <c r="R244" i="77"/>
  <c r="Q244" i="77"/>
  <c r="P244" i="77"/>
  <c r="O244" i="77"/>
  <c r="N244" i="77"/>
  <c r="M244" i="77"/>
  <c r="L244" i="77"/>
  <c r="K244" i="77"/>
  <c r="J244" i="77"/>
  <c r="I244" i="77"/>
  <c r="H244" i="77"/>
  <c r="G244" i="77"/>
  <c r="F244" i="77"/>
  <c r="E244" i="77"/>
  <c r="D244" i="77"/>
  <c r="C244" i="77"/>
  <c r="B244" i="77"/>
  <c r="AI130" i="77"/>
  <c r="AH130" i="77"/>
  <c r="AI129" i="77"/>
  <c r="AH129" i="77"/>
  <c r="AI128" i="77"/>
  <c r="AH128" i="77"/>
  <c r="AI127" i="77"/>
  <c r="AH127" i="77"/>
  <c r="AI126" i="77"/>
  <c r="AH126" i="77"/>
  <c r="AI122" i="77"/>
  <c r="AH122" i="77"/>
  <c r="AI120" i="77"/>
  <c r="AH120" i="77"/>
  <c r="AI119" i="77"/>
  <c r="AH119" i="77"/>
  <c r="D118" i="77"/>
  <c r="AI117" i="77"/>
  <c r="AH117" i="77"/>
  <c r="AI116" i="77"/>
  <c r="AH116" i="77"/>
  <c r="AI115" i="77"/>
  <c r="AH115" i="77"/>
  <c r="AI114" i="77"/>
  <c r="AH114" i="77"/>
  <c r="AI113" i="77"/>
  <c r="AH113" i="77"/>
  <c r="AI112" i="77"/>
  <c r="AH112" i="77"/>
  <c r="AI111" i="77"/>
  <c r="AH111" i="77"/>
  <c r="AI110" i="77"/>
  <c r="AH110" i="77"/>
  <c r="AI109" i="77"/>
  <c r="AH109" i="77"/>
  <c r="AI106" i="77"/>
  <c r="AH106" i="77"/>
  <c r="AF105" i="77"/>
  <c r="AE105" i="77"/>
  <c r="AD105" i="77"/>
  <c r="AC105" i="77"/>
  <c r="AB105" i="77"/>
  <c r="AA105" i="77"/>
  <c r="R105" i="77"/>
  <c r="Q105" i="77"/>
  <c r="P105" i="77"/>
  <c r="O105" i="77"/>
  <c r="N105" i="77"/>
  <c r="I105" i="77"/>
  <c r="F105" i="77"/>
  <c r="E105" i="77"/>
  <c r="AF104" i="77"/>
  <c r="AE104" i="77"/>
  <c r="AD104" i="77"/>
  <c r="AC104" i="77"/>
  <c r="AB104" i="77"/>
  <c r="AA104" i="77"/>
  <c r="R104" i="77"/>
  <c r="Q104" i="77"/>
  <c r="P104" i="77"/>
  <c r="O104" i="77"/>
  <c r="N104" i="77"/>
  <c r="I104" i="77"/>
  <c r="F104" i="77"/>
  <c r="E104" i="77"/>
  <c r="AF103" i="77"/>
  <c r="AE103" i="77"/>
  <c r="AD103" i="77"/>
  <c r="AC103" i="77"/>
  <c r="AB103" i="77"/>
  <c r="AA103" i="77"/>
  <c r="R103" i="77"/>
  <c r="Q103" i="77"/>
  <c r="P103" i="77"/>
  <c r="O103" i="77"/>
  <c r="N103" i="77"/>
  <c r="I103" i="77"/>
  <c r="F103" i="77"/>
  <c r="E103" i="77"/>
  <c r="AF102" i="77"/>
  <c r="AE102" i="77"/>
  <c r="AD102" i="77"/>
  <c r="AC102" i="77"/>
  <c r="AB102" i="77"/>
  <c r="AA102" i="77"/>
  <c r="R102" i="77"/>
  <c r="Q102" i="77"/>
  <c r="P102" i="77"/>
  <c r="O102" i="77"/>
  <c r="N102" i="77"/>
  <c r="I102" i="77"/>
  <c r="F102" i="77"/>
  <c r="E102" i="77"/>
  <c r="AF101" i="77"/>
  <c r="AE101" i="77"/>
  <c r="AD101" i="77"/>
  <c r="AC101" i="77"/>
  <c r="AB101" i="77"/>
  <c r="AA101" i="77"/>
  <c r="R101" i="77"/>
  <c r="Q101" i="77"/>
  <c r="P101" i="77"/>
  <c r="O101" i="77"/>
  <c r="N101" i="77"/>
  <c r="I101" i="77"/>
  <c r="F101" i="77"/>
  <c r="E101" i="77"/>
  <c r="AI98" i="77"/>
  <c r="AH98" i="77"/>
  <c r="AI96" i="77"/>
  <c r="AH96" i="77"/>
  <c r="AG96" i="77"/>
  <c r="AI95" i="77"/>
  <c r="AH95" i="77"/>
  <c r="AI94" i="77"/>
  <c r="AH94" i="77"/>
  <c r="AI93" i="77"/>
  <c r="AH93" i="77"/>
  <c r="AG92" i="77"/>
  <c r="AF92" i="77"/>
  <c r="AE5" i="77" s="1"/>
  <c r="AE92" i="77"/>
  <c r="AD5" i="77" s="1"/>
  <c r="AD92" i="77"/>
  <c r="AC5" i="77" s="1"/>
  <c r="AC92" i="77"/>
  <c r="AB5" i="77" s="1"/>
  <c r="AB92" i="77"/>
  <c r="AA5" i="77" s="1"/>
  <c r="AA92" i="77"/>
  <c r="Z5" i="77" s="1"/>
  <c r="Y5" i="77"/>
  <c r="R92" i="77"/>
  <c r="Q5" i="77" s="1"/>
  <c r="Q92" i="77"/>
  <c r="P92" i="77"/>
  <c r="O5" i="77" s="1"/>
  <c r="O92" i="77"/>
  <c r="N5" i="77" s="1"/>
  <c r="M5" i="77"/>
  <c r="I92" i="77"/>
  <c r="F92" i="77"/>
  <c r="E5" i="77" s="1"/>
  <c r="E92" i="77"/>
  <c r="AI91" i="77"/>
  <c r="AH91" i="77"/>
  <c r="AI90" i="77"/>
  <c r="AH90" i="77"/>
  <c r="AI89" i="77"/>
  <c r="AH89" i="77"/>
  <c r="AI88" i="77"/>
  <c r="AH88" i="77"/>
  <c r="AI87" i="77"/>
  <c r="AH87" i="77"/>
  <c r="AI86" i="77"/>
  <c r="AH86" i="77"/>
  <c r="AI85" i="77"/>
  <c r="AH85" i="77"/>
  <c r="AI84" i="77"/>
  <c r="AH84" i="77"/>
  <c r="AI83" i="77"/>
  <c r="AH83" i="77"/>
  <c r="AI82" i="77"/>
  <c r="AH82" i="77"/>
  <c r="AI81" i="77"/>
  <c r="AH81" i="77"/>
  <c r="AG80" i="77"/>
  <c r="AG4" i="77" s="1"/>
  <c r="AF80" i="77"/>
  <c r="AE80" i="77"/>
  <c r="AD80" i="77"/>
  <c r="AC80" i="77"/>
  <c r="AB80" i="77"/>
  <c r="AA80" i="77"/>
  <c r="R80" i="77"/>
  <c r="Q80" i="77"/>
  <c r="P80" i="77"/>
  <c r="O80" i="77"/>
  <c r="I80" i="77"/>
  <c r="F80" i="77"/>
  <c r="E80" i="77"/>
  <c r="AI79" i="77"/>
  <c r="AH79" i="77"/>
  <c r="AI78" i="77"/>
  <c r="AH78" i="77"/>
  <c r="AI77" i="77"/>
  <c r="AH77" i="77"/>
  <c r="AF76" i="77"/>
  <c r="AE76" i="77"/>
  <c r="AD76" i="77"/>
  <c r="AC76" i="77"/>
  <c r="AB76" i="77"/>
  <c r="AA76" i="77"/>
  <c r="R76" i="77"/>
  <c r="Q76" i="77"/>
  <c r="P76" i="77"/>
  <c r="O76" i="77"/>
  <c r="I76" i="77"/>
  <c r="F76" i="77"/>
  <c r="E76" i="77"/>
  <c r="AI75" i="77"/>
  <c r="AH75" i="77"/>
  <c r="AG75" i="77"/>
  <c r="AG76" i="77" s="1"/>
  <c r="AG3" i="77" s="1"/>
  <c r="AG6" i="77" s="1"/>
  <c r="AI74" i="77"/>
  <c r="AH74" i="77"/>
  <c r="AI73" i="77"/>
  <c r="AH73" i="77"/>
  <c r="AI72" i="77"/>
  <c r="AH72" i="77"/>
  <c r="AI71" i="77"/>
  <c r="AH71" i="77"/>
  <c r="AI70" i="77"/>
  <c r="AH70" i="77"/>
  <c r="AI69" i="77"/>
  <c r="AH69" i="77"/>
  <c r="AI68" i="77"/>
  <c r="AH68" i="77"/>
  <c r="AI67" i="77"/>
  <c r="AH67" i="77"/>
  <c r="AI66" i="77"/>
  <c r="AH66" i="77"/>
  <c r="AI65" i="77"/>
  <c r="AH65" i="77"/>
  <c r="AI64" i="77"/>
  <c r="AH64" i="77"/>
  <c r="AI63" i="77"/>
  <c r="AH63" i="77"/>
  <c r="AG62" i="77"/>
  <c r="AF62" i="77"/>
  <c r="AE62" i="77"/>
  <c r="AD62" i="77"/>
  <c r="AC62" i="77"/>
  <c r="AB62" i="77"/>
  <c r="AA62" i="77"/>
  <c r="R62" i="77"/>
  <c r="Q62" i="77"/>
  <c r="N62" i="77"/>
  <c r="I62" i="77"/>
  <c r="F62" i="77"/>
  <c r="AI61" i="77"/>
  <c r="AH61" i="77"/>
  <c r="AI60" i="77"/>
  <c r="AH60" i="77"/>
  <c r="AI59" i="77"/>
  <c r="AH59" i="77"/>
  <c r="AG58" i="77"/>
  <c r="AF58" i="77"/>
  <c r="AE58" i="77"/>
  <c r="AD58" i="77"/>
  <c r="AC58" i="77"/>
  <c r="AB58" i="77"/>
  <c r="AA58" i="77"/>
  <c r="AP261" i="77"/>
  <c r="R58" i="77"/>
  <c r="Q58" i="77"/>
  <c r="F58" i="77"/>
  <c r="AI56" i="77"/>
  <c r="AH56" i="77"/>
  <c r="AI55" i="77"/>
  <c r="AH55" i="77"/>
  <c r="AI54" i="77"/>
  <c r="AH54" i="77"/>
  <c r="AI53" i="77"/>
  <c r="AH53" i="77"/>
  <c r="AI52" i="77"/>
  <c r="AH52" i="77"/>
  <c r="AI51" i="77"/>
  <c r="AH51" i="77"/>
  <c r="AI50" i="77"/>
  <c r="AH50" i="77"/>
  <c r="AI49" i="77"/>
  <c r="AH49" i="77"/>
  <c r="AI48" i="77"/>
  <c r="AH48" i="77"/>
  <c r="AI47" i="77"/>
  <c r="AH47" i="77"/>
  <c r="AI46" i="77"/>
  <c r="AH46" i="77"/>
  <c r="AI45" i="77"/>
  <c r="AH45" i="77"/>
  <c r="AI44" i="77"/>
  <c r="AH44" i="77"/>
  <c r="AI43" i="77"/>
  <c r="AH43" i="77"/>
  <c r="AI42" i="77"/>
  <c r="AH42" i="77"/>
  <c r="AI41" i="77"/>
  <c r="AH41" i="77"/>
  <c r="AI40" i="77"/>
  <c r="AH40" i="77"/>
  <c r="AI39" i="77"/>
  <c r="AH39" i="77"/>
  <c r="AI38" i="77"/>
  <c r="AH38" i="77"/>
  <c r="AI37" i="77"/>
  <c r="AH37" i="77"/>
  <c r="AI36" i="77"/>
  <c r="AH36" i="77"/>
  <c r="AI35" i="77"/>
  <c r="AH35" i="77"/>
  <c r="AI34" i="77"/>
  <c r="AH34" i="77"/>
  <c r="AI33" i="77"/>
  <c r="AH33" i="77"/>
  <c r="AI32" i="77"/>
  <c r="AH32" i="77"/>
  <c r="AI31" i="77"/>
  <c r="AH31" i="77"/>
  <c r="AI30" i="77"/>
  <c r="AH30" i="77"/>
  <c r="AI29" i="77"/>
  <c r="AH29" i="77"/>
  <c r="AI28" i="77"/>
  <c r="AH28" i="77"/>
  <c r="AI27" i="77"/>
  <c r="AH27" i="77"/>
  <c r="AI26" i="77"/>
  <c r="AH26" i="77"/>
  <c r="AI25" i="77"/>
  <c r="AH25" i="77"/>
  <c r="AI24" i="77"/>
  <c r="AH24" i="77"/>
  <c r="AI23" i="77"/>
  <c r="AH23" i="77"/>
  <c r="AI22" i="77"/>
  <c r="AH22" i="77"/>
  <c r="AI21" i="77"/>
  <c r="AH21" i="77"/>
  <c r="AI20" i="77"/>
  <c r="AH20" i="77"/>
  <c r="AI19" i="77"/>
  <c r="AH19" i="77"/>
  <c r="AI18" i="77"/>
  <c r="AH18" i="77"/>
  <c r="AI17" i="77"/>
  <c r="AH17" i="77"/>
  <c r="AI16" i="77"/>
  <c r="AH16" i="77"/>
  <c r="AI15" i="77"/>
  <c r="AH15" i="77"/>
  <c r="AI14" i="77"/>
  <c r="AH14" i="77"/>
  <c r="AI13" i="77"/>
  <c r="AH13" i="77"/>
  <c r="AI12" i="77"/>
  <c r="AH12" i="77"/>
  <c r="AI11" i="77"/>
  <c r="AH11" i="77"/>
  <c r="W5" i="77"/>
  <c r="V5" i="77"/>
  <c r="U5" i="77"/>
  <c r="T5" i="77"/>
  <c r="S5" i="77"/>
  <c r="R5" i="77"/>
  <c r="L5" i="77"/>
  <c r="J5" i="77"/>
  <c r="K4" i="77"/>
  <c r="E4" i="77"/>
  <c r="H4" i="77" s="1"/>
  <c r="B4" i="77"/>
  <c r="S258" i="77" s="1"/>
  <c r="AG2" i="77"/>
  <c r="AF58" i="76"/>
  <c r="AF62" i="76"/>
  <c r="AF76" i="76"/>
  <c r="AF80" i="76"/>
  <c r="AF92" i="76"/>
  <c r="AF97" i="76" s="1"/>
  <c r="AF99" i="76" s="1"/>
  <c r="AF101" i="76"/>
  <c r="AF102" i="76"/>
  <c r="AF103" i="76"/>
  <c r="AF104" i="76"/>
  <c r="AF105" i="76"/>
  <c r="AF107" i="76" s="1"/>
  <c r="AF118" i="76"/>
  <c r="AE58" i="76"/>
  <c r="AE62" i="76"/>
  <c r="AE76" i="76"/>
  <c r="AE80" i="76"/>
  <c r="AE92" i="76"/>
  <c r="AE101" i="76"/>
  <c r="AE102" i="76"/>
  <c r="AE107" i="76" s="1"/>
  <c r="AE103" i="76"/>
  <c r="AE104" i="76"/>
  <c r="AE105" i="76"/>
  <c r="AE118" i="76"/>
  <c r="AD58" i="76"/>
  <c r="AD62" i="76"/>
  <c r="AD76" i="76"/>
  <c r="AD80" i="76"/>
  <c r="AD92" i="76"/>
  <c r="AD101" i="76"/>
  <c r="AD102" i="76"/>
  <c r="AD103" i="76"/>
  <c r="AD104" i="76"/>
  <c r="AD105" i="76"/>
  <c r="AD107" i="76" s="1"/>
  <c r="AD118" i="76"/>
  <c r="AC58" i="76"/>
  <c r="AC62" i="76"/>
  <c r="AC76" i="76"/>
  <c r="AC80" i="76"/>
  <c r="AC92" i="76"/>
  <c r="AC101" i="76"/>
  <c r="AC102" i="76"/>
  <c r="AC103" i="76"/>
  <c r="AC104" i="76"/>
  <c r="AC105" i="76"/>
  <c r="AC118" i="76"/>
  <c r="AB58" i="76"/>
  <c r="AB62" i="76"/>
  <c r="AB76" i="76"/>
  <c r="AB80" i="76"/>
  <c r="AB92" i="76"/>
  <c r="AB97" i="76" s="1"/>
  <c r="AB99" i="76" s="1"/>
  <c r="AB101" i="76"/>
  <c r="AB102" i="76"/>
  <c r="AB103" i="76"/>
  <c r="AB104" i="76"/>
  <c r="AB105" i="76"/>
  <c r="AB107" i="76" s="1"/>
  <c r="AB118" i="76"/>
  <c r="AA58" i="76"/>
  <c r="AA62" i="76"/>
  <c r="W123" i="76"/>
  <c r="V123" i="76"/>
  <c r="V76" i="76"/>
  <c r="V58" i="76"/>
  <c r="U58" i="76"/>
  <c r="U62" i="76"/>
  <c r="S123" i="76"/>
  <c r="S57" i="76"/>
  <c r="S58" i="76"/>
  <c r="S62" i="76"/>
  <c r="R123" i="76"/>
  <c r="R57" i="76"/>
  <c r="Q123" i="76"/>
  <c r="P123" i="76"/>
  <c r="O57" i="76"/>
  <c r="O123" i="76"/>
  <c r="N57" i="76"/>
  <c r="N123" i="76"/>
  <c r="M57" i="76"/>
  <c r="M123" i="76"/>
  <c r="L123" i="76"/>
  <c r="L121" i="76"/>
  <c r="L57" i="76"/>
  <c r="K123" i="76"/>
  <c r="K121" i="76"/>
  <c r="K57" i="76"/>
  <c r="J123" i="76"/>
  <c r="J57" i="76"/>
  <c r="I123" i="76"/>
  <c r="I57" i="76"/>
  <c r="H123" i="76"/>
  <c r="H121" i="76"/>
  <c r="H57" i="76"/>
  <c r="G123" i="76"/>
  <c r="G121" i="76"/>
  <c r="G57" i="76"/>
  <c r="AF107" i="77" l="1"/>
  <c r="AF108" i="77" s="1"/>
  <c r="AF97" i="77"/>
  <c r="AF99" i="77" s="1"/>
  <c r="AX261" i="77" s="1"/>
  <c r="AE97" i="77"/>
  <c r="AE99" i="77" s="1"/>
  <c r="AC107" i="77"/>
  <c r="AB107" i="77"/>
  <c r="S100" i="77"/>
  <c r="Q107" i="77"/>
  <c r="P107" i="77"/>
  <c r="P97" i="77"/>
  <c r="P99" i="77" s="1"/>
  <c r="AH261" i="77" s="1"/>
  <c r="P108" i="77"/>
  <c r="L107" i="77"/>
  <c r="G97" i="77"/>
  <c r="G99" i="77" s="1"/>
  <c r="M97" i="77"/>
  <c r="M99" i="77" s="1"/>
  <c r="M100" i="77" s="1"/>
  <c r="O97" i="77"/>
  <c r="O99" i="77" s="1"/>
  <c r="AG261" i="77" s="1"/>
  <c r="N97" i="77"/>
  <c r="N99" i="77" s="1"/>
  <c r="AF261" i="77" s="1"/>
  <c r="L97" i="77"/>
  <c r="L99" i="77" s="1"/>
  <c r="L100" i="77" s="1"/>
  <c r="L108" i="77"/>
  <c r="K97" i="77"/>
  <c r="K99" i="77" s="1"/>
  <c r="K100" i="77" s="1"/>
  <c r="K108" i="77"/>
  <c r="I5" i="77"/>
  <c r="J107" i="77"/>
  <c r="J108" i="77" s="1"/>
  <c r="I107" i="77"/>
  <c r="I108" i="77" s="1"/>
  <c r="AI62" i="77"/>
  <c r="H97" i="77"/>
  <c r="H99" i="77" s="1"/>
  <c r="Z261" i="77" s="1"/>
  <c r="H108" i="77"/>
  <c r="AI57" i="77"/>
  <c r="G100" i="77"/>
  <c r="G7" i="77" s="1"/>
  <c r="G5" i="77"/>
  <c r="AH123" i="77"/>
  <c r="I97" i="77"/>
  <c r="I99" i="77" s="1"/>
  <c r="I100" i="77" s="1"/>
  <c r="I7" i="77" s="1"/>
  <c r="Q97" i="77"/>
  <c r="Q99" i="77" s="1"/>
  <c r="AI261" i="77" s="1"/>
  <c r="Y7" i="77"/>
  <c r="AG97" i="77"/>
  <c r="P100" i="77"/>
  <c r="P7" i="77" s="1"/>
  <c r="R107" i="77"/>
  <c r="R108" i="77" s="1"/>
  <c r="R97" i="77"/>
  <c r="R99" i="77" s="1"/>
  <c r="R100" i="77" s="1"/>
  <c r="R7" i="77" s="1"/>
  <c r="AK261" i="77"/>
  <c r="AA97" i="77"/>
  <c r="AA99" i="77" s="1"/>
  <c r="AS261" i="77" s="1"/>
  <c r="AH57" i="77"/>
  <c r="AB97" i="77"/>
  <c r="AB99" i="77" s="1"/>
  <c r="AT261" i="77" s="1"/>
  <c r="O107" i="77"/>
  <c r="O108" i="77" s="1"/>
  <c r="AE107" i="77"/>
  <c r="AE108" i="77" s="1"/>
  <c r="C118" i="77"/>
  <c r="AE261" i="77"/>
  <c r="AC97" i="77"/>
  <c r="AC99" i="77" s="1"/>
  <c r="AC100" i="77" s="1"/>
  <c r="AC7" i="77" s="1"/>
  <c r="AI121" i="77"/>
  <c r="AD97" i="77"/>
  <c r="AD99" i="77" s="1"/>
  <c r="AV261" i="77" s="1"/>
  <c r="AC108" i="77"/>
  <c r="AI103" i="77"/>
  <c r="F97" i="77"/>
  <c r="F99" i="77" s="1"/>
  <c r="X261" i="77" s="1"/>
  <c r="AI123" i="77"/>
  <c r="AI104" i="77"/>
  <c r="D5" i="77"/>
  <c r="E107" i="77"/>
  <c r="E108" i="77" s="1"/>
  <c r="E97" i="77"/>
  <c r="E99" i="77" s="1"/>
  <c r="D97" i="77"/>
  <c r="D99" i="77" s="1"/>
  <c r="D100" i="77" s="1"/>
  <c r="D7" i="77" s="1"/>
  <c r="AH103" i="77"/>
  <c r="C97" i="77"/>
  <c r="C99" i="77" s="1"/>
  <c r="U261" i="77" s="1"/>
  <c r="AI80" i="77"/>
  <c r="C107" i="77"/>
  <c r="AI105" i="77"/>
  <c r="B107" i="77"/>
  <c r="B108" i="77" s="1"/>
  <c r="B97" i="77"/>
  <c r="B99" i="77" s="1"/>
  <c r="B100" i="77" s="1"/>
  <c r="AB261" i="77"/>
  <c r="AB108" i="77"/>
  <c r="AR261" i="77"/>
  <c r="Z7" i="77"/>
  <c r="AI76" i="77"/>
  <c r="F107" i="77"/>
  <c r="N107" i="77"/>
  <c r="N108" i="77" s="1"/>
  <c r="V7" i="77"/>
  <c r="AD107" i="77"/>
  <c r="AD108" i="77" s="1"/>
  <c r="E251" i="77"/>
  <c r="C282" i="77"/>
  <c r="AN261" i="77"/>
  <c r="AL261" i="77"/>
  <c r="T7" i="77"/>
  <c r="H246" i="77"/>
  <c r="AM261" i="77"/>
  <c r="U7" i="77"/>
  <c r="AG99" i="77"/>
  <c r="X7" i="77"/>
  <c r="X5" i="77"/>
  <c r="AF100" i="77"/>
  <c r="AF7" i="77" s="1"/>
  <c r="AI102" i="77"/>
  <c r="D258" i="77"/>
  <c r="P5" i="77"/>
  <c r="Q108" i="77"/>
  <c r="Y261" i="77"/>
  <c r="AO261" i="77"/>
  <c r="W7" i="77"/>
  <c r="AW261" i="77"/>
  <c r="AE100" i="77"/>
  <c r="AE7" i="77" s="1"/>
  <c r="AH92" i="77"/>
  <c r="AI101" i="77"/>
  <c r="H5" i="77"/>
  <c r="AH62" i="77"/>
  <c r="S7" i="77"/>
  <c r="AA107" i="77"/>
  <c r="D252" i="77"/>
  <c r="E247" i="77"/>
  <c r="AH76" i="77"/>
  <c r="AH80" i="77"/>
  <c r="AI92" i="77"/>
  <c r="AH101" i="77"/>
  <c r="AF5" i="77"/>
  <c r="AH102" i="77"/>
  <c r="AH58" i="77"/>
  <c r="AI58" i="77"/>
  <c r="AH104" i="77"/>
  <c r="AH105" i="77"/>
  <c r="AF100" i="76"/>
  <c r="AF108" i="76"/>
  <c r="AB100" i="76"/>
  <c r="AE108" i="76"/>
  <c r="AE97" i="76"/>
  <c r="AE99" i="76" s="1"/>
  <c r="AE100" i="76" s="1"/>
  <c r="AD108" i="76"/>
  <c r="AD97" i="76"/>
  <c r="AD99" i="76" s="1"/>
  <c r="AD100" i="76" s="1"/>
  <c r="AC107" i="76"/>
  <c r="AC97" i="76"/>
  <c r="AC99" i="76" s="1"/>
  <c r="AC100" i="76" s="1"/>
  <c r="AC108" i="76"/>
  <c r="AB108" i="76"/>
  <c r="F123" i="76"/>
  <c r="F121" i="76"/>
  <c r="AH121" i="76" s="1"/>
  <c r="F57" i="76"/>
  <c r="E123" i="76"/>
  <c r="E121" i="76"/>
  <c r="E57" i="76"/>
  <c r="D57" i="76"/>
  <c r="D58" i="76"/>
  <c r="D62" i="76"/>
  <c r="D76" i="76"/>
  <c r="D123" i="76"/>
  <c r="D121" i="76"/>
  <c r="D80" i="76"/>
  <c r="D92" i="76"/>
  <c r="D101" i="76"/>
  <c r="D102" i="76"/>
  <c r="D103" i="76"/>
  <c r="D104" i="76"/>
  <c r="D105" i="76"/>
  <c r="C123" i="76"/>
  <c r="C121" i="76"/>
  <c r="C57" i="76"/>
  <c r="AH57" i="76"/>
  <c r="C58" i="76"/>
  <c r="C62" i="76"/>
  <c r="C76" i="76"/>
  <c r="C80" i="76"/>
  <c r="C92" i="76"/>
  <c r="B5" i="76" s="1"/>
  <c r="C101" i="76"/>
  <c r="C102" i="76"/>
  <c r="C103" i="76"/>
  <c r="C104" i="76"/>
  <c r="C105" i="76"/>
  <c r="C107" i="76" s="1"/>
  <c r="B123" i="76"/>
  <c r="B121" i="76"/>
  <c r="B57" i="76"/>
  <c r="B118" i="76"/>
  <c r="B105" i="76"/>
  <c r="B104" i="76"/>
  <c r="B103" i="76"/>
  <c r="B102" i="76"/>
  <c r="B101" i="76"/>
  <c r="B92" i="76"/>
  <c r="AF5" i="76" s="1"/>
  <c r="B80" i="76"/>
  <c r="B76" i="76"/>
  <c r="B62" i="76"/>
  <c r="B58" i="76"/>
  <c r="AF286" i="76"/>
  <c r="AE286" i="76"/>
  <c r="AD286" i="76"/>
  <c r="AC286" i="76"/>
  <c r="AB286" i="76"/>
  <c r="AA286" i="76"/>
  <c r="Z286" i="76"/>
  <c r="Y286" i="76"/>
  <c r="X286" i="76"/>
  <c r="W286" i="76"/>
  <c r="V286" i="76"/>
  <c r="U286" i="76"/>
  <c r="T286" i="76"/>
  <c r="S286" i="76"/>
  <c r="R286" i="76"/>
  <c r="Q286" i="76"/>
  <c r="P286" i="76"/>
  <c r="O286" i="76"/>
  <c r="N286" i="76"/>
  <c r="M286" i="76"/>
  <c r="L286" i="76"/>
  <c r="K286" i="76"/>
  <c r="J286" i="76"/>
  <c r="I286" i="76"/>
  <c r="H286" i="76"/>
  <c r="G286" i="76"/>
  <c r="F286" i="76"/>
  <c r="E286" i="76"/>
  <c r="D286" i="76"/>
  <c r="C286" i="76"/>
  <c r="B286" i="76"/>
  <c r="A286" i="76"/>
  <c r="AF285" i="76"/>
  <c r="AE285" i="76"/>
  <c r="AD285" i="76"/>
  <c r="AC285" i="76"/>
  <c r="AB285" i="76"/>
  <c r="AA285" i="76"/>
  <c r="Z285" i="76"/>
  <c r="Y285" i="76"/>
  <c r="X285" i="76"/>
  <c r="W285" i="76"/>
  <c r="V285" i="76"/>
  <c r="U285" i="76"/>
  <c r="T285" i="76"/>
  <c r="S285" i="76"/>
  <c r="R285" i="76"/>
  <c r="Q285" i="76"/>
  <c r="P285" i="76"/>
  <c r="O285" i="76"/>
  <c r="N285" i="76"/>
  <c r="M285" i="76"/>
  <c r="L285" i="76"/>
  <c r="K285" i="76"/>
  <c r="J285" i="76"/>
  <c r="I285" i="76"/>
  <c r="H285" i="76"/>
  <c r="G285" i="76"/>
  <c r="F285" i="76"/>
  <c r="E285" i="76"/>
  <c r="D285" i="76"/>
  <c r="C285" i="76"/>
  <c r="B285" i="76"/>
  <c r="A285" i="76"/>
  <c r="AF284" i="76"/>
  <c r="AE284" i="76"/>
  <c r="AD284" i="76"/>
  <c r="AC284" i="76"/>
  <c r="AB284" i="76"/>
  <c r="AA284" i="76"/>
  <c r="Z284" i="76"/>
  <c r="Y284" i="76"/>
  <c r="X284" i="76"/>
  <c r="W284" i="76"/>
  <c r="V284" i="76"/>
  <c r="U284" i="76"/>
  <c r="T284" i="76"/>
  <c r="S284" i="76"/>
  <c r="R284" i="76"/>
  <c r="Q284" i="76"/>
  <c r="P284" i="76"/>
  <c r="O284" i="76"/>
  <c r="N284" i="76"/>
  <c r="M284" i="76"/>
  <c r="L284" i="76"/>
  <c r="K284" i="76"/>
  <c r="J284" i="76"/>
  <c r="I284" i="76"/>
  <c r="H284" i="76"/>
  <c r="G284" i="76"/>
  <c r="F284" i="76"/>
  <c r="E284" i="76"/>
  <c r="D284" i="76"/>
  <c r="C284" i="76"/>
  <c r="B284" i="76"/>
  <c r="A284" i="76"/>
  <c r="AF283" i="76"/>
  <c r="AE283" i="76"/>
  <c r="AD283" i="76"/>
  <c r="AC283" i="76"/>
  <c r="AB283" i="76"/>
  <c r="AA283" i="76"/>
  <c r="Z283" i="76"/>
  <c r="Y283" i="76"/>
  <c r="X283" i="76"/>
  <c r="W283" i="76"/>
  <c r="V283" i="76"/>
  <c r="U283" i="76"/>
  <c r="T283" i="76"/>
  <c r="S283" i="76"/>
  <c r="R283" i="76"/>
  <c r="Q283" i="76"/>
  <c r="P283" i="76"/>
  <c r="O283" i="76"/>
  <c r="N283" i="76"/>
  <c r="M283" i="76"/>
  <c r="L283" i="76"/>
  <c r="K283" i="76"/>
  <c r="J283" i="76"/>
  <c r="I283" i="76"/>
  <c r="H283" i="76"/>
  <c r="G283" i="76"/>
  <c r="F283" i="76"/>
  <c r="E283" i="76"/>
  <c r="D283" i="76"/>
  <c r="C283" i="76"/>
  <c r="B283" i="76"/>
  <c r="A283" i="76"/>
  <c r="B282" i="76"/>
  <c r="S257" i="76"/>
  <c r="AG252" i="76"/>
  <c r="AG75" i="76" s="1"/>
  <c r="C252" i="76"/>
  <c r="D251" i="76"/>
  <c r="C282" i="76" s="1"/>
  <c r="M250" i="76"/>
  <c r="N250" i="76" s="1"/>
  <c r="O250" i="76" s="1"/>
  <c r="P250" i="76" s="1"/>
  <c r="Q250" i="76" s="1"/>
  <c r="R250" i="76" s="1"/>
  <c r="S250" i="76" s="1"/>
  <c r="T250" i="76" s="1"/>
  <c r="U250" i="76" s="1"/>
  <c r="V250" i="76" s="1"/>
  <c r="W250" i="76" s="1"/>
  <c r="X250" i="76" s="1"/>
  <c r="Y250" i="76" s="1"/>
  <c r="Z250" i="76" s="1"/>
  <c r="AA250" i="76" s="1"/>
  <c r="AB250" i="76" s="1"/>
  <c r="AC250" i="76" s="1"/>
  <c r="AD250" i="76" s="1"/>
  <c r="AE250" i="76" s="1"/>
  <c r="AF250" i="76" s="1"/>
  <c r="B250" i="76" s="1"/>
  <c r="E250" i="76"/>
  <c r="F250" i="76" s="1"/>
  <c r="G250" i="76" s="1"/>
  <c r="H250" i="76" s="1"/>
  <c r="I250" i="76" s="1"/>
  <c r="J250" i="76" s="1"/>
  <c r="K250" i="76" s="1"/>
  <c r="L250" i="76" s="1"/>
  <c r="D250" i="76"/>
  <c r="K249" i="76"/>
  <c r="L249" i="76" s="1"/>
  <c r="M249" i="76" s="1"/>
  <c r="N249" i="76" s="1"/>
  <c r="O249" i="76" s="1"/>
  <c r="P249" i="76" s="1"/>
  <c r="Q249" i="76" s="1"/>
  <c r="R249" i="76" s="1"/>
  <c r="S249" i="76" s="1"/>
  <c r="T249" i="76" s="1"/>
  <c r="U249" i="76" s="1"/>
  <c r="V249" i="76" s="1"/>
  <c r="W249" i="76" s="1"/>
  <c r="X249" i="76" s="1"/>
  <c r="Y249" i="76" s="1"/>
  <c r="Z249" i="76" s="1"/>
  <c r="AA249" i="76" s="1"/>
  <c r="AB249" i="76" s="1"/>
  <c r="AC249" i="76" s="1"/>
  <c r="AD249" i="76" s="1"/>
  <c r="AE249" i="76" s="1"/>
  <c r="AF249" i="76" s="1"/>
  <c r="B249" i="76" s="1"/>
  <c r="D249" i="76"/>
  <c r="E249" i="76" s="1"/>
  <c r="F249" i="76" s="1"/>
  <c r="G249" i="76" s="1"/>
  <c r="H249" i="76" s="1"/>
  <c r="I249" i="76" s="1"/>
  <c r="J249" i="76" s="1"/>
  <c r="F248" i="76"/>
  <c r="G248" i="76" s="1"/>
  <c r="H248" i="76" s="1"/>
  <c r="I248" i="76" s="1"/>
  <c r="J248" i="76" s="1"/>
  <c r="K248" i="76" s="1"/>
  <c r="L248" i="76" s="1"/>
  <c r="M248" i="76" s="1"/>
  <c r="N248" i="76" s="1"/>
  <c r="O248" i="76" s="1"/>
  <c r="P248" i="76" s="1"/>
  <c r="Q248" i="76" s="1"/>
  <c r="R248" i="76" s="1"/>
  <c r="S248" i="76" s="1"/>
  <c r="T248" i="76" s="1"/>
  <c r="U248" i="76" s="1"/>
  <c r="V248" i="76" s="1"/>
  <c r="W248" i="76" s="1"/>
  <c r="X248" i="76" s="1"/>
  <c r="Y248" i="76" s="1"/>
  <c r="Z248" i="76" s="1"/>
  <c r="AA248" i="76" s="1"/>
  <c r="AB248" i="76" s="1"/>
  <c r="AC248" i="76" s="1"/>
  <c r="AD248" i="76" s="1"/>
  <c r="AE248" i="76" s="1"/>
  <c r="AF248" i="76" s="1"/>
  <c r="B248" i="76" s="1"/>
  <c r="E248" i="76"/>
  <c r="D248" i="76"/>
  <c r="D247" i="76"/>
  <c r="D252" i="76" s="1"/>
  <c r="E246" i="76"/>
  <c r="D246" i="76"/>
  <c r="AG244" i="76"/>
  <c r="AF244" i="76"/>
  <c r="AE244" i="76"/>
  <c r="AD244" i="76"/>
  <c r="AC244" i="76"/>
  <c r="AB244" i="76"/>
  <c r="AA244" i="76"/>
  <c r="Z244" i="76"/>
  <c r="Y244" i="76"/>
  <c r="X244" i="76"/>
  <c r="W244" i="76"/>
  <c r="V244" i="76"/>
  <c r="U244" i="76"/>
  <c r="T244" i="76"/>
  <c r="S244" i="76"/>
  <c r="R244" i="76"/>
  <c r="Q244" i="76"/>
  <c r="P244" i="76"/>
  <c r="O244" i="76"/>
  <c r="N244" i="76"/>
  <c r="M244" i="76"/>
  <c r="L244" i="76"/>
  <c r="K244" i="76"/>
  <c r="J244" i="76"/>
  <c r="I244" i="76"/>
  <c r="H244" i="76"/>
  <c r="G244" i="76"/>
  <c r="F244" i="76"/>
  <c r="E244" i="76"/>
  <c r="D244" i="76"/>
  <c r="C244" i="76"/>
  <c r="B244" i="76"/>
  <c r="AI130" i="76"/>
  <c r="AH130" i="76"/>
  <c r="AI129" i="76"/>
  <c r="AH129" i="76"/>
  <c r="AI128" i="76"/>
  <c r="AH128" i="76"/>
  <c r="AI127" i="76"/>
  <c r="AH127" i="76"/>
  <c r="AI126" i="76"/>
  <c r="AH126" i="76"/>
  <c r="AI123" i="76"/>
  <c r="AH123" i="76"/>
  <c r="AI122" i="76"/>
  <c r="AH122" i="76"/>
  <c r="AI120" i="76"/>
  <c r="AH120" i="76"/>
  <c r="AI119" i="76"/>
  <c r="AH119" i="76"/>
  <c r="Z118" i="76"/>
  <c r="Y118" i="76"/>
  <c r="D118" i="76"/>
  <c r="AI117" i="76"/>
  <c r="AH117" i="76"/>
  <c r="AI116" i="76"/>
  <c r="AH116" i="76"/>
  <c r="AI115" i="76"/>
  <c r="AH115" i="76"/>
  <c r="AI114" i="76"/>
  <c r="AH114" i="76"/>
  <c r="AI113" i="76"/>
  <c r="AH113" i="76"/>
  <c r="AI112" i="76"/>
  <c r="AH112" i="76"/>
  <c r="AI111" i="76"/>
  <c r="AH111" i="76"/>
  <c r="AI110" i="76"/>
  <c r="AH110" i="76"/>
  <c r="AI109" i="76"/>
  <c r="AH109" i="76"/>
  <c r="X107" i="76"/>
  <c r="AI106" i="76"/>
  <c r="AH106" i="76"/>
  <c r="AA105" i="76"/>
  <c r="Z105" i="76"/>
  <c r="Y105" i="76"/>
  <c r="X105" i="76"/>
  <c r="W105" i="76"/>
  <c r="V105" i="76"/>
  <c r="U105" i="76"/>
  <c r="T105" i="76"/>
  <c r="S105" i="76"/>
  <c r="R105" i="76"/>
  <c r="Q105" i="76"/>
  <c r="P105" i="76"/>
  <c r="O105" i="76"/>
  <c r="N105" i="76"/>
  <c r="M105" i="76"/>
  <c r="L105" i="76"/>
  <c r="K105" i="76"/>
  <c r="J105" i="76"/>
  <c r="I105" i="76"/>
  <c r="H105" i="76"/>
  <c r="G105" i="76"/>
  <c r="F105" i="76"/>
  <c r="E105" i="76"/>
  <c r="AA104" i="76"/>
  <c r="Z104" i="76"/>
  <c r="Y104" i="76"/>
  <c r="X104" i="76"/>
  <c r="W104" i="76"/>
  <c r="V104" i="76"/>
  <c r="U104" i="76"/>
  <c r="T104" i="76"/>
  <c r="T107" i="76" s="1"/>
  <c r="S104" i="76"/>
  <c r="R104" i="76"/>
  <c r="Q104" i="76"/>
  <c r="P104" i="76"/>
  <c r="O104" i="76"/>
  <c r="N104" i="76"/>
  <c r="M104" i="76"/>
  <c r="L104" i="76"/>
  <c r="K104" i="76"/>
  <c r="J104" i="76"/>
  <c r="I104" i="76"/>
  <c r="H104" i="76"/>
  <c r="G104" i="76"/>
  <c r="F104" i="76"/>
  <c r="E104" i="76"/>
  <c r="AA103" i="76"/>
  <c r="Z103" i="76"/>
  <c r="Y103" i="76"/>
  <c r="X103" i="76"/>
  <c r="W103" i="76"/>
  <c r="V103" i="76"/>
  <c r="U103" i="76"/>
  <c r="T103" i="76"/>
  <c r="S103" i="76"/>
  <c r="R103" i="76"/>
  <c r="Q103" i="76"/>
  <c r="P103" i="76"/>
  <c r="O103" i="76"/>
  <c r="N103" i="76"/>
  <c r="M103" i="76"/>
  <c r="L103" i="76"/>
  <c r="K103" i="76"/>
  <c r="J103" i="76"/>
  <c r="I103" i="76"/>
  <c r="H103" i="76"/>
  <c r="G103" i="76"/>
  <c r="F103" i="76"/>
  <c r="E103" i="76"/>
  <c r="AA102" i="76"/>
  <c r="Z102" i="76"/>
  <c r="Y102" i="76"/>
  <c r="X102" i="76"/>
  <c r="W102" i="76"/>
  <c r="V102" i="76"/>
  <c r="U102" i="76"/>
  <c r="T102" i="76"/>
  <c r="S102" i="76"/>
  <c r="R102" i="76"/>
  <c r="Q102" i="76"/>
  <c r="P102" i="76"/>
  <c r="O102" i="76"/>
  <c r="N102" i="76"/>
  <c r="M102" i="76"/>
  <c r="L102" i="76"/>
  <c r="K102" i="76"/>
  <c r="J102" i="76"/>
  <c r="I102" i="76"/>
  <c r="H102" i="76"/>
  <c r="G102" i="76"/>
  <c r="F102" i="76"/>
  <c r="E102" i="76"/>
  <c r="AI102" i="76"/>
  <c r="AA101" i="76"/>
  <c r="AA107" i="76" s="1"/>
  <c r="Z101" i="76"/>
  <c r="Y101" i="76"/>
  <c r="Y107" i="76" s="1"/>
  <c r="X101" i="76"/>
  <c r="W101" i="76"/>
  <c r="V101" i="76"/>
  <c r="U101" i="76"/>
  <c r="T101" i="76"/>
  <c r="S101" i="76"/>
  <c r="R101" i="76"/>
  <c r="Q101" i="76"/>
  <c r="Q107" i="76" s="1"/>
  <c r="P101" i="76"/>
  <c r="O101" i="76"/>
  <c r="N101" i="76"/>
  <c r="N107" i="76" s="1"/>
  <c r="M101" i="76"/>
  <c r="L101" i="76"/>
  <c r="K101" i="76"/>
  <c r="J101" i="76"/>
  <c r="I101" i="76"/>
  <c r="H101" i="76"/>
  <c r="G101" i="76"/>
  <c r="F101" i="76"/>
  <c r="E101" i="76"/>
  <c r="AI98" i="76"/>
  <c r="AH98" i="76"/>
  <c r="AI96" i="76"/>
  <c r="AH96" i="76"/>
  <c r="AG96" i="76"/>
  <c r="AG99" i="76" s="1"/>
  <c r="AI95" i="76"/>
  <c r="AH95" i="76"/>
  <c r="AI94" i="76"/>
  <c r="AH94" i="76"/>
  <c r="AI93" i="76"/>
  <c r="AH93" i="76"/>
  <c r="AG92" i="76"/>
  <c r="AA92" i="76"/>
  <c r="Z5" i="76" s="1"/>
  <c r="Z92" i="76"/>
  <c r="Y92" i="76"/>
  <c r="Y108" i="76" s="1"/>
  <c r="X92" i="76"/>
  <c r="W92" i="76"/>
  <c r="V92" i="76"/>
  <c r="U92" i="76"/>
  <c r="U97" i="76" s="1"/>
  <c r="U99" i="76" s="1"/>
  <c r="T92" i="76"/>
  <c r="S92" i="76"/>
  <c r="R5" i="76" s="1"/>
  <c r="R92" i="76"/>
  <c r="Q92" i="76"/>
  <c r="P92" i="76"/>
  <c r="O5" i="76" s="1"/>
  <c r="O92" i="76"/>
  <c r="N5" i="76" s="1"/>
  <c r="N92" i="76"/>
  <c r="M5" i="76" s="1"/>
  <c r="M92" i="76"/>
  <c r="L92" i="76"/>
  <c r="K92" i="76"/>
  <c r="J5" i="76" s="1"/>
  <c r="J92" i="76"/>
  <c r="I5" i="76" s="1"/>
  <c r="I92" i="76"/>
  <c r="H92" i="76"/>
  <c r="G5" i="76" s="1"/>
  <c r="G92" i="76"/>
  <c r="F5" i="76" s="1"/>
  <c r="F92" i="76"/>
  <c r="E5" i="76" s="1"/>
  <c r="E92" i="76"/>
  <c r="AI91" i="76"/>
  <c r="AH91" i="76"/>
  <c r="AI90" i="76"/>
  <c r="AH90" i="76"/>
  <c r="AI89" i="76"/>
  <c r="AH89" i="76"/>
  <c r="AI88" i="76"/>
  <c r="AH88" i="76"/>
  <c r="AI87" i="76"/>
  <c r="AH87" i="76"/>
  <c r="AI86" i="76"/>
  <c r="AH86" i="76"/>
  <c r="AI85" i="76"/>
  <c r="AH85" i="76"/>
  <c r="AI84" i="76"/>
  <c r="AH84" i="76"/>
  <c r="AI83" i="76"/>
  <c r="AH83" i="76"/>
  <c r="AI82" i="76"/>
  <c r="AH82" i="76"/>
  <c r="AI81" i="76"/>
  <c r="AH81" i="76"/>
  <c r="AG80" i="76"/>
  <c r="AA80" i="76"/>
  <c r="Z80" i="76"/>
  <c r="Y80" i="76"/>
  <c r="X80" i="76"/>
  <c r="W80" i="76"/>
  <c r="V80" i="76"/>
  <c r="U80" i="76"/>
  <c r="T80" i="76"/>
  <c r="S80" i="76"/>
  <c r="R80" i="76"/>
  <c r="Q80" i="76"/>
  <c r="P80" i="76"/>
  <c r="O80" i="76"/>
  <c r="N80" i="76"/>
  <c r="M80" i="76"/>
  <c r="L80" i="76"/>
  <c r="K80" i="76"/>
  <c r="J80" i="76"/>
  <c r="I80" i="76"/>
  <c r="H80" i="76"/>
  <c r="G80" i="76"/>
  <c r="F80" i="76"/>
  <c r="E80" i="76"/>
  <c r="AI79" i="76"/>
  <c r="AH79" i="76"/>
  <c r="AI78" i="76"/>
  <c r="AH78" i="76"/>
  <c r="AI77" i="76"/>
  <c r="AH77" i="76"/>
  <c r="AG76" i="76"/>
  <c r="AG3" i="76" s="1"/>
  <c r="AA76" i="76"/>
  <c r="Z76" i="76"/>
  <c r="Y76" i="76"/>
  <c r="X76" i="76"/>
  <c r="W76" i="76"/>
  <c r="U76" i="76"/>
  <c r="T76" i="76"/>
  <c r="S76" i="76"/>
  <c r="R76" i="76"/>
  <c r="Q76" i="76"/>
  <c r="P76" i="76"/>
  <c r="O76" i="76"/>
  <c r="N76" i="76"/>
  <c r="M76" i="76"/>
  <c r="L76" i="76"/>
  <c r="K76" i="76"/>
  <c r="J76" i="76"/>
  <c r="I76" i="76"/>
  <c r="H76" i="76"/>
  <c r="G76" i="76"/>
  <c r="F76" i="76"/>
  <c r="E76" i="76"/>
  <c r="AI75" i="76"/>
  <c r="AH75" i="76"/>
  <c r="AI74" i="76"/>
  <c r="AH74" i="76"/>
  <c r="AI73" i="76"/>
  <c r="AH73" i="76"/>
  <c r="AI72" i="76"/>
  <c r="AH72" i="76"/>
  <c r="AI71" i="76"/>
  <c r="AH71" i="76"/>
  <c r="AI70" i="76"/>
  <c r="AH70" i="76"/>
  <c r="AI69" i="76"/>
  <c r="AH69" i="76"/>
  <c r="AI68" i="76"/>
  <c r="AH68" i="76"/>
  <c r="AI67" i="76"/>
  <c r="AH67" i="76"/>
  <c r="AI66" i="76"/>
  <c r="AH66" i="76"/>
  <c r="AI65" i="76"/>
  <c r="AH65" i="76"/>
  <c r="AI64" i="76"/>
  <c r="AH64" i="76"/>
  <c r="AI63" i="76"/>
  <c r="AH63" i="76"/>
  <c r="AG62" i="76"/>
  <c r="Z62" i="76"/>
  <c r="Y62" i="76"/>
  <c r="X62" i="76"/>
  <c r="W62" i="76"/>
  <c r="V62" i="76"/>
  <c r="T62" i="76"/>
  <c r="R62" i="76"/>
  <c r="Q62" i="76"/>
  <c r="P62" i="76"/>
  <c r="O62" i="76"/>
  <c r="N62" i="76"/>
  <c r="M62" i="76"/>
  <c r="L62" i="76"/>
  <c r="K62" i="76"/>
  <c r="J62" i="76"/>
  <c r="I62" i="76"/>
  <c r="H62" i="76"/>
  <c r="G62" i="76"/>
  <c r="F62" i="76"/>
  <c r="E62" i="76"/>
  <c r="AI61" i="76"/>
  <c r="AH61" i="76"/>
  <c r="AI60" i="76"/>
  <c r="AH60" i="76"/>
  <c r="AI59" i="76"/>
  <c r="AH59" i="76"/>
  <c r="AG58" i="76"/>
  <c r="AG2" i="76" s="1"/>
  <c r="AX261" i="76"/>
  <c r="Z58" i="76"/>
  <c r="Y58" i="76"/>
  <c r="X58" i="76"/>
  <c r="W58" i="76"/>
  <c r="T58" i="76"/>
  <c r="R58" i="76"/>
  <c r="Q58" i="76"/>
  <c r="P58" i="76"/>
  <c r="O58" i="76"/>
  <c r="N58" i="76"/>
  <c r="M58" i="76"/>
  <c r="L58" i="76"/>
  <c r="K58" i="76"/>
  <c r="J58" i="76"/>
  <c r="I58" i="76"/>
  <c r="H58" i="76"/>
  <c r="G58" i="76"/>
  <c r="F58" i="76"/>
  <c r="E58" i="76"/>
  <c r="AI57" i="76"/>
  <c r="AI56" i="76"/>
  <c r="AH56" i="76"/>
  <c r="AI55" i="76"/>
  <c r="AH55" i="76"/>
  <c r="AI54" i="76"/>
  <c r="AH54" i="76"/>
  <c r="AI53" i="76"/>
  <c r="AH53" i="76"/>
  <c r="AI52" i="76"/>
  <c r="AH52" i="76"/>
  <c r="AI51" i="76"/>
  <c r="AH51" i="76"/>
  <c r="AI50" i="76"/>
  <c r="AH50" i="76"/>
  <c r="AI49" i="76"/>
  <c r="AH49" i="76"/>
  <c r="AI48" i="76"/>
  <c r="AH48" i="76"/>
  <c r="AI47" i="76"/>
  <c r="AH47" i="76"/>
  <c r="AI46" i="76"/>
  <c r="AH46" i="76"/>
  <c r="AI45" i="76"/>
  <c r="AH45" i="76"/>
  <c r="AI44" i="76"/>
  <c r="AH44" i="76"/>
  <c r="AI43" i="76"/>
  <c r="AH43" i="76"/>
  <c r="AI42" i="76"/>
  <c r="AH42" i="76"/>
  <c r="AI41" i="76"/>
  <c r="AH41" i="76"/>
  <c r="AI40" i="76"/>
  <c r="AH40" i="76"/>
  <c r="AI39" i="76"/>
  <c r="AH39" i="76"/>
  <c r="AI38" i="76"/>
  <c r="AH38" i="76"/>
  <c r="AI37" i="76"/>
  <c r="AH37" i="76"/>
  <c r="AI36" i="76"/>
  <c r="AH36" i="76"/>
  <c r="AI35" i="76"/>
  <c r="AH35" i="76"/>
  <c r="AI34" i="76"/>
  <c r="AH34" i="76"/>
  <c r="AI33" i="76"/>
  <c r="AH33" i="76"/>
  <c r="AI32" i="76"/>
  <c r="AH32" i="76"/>
  <c r="AI31" i="76"/>
  <c r="AH31" i="76"/>
  <c r="AI30" i="76"/>
  <c r="AH30" i="76"/>
  <c r="AI29" i="76"/>
  <c r="AH29" i="76"/>
  <c r="AI28" i="76"/>
  <c r="AH28" i="76"/>
  <c r="AI27" i="76"/>
  <c r="AH27" i="76"/>
  <c r="AI26" i="76"/>
  <c r="AH26" i="76"/>
  <c r="AI25" i="76"/>
  <c r="AH25" i="76"/>
  <c r="AI24" i="76"/>
  <c r="AH24" i="76"/>
  <c r="AI23" i="76"/>
  <c r="AH23" i="76"/>
  <c r="AI22" i="76"/>
  <c r="AH22" i="76"/>
  <c r="AI21" i="76"/>
  <c r="AH21" i="76"/>
  <c r="AI20" i="76"/>
  <c r="AH20" i="76"/>
  <c r="AI19" i="76"/>
  <c r="AH19" i="76"/>
  <c r="AI18" i="76"/>
  <c r="AH18" i="76"/>
  <c r="AI17" i="76"/>
  <c r="AH17" i="76"/>
  <c r="AI16" i="76"/>
  <c r="AH16" i="76"/>
  <c r="AI15" i="76"/>
  <c r="AH15" i="76"/>
  <c r="AI14" i="76"/>
  <c r="AH14" i="76"/>
  <c r="AI13" i="76"/>
  <c r="AH13" i="76"/>
  <c r="AI12" i="76"/>
  <c r="AH12" i="76"/>
  <c r="AI11" i="76"/>
  <c r="AH11" i="76"/>
  <c r="AE5" i="76"/>
  <c r="AD5" i="76"/>
  <c r="AC5" i="76"/>
  <c r="W5" i="76"/>
  <c r="V5" i="76"/>
  <c r="U5" i="76"/>
  <c r="Q5" i="76"/>
  <c r="AG4" i="76"/>
  <c r="K4" i="76"/>
  <c r="E4" i="76"/>
  <c r="H4" i="76" s="1"/>
  <c r="B4" i="76"/>
  <c r="AF123" i="75"/>
  <c r="AF121" i="75"/>
  <c r="AF57" i="75"/>
  <c r="AF58" i="75"/>
  <c r="AF62" i="75"/>
  <c r="AF76" i="75"/>
  <c r="AF80" i="75"/>
  <c r="AF92" i="75"/>
  <c r="AF101" i="75"/>
  <c r="AF102" i="75"/>
  <c r="AF103" i="75"/>
  <c r="AF104" i="75"/>
  <c r="AF105" i="75"/>
  <c r="AF107" i="75"/>
  <c r="AF118" i="75"/>
  <c r="AE123" i="75"/>
  <c r="AE121" i="75"/>
  <c r="AE57" i="75"/>
  <c r="AE58" i="75"/>
  <c r="AE62" i="75"/>
  <c r="AE76" i="75"/>
  <c r="AE80" i="75"/>
  <c r="AE92" i="75"/>
  <c r="AE101" i="75"/>
  <c r="AE102" i="75"/>
  <c r="AE103" i="75"/>
  <c r="AE104" i="75"/>
  <c r="AE105" i="75"/>
  <c r="AD123" i="75"/>
  <c r="AD121" i="75"/>
  <c r="AU261" i="77" l="1"/>
  <c r="AB100" i="77"/>
  <c r="AB7" i="77" s="1"/>
  <c r="Q100" i="77"/>
  <c r="Q7" i="77" s="1"/>
  <c r="AJ261" i="77"/>
  <c r="AC261" i="77"/>
  <c r="F100" i="77"/>
  <c r="F7" i="77" s="1"/>
  <c r="E100" i="77"/>
  <c r="E7" i="77" s="1"/>
  <c r="H100" i="77"/>
  <c r="H7" i="77" s="1"/>
  <c r="O100" i="77"/>
  <c r="O7" i="77" s="1"/>
  <c r="N100" i="77"/>
  <c r="N7" i="77" s="1"/>
  <c r="AQ261" i="77"/>
  <c r="J100" i="77"/>
  <c r="J7" i="77" s="1"/>
  <c r="AA261" i="77"/>
  <c r="C256" i="77"/>
  <c r="M7" i="77"/>
  <c r="AD100" i="77"/>
  <c r="AD7" i="77" s="1"/>
  <c r="W261" i="77"/>
  <c r="L7" i="77"/>
  <c r="AD261" i="77"/>
  <c r="K7" i="77"/>
  <c r="AA100" i="77"/>
  <c r="AA7" i="77" s="1"/>
  <c r="B256" i="77"/>
  <c r="F108" i="77"/>
  <c r="AH97" i="77"/>
  <c r="AI97" i="77"/>
  <c r="V261" i="77"/>
  <c r="D108" i="77"/>
  <c r="C100" i="77"/>
  <c r="C7" i="77" s="1"/>
  <c r="C108" i="77"/>
  <c r="AI99" i="77"/>
  <c r="T261" i="77"/>
  <c r="AH99" i="77"/>
  <c r="AI107" i="77"/>
  <c r="AH107" i="77"/>
  <c r="I246" i="77"/>
  <c r="E118" i="77"/>
  <c r="D282" i="77"/>
  <c r="F251" i="77"/>
  <c r="AA108" i="77"/>
  <c r="F247" i="77"/>
  <c r="E252" i="77"/>
  <c r="AA108" i="76"/>
  <c r="Y5" i="76"/>
  <c r="Z107" i="76"/>
  <c r="Z108" i="76" s="1"/>
  <c r="Z97" i="76"/>
  <c r="Z99" i="76" s="1"/>
  <c r="X97" i="76"/>
  <c r="X99" i="76" s="1"/>
  <c r="Y97" i="76"/>
  <c r="Y99" i="76" s="1"/>
  <c r="AA97" i="76"/>
  <c r="AA99" i="76" s="1"/>
  <c r="AA100" i="76" s="1"/>
  <c r="AA7" i="76" s="1"/>
  <c r="W107" i="76"/>
  <c r="W108" i="76"/>
  <c r="W97" i="76"/>
  <c r="W99" i="76" s="1"/>
  <c r="V97" i="76"/>
  <c r="V99" i="76" s="1"/>
  <c r="S107" i="76"/>
  <c r="AI101" i="76"/>
  <c r="S108" i="76"/>
  <c r="S97" i="76"/>
  <c r="S99" i="76" s="1"/>
  <c r="AK261" i="76" s="1"/>
  <c r="R107" i="76"/>
  <c r="R108" i="76" s="1"/>
  <c r="R97" i="76"/>
  <c r="R99" i="76" s="1"/>
  <c r="AJ261" i="76" s="1"/>
  <c r="Q108" i="76"/>
  <c r="Q97" i="76"/>
  <c r="Q99" i="76" s="1"/>
  <c r="P5" i="76"/>
  <c r="P107" i="76"/>
  <c r="P108" i="76" s="1"/>
  <c r="P97" i="76"/>
  <c r="P99" i="76" s="1"/>
  <c r="AH261" i="76" s="1"/>
  <c r="O97" i="76"/>
  <c r="O99" i="76" s="1"/>
  <c r="AG261" i="76" s="1"/>
  <c r="O107" i="76"/>
  <c r="O108" i="76" s="1"/>
  <c r="N97" i="76"/>
  <c r="N99" i="76" s="1"/>
  <c r="N100" i="76" s="1"/>
  <c r="N7" i="76" s="1"/>
  <c r="M97" i="76"/>
  <c r="M99" i="76" s="1"/>
  <c r="L107" i="76"/>
  <c r="K107" i="76"/>
  <c r="K108" i="76" s="1"/>
  <c r="K97" i="76"/>
  <c r="K99" i="76" s="1"/>
  <c r="K100" i="76" s="1"/>
  <c r="K7" i="76" s="1"/>
  <c r="J107" i="76"/>
  <c r="J108" i="76" s="1"/>
  <c r="J97" i="76"/>
  <c r="J99" i="76" s="1"/>
  <c r="AB261" i="76" s="1"/>
  <c r="I107" i="76"/>
  <c r="I108" i="76" s="1"/>
  <c r="I97" i="76"/>
  <c r="I99" i="76" s="1"/>
  <c r="AA261" i="76" s="1"/>
  <c r="H107" i="76"/>
  <c r="H108" i="76"/>
  <c r="H97" i="76"/>
  <c r="H99" i="76" s="1"/>
  <c r="Z261" i="76" s="1"/>
  <c r="G107" i="76"/>
  <c r="G108" i="76" s="1"/>
  <c r="G97" i="76"/>
  <c r="G99" i="76" s="1"/>
  <c r="Y261" i="76" s="1"/>
  <c r="AI121" i="76"/>
  <c r="F107" i="76"/>
  <c r="F97" i="76"/>
  <c r="F99" i="76" s="1"/>
  <c r="X261" i="76" s="1"/>
  <c r="AI104" i="76"/>
  <c r="E97" i="76"/>
  <c r="E99" i="76" s="1"/>
  <c r="W261" i="76" s="1"/>
  <c r="D107" i="76"/>
  <c r="D108" i="76" s="1"/>
  <c r="D97" i="76"/>
  <c r="D99" i="76" s="1"/>
  <c r="AH103" i="76"/>
  <c r="C118" i="76"/>
  <c r="C108" i="76"/>
  <c r="C97" i="76"/>
  <c r="C99" i="76" s="1"/>
  <c r="B97" i="76"/>
  <c r="B99" i="76" s="1"/>
  <c r="B100" i="76" s="1"/>
  <c r="B107" i="76"/>
  <c r="AI58" i="76"/>
  <c r="B108" i="76"/>
  <c r="AR261" i="76"/>
  <c r="Z100" i="76"/>
  <c r="Z7" i="76" s="1"/>
  <c r="R100" i="76"/>
  <c r="R7" i="76" s="1"/>
  <c r="AE261" i="76"/>
  <c r="AM261" i="76"/>
  <c r="AU261" i="76"/>
  <c r="AN261" i="76"/>
  <c r="AV261" i="76"/>
  <c r="AD7" i="76"/>
  <c r="I100" i="76"/>
  <c r="I7" i="76" s="1"/>
  <c r="AQ261" i="76"/>
  <c r="Y100" i="76"/>
  <c r="Y7" i="76" s="1"/>
  <c r="AI261" i="76"/>
  <c r="Q100" i="76"/>
  <c r="Q7" i="76" s="1"/>
  <c r="K5" i="76"/>
  <c r="L108" i="76"/>
  <c r="S5" i="76"/>
  <c r="T108" i="76"/>
  <c r="AI103" i="76"/>
  <c r="D5" i="76"/>
  <c r="L5" i="76"/>
  <c r="T5" i="76"/>
  <c r="AB5" i="76"/>
  <c r="S100" i="76"/>
  <c r="S7" i="76" s="1"/>
  <c r="AH104" i="76"/>
  <c r="AH58" i="76"/>
  <c r="AI80" i="76"/>
  <c r="C5" i="76"/>
  <c r="AA5" i="76"/>
  <c r="D258" i="76"/>
  <c r="S258" i="76"/>
  <c r="H5" i="76"/>
  <c r="L97" i="76"/>
  <c r="L99" i="76" s="1"/>
  <c r="T97" i="76"/>
  <c r="T99" i="76" s="1"/>
  <c r="AI76" i="76"/>
  <c r="F108" i="76"/>
  <c r="N108" i="76"/>
  <c r="AG97" i="76"/>
  <c r="E107" i="76"/>
  <c r="E108" i="76" s="1"/>
  <c r="M107" i="76"/>
  <c r="M100" i="76" s="1"/>
  <c r="M7" i="76" s="1"/>
  <c r="U107" i="76"/>
  <c r="U108" i="76" s="1"/>
  <c r="F246" i="76"/>
  <c r="E118" i="76"/>
  <c r="AS261" i="76"/>
  <c r="X108" i="76"/>
  <c r="AO261" i="76"/>
  <c r="W100" i="76"/>
  <c r="W7" i="76" s="1"/>
  <c r="AW261" i="76"/>
  <c r="AE7" i="76"/>
  <c r="V107" i="76"/>
  <c r="V100" i="76" s="1"/>
  <c r="V7" i="76" s="1"/>
  <c r="X5" i="76"/>
  <c r="AI92" i="76"/>
  <c r="AF7" i="76"/>
  <c r="AH102" i="76"/>
  <c r="AG6" i="76"/>
  <c r="AI62" i="76"/>
  <c r="AH62" i="76"/>
  <c r="AH101" i="76"/>
  <c r="AI105" i="76"/>
  <c r="AH76" i="76"/>
  <c r="AH80" i="76"/>
  <c r="AH92" i="76"/>
  <c r="E247" i="76"/>
  <c r="F247" i="76" s="1"/>
  <c r="G247" i="76" s="1"/>
  <c r="H247" i="76" s="1"/>
  <c r="I247" i="76" s="1"/>
  <c r="J247" i="76" s="1"/>
  <c r="K247" i="76" s="1"/>
  <c r="L247" i="76" s="1"/>
  <c r="M247" i="76" s="1"/>
  <c r="N247" i="76" s="1"/>
  <c r="O247" i="76" s="1"/>
  <c r="P247" i="76" s="1"/>
  <c r="Q247" i="76" s="1"/>
  <c r="R247" i="76" s="1"/>
  <c r="S247" i="76" s="1"/>
  <c r="T247" i="76" s="1"/>
  <c r="U247" i="76" s="1"/>
  <c r="V247" i="76" s="1"/>
  <c r="W247" i="76" s="1"/>
  <c r="X247" i="76" s="1"/>
  <c r="Y247" i="76" s="1"/>
  <c r="Z247" i="76" s="1"/>
  <c r="AA247" i="76" s="1"/>
  <c r="AB247" i="76" s="1"/>
  <c r="AC247" i="76" s="1"/>
  <c r="AD247" i="76" s="1"/>
  <c r="AE247" i="76" s="1"/>
  <c r="AF247" i="76" s="1"/>
  <c r="B247" i="76" s="1"/>
  <c r="E251" i="76"/>
  <c r="AH105" i="76"/>
  <c r="AF97" i="75"/>
  <c r="AF99" i="75" s="1"/>
  <c r="AF100" i="75" s="1"/>
  <c r="AF108" i="75"/>
  <c r="AE107" i="75"/>
  <c r="AE108" i="75" s="1"/>
  <c r="AE97" i="75"/>
  <c r="AE99" i="75" s="1"/>
  <c r="AH108" i="77" l="1"/>
  <c r="AI108" i="77"/>
  <c r="K6" i="77"/>
  <c r="J246" i="77"/>
  <c r="E282" i="77"/>
  <c r="G251" i="77"/>
  <c r="F118" i="77"/>
  <c r="B7" i="77"/>
  <c r="A7" i="77" s="1"/>
  <c r="AH100" i="77"/>
  <c r="AI100" i="77"/>
  <c r="F252" i="77"/>
  <c r="G247" i="77"/>
  <c r="AP261" i="76"/>
  <c r="X100" i="76"/>
  <c r="X7" i="76" s="1"/>
  <c r="AF261" i="76"/>
  <c r="O100" i="76"/>
  <c r="O7" i="76" s="1"/>
  <c r="P100" i="76"/>
  <c r="P7" i="76" s="1"/>
  <c r="M108" i="76"/>
  <c r="AC261" i="76"/>
  <c r="J100" i="76"/>
  <c r="J7" i="76" s="1"/>
  <c r="H100" i="76"/>
  <c r="H7" i="76" s="1"/>
  <c r="G100" i="76"/>
  <c r="G7" i="76" s="1"/>
  <c r="C256" i="76"/>
  <c r="F100" i="76"/>
  <c r="F7" i="76" s="1"/>
  <c r="E100" i="76"/>
  <c r="E7" i="76" s="1"/>
  <c r="D100" i="76"/>
  <c r="D7" i="76" s="1"/>
  <c r="C100" i="76"/>
  <c r="C7" i="76" s="1"/>
  <c r="U261" i="76"/>
  <c r="F251" i="76"/>
  <c r="D282" i="76"/>
  <c r="AI97" i="76"/>
  <c r="AH97" i="76"/>
  <c r="B256" i="76"/>
  <c r="E252" i="76"/>
  <c r="V108" i="76"/>
  <c r="G246" i="76"/>
  <c r="F118" i="76"/>
  <c r="F252" i="76"/>
  <c r="AC7" i="76"/>
  <c r="AD261" i="76"/>
  <c r="L100" i="76"/>
  <c r="L7" i="76" s="1"/>
  <c r="AI107" i="76"/>
  <c r="AH107" i="76"/>
  <c r="V261" i="76"/>
  <c r="AT261" i="76"/>
  <c r="AB7" i="76"/>
  <c r="U100" i="76"/>
  <c r="U7" i="76" s="1"/>
  <c r="AL261" i="76"/>
  <c r="T100" i="76"/>
  <c r="T7" i="76" s="1"/>
  <c r="AE100" i="75"/>
  <c r="F282" i="77" l="1"/>
  <c r="H251" i="77"/>
  <c r="H247" i="77"/>
  <c r="G252" i="77"/>
  <c r="K246" i="77"/>
  <c r="K6" i="76"/>
  <c r="T261" i="76"/>
  <c r="AI99" i="76"/>
  <c r="AH99" i="76"/>
  <c r="AH108" i="76"/>
  <c r="AI108" i="76"/>
  <c r="H246" i="76"/>
  <c r="G252" i="76"/>
  <c r="E282" i="76"/>
  <c r="G251" i="76"/>
  <c r="L246" i="77" l="1"/>
  <c r="I247" i="77"/>
  <c r="H252" i="77"/>
  <c r="G282" i="77"/>
  <c r="I251" i="77"/>
  <c r="I246" i="76"/>
  <c r="H251" i="76"/>
  <c r="F282" i="76"/>
  <c r="B7" i="76"/>
  <c r="A7" i="76" s="1"/>
  <c r="AI100" i="76"/>
  <c r="AH100" i="76"/>
  <c r="G118" i="76"/>
  <c r="J247" i="77" l="1"/>
  <c r="I252" i="77"/>
  <c r="M246" i="77"/>
  <c r="H282" i="77"/>
  <c r="J251" i="77"/>
  <c r="I118" i="77"/>
  <c r="G282" i="76"/>
  <c r="I251" i="76"/>
  <c r="H252" i="76"/>
  <c r="H118" i="76"/>
  <c r="I252" i="76"/>
  <c r="I118" i="76"/>
  <c r="J246" i="76"/>
  <c r="K251" i="77" l="1"/>
  <c r="I282" i="77"/>
  <c r="N246" i="77"/>
  <c r="K247" i="77"/>
  <c r="J252" i="77"/>
  <c r="J118" i="76"/>
  <c r="K246" i="76"/>
  <c r="H282" i="76"/>
  <c r="J251" i="76"/>
  <c r="L247" i="77" l="1"/>
  <c r="K252" i="77"/>
  <c r="O246" i="77"/>
  <c r="J282" i="77"/>
  <c r="L251" i="77"/>
  <c r="K251" i="76"/>
  <c r="I282" i="76"/>
  <c r="K118" i="76"/>
  <c r="K252" i="76"/>
  <c r="L246" i="76"/>
  <c r="J252" i="76"/>
  <c r="M251" i="77" l="1"/>
  <c r="K282" i="77"/>
  <c r="P246" i="77"/>
  <c r="M247" i="77"/>
  <c r="L252" i="77"/>
  <c r="M246" i="76"/>
  <c r="L251" i="76"/>
  <c r="J282" i="76"/>
  <c r="Q246" i="77" l="1"/>
  <c r="N247" i="77"/>
  <c r="M252" i="77"/>
  <c r="L282" i="77"/>
  <c r="N251" i="77"/>
  <c r="K282" i="76"/>
  <c r="M251" i="76"/>
  <c r="N246" i="76"/>
  <c r="M118" i="76"/>
  <c r="M252" i="76"/>
  <c r="L118" i="76"/>
  <c r="L252" i="76"/>
  <c r="M282" i="77" l="1"/>
  <c r="O251" i="77"/>
  <c r="O247" i="77"/>
  <c r="N252" i="77"/>
  <c r="R246" i="77"/>
  <c r="O246" i="76"/>
  <c r="N251" i="76"/>
  <c r="L282" i="76"/>
  <c r="S246" i="77" l="1"/>
  <c r="P247" i="77"/>
  <c r="O252" i="77"/>
  <c r="N282" i="77"/>
  <c r="P251" i="77"/>
  <c r="O118" i="77"/>
  <c r="M282" i="76"/>
  <c r="O251" i="76"/>
  <c r="N252" i="76"/>
  <c r="N118" i="76"/>
  <c r="P246" i="76"/>
  <c r="O252" i="76"/>
  <c r="O118" i="76"/>
  <c r="Q247" i="77" l="1"/>
  <c r="P252" i="77"/>
  <c r="T246" i="77"/>
  <c r="O282" i="77"/>
  <c r="Q251" i="77"/>
  <c r="Q246" i="76"/>
  <c r="P251" i="76"/>
  <c r="N282" i="76"/>
  <c r="P282" i="77" l="1"/>
  <c r="R251" i="77"/>
  <c r="Q118" i="77"/>
  <c r="U246" i="77"/>
  <c r="R247" i="77"/>
  <c r="Q252" i="77"/>
  <c r="O282" i="76"/>
  <c r="Q251" i="76"/>
  <c r="Q252" i="76" s="1"/>
  <c r="P252" i="76"/>
  <c r="R246" i="76"/>
  <c r="Q118" i="76"/>
  <c r="S247" i="77" l="1"/>
  <c r="R252" i="77"/>
  <c r="V246" i="77"/>
  <c r="S251" i="77"/>
  <c r="Q282" i="77"/>
  <c r="R118" i="77"/>
  <c r="S246" i="76"/>
  <c r="P282" i="76"/>
  <c r="R251" i="76"/>
  <c r="R118" i="76" s="1"/>
  <c r="R282" i="77" l="1"/>
  <c r="T251" i="77"/>
  <c r="W246" i="77"/>
  <c r="T247" i="77"/>
  <c r="S252" i="77"/>
  <c r="S252" i="76"/>
  <c r="T246" i="76"/>
  <c r="S251" i="76"/>
  <c r="Q282" i="76"/>
  <c r="R252" i="76"/>
  <c r="X246" i="77" l="1"/>
  <c r="U251" i="77"/>
  <c r="S282" i="77"/>
  <c r="U247" i="77"/>
  <c r="T252" i="77"/>
  <c r="U246" i="76"/>
  <c r="R282" i="76"/>
  <c r="T251" i="76"/>
  <c r="S118" i="76"/>
  <c r="T282" i="77" l="1"/>
  <c r="V251" i="77"/>
  <c r="V247" i="77"/>
  <c r="U252" i="77"/>
  <c r="Y246" i="77"/>
  <c r="S282" i="76"/>
  <c r="U251" i="76"/>
  <c r="V246" i="76"/>
  <c r="U252" i="76"/>
  <c r="U118" i="76"/>
  <c r="T118" i="76"/>
  <c r="T252" i="76"/>
  <c r="Z246" i="77" l="1"/>
  <c r="W247" i="77"/>
  <c r="V252" i="77"/>
  <c r="U282" i="77"/>
  <c r="W251" i="77"/>
  <c r="W246" i="76"/>
  <c r="V118" i="76"/>
  <c r="V251" i="76"/>
  <c r="T282" i="76"/>
  <c r="V282" i="77" l="1"/>
  <c r="X251" i="77"/>
  <c r="X247" i="77"/>
  <c r="W252" i="77"/>
  <c r="AA246" i="77"/>
  <c r="U282" i="76"/>
  <c r="W251" i="76"/>
  <c r="V252" i="76"/>
  <c r="X246" i="76"/>
  <c r="W252" i="76"/>
  <c r="W118" i="76"/>
  <c r="AB246" i="77" l="1"/>
  <c r="Y247" i="77"/>
  <c r="X252" i="77"/>
  <c r="W282" i="77"/>
  <c r="Y251" i="77"/>
  <c r="X251" i="76"/>
  <c r="X252" i="76" s="1"/>
  <c r="V282" i="76"/>
  <c r="Y246" i="76"/>
  <c r="X118" i="76"/>
  <c r="X282" i="77" l="1"/>
  <c r="Z251" i="77"/>
  <c r="Z247" i="77"/>
  <c r="Y252" i="77"/>
  <c r="AC246" i="77"/>
  <c r="Y252" i="76"/>
  <c r="Z246" i="76"/>
  <c r="W282" i="76"/>
  <c r="Y251" i="76"/>
  <c r="AD246" i="77" l="1"/>
  <c r="AA247" i="77"/>
  <c r="Z252" i="77"/>
  <c r="AA251" i="77"/>
  <c r="Y282" i="77"/>
  <c r="X282" i="76"/>
  <c r="Z251" i="76"/>
  <c r="Z252" i="76" s="1"/>
  <c r="AA246" i="76"/>
  <c r="AC123" i="75"/>
  <c r="AC121" i="75"/>
  <c r="AB123" i="75"/>
  <c r="AB121" i="75"/>
  <c r="AA123" i="75"/>
  <c r="Z123" i="75"/>
  <c r="Y123" i="75"/>
  <c r="Z282" i="77" l="1"/>
  <c r="AB251" i="77"/>
  <c r="AA118" i="77"/>
  <c r="AB247" i="77"/>
  <c r="AA252" i="77"/>
  <c r="AE246" i="77"/>
  <c r="AB246" i="76"/>
  <c r="AA251" i="76"/>
  <c r="Y282" i="76"/>
  <c r="AF246" i="77" l="1"/>
  <c r="AC247" i="77"/>
  <c r="AB252" i="77"/>
  <c r="AC251" i="77"/>
  <c r="AA282" i="77"/>
  <c r="AB118" i="77"/>
  <c r="Z282" i="76"/>
  <c r="AB251" i="76"/>
  <c r="AB252" i="76"/>
  <c r="AC246" i="76"/>
  <c r="AA118" i="76"/>
  <c r="AA252" i="76"/>
  <c r="AD247" i="77" l="1"/>
  <c r="AC252" i="77"/>
  <c r="AB282" i="77"/>
  <c r="AD251" i="77"/>
  <c r="B246" i="77"/>
  <c r="AD246" i="76"/>
  <c r="AA282" i="76"/>
  <c r="AC251" i="76"/>
  <c r="AC252" i="76" s="1"/>
  <c r="AC282" i="77" l="1"/>
  <c r="AE251" i="77"/>
  <c r="AE247" i="77"/>
  <c r="AD252" i="77"/>
  <c r="AD251" i="76"/>
  <c r="AB282" i="76"/>
  <c r="AE246" i="76"/>
  <c r="AD252" i="76"/>
  <c r="AF247" i="77" l="1"/>
  <c r="AE252" i="77"/>
  <c r="AD282" i="77"/>
  <c r="AF251" i="77"/>
  <c r="AE118" i="77"/>
  <c r="AF246" i="76"/>
  <c r="AC282" i="76"/>
  <c r="AE251" i="76"/>
  <c r="B251" i="77" l="1"/>
  <c r="B118" i="77" s="1"/>
  <c r="AE282" i="77"/>
  <c r="AF118" i="77"/>
  <c r="B247" i="77"/>
  <c r="AF252" i="77"/>
  <c r="AF251" i="76"/>
  <c r="AD282" i="76"/>
  <c r="AE252" i="76"/>
  <c r="B246" i="76"/>
  <c r="AF252" i="76"/>
  <c r="B252" i="77" l="1"/>
  <c r="AF282" i="77"/>
  <c r="B251" i="76"/>
  <c r="AF282" i="76" s="1"/>
  <c r="AE282" i="76"/>
  <c r="AI118" i="77" l="1"/>
  <c r="AH118" i="77"/>
  <c r="B252" i="76"/>
  <c r="AI118" i="76"/>
  <c r="AH118" i="76"/>
  <c r="X123" i="75" l="1"/>
  <c r="W123" i="75"/>
  <c r="V123" i="75"/>
  <c r="U62" i="75"/>
  <c r="T123" i="75" l="1"/>
  <c r="S123" i="75"/>
  <c r="R123" i="75"/>
  <c r="Q123" i="75"/>
  <c r="P123" i="75"/>
  <c r="O123" i="75"/>
  <c r="N123" i="75"/>
  <c r="M123" i="75" l="1"/>
  <c r="K123" i="75" l="1"/>
  <c r="J123" i="75"/>
  <c r="I123" i="75"/>
  <c r="H123" i="75"/>
  <c r="G123" i="75"/>
  <c r="F123" i="75"/>
  <c r="E123" i="75"/>
  <c r="D123" i="75"/>
  <c r="D58" i="75"/>
  <c r="D62" i="75"/>
  <c r="D76" i="75"/>
  <c r="D80" i="75"/>
  <c r="D92" i="75"/>
  <c r="C5" i="75" s="1"/>
  <c r="D101" i="75"/>
  <c r="D102" i="75"/>
  <c r="D103" i="75"/>
  <c r="D104" i="75"/>
  <c r="D105" i="75"/>
  <c r="D107" i="75"/>
  <c r="C123" i="75"/>
  <c r="C58" i="75"/>
  <c r="C62" i="75"/>
  <c r="C76" i="75"/>
  <c r="C80" i="75"/>
  <c r="C92" i="75"/>
  <c r="C101" i="75"/>
  <c r="C102" i="75"/>
  <c r="C103" i="75"/>
  <c r="C104" i="75"/>
  <c r="C105" i="75"/>
  <c r="B123" i="75"/>
  <c r="B118" i="75"/>
  <c r="B105" i="75"/>
  <c r="B104" i="75"/>
  <c r="B103" i="75"/>
  <c r="B102" i="75"/>
  <c r="B107" i="75" s="1"/>
  <c r="B101" i="75"/>
  <c r="B92" i="75"/>
  <c r="B108" i="75" s="1"/>
  <c r="B80" i="75"/>
  <c r="B76" i="75"/>
  <c r="B62" i="75"/>
  <c r="B58" i="75"/>
  <c r="AF286" i="75"/>
  <c r="AE286" i="75"/>
  <c r="AD286" i="75"/>
  <c r="AC286" i="75"/>
  <c r="AB286" i="75"/>
  <c r="AA286" i="75"/>
  <c r="Z286" i="75"/>
  <c r="Y286" i="75"/>
  <c r="X286" i="75"/>
  <c r="W286" i="75"/>
  <c r="V286" i="75"/>
  <c r="U286" i="75"/>
  <c r="T286" i="75"/>
  <c r="S286" i="75"/>
  <c r="R286" i="75"/>
  <c r="Q286" i="75"/>
  <c r="P286" i="75"/>
  <c r="O286" i="75"/>
  <c r="N286" i="75"/>
  <c r="M286" i="75"/>
  <c r="L286" i="75"/>
  <c r="K286" i="75"/>
  <c r="J286" i="75"/>
  <c r="I286" i="75"/>
  <c r="H286" i="75"/>
  <c r="G286" i="75"/>
  <c r="F286" i="75"/>
  <c r="E286" i="75"/>
  <c r="D286" i="75"/>
  <c r="C286" i="75"/>
  <c r="B286" i="75"/>
  <c r="A286" i="75"/>
  <c r="AF285" i="75"/>
  <c r="AE285" i="75"/>
  <c r="AD285" i="75"/>
  <c r="AC285" i="75"/>
  <c r="AB285" i="75"/>
  <c r="AA285" i="75"/>
  <c r="Z285" i="75"/>
  <c r="Y285" i="75"/>
  <c r="X285" i="75"/>
  <c r="W285" i="75"/>
  <c r="V285" i="75"/>
  <c r="U285" i="75"/>
  <c r="T285" i="75"/>
  <c r="S285" i="75"/>
  <c r="R285" i="75"/>
  <c r="Q285" i="75"/>
  <c r="P285" i="75"/>
  <c r="O285" i="75"/>
  <c r="N285" i="75"/>
  <c r="M285" i="75"/>
  <c r="L285" i="75"/>
  <c r="K285" i="75"/>
  <c r="J285" i="75"/>
  <c r="I285" i="75"/>
  <c r="H285" i="75"/>
  <c r="G285" i="75"/>
  <c r="F285" i="75"/>
  <c r="E285" i="75"/>
  <c r="D285" i="75"/>
  <c r="C285" i="75"/>
  <c r="B285" i="75"/>
  <c r="A285" i="75"/>
  <c r="AF284" i="75"/>
  <c r="AE284" i="75"/>
  <c r="AD284" i="75"/>
  <c r="AC284" i="75"/>
  <c r="AB284" i="75"/>
  <c r="AA284" i="75"/>
  <c r="Z284" i="75"/>
  <c r="Y284" i="75"/>
  <c r="X284" i="75"/>
  <c r="W284" i="75"/>
  <c r="V284" i="75"/>
  <c r="U284" i="75"/>
  <c r="T284" i="75"/>
  <c r="S284" i="75"/>
  <c r="R284" i="75"/>
  <c r="Q284" i="75"/>
  <c r="P284" i="75"/>
  <c r="O284" i="75"/>
  <c r="N284" i="75"/>
  <c r="M284" i="75"/>
  <c r="L284" i="75"/>
  <c r="K284" i="75"/>
  <c r="J284" i="75"/>
  <c r="I284" i="75"/>
  <c r="H284" i="75"/>
  <c r="G284" i="75"/>
  <c r="F284" i="75"/>
  <c r="E284" i="75"/>
  <c r="D284" i="75"/>
  <c r="C284" i="75"/>
  <c r="B284" i="75"/>
  <c r="A284" i="75"/>
  <c r="AF283" i="75"/>
  <c r="AE283" i="75"/>
  <c r="AD283" i="75"/>
  <c r="AC283" i="75"/>
  <c r="AB283" i="75"/>
  <c r="AA283" i="75"/>
  <c r="Z283" i="75"/>
  <c r="Y283" i="75"/>
  <c r="X283" i="75"/>
  <c r="W283" i="75"/>
  <c r="V283" i="75"/>
  <c r="U283" i="75"/>
  <c r="T283" i="75"/>
  <c r="S283" i="75"/>
  <c r="R283" i="75"/>
  <c r="Q283" i="75"/>
  <c r="P283" i="75"/>
  <c r="O283" i="75"/>
  <c r="N283" i="75"/>
  <c r="M283" i="75"/>
  <c r="L283" i="75"/>
  <c r="K283" i="75"/>
  <c r="J283" i="75"/>
  <c r="I283" i="75"/>
  <c r="H283" i="75"/>
  <c r="G283" i="75"/>
  <c r="F283" i="75"/>
  <c r="E283" i="75"/>
  <c r="D283" i="75"/>
  <c r="C283" i="75"/>
  <c r="B283" i="75"/>
  <c r="A283" i="75"/>
  <c r="B282" i="75"/>
  <c r="AX261" i="75"/>
  <c r="S257" i="75"/>
  <c r="AG252" i="75"/>
  <c r="C252" i="75"/>
  <c r="D251" i="75"/>
  <c r="D250" i="75"/>
  <c r="E250" i="75" s="1"/>
  <c r="F250" i="75" s="1"/>
  <c r="G250" i="75" s="1"/>
  <c r="H250" i="75" s="1"/>
  <c r="I250" i="75" s="1"/>
  <c r="J250" i="75" s="1"/>
  <c r="K250" i="75" s="1"/>
  <c r="L250" i="75" s="1"/>
  <c r="M250" i="75" s="1"/>
  <c r="N250" i="75" s="1"/>
  <c r="O250" i="75" s="1"/>
  <c r="P250" i="75" s="1"/>
  <c r="Q250" i="75" s="1"/>
  <c r="R250" i="75" s="1"/>
  <c r="S250" i="75" s="1"/>
  <c r="T250" i="75" s="1"/>
  <c r="U250" i="75" s="1"/>
  <c r="V250" i="75" s="1"/>
  <c r="W250" i="75" s="1"/>
  <c r="X250" i="75" s="1"/>
  <c r="Y250" i="75" s="1"/>
  <c r="Z250" i="75" s="1"/>
  <c r="AA250" i="75" s="1"/>
  <c r="AB250" i="75" s="1"/>
  <c r="AC250" i="75" s="1"/>
  <c r="AD250" i="75" s="1"/>
  <c r="AE250" i="75" s="1"/>
  <c r="AF250" i="75" s="1"/>
  <c r="B250" i="75" s="1"/>
  <c r="D249" i="75"/>
  <c r="E249" i="75" s="1"/>
  <c r="F249" i="75" s="1"/>
  <c r="G249" i="75" s="1"/>
  <c r="H249" i="75" s="1"/>
  <c r="I249" i="75" s="1"/>
  <c r="J249" i="75" s="1"/>
  <c r="K249" i="75" s="1"/>
  <c r="L249" i="75" s="1"/>
  <c r="M249" i="75" s="1"/>
  <c r="N249" i="75" s="1"/>
  <c r="O249" i="75" s="1"/>
  <c r="P249" i="75" s="1"/>
  <c r="Q249" i="75" s="1"/>
  <c r="R249" i="75" s="1"/>
  <c r="S249" i="75" s="1"/>
  <c r="T249" i="75" s="1"/>
  <c r="U249" i="75" s="1"/>
  <c r="V249" i="75" s="1"/>
  <c r="W249" i="75" s="1"/>
  <c r="X249" i="75" s="1"/>
  <c r="Y249" i="75" s="1"/>
  <c r="Z249" i="75" s="1"/>
  <c r="AA249" i="75" s="1"/>
  <c r="AB249" i="75" s="1"/>
  <c r="AC249" i="75" s="1"/>
  <c r="AD249" i="75" s="1"/>
  <c r="AE249" i="75" s="1"/>
  <c r="AF249" i="75" s="1"/>
  <c r="B249" i="75" s="1"/>
  <c r="F248" i="75"/>
  <c r="G248" i="75" s="1"/>
  <c r="H248" i="75" s="1"/>
  <c r="I248" i="75" s="1"/>
  <c r="J248" i="75" s="1"/>
  <c r="K248" i="75" s="1"/>
  <c r="L248" i="75" s="1"/>
  <c r="M248" i="75" s="1"/>
  <c r="N248" i="75" s="1"/>
  <c r="O248" i="75" s="1"/>
  <c r="P248" i="75" s="1"/>
  <c r="Q248" i="75" s="1"/>
  <c r="R248" i="75" s="1"/>
  <c r="S248" i="75" s="1"/>
  <c r="T248" i="75" s="1"/>
  <c r="U248" i="75" s="1"/>
  <c r="V248" i="75" s="1"/>
  <c r="W248" i="75" s="1"/>
  <c r="X248" i="75" s="1"/>
  <c r="Y248" i="75" s="1"/>
  <c r="Z248" i="75" s="1"/>
  <c r="AA248" i="75" s="1"/>
  <c r="AB248" i="75" s="1"/>
  <c r="AC248" i="75" s="1"/>
  <c r="AD248" i="75" s="1"/>
  <c r="AE248" i="75" s="1"/>
  <c r="AF248" i="75" s="1"/>
  <c r="B248" i="75" s="1"/>
  <c r="E248" i="75"/>
  <c r="D248" i="75"/>
  <c r="L247" i="75"/>
  <c r="M247" i="75" s="1"/>
  <c r="N247" i="75" s="1"/>
  <c r="O247" i="75" s="1"/>
  <c r="P247" i="75" s="1"/>
  <c r="Q247" i="75" s="1"/>
  <c r="R247" i="75" s="1"/>
  <c r="S247" i="75" s="1"/>
  <c r="T247" i="75" s="1"/>
  <c r="U247" i="75" s="1"/>
  <c r="V247" i="75" s="1"/>
  <c r="W247" i="75" s="1"/>
  <c r="X247" i="75" s="1"/>
  <c r="Y247" i="75" s="1"/>
  <c r="Z247" i="75" s="1"/>
  <c r="AA247" i="75" s="1"/>
  <c r="AB247" i="75" s="1"/>
  <c r="AC247" i="75" s="1"/>
  <c r="AD247" i="75" s="1"/>
  <c r="AE247" i="75" s="1"/>
  <c r="AF247" i="75" s="1"/>
  <c r="B247" i="75" s="1"/>
  <c r="D247" i="75"/>
  <c r="E247" i="75" s="1"/>
  <c r="F247" i="75" s="1"/>
  <c r="G247" i="75" s="1"/>
  <c r="H247" i="75" s="1"/>
  <c r="I247" i="75" s="1"/>
  <c r="J247" i="75" s="1"/>
  <c r="K247" i="75" s="1"/>
  <c r="D246" i="75"/>
  <c r="AG244" i="75"/>
  <c r="AF244" i="75"/>
  <c r="AE244" i="75"/>
  <c r="AD244" i="75"/>
  <c r="AC244" i="75"/>
  <c r="AB244" i="75"/>
  <c r="AA244" i="75"/>
  <c r="Z244" i="75"/>
  <c r="Z118" i="75" s="1"/>
  <c r="Y244" i="75"/>
  <c r="Y118" i="75" s="1"/>
  <c r="X244" i="75"/>
  <c r="W244" i="75"/>
  <c r="V244" i="75"/>
  <c r="U244" i="75"/>
  <c r="T244" i="75"/>
  <c r="S244" i="75"/>
  <c r="R244" i="75"/>
  <c r="Q244" i="75"/>
  <c r="P244" i="75"/>
  <c r="O244" i="75"/>
  <c r="N244" i="75"/>
  <c r="M244" i="75"/>
  <c r="L244" i="75"/>
  <c r="K244" i="75"/>
  <c r="J244" i="75"/>
  <c r="I244" i="75"/>
  <c r="H244" i="75"/>
  <c r="G244" i="75"/>
  <c r="F244" i="75"/>
  <c r="E244" i="75"/>
  <c r="D244" i="75"/>
  <c r="C244" i="75"/>
  <c r="B244" i="75"/>
  <c r="AI130" i="75"/>
  <c r="AH130" i="75"/>
  <c r="AI129" i="75"/>
  <c r="AH129" i="75"/>
  <c r="AI128" i="75"/>
  <c r="AH128" i="75"/>
  <c r="AI127" i="75"/>
  <c r="AH127" i="75"/>
  <c r="AI126" i="75"/>
  <c r="AH126" i="75"/>
  <c r="AI122" i="75"/>
  <c r="AH122" i="75"/>
  <c r="AI121" i="75"/>
  <c r="AH121" i="75"/>
  <c r="AI120" i="75"/>
  <c r="AH120" i="75"/>
  <c r="AI119" i="75"/>
  <c r="AH119" i="75"/>
  <c r="AI117" i="75"/>
  <c r="AH117" i="75"/>
  <c r="AI116" i="75"/>
  <c r="AH116" i="75"/>
  <c r="AI115" i="75"/>
  <c r="AH115" i="75"/>
  <c r="AI114" i="75"/>
  <c r="AH114" i="75"/>
  <c r="AI113" i="75"/>
  <c r="AH113" i="75"/>
  <c r="AI112" i="75"/>
  <c r="AH112" i="75"/>
  <c r="AI111" i="75"/>
  <c r="AH111" i="75"/>
  <c r="AI110" i="75"/>
  <c r="AH110" i="75"/>
  <c r="AI109" i="75"/>
  <c r="AH109" i="75"/>
  <c r="AF7" i="75"/>
  <c r="AI106" i="75"/>
  <c r="AH106" i="75"/>
  <c r="AD105" i="75"/>
  <c r="AC105" i="75"/>
  <c r="AB105" i="75"/>
  <c r="AA105" i="75"/>
  <c r="Z105" i="75"/>
  <c r="Y105" i="75"/>
  <c r="X105" i="75"/>
  <c r="W105" i="75"/>
  <c r="V105" i="75"/>
  <c r="U105" i="75"/>
  <c r="T105" i="75"/>
  <c r="S105" i="75"/>
  <c r="R105" i="75"/>
  <c r="Q105" i="75"/>
  <c r="P105" i="75"/>
  <c r="O105" i="75"/>
  <c r="N105" i="75"/>
  <c r="M105" i="75"/>
  <c r="L105" i="75"/>
  <c r="K105" i="75"/>
  <c r="J105" i="75"/>
  <c r="I105" i="75"/>
  <c r="H105" i="75"/>
  <c r="G105" i="75"/>
  <c r="F105" i="75"/>
  <c r="E105" i="75"/>
  <c r="AD104" i="75"/>
  <c r="AC104" i="75"/>
  <c r="AB104" i="75"/>
  <c r="AA104" i="75"/>
  <c r="Z104" i="75"/>
  <c r="Y104" i="75"/>
  <c r="X104" i="75"/>
  <c r="W104" i="75"/>
  <c r="V104" i="75"/>
  <c r="U104" i="75"/>
  <c r="T104" i="75"/>
  <c r="S104" i="75"/>
  <c r="R104" i="75"/>
  <c r="Q104" i="75"/>
  <c r="P104" i="75"/>
  <c r="O104" i="75"/>
  <c r="N104" i="75"/>
  <c r="M104" i="75"/>
  <c r="L104" i="75"/>
  <c r="K104" i="75"/>
  <c r="J104" i="75"/>
  <c r="I104" i="75"/>
  <c r="H104" i="75"/>
  <c r="G104" i="75"/>
  <c r="F104" i="75"/>
  <c r="E104" i="75"/>
  <c r="AD103" i="75"/>
  <c r="AC103" i="75"/>
  <c r="AB103" i="75"/>
  <c r="AA103" i="75"/>
  <c r="Z103" i="75"/>
  <c r="Y103" i="75"/>
  <c r="X103" i="75"/>
  <c r="W103" i="75"/>
  <c r="V103" i="75"/>
  <c r="U103" i="75"/>
  <c r="T103" i="75"/>
  <c r="S103" i="75"/>
  <c r="R103" i="75"/>
  <c r="Q103" i="75"/>
  <c r="P103" i="75"/>
  <c r="O103" i="75"/>
  <c r="N103" i="75"/>
  <c r="M103" i="75"/>
  <c r="L103" i="75"/>
  <c r="K103" i="75"/>
  <c r="J103" i="75"/>
  <c r="I103" i="75"/>
  <c r="H103" i="75"/>
  <c r="G103" i="75"/>
  <c r="F103" i="75"/>
  <c r="E103" i="75"/>
  <c r="AD102" i="75"/>
  <c r="AC102" i="75"/>
  <c r="AB102" i="75"/>
  <c r="AA102" i="75"/>
  <c r="Z102" i="75"/>
  <c r="Y102" i="75"/>
  <c r="X102" i="75"/>
  <c r="X107" i="75" s="1"/>
  <c r="W102" i="75"/>
  <c r="V102" i="75"/>
  <c r="U102" i="75"/>
  <c r="T102" i="75"/>
  <c r="S102" i="75"/>
  <c r="R102" i="75"/>
  <c r="Q102" i="75"/>
  <c r="P102" i="75"/>
  <c r="O102" i="75"/>
  <c r="N102" i="75"/>
  <c r="M102" i="75"/>
  <c r="L102" i="75"/>
  <c r="K102" i="75"/>
  <c r="J102" i="75"/>
  <c r="I102" i="75"/>
  <c r="H102" i="75"/>
  <c r="G102" i="75"/>
  <c r="F102" i="75"/>
  <c r="E102" i="75"/>
  <c r="AD101" i="75"/>
  <c r="AC101" i="75"/>
  <c r="AB101" i="75"/>
  <c r="AA101" i="75"/>
  <c r="Z101" i="75"/>
  <c r="Y101" i="75"/>
  <c r="X101" i="75"/>
  <c r="W101" i="75"/>
  <c r="V101" i="75"/>
  <c r="U101" i="75"/>
  <c r="T101" i="75"/>
  <c r="S101" i="75"/>
  <c r="R101" i="75"/>
  <c r="Q101" i="75"/>
  <c r="P101" i="75"/>
  <c r="O101" i="75"/>
  <c r="N101" i="75"/>
  <c r="M101" i="75"/>
  <c r="L101" i="75"/>
  <c r="L107" i="75" s="1"/>
  <c r="K101" i="75"/>
  <c r="J101" i="75"/>
  <c r="I101" i="75"/>
  <c r="H101" i="75"/>
  <c r="G101" i="75"/>
  <c r="F101" i="75"/>
  <c r="E101" i="75"/>
  <c r="AI98" i="75"/>
  <c r="AH98" i="75"/>
  <c r="AI96" i="75"/>
  <c r="AH96" i="75"/>
  <c r="AG96" i="75"/>
  <c r="AI95" i="75"/>
  <c r="AH95" i="75"/>
  <c r="AI94" i="75"/>
  <c r="AH94" i="75"/>
  <c r="AI93" i="75"/>
  <c r="AH93" i="75"/>
  <c r="AG92" i="75"/>
  <c r="AD92" i="75"/>
  <c r="AC5" i="75" s="1"/>
  <c r="AC92" i="75"/>
  <c r="AB5" i="75" s="1"/>
  <c r="AB92" i="75"/>
  <c r="AA5" i="75" s="1"/>
  <c r="AA92" i="75"/>
  <c r="Z92" i="75"/>
  <c r="Y92" i="75"/>
  <c r="X92" i="75"/>
  <c r="W5" i="75" s="1"/>
  <c r="W92" i="75"/>
  <c r="V5" i="75" s="1"/>
  <c r="V92" i="75"/>
  <c r="U5" i="75" s="1"/>
  <c r="U92" i="75"/>
  <c r="T5" i="75" s="1"/>
  <c r="T92" i="75"/>
  <c r="S5" i="75" s="1"/>
  <c r="S92" i="75"/>
  <c r="R92" i="75"/>
  <c r="Q5" i="75" s="1"/>
  <c r="Q92" i="75"/>
  <c r="P92" i="75"/>
  <c r="O5" i="75" s="1"/>
  <c r="O92" i="75"/>
  <c r="N5" i="75" s="1"/>
  <c r="N92" i="75"/>
  <c r="M5" i="75" s="1"/>
  <c r="M92" i="75"/>
  <c r="L5" i="75" s="1"/>
  <c r="L92" i="75"/>
  <c r="K5" i="75" s="1"/>
  <c r="K92" i="75"/>
  <c r="J92" i="75"/>
  <c r="I5" i="75" s="1"/>
  <c r="I92" i="75"/>
  <c r="H5" i="75" s="1"/>
  <c r="H92" i="75"/>
  <c r="G5" i="75" s="1"/>
  <c r="G92" i="75"/>
  <c r="F5" i="75" s="1"/>
  <c r="F92" i="75"/>
  <c r="E5" i="75" s="1"/>
  <c r="E92" i="75"/>
  <c r="D5" i="75" s="1"/>
  <c r="AI91" i="75"/>
  <c r="AH91" i="75"/>
  <c r="AI90" i="75"/>
  <c r="AH90" i="75"/>
  <c r="AI89" i="75"/>
  <c r="AH89" i="75"/>
  <c r="AI88" i="75"/>
  <c r="AH88" i="75"/>
  <c r="AI87" i="75"/>
  <c r="AH87" i="75"/>
  <c r="AI86" i="75"/>
  <c r="AH86" i="75"/>
  <c r="AI85" i="75"/>
  <c r="AH85" i="75"/>
  <c r="AI84" i="75"/>
  <c r="AH84" i="75"/>
  <c r="AI83" i="75"/>
  <c r="AH83" i="75"/>
  <c r="AI82" i="75"/>
  <c r="AH82" i="75"/>
  <c r="AI81" i="75"/>
  <c r="AH81" i="75"/>
  <c r="AG80" i="75"/>
  <c r="AG4" i="75" s="1"/>
  <c r="AD80" i="75"/>
  <c r="AC80" i="75"/>
  <c r="AB80" i="75"/>
  <c r="AA80" i="75"/>
  <c r="Z80" i="75"/>
  <c r="Y80" i="75"/>
  <c r="X80" i="75"/>
  <c r="W80" i="75"/>
  <c r="V80" i="75"/>
  <c r="U80" i="75"/>
  <c r="T80" i="75"/>
  <c r="S80" i="75"/>
  <c r="R80" i="75"/>
  <c r="Q80" i="75"/>
  <c r="P80" i="75"/>
  <c r="O80" i="75"/>
  <c r="N80" i="75"/>
  <c r="M80" i="75"/>
  <c r="L80" i="75"/>
  <c r="K80" i="75"/>
  <c r="J80" i="75"/>
  <c r="I80" i="75"/>
  <c r="H80" i="75"/>
  <c r="G80" i="75"/>
  <c r="F80" i="75"/>
  <c r="E80" i="75"/>
  <c r="AI79" i="75"/>
  <c r="AH79" i="75"/>
  <c r="AI78" i="75"/>
  <c r="AH78" i="75"/>
  <c r="AI77" i="75"/>
  <c r="AH77" i="75"/>
  <c r="AG76" i="75"/>
  <c r="AG3" i="75" s="1"/>
  <c r="AD76" i="75"/>
  <c r="AC76" i="75"/>
  <c r="AB76" i="75"/>
  <c r="AA76" i="75"/>
  <c r="Z76" i="75"/>
  <c r="Y76" i="75"/>
  <c r="X76" i="75"/>
  <c r="W76" i="75"/>
  <c r="V76" i="75"/>
  <c r="U76" i="75"/>
  <c r="T76" i="75"/>
  <c r="S76" i="75"/>
  <c r="R76" i="75"/>
  <c r="Q76" i="75"/>
  <c r="P76" i="75"/>
  <c r="O76" i="75"/>
  <c r="N76" i="75"/>
  <c r="M76" i="75"/>
  <c r="L76" i="75"/>
  <c r="K76" i="75"/>
  <c r="J76" i="75"/>
  <c r="I76" i="75"/>
  <c r="H76" i="75"/>
  <c r="G76" i="75"/>
  <c r="F76" i="75"/>
  <c r="E76" i="75"/>
  <c r="AI75" i="75"/>
  <c r="AH75" i="75"/>
  <c r="AG75" i="75"/>
  <c r="AI74" i="75"/>
  <c r="AH74" i="75"/>
  <c r="AI73" i="75"/>
  <c r="AH73" i="75"/>
  <c r="AI72" i="75"/>
  <c r="AH72" i="75"/>
  <c r="AI71" i="75"/>
  <c r="AH71" i="75"/>
  <c r="AI70" i="75"/>
  <c r="AH70" i="75"/>
  <c r="AI69" i="75"/>
  <c r="AH69" i="75"/>
  <c r="AI68" i="75"/>
  <c r="AH68" i="75"/>
  <c r="AI67" i="75"/>
  <c r="AH67" i="75"/>
  <c r="AI66" i="75"/>
  <c r="AH66" i="75"/>
  <c r="AI65" i="75"/>
  <c r="AH65" i="75"/>
  <c r="AI64" i="75"/>
  <c r="AH64" i="75"/>
  <c r="AI63" i="75"/>
  <c r="AH63" i="75"/>
  <c r="AG62" i="75"/>
  <c r="AD62" i="75"/>
  <c r="AC62" i="75"/>
  <c r="AB62" i="75"/>
  <c r="AA62" i="75"/>
  <c r="Z62" i="75"/>
  <c r="Y62" i="75"/>
  <c r="X62" i="75"/>
  <c r="W62" i="75"/>
  <c r="V62" i="75"/>
  <c r="T62" i="75"/>
  <c r="S62" i="75"/>
  <c r="R62" i="75"/>
  <c r="Q62" i="75"/>
  <c r="P62" i="75"/>
  <c r="O62" i="75"/>
  <c r="N62" i="75"/>
  <c r="M62" i="75"/>
  <c r="L62" i="75"/>
  <c r="K62" i="75"/>
  <c r="J62" i="75"/>
  <c r="I62" i="75"/>
  <c r="H62" i="75"/>
  <c r="G62" i="75"/>
  <c r="F62" i="75"/>
  <c r="E62" i="75"/>
  <c r="AI61" i="75"/>
  <c r="AH61" i="75"/>
  <c r="AI60" i="75"/>
  <c r="AH60" i="75"/>
  <c r="AI59" i="75"/>
  <c r="AH59" i="75"/>
  <c r="AG58" i="75"/>
  <c r="AG97" i="75" s="1"/>
  <c r="AD58" i="75"/>
  <c r="AC58" i="75"/>
  <c r="AB58" i="75"/>
  <c r="AA58" i="75"/>
  <c r="Z58" i="75"/>
  <c r="Y58" i="75"/>
  <c r="X58" i="75"/>
  <c r="W58" i="75"/>
  <c r="V58" i="75"/>
  <c r="U58" i="75"/>
  <c r="T58" i="75"/>
  <c r="S58" i="75"/>
  <c r="R58" i="75"/>
  <c r="Q58" i="75"/>
  <c r="P58" i="75"/>
  <c r="O58" i="75"/>
  <c r="N58" i="75"/>
  <c r="M58" i="75"/>
  <c r="L58" i="75"/>
  <c r="K58" i="75"/>
  <c r="J58" i="75"/>
  <c r="I58" i="75"/>
  <c r="H58" i="75"/>
  <c r="G58" i="75"/>
  <c r="F58" i="75"/>
  <c r="E58" i="75"/>
  <c r="AI57" i="75"/>
  <c r="AH57" i="75"/>
  <c r="AI56" i="75"/>
  <c r="AH56" i="75"/>
  <c r="AI55" i="75"/>
  <c r="AH55" i="75"/>
  <c r="AI54" i="75"/>
  <c r="AH54" i="75"/>
  <c r="AI53" i="75"/>
  <c r="AH53" i="75"/>
  <c r="AI52" i="75"/>
  <c r="AH52" i="75"/>
  <c r="AI51" i="75"/>
  <c r="AH51" i="75"/>
  <c r="AI50" i="75"/>
  <c r="AH50" i="75"/>
  <c r="AI49" i="75"/>
  <c r="AH49" i="75"/>
  <c r="AI48" i="75"/>
  <c r="AH48" i="75"/>
  <c r="AI47" i="75"/>
  <c r="AH47" i="75"/>
  <c r="AI46" i="75"/>
  <c r="AH46" i="75"/>
  <c r="AI45" i="75"/>
  <c r="AH45" i="75"/>
  <c r="AI44" i="75"/>
  <c r="AH44" i="75"/>
  <c r="AI43" i="75"/>
  <c r="AH43" i="75"/>
  <c r="AI42" i="75"/>
  <c r="AH42" i="75"/>
  <c r="AI41" i="75"/>
  <c r="AH41" i="75"/>
  <c r="AI40" i="75"/>
  <c r="AH40" i="75"/>
  <c r="AI39" i="75"/>
  <c r="AH39" i="75"/>
  <c r="AI38" i="75"/>
  <c r="AH38" i="75"/>
  <c r="AI37" i="75"/>
  <c r="AH37" i="75"/>
  <c r="AI36" i="75"/>
  <c r="AH36" i="75"/>
  <c r="AI35" i="75"/>
  <c r="AH35" i="75"/>
  <c r="AI34" i="75"/>
  <c r="AH34" i="75"/>
  <c r="AI33" i="75"/>
  <c r="AH33" i="75"/>
  <c r="AI32" i="75"/>
  <c r="AH32" i="75"/>
  <c r="AI31" i="75"/>
  <c r="AH31" i="75"/>
  <c r="AI30" i="75"/>
  <c r="AH30" i="75"/>
  <c r="AI29" i="75"/>
  <c r="AH29" i="75"/>
  <c r="AI28" i="75"/>
  <c r="AH28" i="75"/>
  <c r="AI27" i="75"/>
  <c r="AH27" i="75"/>
  <c r="AI26" i="75"/>
  <c r="AH26" i="75"/>
  <c r="AI25" i="75"/>
  <c r="AH25" i="75"/>
  <c r="AI24" i="75"/>
  <c r="AH24" i="75"/>
  <c r="AI23" i="75"/>
  <c r="AH23" i="75"/>
  <c r="AI22" i="75"/>
  <c r="AH22" i="75"/>
  <c r="AI21" i="75"/>
  <c r="AH21" i="75"/>
  <c r="AI20" i="75"/>
  <c r="AH20" i="75"/>
  <c r="AI19" i="75"/>
  <c r="AH19" i="75"/>
  <c r="AI18" i="75"/>
  <c r="AH18" i="75"/>
  <c r="AI17" i="75"/>
  <c r="AH17" i="75"/>
  <c r="AI16" i="75"/>
  <c r="AH16" i="75"/>
  <c r="AI15" i="75"/>
  <c r="AH15" i="75"/>
  <c r="AI14" i="75"/>
  <c r="AH14" i="75"/>
  <c r="AI13" i="75"/>
  <c r="AH13" i="75"/>
  <c r="AI12" i="75"/>
  <c r="AH12" i="75"/>
  <c r="AI11" i="75"/>
  <c r="AH11" i="75"/>
  <c r="AE5" i="75"/>
  <c r="AD5" i="75"/>
  <c r="K4" i="75"/>
  <c r="E4" i="75"/>
  <c r="H4" i="75" s="1"/>
  <c r="B4" i="75"/>
  <c r="S258" i="75" s="1"/>
  <c r="AG2" i="75"/>
  <c r="AF123" i="74"/>
  <c r="AF58" i="74"/>
  <c r="AF62" i="74"/>
  <c r="AF76" i="74"/>
  <c r="AF80" i="74"/>
  <c r="AF92" i="74"/>
  <c r="AF101" i="74"/>
  <c r="AF107" i="74" s="1"/>
  <c r="AF102" i="74"/>
  <c r="AF103" i="74"/>
  <c r="AF104" i="74"/>
  <c r="AF105" i="74"/>
  <c r="D142" i="74"/>
  <c r="E142" i="74"/>
  <c r="F142" i="74"/>
  <c r="G142" i="74"/>
  <c r="C142" i="74"/>
  <c r="AE123" i="74"/>
  <c r="AE58" i="74"/>
  <c r="AE62" i="74"/>
  <c r="AE76" i="74"/>
  <c r="AE80" i="74"/>
  <c r="AE92" i="74"/>
  <c r="AE101" i="74"/>
  <c r="AE102" i="74"/>
  <c r="AE103" i="74"/>
  <c r="AE104" i="74"/>
  <c r="AE105" i="74"/>
  <c r="H143" i="74"/>
  <c r="H144" i="74"/>
  <c r="G144" i="74"/>
  <c r="I141" i="74"/>
  <c r="I140" i="74"/>
  <c r="D140" i="74"/>
  <c r="E140" i="74"/>
  <c r="F140" i="74"/>
  <c r="G140" i="74"/>
  <c r="D141" i="74"/>
  <c r="E141" i="74"/>
  <c r="F141" i="74"/>
  <c r="G141" i="74"/>
  <c r="C141" i="74"/>
  <c r="D139" i="74"/>
  <c r="E139" i="74"/>
  <c r="F139" i="74"/>
  <c r="G139" i="74"/>
  <c r="H139" i="74"/>
  <c r="I139" i="74"/>
  <c r="C140" i="74"/>
  <c r="C139" i="74"/>
  <c r="AD123" i="74"/>
  <c r="AD58" i="74"/>
  <c r="AD62" i="74"/>
  <c r="AD76" i="74"/>
  <c r="AD80" i="74"/>
  <c r="AD92" i="74"/>
  <c r="AD101" i="74"/>
  <c r="AD102" i="74"/>
  <c r="AD103" i="74"/>
  <c r="AD104" i="74"/>
  <c r="AD105" i="74"/>
  <c r="AD107" i="74" s="1"/>
  <c r="AC123" i="74"/>
  <c r="AC58" i="74"/>
  <c r="AC62" i="74"/>
  <c r="AC76" i="74"/>
  <c r="AC80" i="74"/>
  <c r="AC92" i="74"/>
  <c r="AC101" i="74"/>
  <c r="AC102" i="74"/>
  <c r="AC103" i="74"/>
  <c r="AC104" i="74"/>
  <c r="AC105" i="74"/>
  <c r="AB123" i="74"/>
  <c r="AB58" i="74"/>
  <c r="AB62" i="74"/>
  <c r="AB76" i="74"/>
  <c r="AB80" i="74"/>
  <c r="AB92" i="74"/>
  <c r="AB101" i="74"/>
  <c r="AB102" i="74"/>
  <c r="AB103" i="74"/>
  <c r="AB104" i="74"/>
  <c r="AB105" i="74"/>
  <c r="AE107" i="74" l="1"/>
  <c r="AD97" i="75"/>
  <c r="AD99" i="75" s="1"/>
  <c r="AV261" i="75" s="1"/>
  <c r="AC97" i="75"/>
  <c r="AC99" i="75" s="1"/>
  <c r="AU261" i="75" s="1"/>
  <c r="AB107" i="75"/>
  <c r="AB97" i="75"/>
  <c r="AB99" i="75" s="1"/>
  <c r="AB100" i="75" s="1"/>
  <c r="AB7" i="75" s="1"/>
  <c r="Z107" i="75"/>
  <c r="Z108" i="75" s="1"/>
  <c r="Y5" i="75"/>
  <c r="Z97" i="75"/>
  <c r="Z99" i="75" s="1"/>
  <c r="Y107" i="75"/>
  <c r="Y97" i="75"/>
  <c r="Y99" i="75" s="1"/>
  <c r="X97" i="75"/>
  <c r="X99" i="75" s="1"/>
  <c r="AP261" i="75" s="1"/>
  <c r="W107" i="75"/>
  <c r="W108" i="75"/>
  <c r="W97" i="75"/>
  <c r="W99" i="75" s="1"/>
  <c r="AO261" i="75" s="1"/>
  <c r="V97" i="75"/>
  <c r="V99" i="75" s="1"/>
  <c r="AN261" i="75" s="1"/>
  <c r="U97" i="75"/>
  <c r="U99" i="75" s="1"/>
  <c r="AM261" i="75" s="1"/>
  <c r="T107" i="75"/>
  <c r="T97" i="75"/>
  <c r="T99" i="75" s="1"/>
  <c r="T100" i="75" s="1"/>
  <c r="T7" i="75" s="1"/>
  <c r="R97" i="75"/>
  <c r="R99" i="75" s="1"/>
  <c r="AJ261" i="75" s="1"/>
  <c r="R107" i="75"/>
  <c r="R108" i="75" s="1"/>
  <c r="Q107" i="75"/>
  <c r="Q97" i="75"/>
  <c r="Q99" i="75" s="1"/>
  <c r="AI261" i="75" s="1"/>
  <c r="P107" i="75"/>
  <c r="P97" i="75"/>
  <c r="P99" i="75" s="1"/>
  <c r="O107" i="75"/>
  <c r="O108" i="75"/>
  <c r="O97" i="75"/>
  <c r="O99" i="75" s="1"/>
  <c r="AG261" i="75" s="1"/>
  <c r="N97" i="75"/>
  <c r="N99" i="75" s="1"/>
  <c r="AI105" i="75"/>
  <c r="M97" i="75"/>
  <c r="M99" i="75" s="1"/>
  <c r="AE261" i="75" s="1"/>
  <c r="L97" i="75"/>
  <c r="L99" i="75" s="1"/>
  <c r="AD261" i="75" s="1"/>
  <c r="AH123" i="75"/>
  <c r="J107" i="75"/>
  <c r="J108" i="75" s="1"/>
  <c r="J97" i="75"/>
  <c r="J99" i="75" s="1"/>
  <c r="I107" i="75"/>
  <c r="I97" i="75"/>
  <c r="I99" i="75" s="1"/>
  <c r="AA261" i="75" s="1"/>
  <c r="H107" i="75"/>
  <c r="H97" i="75"/>
  <c r="H99" i="75" s="1"/>
  <c r="H100" i="75" s="1"/>
  <c r="H7" i="75" s="1"/>
  <c r="AI123" i="75"/>
  <c r="G107" i="75"/>
  <c r="G108" i="75" s="1"/>
  <c r="G97" i="75"/>
  <c r="G99" i="75" s="1"/>
  <c r="Y261" i="75" s="1"/>
  <c r="F97" i="75"/>
  <c r="F99" i="75" s="1"/>
  <c r="AI58" i="75"/>
  <c r="AI76" i="75"/>
  <c r="E97" i="75"/>
  <c r="E99" i="75" s="1"/>
  <c r="D108" i="75"/>
  <c r="D97" i="75"/>
  <c r="D99" i="75" s="1"/>
  <c r="D100" i="75" s="1"/>
  <c r="D118" i="75"/>
  <c r="AI80" i="75"/>
  <c r="C107" i="75"/>
  <c r="C108" i="75" s="1"/>
  <c r="C118" i="75"/>
  <c r="C97" i="75"/>
  <c r="C99" i="75" s="1"/>
  <c r="AF5" i="75"/>
  <c r="B97" i="75"/>
  <c r="B99" i="75" s="1"/>
  <c r="B100" i="75" s="1"/>
  <c r="AI92" i="75"/>
  <c r="X261" i="75"/>
  <c r="AH261" i="75"/>
  <c r="P100" i="75"/>
  <c r="P7" i="75" s="1"/>
  <c r="AR261" i="75"/>
  <c r="Z100" i="75"/>
  <c r="Z7" i="75" s="1"/>
  <c r="AB261" i="75"/>
  <c r="J100" i="75"/>
  <c r="J7" i="75" s="1"/>
  <c r="V261" i="75"/>
  <c r="D7" i="75"/>
  <c r="AL261" i="75"/>
  <c r="AF261" i="75"/>
  <c r="AH80" i="75"/>
  <c r="J5" i="75"/>
  <c r="Z5" i="75"/>
  <c r="E107" i="75"/>
  <c r="U107" i="75"/>
  <c r="U108" i="75" s="1"/>
  <c r="AC107" i="75"/>
  <c r="AC108" i="75" s="1"/>
  <c r="Z261" i="75"/>
  <c r="AQ261" i="75"/>
  <c r="Y100" i="75"/>
  <c r="Y7" i="75" s="1"/>
  <c r="B5" i="75"/>
  <c r="R5" i="75"/>
  <c r="M107" i="75"/>
  <c r="M100" i="75" s="1"/>
  <c r="M7" i="75" s="1"/>
  <c r="K97" i="75"/>
  <c r="K99" i="75" s="1"/>
  <c r="S97" i="75"/>
  <c r="S99" i="75" s="1"/>
  <c r="AA97" i="75"/>
  <c r="AA99" i="75" s="1"/>
  <c r="AH76" i="75"/>
  <c r="L108" i="75"/>
  <c r="T108" i="75"/>
  <c r="AB108" i="75"/>
  <c r="F107" i="75"/>
  <c r="F108" i="75" s="1"/>
  <c r="N107" i="75"/>
  <c r="N108" i="75" s="1"/>
  <c r="V107" i="75"/>
  <c r="V108" i="75" s="1"/>
  <c r="AD107" i="75"/>
  <c r="AD108" i="75" s="1"/>
  <c r="W261" i="75"/>
  <c r="E100" i="75"/>
  <c r="E7" i="75" s="1"/>
  <c r="AH101" i="75"/>
  <c r="AI103" i="75"/>
  <c r="C282" i="75"/>
  <c r="E251" i="75"/>
  <c r="E108" i="75"/>
  <c r="AI104" i="75"/>
  <c r="AG6" i="75"/>
  <c r="G100" i="75"/>
  <c r="G7" i="75" s="1"/>
  <c r="AW261" i="75"/>
  <c r="AE7" i="75"/>
  <c r="H108" i="75"/>
  <c r="P108" i="75"/>
  <c r="X108" i="75"/>
  <c r="AI101" i="75"/>
  <c r="AI102" i="75"/>
  <c r="I108" i="75"/>
  <c r="D252" i="75"/>
  <c r="AI62" i="75"/>
  <c r="Q108" i="75"/>
  <c r="P5" i="75"/>
  <c r="Y108" i="75"/>
  <c r="X5" i="75"/>
  <c r="AG99" i="75"/>
  <c r="K107" i="75"/>
  <c r="K108" i="75" s="1"/>
  <c r="S107" i="75"/>
  <c r="S108" i="75" s="1"/>
  <c r="AA107" i="75"/>
  <c r="AA108" i="75" s="1"/>
  <c r="D258" i="75"/>
  <c r="AH92" i="75"/>
  <c r="AH102" i="75"/>
  <c r="E246" i="75"/>
  <c r="AH58" i="75"/>
  <c r="AH62" i="75"/>
  <c r="AH103" i="75"/>
  <c r="AH104" i="75"/>
  <c r="AH105" i="75"/>
  <c r="AF108" i="74"/>
  <c r="AF97" i="74"/>
  <c r="AF99" i="74" s="1"/>
  <c r="AF100" i="74" s="1"/>
  <c r="AE97" i="74"/>
  <c r="AE99" i="74" s="1"/>
  <c r="AE100" i="74" s="1"/>
  <c r="AE108" i="74"/>
  <c r="AD97" i="74"/>
  <c r="AD99" i="74" s="1"/>
  <c r="AD100" i="74" s="1"/>
  <c r="AD108" i="74"/>
  <c r="AC107" i="74"/>
  <c r="AC108" i="74" s="1"/>
  <c r="AC97" i="74"/>
  <c r="AC99" i="74" s="1"/>
  <c r="AC100" i="74" s="1"/>
  <c r="AB107" i="74"/>
  <c r="AB108" i="74" s="1"/>
  <c r="AB97" i="74"/>
  <c r="AB99" i="74" s="1"/>
  <c r="AC100" i="75" l="1"/>
  <c r="AC7" i="75" s="1"/>
  <c r="AT261" i="75"/>
  <c r="X100" i="75"/>
  <c r="X7" i="75" s="1"/>
  <c r="W100" i="75"/>
  <c r="W7" i="75" s="1"/>
  <c r="U100" i="75"/>
  <c r="U7" i="75" s="1"/>
  <c r="R100" i="75"/>
  <c r="R7" i="75" s="1"/>
  <c r="Q100" i="75"/>
  <c r="Q7" i="75" s="1"/>
  <c r="O100" i="75"/>
  <c r="O7" i="75" s="1"/>
  <c r="N100" i="75"/>
  <c r="N7" i="75" s="1"/>
  <c r="L100" i="75"/>
  <c r="L7" i="75" s="1"/>
  <c r="AH107" i="75"/>
  <c r="I100" i="75"/>
  <c r="I7" i="75" s="1"/>
  <c r="C100" i="75"/>
  <c r="C7" i="75" s="1"/>
  <c r="M108" i="75"/>
  <c r="U261" i="75"/>
  <c r="F246" i="75"/>
  <c r="E118" i="75"/>
  <c r="E252" i="75"/>
  <c r="F251" i="75"/>
  <c r="D282" i="75"/>
  <c r="V100" i="75"/>
  <c r="V7" i="75" s="1"/>
  <c r="AC261" i="75"/>
  <c r="K100" i="75"/>
  <c r="K7" i="75" s="1"/>
  <c r="AI107" i="75"/>
  <c r="B256" i="75"/>
  <c r="C256" i="75"/>
  <c r="AS261" i="75"/>
  <c r="AA100" i="75"/>
  <c r="AA7" i="75" s="1"/>
  <c r="AD100" i="75"/>
  <c r="AD7" i="75" s="1"/>
  <c r="F100" i="75"/>
  <c r="F7" i="75" s="1"/>
  <c r="AI97" i="75"/>
  <c r="AH97" i="75"/>
  <c r="AK261" i="75"/>
  <c r="S100" i="75"/>
  <c r="S7" i="75" s="1"/>
  <c r="AB100" i="74"/>
  <c r="E282" i="75" l="1"/>
  <c r="G251" i="75"/>
  <c r="T261" i="75"/>
  <c r="AI99" i="75"/>
  <c r="AH99" i="75"/>
  <c r="AH108" i="75"/>
  <c r="AI108" i="75"/>
  <c r="K6" i="75"/>
  <c r="G246" i="75"/>
  <c r="F118" i="75"/>
  <c r="F252" i="75"/>
  <c r="AA123" i="74"/>
  <c r="Z123" i="74"/>
  <c r="X123" i="74"/>
  <c r="W123" i="74"/>
  <c r="V123" i="74"/>
  <c r="E143" i="74"/>
  <c r="B7" i="75" l="1"/>
  <c r="A7" i="75" s="1"/>
  <c r="AH100" i="75"/>
  <c r="AI100" i="75"/>
  <c r="H246" i="75"/>
  <c r="G252" i="75"/>
  <c r="G118" i="75"/>
  <c r="F282" i="75"/>
  <c r="H251" i="75"/>
  <c r="T123" i="74"/>
  <c r="S58" i="74"/>
  <c r="S62" i="74"/>
  <c r="S76" i="74"/>
  <c r="S80" i="74"/>
  <c r="S92" i="74"/>
  <c r="S101" i="74"/>
  <c r="S102" i="74"/>
  <c r="S103" i="74"/>
  <c r="S104" i="74"/>
  <c r="S105" i="74"/>
  <c r="S123" i="74"/>
  <c r="R123" i="74"/>
  <c r="Q123" i="74"/>
  <c r="Q121" i="74"/>
  <c r="Q57" i="74"/>
  <c r="I246" i="75" l="1"/>
  <c r="H118" i="75"/>
  <c r="H252" i="75"/>
  <c r="G282" i="75"/>
  <c r="I251" i="75"/>
  <c r="S107" i="74"/>
  <c r="S108" i="74" s="1"/>
  <c r="S97" i="74"/>
  <c r="S99" i="74" s="1"/>
  <c r="S100" i="74" s="1"/>
  <c r="P123" i="74"/>
  <c r="P121" i="74"/>
  <c r="H282" i="75" l="1"/>
  <c r="J251" i="75"/>
  <c r="I118" i="75"/>
  <c r="I252" i="75"/>
  <c r="J246" i="75"/>
  <c r="O123" i="74"/>
  <c r="O121" i="74"/>
  <c r="N123" i="74"/>
  <c r="M123" i="74"/>
  <c r="J118" i="75" l="1"/>
  <c r="J252" i="75"/>
  <c r="K246" i="75"/>
  <c r="K251" i="75"/>
  <c r="I282" i="75"/>
  <c r="L58" i="74"/>
  <c r="L123" i="74"/>
  <c r="K123" i="74"/>
  <c r="J123" i="74"/>
  <c r="I123" i="74"/>
  <c r="H123" i="74"/>
  <c r="H62" i="74"/>
  <c r="G123" i="74"/>
  <c r="G58" i="74"/>
  <c r="G62" i="74"/>
  <c r="F123" i="74"/>
  <c r="E123" i="74"/>
  <c r="AH125" i="74"/>
  <c r="AI125" i="74"/>
  <c r="AH124" i="74"/>
  <c r="AI124" i="74"/>
  <c r="AD118" i="73"/>
  <c r="AE118" i="73"/>
  <c r="AF118" i="73"/>
  <c r="AF57" i="73"/>
  <c r="AF286" i="74"/>
  <c r="AE286" i="74"/>
  <c r="AD286" i="74"/>
  <c r="AC286" i="74"/>
  <c r="AB286" i="74"/>
  <c r="AA286" i="74"/>
  <c r="Z286" i="74"/>
  <c r="Y286" i="74"/>
  <c r="X286" i="74"/>
  <c r="W286" i="74"/>
  <c r="V286" i="74"/>
  <c r="U286" i="74"/>
  <c r="T286" i="74"/>
  <c r="S286" i="74"/>
  <c r="R286" i="74"/>
  <c r="Q286" i="74"/>
  <c r="P286" i="74"/>
  <c r="O286" i="74"/>
  <c r="N286" i="74"/>
  <c r="M286" i="74"/>
  <c r="L286" i="74"/>
  <c r="K286" i="74"/>
  <c r="J286" i="74"/>
  <c r="I286" i="74"/>
  <c r="H286" i="74"/>
  <c r="G286" i="74"/>
  <c r="F286" i="74"/>
  <c r="E286" i="74"/>
  <c r="D286" i="74"/>
  <c r="C286" i="74"/>
  <c r="B286" i="74"/>
  <c r="A286" i="74"/>
  <c r="AF285" i="74"/>
  <c r="AE285" i="74"/>
  <c r="AD285" i="74"/>
  <c r="AC285" i="74"/>
  <c r="AB285" i="74"/>
  <c r="AA285" i="74"/>
  <c r="Z285" i="74"/>
  <c r="Y285" i="74"/>
  <c r="X285" i="74"/>
  <c r="W285" i="74"/>
  <c r="V285" i="74"/>
  <c r="U285" i="74"/>
  <c r="T285" i="74"/>
  <c r="S285" i="74"/>
  <c r="R285" i="74"/>
  <c r="Q285" i="74"/>
  <c r="P285" i="74"/>
  <c r="O285" i="74"/>
  <c r="N285" i="74"/>
  <c r="M285" i="74"/>
  <c r="L285" i="74"/>
  <c r="K285" i="74"/>
  <c r="J285" i="74"/>
  <c r="I285" i="74"/>
  <c r="H285" i="74"/>
  <c r="G285" i="74"/>
  <c r="F285" i="74"/>
  <c r="E285" i="74"/>
  <c r="D285" i="74"/>
  <c r="C285" i="74"/>
  <c r="B285" i="74"/>
  <c r="A285" i="74"/>
  <c r="AF284" i="74"/>
  <c r="AE284" i="74"/>
  <c r="AD284" i="74"/>
  <c r="AC284" i="74"/>
  <c r="AB284" i="74"/>
  <c r="AA284" i="74"/>
  <c r="Z284" i="74"/>
  <c r="Y284" i="74"/>
  <c r="X284" i="74"/>
  <c r="W284" i="74"/>
  <c r="V284" i="74"/>
  <c r="U284" i="74"/>
  <c r="T284" i="74"/>
  <c r="S284" i="74"/>
  <c r="R284" i="74"/>
  <c r="Q284" i="74"/>
  <c r="P284" i="74"/>
  <c r="O284" i="74"/>
  <c r="N284" i="74"/>
  <c r="M284" i="74"/>
  <c r="L284" i="74"/>
  <c r="K284" i="74"/>
  <c r="J284" i="74"/>
  <c r="I284" i="74"/>
  <c r="H284" i="74"/>
  <c r="G284" i="74"/>
  <c r="F284" i="74"/>
  <c r="E284" i="74"/>
  <c r="D284" i="74"/>
  <c r="C284" i="74"/>
  <c r="B284" i="74"/>
  <c r="A284" i="74"/>
  <c r="AF283" i="74"/>
  <c r="AE283" i="74"/>
  <c r="AD283" i="74"/>
  <c r="AC283" i="74"/>
  <c r="AB283" i="74"/>
  <c r="AA283" i="74"/>
  <c r="Z283" i="74"/>
  <c r="Y283" i="74"/>
  <c r="X283" i="74"/>
  <c r="W283" i="74"/>
  <c r="V283" i="74"/>
  <c r="U283" i="74"/>
  <c r="T283" i="74"/>
  <c r="S283" i="74"/>
  <c r="R283" i="74"/>
  <c r="Q283" i="74"/>
  <c r="P283" i="74"/>
  <c r="O283" i="74"/>
  <c r="N283" i="74"/>
  <c r="M283" i="74"/>
  <c r="L283" i="74"/>
  <c r="K283" i="74"/>
  <c r="J283" i="74"/>
  <c r="I283" i="74"/>
  <c r="H283" i="74"/>
  <c r="G283" i="74"/>
  <c r="F283" i="74"/>
  <c r="E283" i="74"/>
  <c r="D283" i="74"/>
  <c r="C283" i="74"/>
  <c r="B283" i="74"/>
  <c r="A283" i="74"/>
  <c r="B282" i="74"/>
  <c r="S257" i="74"/>
  <c r="AG252" i="74"/>
  <c r="C252" i="74"/>
  <c r="D251" i="74"/>
  <c r="D250" i="74"/>
  <c r="E250" i="74" s="1"/>
  <c r="F250" i="74" s="1"/>
  <c r="G250" i="74" s="1"/>
  <c r="H250" i="74" s="1"/>
  <c r="I250" i="74" s="1"/>
  <c r="J250" i="74" s="1"/>
  <c r="K250" i="74" s="1"/>
  <c r="L250" i="74" s="1"/>
  <c r="M250" i="74" s="1"/>
  <c r="N250" i="74" s="1"/>
  <c r="O250" i="74" s="1"/>
  <c r="P250" i="74" s="1"/>
  <c r="Q250" i="74" s="1"/>
  <c r="R250" i="74" s="1"/>
  <c r="S250" i="74" s="1"/>
  <c r="T250" i="74" s="1"/>
  <c r="U250" i="74" s="1"/>
  <c r="V250" i="74" s="1"/>
  <c r="W250" i="74" s="1"/>
  <c r="X250" i="74" s="1"/>
  <c r="Y250" i="74" s="1"/>
  <c r="Z250" i="74" s="1"/>
  <c r="AA250" i="74" s="1"/>
  <c r="AB250" i="74" s="1"/>
  <c r="AC250" i="74" s="1"/>
  <c r="AD250" i="74" s="1"/>
  <c r="AE250" i="74" s="1"/>
  <c r="AF250" i="74" s="1"/>
  <c r="B250" i="74" s="1"/>
  <c r="D249" i="74"/>
  <c r="E249" i="74" s="1"/>
  <c r="F249" i="74" s="1"/>
  <c r="G249" i="74" s="1"/>
  <c r="H249" i="74" s="1"/>
  <c r="I249" i="74" s="1"/>
  <c r="J249" i="74" s="1"/>
  <c r="K249" i="74" s="1"/>
  <c r="L249" i="74" s="1"/>
  <c r="M249" i="74" s="1"/>
  <c r="N249" i="74" s="1"/>
  <c r="O249" i="74" s="1"/>
  <c r="P249" i="74" s="1"/>
  <c r="Q249" i="74" s="1"/>
  <c r="R249" i="74" s="1"/>
  <c r="S249" i="74" s="1"/>
  <c r="T249" i="74" s="1"/>
  <c r="U249" i="74" s="1"/>
  <c r="V249" i="74" s="1"/>
  <c r="W249" i="74" s="1"/>
  <c r="X249" i="74" s="1"/>
  <c r="Y249" i="74" s="1"/>
  <c r="Z249" i="74" s="1"/>
  <c r="AA249" i="74" s="1"/>
  <c r="AB249" i="74" s="1"/>
  <c r="AC249" i="74" s="1"/>
  <c r="AD249" i="74" s="1"/>
  <c r="AE249" i="74" s="1"/>
  <c r="AF249" i="74" s="1"/>
  <c r="B249" i="74" s="1"/>
  <c r="D248" i="74"/>
  <c r="E248" i="74" s="1"/>
  <c r="F248" i="74" s="1"/>
  <c r="G248" i="74" s="1"/>
  <c r="H248" i="74" s="1"/>
  <c r="I248" i="74" s="1"/>
  <c r="J248" i="74" s="1"/>
  <c r="K248" i="74" s="1"/>
  <c r="L248" i="74" s="1"/>
  <c r="M248" i="74" s="1"/>
  <c r="N248" i="74" s="1"/>
  <c r="O248" i="74" s="1"/>
  <c r="P248" i="74" s="1"/>
  <c r="Q248" i="74" s="1"/>
  <c r="R248" i="74" s="1"/>
  <c r="S248" i="74" s="1"/>
  <c r="T248" i="74" s="1"/>
  <c r="U248" i="74" s="1"/>
  <c r="V248" i="74" s="1"/>
  <c r="W248" i="74" s="1"/>
  <c r="X248" i="74" s="1"/>
  <c r="Y248" i="74" s="1"/>
  <c r="Z248" i="74" s="1"/>
  <c r="AA248" i="74" s="1"/>
  <c r="AB248" i="74" s="1"/>
  <c r="AC248" i="74" s="1"/>
  <c r="AD248" i="74" s="1"/>
  <c r="AE248" i="74" s="1"/>
  <c r="AF248" i="74" s="1"/>
  <c r="B248" i="74" s="1"/>
  <c r="D247" i="74"/>
  <c r="D246" i="74"/>
  <c r="E246" i="74" s="1"/>
  <c r="F246" i="74" s="1"/>
  <c r="AG244" i="74"/>
  <c r="AF244" i="74"/>
  <c r="AE244" i="74"/>
  <c r="AD244" i="74"/>
  <c r="AC244" i="74"/>
  <c r="AB244" i="74"/>
  <c r="AA244" i="74"/>
  <c r="Z244" i="74"/>
  <c r="Y244" i="74"/>
  <c r="Y118" i="74" s="1"/>
  <c r="X244" i="74"/>
  <c r="W244" i="74"/>
  <c r="V244" i="74"/>
  <c r="U244" i="74"/>
  <c r="T244" i="74"/>
  <c r="S244" i="74"/>
  <c r="R244" i="74"/>
  <c r="Q244" i="74"/>
  <c r="P244" i="74"/>
  <c r="O244" i="74"/>
  <c r="N244" i="74"/>
  <c r="M244" i="74"/>
  <c r="L244" i="74"/>
  <c r="K244" i="74"/>
  <c r="J244" i="74"/>
  <c r="I244" i="74"/>
  <c r="H244" i="74"/>
  <c r="G244" i="74"/>
  <c r="F244" i="74"/>
  <c r="E244" i="74"/>
  <c r="D244" i="74"/>
  <c r="C244" i="74"/>
  <c r="B244" i="74"/>
  <c r="AI130" i="74"/>
  <c r="AH130" i="74"/>
  <c r="AI129" i="74"/>
  <c r="AH129" i="74"/>
  <c r="AI128" i="74"/>
  <c r="AH128" i="74"/>
  <c r="AI127" i="74"/>
  <c r="AH127" i="74"/>
  <c r="AI126" i="74"/>
  <c r="AH126" i="74"/>
  <c r="AH123" i="74"/>
  <c r="AI122" i="74"/>
  <c r="AH122" i="74"/>
  <c r="AI121" i="74"/>
  <c r="AH121" i="74"/>
  <c r="AI120" i="74"/>
  <c r="AH120" i="74"/>
  <c r="AI119" i="74"/>
  <c r="AH119" i="74"/>
  <c r="Z118" i="74"/>
  <c r="C118" i="74"/>
  <c r="AI117" i="74"/>
  <c r="AH117" i="74"/>
  <c r="AI116" i="74"/>
  <c r="AH116" i="74"/>
  <c r="AI115" i="74"/>
  <c r="AH115" i="74"/>
  <c r="AI114" i="74"/>
  <c r="AH114" i="74"/>
  <c r="AI113" i="74"/>
  <c r="AH113" i="74"/>
  <c r="AI112" i="74"/>
  <c r="AH112" i="74"/>
  <c r="AI111" i="74"/>
  <c r="AH111" i="74"/>
  <c r="AI110" i="74"/>
  <c r="AH110" i="74"/>
  <c r="AI109" i="74"/>
  <c r="AH109" i="74"/>
  <c r="AI106" i="74"/>
  <c r="AH106" i="74"/>
  <c r="AA105" i="74"/>
  <c r="Z105" i="74"/>
  <c r="Y105" i="74"/>
  <c r="X105" i="74"/>
  <c r="W105" i="74"/>
  <c r="V105" i="74"/>
  <c r="U105" i="74"/>
  <c r="T105" i="74"/>
  <c r="R105" i="74"/>
  <c r="Q105" i="74"/>
  <c r="P105" i="74"/>
  <c r="O105" i="74"/>
  <c r="N105" i="74"/>
  <c r="M105" i="74"/>
  <c r="L105" i="74"/>
  <c r="K105" i="74"/>
  <c r="J105" i="74"/>
  <c r="I105" i="74"/>
  <c r="H105" i="74"/>
  <c r="G105" i="74"/>
  <c r="F105" i="74"/>
  <c r="E105" i="74"/>
  <c r="D105" i="74"/>
  <c r="C105" i="74"/>
  <c r="B105" i="74"/>
  <c r="AA104" i="74"/>
  <c r="Z104" i="74"/>
  <c r="Y104" i="74"/>
  <c r="X104" i="74"/>
  <c r="W104" i="74"/>
  <c r="V104" i="74"/>
  <c r="U104" i="74"/>
  <c r="T104" i="74"/>
  <c r="R104" i="74"/>
  <c r="Q104" i="74"/>
  <c r="P104" i="74"/>
  <c r="O104" i="74"/>
  <c r="N104" i="74"/>
  <c r="M104" i="74"/>
  <c r="L104" i="74"/>
  <c r="K104" i="74"/>
  <c r="J104" i="74"/>
  <c r="I104" i="74"/>
  <c r="H104" i="74"/>
  <c r="G104" i="74"/>
  <c r="F104" i="74"/>
  <c r="E104" i="74"/>
  <c r="D104" i="74"/>
  <c r="C104" i="74"/>
  <c r="B104" i="74"/>
  <c r="AA103" i="74"/>
  <c r="Z103" i="74"/>
  <c r="Y103" i="74"/>
  <c r="X103" i="74"/>
  <c r="W103" i="74"/>
  <c r="V103" i="74"/>
  <c r="U103" i="74"/>
  <c r="T103" i="74"/>
  <c r="R103" i="74"/>
  <c r="Q103" i="74"/>
  <c r="P103" i="74"/>
  <c r="O103" i="74"/>
  <c r="N103" i="74"/>
  <c r="M103" i="74"/>
  <c r="L103" i="74"/>
  <c r="K103" i="74"/>
  <c r="J103" i="74"/>
  <c r="I103" i="74"/>
  <c r="H103" i="74"/>
  <c r="G103" i="74"/>
  <c r="F103" i="74"/>
  <c r="E103" i="74"/>
  <c r="D103" i="74"/>
  <c r="C103" i="74"/>
  <c r="B103" i="74"/>
  <c r="AA102" i="74"/>
  <c r="Z102" i="74"/>
  <c r="Y102" i="74"/>
  <c r="X102" i="74"/>
  <c r="W102" i="74"/>
  <c r="V102" i="74"/>
  <c r="U102" i="74"/>
  <c r="U107" i="74" s="1"/>
  <c r="T102" i="74"/>
  <c r="R102" i="74"/>
  <c r="Q102" i="74"/>
  <c r="P102" i="74"/>
  <c r="O102" i="74"/>
  <c r="N102" i="74"/>
  <c r="M102" i="74"/>
  <c r="L102" i="74"/>
  <c r="K102" i="74"/>
  <c r="J102" i="74"/>
  <c r="I102" i="74"/>
  <c r="H102" i="74"/>
  <c r="G102" i="74"/>
  <c r="F102" i="74"/>
  <c r="E102" i="74"/>
  <c r="D102" i="74"/>
  <c r="C102" i="74"/>
  <c r="B102" i="74"/>
  <c r="AA101" i="74"/>
  <c r="Z101" i="74"/>
  <c r="Y101" i="74"/>
  <c r="X101" i="74"/>
  <c r="W101" i="74"/>
  <c r="V101" i="74"/>
  <c r="U101" i="74"/>
  <c r="T101" i="74"/>
  <c r="R101" i="74"/>
  <c r="Q101" i="74"/>
  <c r="P101" i="74"/>
  <c r="O101" i="74"/>
  <c r="N101" i="74"/>
  <c r="M101" i="74"/>
  <c r="L101" i="74"/>
  <c r="K101" i="74"/>
  <c r="J101" i="74"/>
  <c r="I101" i="74"/>
  <c r="H101" i="74"/>
  <c r="G101" i="74"/>
  <c r="F101" i="74"/>
  <c r="E101" i="74"/>
  <c r="D101" i="74"/>
  <c r="C101" i="74"/>
  <c r="B101" i="74"/>
  <c r="AI98" i="74"/>
  <c r="AH98" i="74"/>
  <c r="AI96" i="74"/>
  <c r="AH96" i="74"/>
  <c r="AG96" i="74"/>
  <c r="AI95" i="74"/>
  <c r="AH95" i="74"/>
  <c r="AI94" i="74"/>
  <c r="AH94" i="74"/>
  <c r="AI93" i="74"/>
  <c r="AH93" i="74"/>
  <c r="AG92" i="74"/>
  <c r="AE5" i="74"/>
  <c r="AA92" i="74"/>
  <c r="Z5" i="74" s="1"/>
  <c r="Z92" i="74"/>
  <c r="Y5" i="74" s="1"/>
  <c r="Y92" i="74"/>
  <c r="X5" i="74" s="1"/>
  <c r="X92" i="74"/>
  <c r="W5" i="74" s="1"/>
  <c r="W92" i="74"/>
  <c r="V5" i="74" s="1"/>
  <c r="V92" i="74"/>
  <c r="U5" i="74" s="1"/>
  <c r="U92" i="74"/>
  <c r="T5" i="74" s="1"/>
  <c r="T92" i="74"/>
  <c r="R92" i="74"/>
  <c r="Q5" i="74" s="1"/>
  <c r="Q92" i="74"/>
  <c r="P5" i="74" s="1"/>
  <c r="P92" i="74"/>
  <c r="O5" i="74" s="1"/>
  <c r="O92" i="74"/>
  <c r="N5" i="74" s="1"/>
  <c r="N92" i="74"/>
  <c r="M5" i="74" s="1"/>
  <c r="M92" i="74"/>
  <c r="L92" i="74"/>
  <c r="K92" i="74"/>
  <c r="J5" i="74" s="1"/>
  <c r="J92" i="74"/>
  <c r="I5" i="74" s="1"/>
  <c r="I92" i="74"/>
  <c r="H5" i="74" s="1"/>
  <c r="H92" i="74"/>
  <c r="G5" i="74" s="1"/>
  <c r="G92" i="74"/>
  <c r="F5" i="74" s="1"/>
  <c r="F92" i="74"/>
  <c r="E5" i="74" s="1"/>
  <c r="E92" i="74"/>
  <c r="D92" i="74"/>
  <c r="C92" i="74"/>
  <c r="B5" i="74" s="1"/>
  <c r="B92" i="74"/>
  <c r="AI91" i="74"/>
  <c r="AH91" i="74"/>
  <c r="AI90" i="74"/>
  <c r="AH90" i="74"/>
  <c r="AI89" i="74"/>
  <c r="AH89" i="74"/>
  <c r="AI88" i="74"/>
  <c r="AH88" i="74"/>
  <c r="AI87" i="74"/>
  <c r="AH87" i="74"/>
  <c r="AI86" i="74"/>
  <c r="AH86" i="74"/>
  <c r="AI85" i="74"/>
  <c r="AH85" i="74"/>
  <c r="AI84" i="74"/>
  <c r="AH84" i="74"/>
  <c r="AI83" i="74"/>
  <c r="AH83" i="74"/>
  <c r="AI82" i="74"/>
  <c r="AH82" i="74"/>
  <c r="AI81" i="74"/>
  <c r="AH81" i="74"/>
  <c r="AG80" i="74"/>
  <c r="AG4" i="74" s="1"/>
  <c r="AA80" i="74"/>
  <c r="Z80" i="74"/>
  <c r="Y80" i="74"/>
  <c r="X80" i="74"/>
  <c r="W80" i="74"/>
  <c r="V80" i="74"/>
  <c r="U80" i="74"/>
  <c r="T80" i="74"/>
  <c r="R80" i="74"/>
  <c r="Q80" i="74"/>
  <c r="P80" i="74"/>
  <c r="O80" i="74"/>
  <c r="N80" i="74"/>
  <c r="M80" i="74"/>
  <c r="L80" i="74"/>
  <c r="K80" i="74"/>
  <c r="J80" i="74"/>
  <c r="I80" i="74"/>
  <c r="H80" i="74"/>
  <c r="G80" i="74"/>
  <c r="F80" i="74"/>
  <c r="E80" i="74"/>
  <c r="D80" i="74"/>
  <c r="C80" i="74"/>
  <c r="B80" i="74"/>
  <c r="AI79" i="74"/>
  <c r="AH79" i="74"/>
  <c r="AI78" i="74"/>
  <c r="AH78" i="74"/>
  <c r="AI77" i="74"/>
  <c r="AH77" i="74"/>
  <c r="AA76" i="74"/>
  <c r="Z76" i="74"/>
  <c r="Y76" i="74"/>
  <c r="X76" i="74"/>
  <c r="W76" i="74"/>
  <c r="V76" i="74"/>
  <c r="U76" i="74"/>
  <c r="T76" i="74"/>
  <c r="R76" i="74"/>
  <c r="Q76" i="74"/>
  <c r="P76" i="74"/>
  <c r="O76" i="74"/>
  <c r="N76" i="74"/>
  <c r="M76" i="74"/>
  <c r="L76" i="74"/>
  <c r="K76" i="74"/>
  <c r="J76" i="74"/>
  <c r="I76" i="74"/>
  <c r="H76" i="74"/>
  <c r="G76" i="74"/>
  <c r="F76" i="74"/>
  <c r="E76" i="74"/>
  <c r="D76" i="74"/>
  <c r="C76" i="74"/>
  <c r="B76" i="74"/>
  <c r="AI75" i="74"/>
  <c r="AH75" i="74"/>
  <c r="AG75" i="74"/>
  <c r="AG76" i="74" s="1"/>
  <c r="AG3" i="74" s="1"/>
  <c r="AI74" i="74"/>
  <c r="AH74" i="74"/>
  <c r="AI73" i="74"/>
  <c r="AH73" i="74"/>
  <c r="AI72" i="74"/>
  <c r="AH72" i="74"/>
  <c r="AI71" i="74"/>
  <c r="AH71" i="74"/>
  <c r="AI70" i="74"/>
  <c r="AH70" i="74"/>
  <c r="AI69" i="74"/>
  <c r="AH69" i="74"/>
  <c r="AI68" i="74"/>
  <c r="AH68" i="74"/>
  <c r="AI67" i="74"/>
  <c r="AH67" i="74"/>
  <c r="AI66" i="74"/>
  <c r="AH66" i="74"/>
  <c r="AI65" i="74"/>
  <c r="AH65" i="74"/>
  <c r="AI64" i="74"/>
  <c r="AH64" i="74"/>
  <c r="AI63" i="74"/>
  <c r="AH63" i="74"/>
  <c r="AG62" i="74"/>
  <c r="AA62" i="74"/>
  <c r="Z62" i="74"/>
  <c r="Y62" i="74"/>
  <c r="X62" i="74"/>
  <c r="W62" i="74"/>
  <c r="V62" i="74"/>
  <c r="U62" i="74"/>
  <c r="T62" i="74"/>
  <c r="R62" i="74"/>
  <c r="Q62" i="74"/>
  <c r="P62" i="74"/>
  <c r="O62" i="74"/>
  <c r="N62" i="74"/>
  <c r="M62" i="74"/>
  <c r="L62" i="74"/>
  <c r="K62" i="74"/>
  <c r="J62" i="74"/>
  <c r="I62" i="74"/>
  <c r="F62" i="74"/>
  <c r="E62" i="74"/>
  <c r="D62" i="74"/>
  <c r="C62" i="74"/>
  <c r="B62" i="74"/>
  <c r="AI61" i="74"/>
  <c r="AH61" i="74"/>
  <c r="AI60" i="74"/>
  <c r="AH60" i="74"/>
  <c r="AI59" i="74"/>
  <c r="AH59" i="74"/>
  <c r="AG58" i="74"/>
  <c r="AG2" i="74" s="1"/>
  <c r="AA58" i="74"/>
  <c r="Z58" i="74"/>
  <c r="Y58" i="74"/>
  <c r="X58" i="74"/>
  <c r="W58" i="74"/>
  <c r="V58" i="74"/>
  <c r="U58" i="74"/>
  <c r="T58" i="74"/>
  <c r="AK261" i="74"/>
  <c r="R58" i="74"/>
  <c r="Q58" i="74"/>
  <c r="P58" i="74"/>
  <c r="O58" i="74"/>
  <c r="N58" i="74"/>
  <c r="M58" i="74"/>
  <c r="K58" i="74"/>
  <c r="J58" i="74"/>
  <c r="I58" i="74"/>
  <c r="H58" i="74"/>
  <c r="F58" i="74"/>
  <c r="E58" i="74"/>
  <c r="D58" i="74"/>
  <c r="C58" i="74"/>
  <c r="B58" i="74"/>
  <c r="AI57" i="74"/>
  <c r="AH57" i="74"/>
  <c r="AI56" i="74"/>
  <c r="AH56" i="74"/>
  <c r="AI55" i="74"/>
  <c r="AH55" i="74"/>
  <c r="AI54" i="74"/>
  <c r="AH54" i="74"/>
  <c r="AI53" i="74"/>
  <c r="AH53" i="74"/>
  <c r="AI52" i="74"/>
  <c r="AH52" i="74"/>
  <c r="AI51" i="74"/>
  <c r="AH51" i="74"/>
  <c r="AI50" i="74"/>
  <c r="AH50" i="74"/>
  <c r="AI49" i="74"/>
  <c r="AH49" i="74"/>
  <c r="AI48" i="74"/>
  <c r="AH48" i="74"/>
  <c r="AI47" i="74"/>
  <c r="AH47" i="74"/>
  <c r="AI46" i="74"/>
  <c r="AH46" i="74"/>
  <c r="AI45" i="74"/>
  <c r="AH45" i="74"/>
  <c r="AI44" i="74"/>
  <c r="AH44" i="74"/>
  <c r="AI43" i="74"/>
  <c r="AH43" i="74"/>
  <c r="AI42" i="74"/>
  <c r="AH42" i="74"/>
  <c r="AI41" i="74"/>
  <c r="AH41" i="74"/>
  <c r="AI40" i="74"/>
  <c r="AH40" i="74"/>
  <c r="AI39" i="74"/>
  <c r="AH39" i="74"/>
  <c r="AI38" i="74"/>
  <c r="AH38" i="74"/>
  <c r="AI37" i="74"/>
  <c r="AH37" i="74"/>
  <c r="AI36" i="74"/>
  <c r="AH36" i="74"/>
  <c r="AI35" i="74"/>
  <c r="AH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AI23" i="74"/>
  <c r="AH23" i="74"/>
  <c r="AI22" i="74"/>
  <c r="AH22" i="74"/>
  <c r="AI21" i="74"/>
  <c r="AH21" i="74"/>
  <c r="AI20" i="74"/>
  <c r="AH20" i="74"/>
  <c r="AI19" i="74"/>
  <c r="AH19" i="74"/>
  <c r="AI18" i="74"/>
  <c r="AH18" i="74"/>
  <c r="AI17" i="74"/>
  <c r="AH17" i="74"/>
  <c r="AI16" i="74"/>
  <c r="AH16" i="74"/>
  <c r="AI15" i="74"/>
  <c r="AH15" i="74"/>
  <c r="AI14" i="74"/>
  <c r="AH14" i="74"/>
  <c r="AI13" i="74"/>
  <c r="AH13" i="74"/>
  <c r="AI12" i="74"/>
  <c r="AH12" i="74"/>
  <c r="AI11" i="74"/>
  <c r="AH11" i="74"/>
  <c r="AD5" i="74"/>
  <c r="AC5" i="74"/>
  <c r="AB5" i="74"/>
  <c r="R5" i="74"/>
  <c r="K4" i="74"/>
  <c r="E4" i="74"/>
  <c r="H4" i="74" s="1"/>
  <c r="B4" i="74"/>
  <c r="S258" i="74" s="1"/>
  <c r="AE57" i="73"/>
  <c r="AD57" i="73"/>
  <c r="AC57" i="73"/>
  <c r="AB57" i="73"/>
  <c r="AB58" i="73"/>
  <c r="AB62" i="73"/>
  <c r="AA123" i="73"/>
  <c r="AA57" i="73"/>
  <c r="AA58" i="73"/>
  <c r="AA62" i="73"/>
  <c r="AA76" i="73"/>
  <c r="AA80" i="73"/>
  <c r="AA92" i="73"/>
  <c r="AA101" i="73"/>
  <c r="AA102" i="73"/>
  <c r="AA103" i="73"/>
  <c r="AA104" i="73"/>
  <c r="AA105" i="73"/>
  <c r="AA118" i="73"/>
  <c r="Z123" i="73"/>
  <c r="Z57" i="73"/>
  <c r="Z58" i="73"/>
  <c r="Z62" i="73"/>
  <c r="Z76" i="73"/>
  <c r="Z80" i="73"/>
  <c r="Z103" i="73"/>
  <c r="Z92" i="73"/>
  <c r="Z101" i="73"/>
  <c r="Z102" i="73"/>
  <c r="Z104" i="73"/>
  <c r="Z105" i="73"/>
  <c r="Z118" i="73"/>
  <c r="Y85" i="73"/>
  <c r="Y123" i="73"/>
  <c r="Y57" i="73"/>
  <c r="Y58" i="73"/>
  <c r="Y62" i="73"/>
  <c r="Y76" i="73"/>
  <c r="Y80" i="73"/>
  <c r="Y92" i="73"/>
  <c r="Y101" i="73"/>
  <c r="Y102" i="73"/>
  <c r="Y103" i="73"/>
  <c r="Y104" i="73"/>
  <c r="Y105" i="73"/>
  <c r="Y118" i="73"/>
  <c r="X123" i="73"/>
  <c r="X57" i="73"/>
  <c r="X58" i="73"/>
  <c r="X62" i="73"/>
  <c r="X76" i="73"/>
  <c r="X80" i="73"/>
  <c r="X92" i="73"/>
  <c r="X101" i="73"/>
  <c r="X102" i="73"/>
  <c r="X103" i="73"/>
  <c r="X104" i="73"/>
  <c r="X105" i="73"/>
  <c r="X107" i="73"/>
  <c r="X118" i="73"/>
  <c r="W123" i="73"/>
  <c r="W57" i="73"/>
  <c r="W58" i="73"/>
  <c r="W62" i="73"/>
  <c r="W76" i="73"/>
  <c r="W80" i="73"/>
  <c r="W92" i="73"/>
  <c r="W101" i="73"/>
  <c r="W102" i="73"/>
  <c r="W103" i="73"/>
  <c r="W104" i="73"/>
  <c r="W105" i="73"/>
  <c r="W107" i="73"/>
  <c r="W118" i="73"/>
  <c r="V123" i="73"/>
  <c r="V57" i="73"/>
  <c r="V58" i="73"/>
  <c r="V62" i="73"/>
  <c r="V76" i="73"/>
  <c r="V80" i="73"/>
  <c r="V92" i="73"/>
  <c r="V101" i="73"/>
  <c r="V102" i="73"/>
  <c r="V103" i="73"/>
  <c r="V104" i="73"/>
  <c r="V105" i="73"/>
  <c r="V107" i="73"/>
  <c r="V118" i="73"/>
  <c r="U123" i="73"/>
  <c r="U57" i="73"/>
  <c r="U58" i="73"/>
  <c r="U62" i="73"/>
  <c r="U76" i="73"/>
  <c r="U80" i="73"/>
  <c r="U92" i="73"/>
  <c r="U101" i="73"/>
  <c r="U102" i="73"/>
  <c r="U103" i="73"/>
  <c r="U104" i="73"/>
  <c r="U105" i="73"/>
  <c r="U118" i="73"/>
  <c r="E107" i="74" l="1"/>
  <c r="M107" i="74"/>
  <c r="AI123" i="74"/>
  <c r="Z107" i="74"/>
  <c r="AA107" i="74"/>
  <c r="AA108" i="74" s="1"/>
  <c r="J282" i="75"/>
  <c r="L251" i="75"/>
  <c r="K118" i="75"/>
  <c r="K252" i="75"/>
  <c r="L246" i="75"/>
  <c r="AA97" i="74"/>
  <c r="AA99" i="74" s="1"/>
  <c r="AS261" i="74" s="1"/>
  <c r="Y107" i="74"/>
  <c r="W97" i="74"/>
  <c r="W99" i="74" s="1"/>
  <c r="V97" i="74"/>
  <c r="V99" i="74" s="1"/>
  <c r="AN261" i="74" s="1"/>
  <c r="R107" i="74"/>
  <c r="Q107" i="74"/>
  <c r="U97" i="74"/>
  <c r="U99" i="74" s="1"/>
  <c r="P107" i="74"/>
  <c r="P108" i="74" s="1"/>
  <c r="X107" i="74"/>
  <c r="O107" i="74"/>
  <c r="O108" i="74" s="1"/>
  <c r="W107" i="74"/>
  <c r="W108" i="74" s="1"/>
  <c r="C107" i="74"/>
  <c r="C108" i="74" s="1"/>
  <c r="O97" i="74"/>
  <c r="O99" i="74" s="1"/>
  <c r="P97" i="74"/>
  <c r="P99" i="74" s="1"/>
  <c r="AH261" i="74" s="1"/>
  <c r="X97" i="74"/>
  <c r="X99" i="74" s="1"/>
  <c r="AP261" i="74" s="1"/>
  <c r="AX261" i="74"/>
  <c r="U108" i="74"/>
  <c r="Q97" i="74"/>
  <c r="Q99" i="74" s="1"/>
  <c r="Q100" i="74" s="1"/>
  <c r="Q7" i="74" s="1"/>
  <c r="Y97" i="74"/>
  <c r="Y99" i="74" s="1"/>
  <c r="AQ261" i="74" s="1"/>
  <c r="AG6" i="74"/>
  <c r="L107" i="74"/>
  <c r="T107" i="74"/>
  <c r="N97" i="74"/>
  <c r="N99" i="74" s="1"/>
  <c r="AF261" i="74" s="1"/>
  <c r="M108" i="74"/>
  <c r="L5" i="74"/>
  <c r="M97" i="74"/>
  <c r="M99" i="74" s="1"/>
  <c r="AE261" i="74" s="1"/>
  <c r="K107" i="74"/>
  <c r="K108" i="74"/>
  <c r="K97" i="74"/>
  <c r="K99" i="74" s="1"/>
  <c r="AC261" i="74" s="1"/>
  <c r="J107" i="74"/>
  <c r="I107" i="74"/>
  <c r="I108" i="74" s="1"/>
  <c r="I97" i="74"/>
  <c r="I99" i="74" s="1"/>
  <c r="H107" i="74"/>
  <c r="H108" i="74" s="1"/>
  <c r="H97" i="74"/>
  <c r="H99" i="74" s="1"/>
  <c r="Z261" i="74" s="1"/>
  <c r="G107" i="74"/>
  <c r="G108" i="74" s="1"/>
  <c r="G97" i="74"/>
  <c r="G99" i="74" s="1"/>
  <c r="Y261" i="74" s="1"/>
  <c r="F97" i="74"/>
  <c r="F99" i="74" s="1"/>
  <c r="X261" i="74" s="1"/>
  <c r="E97" i="74"/>
  <c r="E99" i="74" s="1"/>
  <c r="E100" i="74" s="1"/>
  <c r="E7" i="74" s="1"/>
  <c r="AH104" i="74"/>
  <c r="E108" i="74"/>
  <c r="D5" i="74"/>
  <c r="AI104" i="74"/>
  <c r="AI105" i="74"/>
  <c r="D107" i="74"/>
  <c r="D108" i="74" s="1"/>
  <c r="C97" i="74"/>
  <c r="C99" i="74" s="1"/>
  <c r="U261" i="74" s="1"/>
  <c r="AI92" i="74"/>
  <c r="AV261" i="74"/>
  <c r="AM261" i="74"/>
  <c r="U100" i="74"/>
  <c r="U7" i="74" s="1"/>
  <c r="X108" i="74"/>
  <c r="X100" i="74"/>
  <c r="X7" i="74" s="1"/>
  <c r="AF7" i="74"/>
  <c r="M100" i="74"/>
  <c r="M7" i="74" s="1"/>
  <c r="Y100" i="74"/>
  <c r="Y7" i="74" s="1"/>
  <c r="AG261" i="74"/>
  <c r="O100" i="74"/>
  <c r="O7" i="74" s="1"/>
  <c r="AW261" i="74"/>
  <c r="J97" i="74"/>
  <c r="J99" i="74" s="1"/>
  <c r="K5" i="74"/>
  <c r="L108" i="74"/>
  <c r="L97" i="74"/>
  <c r="L99" i="74" s="1"/>
  <c r="R97" i="74"/>
  <c r="R99" i="74" s="1"/>
  <c r="C5" i="74"/>
  <c r="D97" i="74"/>
  <c r="D99" i="74" s="1"/>
  <c r="B107" i="74"/>
  <c r="B108" i="74" s="1"/>
  <c r="AH101" i="74"/>
  <c r="AI102" i="74"/>
  <c r="AI103" i="74"/>
  <c r="J108" i="74"/>
  <c r="G246" i="74"/>
  <c r="C282" i="74"/>
  <c r="E251" i="74"/>
  <c r="AH92" i="74"/>
  <c r="Z108" i="74"/>
  <c r="AI58" i="74"/>
  <c r="AO261" i="74"/>
  <c r="W100" i="74"/>
  <c r="W7" i="74" s="1"/>
  <c r="AU261" i="74"/>
  <c r="AC7" i="74"/>
  <c r="AI76" i="74"/>
  <c r="AH76" i="74"/>
  <c r="AA5" i="74"/>
  <c r="AH102" i="74"/>
  <c r="AG97" i="74"/>
  <c r="Z97" i="74"/>
  <c r="Z99" i="74" s="1"/>
  <c r="AA100" i="74"/>
  <c r="AA7" i="74" s="1"/>
  <c r="S5" i="74"/>
  <c r="T108" i="74"/>
  <c r="AI101" i="74"/>
  <c r="AF5" i="74"/>
  <c r="AH103" i="74"/>
  <c r="R108" i="74"/>
  <c r="D118" i="74"/>
  <c r="D252" i="74"/>
  <c r="E247" i="74"/>
  <c r="AI80" i="74"/>
  <c r="AH80" i="74"/>
  <c r="T97" i="74"/>
  <c r="T99" i="74" s="1"/>
  <c r="AI62" i="74"/>
  <c r="Q108" i="74"/>
  <c r="Y108" i="74"/>
  <c r="AG99" i="74"/>
  <c r="S7" i="74"/>
  <c r="F107" i="74"/>
  <c r="N107" i="74"/>
  <c r="N108" i="74" s="1"/>
  <c r="V107" i="74"/>
  <c r="V108" i="74" s="1"/>
  <c r="D258" i="74"/>
  <c r="E118" i="74"/>
  <c r="AH58" i="74"/>
  <c r="AH62" i="74"/>
  <c r="B97" i="74"/>
  <c r="AH105" i="74"/>
  <c r="AA97" i="73"/>
  <c r="AA99" i="73" s="1"/>
  <c r="AA100" i="73" s="1"/>
  <c r="AA108" i="73"/>
  <c r="Z107" i="73"/>
  <c r="Z108" i="73" s="1"/>
  <c r="Z97" i="73"/>
  <c r="Z99" i="73" s="1"/>
  <c r="Z100" i="73" s="1"/>
  <c r="Y107" i="73"/>
  <c r="Y97" i="73"/>
  <c r="Y99" i="73" s="1"/>
  <c r="Y100" i="73" s="1"/>
  <c r="Y108" i="73"/>
  <c r="X97" i="73"/>
  <c r="X99" i="73" s="1"/>
  <c r="X100" i="73" s="1"/>
  <c r="X108" i="73"/>
  <c r="W97" i="73"/>
  <c r="W99" i="73" s="1"/>
  <c r="W100" i="73" s="1"/>
  <c r="W108" i="73"/>
  <c r="V97" i="73"/>
  <c r="V99" i="73" s="1"/>
  <c r="V100" i="73" s="1"/>
  <c r="V108" i="73"/>
  <c r="U107" i="73"/>
  <c r="U108" i="73" s="1"/>
  <c r="U97" i="73"/>
  <c r="U99" i="73" s="1"/>
  <c r="T123" i="73"/>
  <c r="T57" i="73"/>
  <c r="T58" i="73"/>
  <c r="T62" i="73"/>
  <c r="T76" i="73"/>
  <c r="T80" i="73"/>
  <c r="T92" i="73"/>
  <c r="T101" i="73"/>
  <c r="T102" i="73"/>
  <c r="T103" i="73"/>
  <c r="T104" i="73"/>
  <c r="T105" i="73"/>
  <c r="T118" i="73"/>
  <c r="S123" i="73"/>
  <c r="S57" i="73"/>
  <c r="R123" i="73"/>
  <c r="R57" i="73"/>
  <c r="Q123" i="73"/>
  <c r="Q121" i="73"/>
  <c r="Q57" i="73"/>
  <c r="P123" i="73"/>
  <c r="P121" i="73"/>
  <c r="P57" i="73"/>
  <c r="O123" i="73"/>
  <c r="O121" i="73"/>
  <c r="O57" i="73"/>
  <c r="N123" i="73"/>
  <c r="N121" i="73"/>
  <c r="N57" i="73"/>
  <c r="M123" i="73"/>
  <c r="L123" i="73"/>
  <c r="K123" i="73"/>
  <c r="J92" i="73"/>
  <c r="J123" i="73"/>
  <c r="I123" i="73"/>
  <c r="I58" i="73"/>
  <c r="I62" i="73"/>
  <c r="H123" i="73"/>
  <c r="G123" i="73"/>
  <c r="F123" i="73"/>
  <c r="F57" i="73"/>
  <c r="F58" i="73"/>
  <c r="F62" i="73"/>
  <c r="E128" i="73"/>
  <c r="AI128" i="73" s="1"/>
  <c r="E123" i="73"/>
  <c r="E57" i="73"/>
  <c r="E58" i="73"/>
  <c r="E62" i="73"/>
  <c r="E76" i="73"/>
  <c r="E80" i="73"/>
  <c r="D123" i="73"/>
  <c r="C57" i="73"/>
  <c r="D57" i="73"/>
  <c r="C123" i="73"/>
  <c r="B57" i="73"/>
  <c r="B123" i="73"/>
  <c r="AF286" i="73"/>
  <c r="AE286" i="73"/>
  <c r="AD286" i="73"/>
  <c r="AC286" i="73"/>
  <c r="AB286" i="73"/>
  <c r="AA286" i="73"/>
  <c r="Z286" i="73"/>
  <c r="Y286" i="73"/>
  <c r="X286" i="73"/>
  <c r="W286" i="73"/>
  <c r="V286" i="73"/>
  <c r="U286" i="73"/>
  <c r="T286" i="73"/>
  <c r="S286" i="73"/>
  <c r="R286" i="73"/>
  <c r="Q286" i="73"/>
  <c r="P286" i="73"/>
  <c r="O286" i="73"/>
  <c r="N286" i="73"/>
  <c r="M286" i="73"/>
  <c r="L286" i="73"/>
  <c r="K286" i="73"/>
  <c r="J286" i="73"/>
  <c r="I286" i="73"/>
  <c r="H286" i="73"/>
  <c r="G286" i="73"/>
  <c r="F286" i="73"/>
  <c r="E286" i="73"/>
  <c r="D286" i="73"/>
  <c r="C286" i="73"/>
  <c r="B286" i="73"/>
  <c r="A286" i="73"/>
  <c r="AF285" i="73"/>
  <c r="AE285" i="73"/>
  <c r="AD285" i="73"/>
  <c r="AC285" i="73"/>
  <c r="AB285" i="73"/>
  <c r="AA285" i="73"/>
  <c r="Z285" i="73"/>
  <c r="Y285" i="73"/>
  <c r="X285" i="73"/>
  <c r="W285" i="73"/>
  <c r="V285" i="73"/>
  <c r="U285" i="73"/>
  <c r="T285" i="73"/>
  <c r="S285" i="73"/>
  <c r="R285" i="73"/>
  <c r="Q285" i="73"/>
  <c r="P285" i="73"/>
  <c r="O285" i="73"/>
  <c r="N285" i="73"/>
  <c r="M285" i="73"/>
  <c r="L285" i="73"/>
  <c r="K285" i="73"/>
  <c r="J285" i="73"/>
  <c r="I285" i="73"/>
  <c r="H285" i="73"/>
  <c r="G285" i="73"/>
  <c r="F285" i="73"/>
  <c r="E285" i="73"/>
  <c r="D285" i="73"/>
  <c r="C285" i="73"/>
  <c r="B285" i="73"/>
  <c r="A285" i="73"/>
  <c r="AF284" i="73"/>
  <c r="AE284" i="73"/>
  <c r="AD284" i="73"/>
  <c r="AC284" i="73"/>
  <c r="AB284" i="73"/>
  <c r="AA284" i="73"/>
  <c r="Z284" i="73"/>
  <c r="Y284" i="73"/>
  <c r="X284" i="73"/>
  <c r="W284" i="73"/>
  <c r="V284" i="73"/>
  <c r="U284" i="73"/>
  <c r="T284" i="73"/>
  <c r="S284" i="73"/>
  <c r="R284" i="73"/>
  <c r="Q284" i="73"/>
  <c r="P284" i="73"/>
  <c r="O284" i="73"/>
  <c r="N284" i="73"/>
  <c r="M284" i="73"/>
  <c r="L284" i="73"/>
  <c r="K284" i="73"/>
  <c r="J284" i="73"/>
  <c r="I284" i="73"/>
  <c r="H284" i="73"/>
  <c r="G284" i="73"/>
  <c r="F284" i="73"/>
  <c r="E284" i="73"/>
  <c r="D284" i="73"/>
  <c r="C284" i="73"/>
  <c r="B284" i="73"/>
  <c r="A284" i="73"/>
  <c r="AF283" i="73"/>
  <c r="AE283" i="73"/>
  <c r="AD283" i="73"/>
  <c r="AC283" i="73"/>
  <c r="AB283" i="73"/>
  <c r="AA283" i="73"/>
  <c r="Z283" i="73"/>
  <c r="Y283" i="73"/>
  <c r="X283" i="73"/>
  <c r="W283" i="73"/>
  <c r="V283" i="73"/>
  <c r="U283" i="73"/>
  <c r="T283" i="73"/>
  <c r="S283" i="73"/>
  <c r="R283" i="73"/>
  <c r="Q283" i="73"/>
  <c r="P283" i="73"/>
  <c r="O283" i="73"/>
  <c r="N283" i="73"/>
  <c r="M283" i="73"/>
  <c r="L283" i="73"/>
  <c r="K283" i="73"/>
  <c r="J283" i="73"/>
  <c r="I283" i="73"/>
  <c r="H283" i="73"/>
  <c r="G283" i="73"/>
  <c r="F283" i="73"/>
  <c r="E283" i="73"/>
  <c r="D283" i="73"/>
  <c r="C283" i="73"/>
  <c r="B283" i="73"/>
  <c r="A283" i="73"/>
  <c r="B282" i="73"/>
  <c r="S257" i="73"/>
  <c r="AG252" i="73"/>
  <c r="C252" i="73"/>
  <c r="D251" i="73"/>
  <c r="D250" i="73"/>
  <c r="E250" i="73" s="1"/>
  <c r="F250" i="73" s="1"/>
  <c r="G250" i="73" s="1"/>
  <c r="H250" i="73" s="1"/>
  <c r="I250" i="73" s="1"/>
  <c r="J250" i="73" s="1"/>
  <c r="K250" i="73" s="1"/>
  <c r="L250" i="73" s="1"/>
  <c r="M250" i="73" s="1"/>
  <c r="N250" i="73" s="1"/>
  <c r="O250" i="73" s="1"/>
  <c r="P250" i="73" s="1"/>
  <c r="Q250" i="73" s="1"/>
  <c r="R250" i="73" s="1"/>
  <c r="S250" i="73" s="1"/>
  <c r="T250" i="73" s="1"/>
  <c r="U250" i="73" s="1"/>
  <c r="V250" i="73" s="1"/>
  <c r="W250" i="73" s="1"/>
  <c r="X250" i="73" s="1"/>
  <c r="Y250" i="73" s="1"/>
  <c r="Z250" i="73" s="1"/>
  <c r="AA250" i="73" s="1"/>
  <c r="AB250" i="73" s="1"/>
  <c r="AC250" i="73" s="1"/>
  <c r="AD250" i="73" s="1"/>
  <c r="AE250" i="73" s="1"/>
  <c r="AF250" i="73" s="1"/>
  <c r="B250" i="73" s="1"/>
  <c r="H249" i="73"/>
  <c r="I249" i="73" s="1"/>
  <c r="J249" i="73" s="1"/>
  <c r="K249" i="73" s="1"/>
  <c r="L249" i="73" s="1"/>
  <c r="M249" i="73" s="1"/>
  <c r="N249" i="73" s="1"/>
  <c r="O249" i="73" s="1"/>
  <c r="P249" i="73" s="1"/>
  <c r="Q249" i="73" s="1"/>
  <c r="R249" i="73" s="1"/>
  <c r="S249" i="73" s="1"/>
  <c r="T249" i="73" s="1"/>
  <c r="U249" i="73" s="1"/>
  <c r="V249" i="73" s="1"/>
  <c r="W249" i="73" s="1"/>
  <c r="X249" i="73" s="1"/>
  <c r="Y249" i="73" s="1"/>
  <c r="Z249" i="73" s="1"/>
  <c r="AA249" i="73" s="1"/>
  <c r="AB249" i="73" s="1"/>
  <c r="AC249" i="73" s="1"/>
  <c r="AD249" i="73" s="1"/>
  <c r="AE249" i="73" s="1"/>
  <c r="AF249" i="73" s="1"/>
  <c r="B249" i="73" s="1"/>
  <c r="E249" i="73"/>
  <c r="F249" i="73" s="1"/>
  <c r="G249" i="73" s="1"/>
  <c r="D249" i="73"/>
  <c r="F248" i="73"/>
  <c r="G248" i="73" s="1"/>
  <c r="H248" i="73" s="1"/>
  <c r="I248" i="73" s="1"/>
  <c r="J248" i="73" s="1"/>
  <c r="K248" i="73" s="1"/>
  <c r="L248" i="73" s="1"/>
  <c r="M248" i="73" s="1"/>
  <c r="N248" i="73" s="1"/>
  <c r="O248" i="73" s="1"/>
  <c r="P248" i="73" s="1"/>
  <c r="Q248" i="73" s="1"/>
  <c r="R248" i="73" s="1"/>
  <c r="S248" i="73" s="1"/>
  <c r="T248" i="73" s="1"/>
  <c r="U248" i="73" s="1"/>
  <c r="V248" i="73" s="1"/>
  <c r="W248" i="73" s="1"/>
  <c r="X248" i="73" s="1"/>
  <c r="Y248" i="73" s="1"/>
  <c r="Z248" i="73" s="1"/>
  <c r="AA248" i="73" s="1"/>
  <c r="AB248" i="73" s="1"/>
  <c r="AC248" i="73" s="1"/>
  <c r="AD248" i="73" s="1"/>
  <c r="AE248" i="73" s="1"/>
  <c r="AF248" i="73" s="1"/>
  <c r="B248" i="73" s="1"/>
  <c r="E248" i="73"/>
  <c r="D248" i="73"/>
  <c r="D247" i="73"/>
  <c r="E247" i="73" s="1"/>
  <c r="F247" i="73" s="1"/>
  <c r="G247" i="73" s="1"/>
  <c r="H247" i="73" s="1"/>
  <c r="I247" i="73" s="1"/>
  <c r="J247" i="73" s="1"/>
  <c r="K247" i="73" s="1"/>
  <c r="L247" i="73" s="1"/>
  <c r="M247" i="73" s="1"/>
  <c r="N247" i="73" s="1"/>
  <c r="O247" i="73" s="1"/>
  <c r="P247" i="73" s="1"/>
  <c r="Q247" i="73" s="1"/>
  <c r="R247" i="73" s="1"/>
  <c r="S247" i="73" s="1"/>
  <c r="T247" i="73" s="1"/>
  <c r="U247" i="73" s="1"/>
  <c r="V247" i="73" s="1"/>
  <c r="W247" i="73" s="1"/>
  <c r="X247" i="73" s="1"/>
  <c r="Y247" i="73" s="1"/>
  <c r="Z247" i="73" s="1"/>
  <c r="AA247" i="73" s="1"/>
  <c r="AB247" i="73" s="1"/>
  <c r="AC247" i="73" s="1"/>
  <c r="AD247" i="73" s="1"/>
  <c r="AE247" i="73" s="1"/>
  <c r="AF247" i="73" s="1"/>
  <c r="B247" i="73" s="1"/>
  <c r="D246" i="73"/>
  <c r="D252" i="73" s="1"/>
  <c r="AG244" i="73"/>
  <c r="AF244" i="73"/>
  <c r="AE244" i="73"/>
  <c r="AD244" i="73"/>
  <c r="AC244" i="73"/>
  <c r="AB244" i="73"/>
  <c r="AA244" i="73"/>
  <c r="Z244" i="73"/>
  <c r="Y244" i="73"/>
  <c r="X244" i="73"/>
  <c r="W244" i="73"/>
  <c r="V244" i="73"/>
  <c r="U244" i="73"/>
  <c r="T244" i="73"/>
  <c r="S244" i="73"/>
  <c r="R244" i="73"/>
  <c r="Q244" i="73"/>
  <c r="P244" i="73"/>
  <c r="O244" i="73"/>
  <c r="N244" i="73"/>
  <c r="M244" i="73"/>
  <c r="L244" i="73"/>
  <c r="K244" i="73"/>
  <c r="J244" i="73"/>
  <c r="I244" i="73"/>
  <c r="H244" i="73"/>
  <c r="G244" i="73"/>
  <c r="F244" i="73"/>
  <c r="E244" i="73"/>
  <c r="D244" i="73"/>
  <c r="C244" i="73"/>
  <c r="B244" i="73"/>
  <c r="AI130" i="73"/>
  <c r="AH130" i="73"/>
  <c r="AI129" i="73"/>
  <c r="AH129" i="73"/>
  <c r="AH128" i="73"/>
  <c r="AI127" i="73"/>
  <c r="AH127" i="73"/>
  <c r="AI126" i="73"/>
  <c r="AH126" i="73"/>
  <c r="AI122" i="73"/>
  <c r="AH122" i="73"/>
  <c r="AI121" i="73"/>
  <c r="AH121" i="73"/>
  <c r="AI120" i="73"/>
  <c r="AH120" i="73"/>
  <c r="AI119" i="73"/>
  <c r="AH119" i="73"/>
  <c r="D118" i="73"/>
  <c r="C118" i="73"/>
  <c r="AI117" i="73"/>
  <c r="AH117" i="73"/>
  <c r="AI116" i="73"/>
  <c r="AH116" i="73"/>
  <c r="AI115" i="73"/>
  <c r="AH115" i="73"/>
  <c r="AI114" i="73"/>
  <c r="AH114" i="73"/>
  <c r="AI113" i="73"/>
  <c r="AH113" i="73"/>
  <c r="AI112" i="73"/>
  <c r="AH112" i="73"/>
  <c r="AI111" i="73"/>
  <c r="AH111" i="73"/>
  <c r="AI110" i="73"/>
  <c r="AH110" i="73"/>
  <c r="AI109" i="73"/>
  <c r="AH109" i="73"/>
  <c r="AF107" i="73"/>
  <c r="AI106" i="73"/>
  <c r="AH106" i="73"/>
  <c r="AF105" i="73"/>
  <c r="AE105" i="73"/>
  <c r="AD105" i="73"/>
  <c r="AC105" i="73"/>
  <c r="AB105" i="73"/>
  <c r="S105" i="73"/>
  <c r="R105" i="73"/>
  <c r="Q105" i="73"/>
  <c r="P105" i="73"/>
  <c r="O105" i="73"/>
  <c r="N105" i="73"/>
  <c r="M105" i="73"/>
  <c r="L105" i="73"/>
  <c r="K105" i="73"/>
  <c r="J105" i="73"/>
  <c r="I105" i="73"/>
  <c r="H105" i="73"/>
  <c r="G105" i="73"/>
  <c r="F105" i="73"/>
  <c r="E105" i="73"/>
  <c r="D105" i="73"/>
  <c r="C105" i="73"/>
  <c r="B105" i="73"/>
  <c r="AF104" i="73"/>
  <c r="AE104" i="73"/>
  <c r="AD104" i="73"/>
  <c r="AC104" i="73"/>
  <c r="AB104" i="73"/>
  <c r="AB107" i="73" s="1"/>
  <c r="S104" i="73"/>
  <c r="R104" i="73"/>
  <c r="Q104" i="73"/>
  <c r="P104" i="73"/>
  <c r="P107" i="73" s="1"/>
  <c r="O104" i="73"/>
  <c r="N104" i="73"/>
  <c r="M104" i="73"/>
  <c r="L104" i="73"/>
  <c r="K104" i="73"/>
  <c r="J104" i="73"/>
  <c r="I104" i="73"/>
  <c r="H104" i="73"/>
  <c r="G104" i="73"/>
  <c r="F104" i="73"/>
  <c r="E104" i="73"/>
  <c r="D104" i="73"/>
  <c r="C104" i="73"/>
  <c r="B104" i="73"/>
  <c r="AF103" i="73"/>
  <c r="AE103" i="73"/>
  <c r="AD103" i="73"/>
  <c r="AC103" i="73"/>
  <c r="AB103" i="73"/>
  <c r="S103" i="73"/>
  <c r="R103" i="73"/>
  <c r="Q103" i="73"/>
  <c r="P103" i="73"/>
  <c r="O103" i="73"/>
  <c r="N103" i="73"/>
  <c r="M103" i="73"/>
  <c r="L103" i="73"/>
  <c r="K103" i="73"/>
  <c r="J103" i="73"/>
  <c r="I103" i="73"/>
  <c r="H103" i="73"/>
  <c r="G103" i="73"/>
  <c r="F103" i="73"/>
  <c r="E103" i="73"/>
  <c r="D103" i="73"/>
  <c r="C103" i="73"/>
  <c r="B103" i="73"/>
  <c r="AF102" i="73"/>
  <c r="AE102" i="73"/>
  <c r="AD102" i="73"/>
  <c r="AC102" i="73"/>
  <c r="AB102" i="73"/>
  <c r="S102" i="73"/>
  <c r="R102" i="73"/>
  <c r="Q102" i="73"/>
  <c r="P102" i="73"/>
  <c r="O102" i="73"/>
  <c r="N102" i="73"/>
  <c r="M102" i="73"/>
  <c r="L102" i="73"/>
  <c r="K102" i="73"/>
  <c r="J102" i="73"/>
  <c r="I102" i="73"/>
  <c r="H102" i="73"/>
  <c r="G102" i="73"/>
  <c r="F102" i="73"/>
  <c r="E102" i="73"/>
  <c r="D102" i="73"/>
  <c r="C102" i="73"/>
  <c r="B102" i="73"/>
  <c r="AF101" i="73"/>
  <c r="AE101" i="73"/>
  <c r="AD101" i="73"/>
  <c r="AC101" i="73"/>
  <c r="AB101" i="73"/>
  <c r="S101" i="73"/>
  <c r="R101" i="73"/>
  <c r="Q101" i="73"/>
  <c r="P101" i="73"/>
  <c r="O101" i="73"/>
  <c r="O107" i="73" s="1"/>
  <c r="N101" i="73"/>
  <c r="M101" i="73"/>
  <c r="M107" i="73" s="1"/>
  <c r="L101" i="73"/>
  <c r="K101" i="73"/>
  <c r="J101" i="73"/>
  <c r="I101" i="73"/>
  <c r="H101" i="73"/>
  <c r="G101" i="73"/>
  <c r="G107" i="73" s="1"/>
  <c r="F101" i="73"/>
  <c r="E101" i="73"/>
  <c r="D101" i="73"/>
  <c r="C101" i="73"/>
  <c r="B101" i="73"/>
  <c r="AI98" i="73"/>
  <c r="AH98" i="73"/>
  <c r="AI96" i="73"/>
  <c r="AH96" i="73"/>
  <c r="AG96" i="73"/>
  <c r="AI95" i="73"/>
  <c r="AH95" i="73"/>
  <c r="AI94" i="73"/>
  <c r="AH94" i="73"/>
  <c r="AI93" i="73"/>
  <c r="AH93" i="73"/>
  <c r="AG92" i="73"/>
  <c r="AF92" i="73"/>
  <c r="AE5" i="73" s="1"/>
  <c r="AE92" i="73"/>
  <c r="AD92" i="73"/>
  <c r="AC5" i="73" s="1"/>
  <c r="AC92" i="73"/>
  <c r="AB5" i="73" s="1"/>
  <c r="AB92" i="73"/>
  <c r="AA5" i="73" s="1"/>
  <c r="Y5" i="73"/>
  <c r="S92" i="73"/>
  <c r="R5" i="73" s="1"/>
  <c r="R92" i="73"/>
  <c r="Q5" i="73" s="1"/>
  <c r="Q92" i="73"/>
  <c r="P92" i="73"/>
  <c r="O5" i="73" s="1"/>
  <c r="O92" i="73"/>
  <c r="N5" i="73" s="1"/>
  <c r="N92" i="73"/>
  <c r="M5" i="73" s="1"/>
  <c r="M92" i="73"/>
  <c r="M108" i="73" s="1"/>
  <c r="L92" i="73"/>
  <c r="K5" i="73" s="1"/>
  <c r="K92" i="73"/>
  <c r="J5" i="73" s="1"/>
  <c r="I5" i="73"/>
  <c r="I92" i="73"/>
  <c r="H92" i="73"/>
  <c r="G5" i="73" s="1"/>
  <c r="G92" i="73"/>
  <c r="F5" i="73" s="1"/>
  <c r="F92" i="73"/>
  <c r="E5" i="73" s="1"/>
  <c r="E92" i="73"/>
  <c r="D5" i="73" s="1"/>
  <c r="D92" i="73"/>
  <c r="C5" i="73" s="1"/>
  <c r="C92" i="73"/>
  <c r="B5" i="73" s="1"/>
  <c r="B92" i="73"/>
  <c r="AI91" i="73"/>
  <c r="AH91" i="73"/>
  <c r="AI90" i="73"/>
  <c r="AH90" i="73"/>
  <c r="AI89" i="73"/>
  <c r="AH89" i="73"/>
  <c r="AI88" i="73"/>
  <c r="AH88" i="73"/>
  <c r="AI87" i="73"/>
  <c r="AH87" i="73"/>
  <c r="AI86" i="73"/>
  <c r="AH86" i="73"/>
  <c r="AI85" i="73"/>
  <c r="AH85" i="73"/>
  <c r="AI84" i="73"/>
  <c r="AH84" i="73"/>
  <c r="AI83" i="73"/>
  <c r="AH83" i="73"/>
  <c r="AI82" i="73"/>
  <c r="AH82" i="73"/>
  <c r="AI81" i="73"/>
  <c r="AH81" i="73"/>
  <c r="AG80" i="73"/>
  <c r="AG4" i="73" s="1"/>
  <c r="AF80" i="73"/>
  <c r="AE80" i="73"/>
  <c r="AD80" i="73"/>
  <c r="AC80" i="73"/>
  <c r="AB80" i="73"/>
  <c r="S80" i="73"/>
  <c r="R80" i="73"/>
  <c r="Q80" i="73"/>
  <c r="P80" i="73"/>
  <c r="O80" i="73"/>
  <c r="N80" i="73"/>
  <c r="M80" i="73"/>
  <c r="L80" i="73"/>
  <c r="K80" i="73"/>
  <c r="J80" i="73"/>
  <c r="I80" i="73"/>
  <c r="H80" i="73"/>
  <c r="G80" i="73"/>
  <c r="F80" i="73"/>
  <c r="D80" i="73"/>
  <c r="C80" i="73"/>
  <c r="B80" i="73"/>
  <c r="AI79" i="73"/>
  <c r="AH79" i="73"/>
  <c r="AI78" i="73"/>
  <c r="AH78" i="73"/>
  <c r="AI77" i="73"/>
  <c r="AH77" i="73"/>
  <c r="AG76" i="73"/>
  <c r="AG3" i="73" s="1"/>
  <c r="AF76" i="73"/>
  <c r="AE76" i="73"/>
  <c r="AD76" i="73"/>
  <c r="AC76" i="73"/>
  <c r="AB76" i="73"/>
  <c r="S76" i="73"/>
  <c r="R76" i="73"/>
  <c r="Q76" i="73"/>
  <c r="P76" i="73"/>
  <c r="O76" i="73"/>
  <c r="N76" i="73"/>
  <c r="M76" i="73"/>
  <c r="L76" i="73"/>
  <c r="K76" i="73"/>
  <c r="J76" i="73"/>
  <c r="I76" i="73"/>
  <c r="H76" i="73"/>
  <c r="G76" i="73"/>
  <c r="F76" i="73"/>
  <c r="D76" i="73"/>
  <c r="C76" i="73"/>
  <c r="B76" i="73"/>
  <c r="AI75" i="73"/>
  <c r="AH75" i="73"/>
  <c r="AG75" i="73"/>
  <c r="AI74" i="73"/>
  <c r="AH74" i="73"/>
  <c r="AI73" i="73"/>
  <c r="AH73" i="73"/>
  <c r="AI72" i="73"/>
  <c r="AH72" i="73"/>
  <c r="AI71" i="73"/>
  <c r="AH71" i="73"/>
  <c r="AI70" i="73"/>
  <c r="AH70" i="73"/>
  <c r="AI69" i="73"/>
  <c r="AH69" i="73"/>
  <c r="AI68" i="73"/>
  <c r="AH68" i="73"/>
  <c r="AI67" i="73"/>
  <c r="AH67" i="73"/>
  <c r="AI66" i="73"/>
  <c r="AH66" i="73"/>
  <c r="AI65" i="73"/>
  <c r="AH65" i="73"/>
  <c r="AI64" i="73"/>
  <c r="AH64" i="73"/>
  <c r="AI63" i="73"/>
  <c r="AH63" i="73"/>
  <c r="AG62" i="73"/>
  <c r="AF62" i="73"/>
  <c r="AE62" i="73"/>
  <c r="AD62" i="73"/>
  <c r="AC62" i="73"/>
  <c r="S62" i="73"/>
  <c r="R62" i="73"/>
  <c r="Q62" i="73"/>
  <c r="P62" i="73"/>
  <c r="O62" i="73"/>
  <c r="N62" i="73"/>
  <c r="M62" i="73"/>
  <c r="L62" i="73"/>
  <c r="K62" i="73"/>
  <c r="J62" i="73"/>
  <c r="H62" i="73"/>
  <c r="G62" i="73"/>
  <c r="D62" i="73"/>
  <c r="C62" i="73"/>
  <c r="B62" i="73"/>
  <c r="AI61" i="73"/>
  <c r="AH61" i="73"/>
  <c r="AI60" i="73"/>
  <c r="AH60" i="73"/>
  <c r="AI59" i="73"/>
  <c r="AH59" i="73"/>
  <c r="AG58" i="73"/>
  <c r="AF58" i="73"/>
  <c r="AE58" i="73"/>
  <c r="AD58" i="73"/>
  <c r="AC58" i="73"/>
  <c r="S58" i="73"/>
  <c r="R58" i="73"/>
  <c r="Q58" i="73"/>
  <c r="P58" i="73"/>
  <c r="O58" i="73"/>
  <c r="N58" i="73"/>
  <c r="M58" i="73"/>
  <c r="L58" i="73"/>
  <c r="K58" i="73"/>
  <c r="J58" i="73"/>
  <c r="H58" i="73"/>
  <c r="G58" i="73"/>
  <c r="D58" i="73"/>
  <c r="C58" i="73"/>
  <c r="B58" i="73"/>
  <c r="AI57" i="73"/>
  <c r="AI56" i="73"/>
  <c r="AH56" i="73"/>
  <c r="AI55" i="73"/>
  <c r="AH55" i="73"/>
  <c r="AI54" i="73"/>
  <c r="AH54" i="73"/>
  <c r="AI53" i="73"/>
  <c r="AH53" i="73"/>
  <c r="AI52" i="73"/>
  <c r="AH52" i="73"/>
  <c r="AI51" i="73"/>
  <c r="AH51" i="73"/>
  <c r="AI50" i="73"/>
  <c r="AH50" i="73"/>
  <c r="AI49" i="73"/>
  <c r="AH49" i="73"/>
  <c r="AI48" i="73"/>
  <c r="AH48" i="73"/>
  <c r="AI47" i="73"/>
  <c r="AH47" i="73"/>
  <c r="AI46" i="73"/>
  <c r="AH46" i="73"/>
  <c r="AI45" i="73"/>
  <c r="AH45" i="73"/>
  <c r="AI44" i="73"/>
  <c r="AH44" i="73"/>
  <c r="AI43" i="73"/>
  <c r="AH43" i="73"/>
  <c r="AI42" i="73"/>
  <c r="AH42" i="73"/>
  <c r="AI41" i="73"/>
  <c r="AH41" i="73"/>
  <c r="AI40" i="73"/>
  <c r="AH40" i="73"/>
  <c r="AI39" i="73"/>
  <c r="AH39" i="73"/>
  <c r="AI38" i="73"/>
  <c r="AH38" i="73"/>
  <c r="AI37" i="73"/>
  <c r="AH37" i="73"/>
  <c r="AI36" i="73"/>
  <c r="AH36" i="73"/>
  <c r="AI35" i="73"/>
  <c r="AH35" i="73"/>
  <c r="AI34" i="73"/>
  <c r="AH34" i="73"/>
  <c r="AI33" i="73"/>
  <c r="AH33" i="73"/>
  <c r="AI32" i="73"/>
  <c r="AH32" i="73"/>
  <c r="AI31" i="73"/>
  <c r="AH31" i="73"/>
  <c r="AI30" i="73"/>
  <c r="AH30" i="73"/>
  <c r="AI29" i="73"/>
  <c r="AH29" i="73"/>
  <c r="AI28" i="73"/>
  <c r="AH28" i="73"/>
  <c r="AI27" i="73"/>
  <c r="AH27" i="73"/>
  <c r="AI26" i="73"/>
  <c r="AH26" i="73"/>
  <c r="AI25" i="73"/>
  <c r="AH25" i="73"/>
  <c r="AI24" i="73"/>
  <c r="AH24" i="73"/>
  <c r="AI23" i="73"/>
  <c r="AH23" i="73"/>
  <c r="AI22" i="73"/>
  <c r="AH22" i="73"/>
  <c r="AI21" i="73"/>
  <c r="AH21" i="73"/>
  <c r="AI20" i="73"/>
  <c r="AH20" i="73"/>
  <c r="AI19" i="73"/>
  <c r="AH19" i="73"/>
  <c r="AI18" i="73"/>
  <c r="AH18" i="73"/>
  <c r="AI17" i="73"/>
  <c r="AH17" i="73"/>
  <c r="AI16" i="73"/>
  <c r="AH16" i="73"/>
  <c r="AI15" i="73"/>
  <c r="AH15" i="73"/>
  <c r="AI14" i="73"/>
  <c r="AH14" i="73"/>
  <c r="AI13" i="73"/>
  <c r="AH13" i="73"/>
  <c r="AI12" i="73"/>
  <c r="AH12" i="73"/>
  <c r="AI11" i="73"/>
  <c r="AH11" i="73"/>
  <c r="Z5" i="73"/>
  <c r="W5" i="73"/>
  <c r="V5" i="73"/>
  <c r="U5" i="73"/>
  <c r="T5" i="73"/>
  <c r="S5" i="73"/>
  <c r="K4" i="73"/>
  <c r="E4" i="73"/>
  <c r="H4" i="73" s="1"/>
  <c r="B4" i="73"/>
  <c r="AG2" i="73"/>
  <c r="AI261" i="74" l="1"/>
  <c r="L252" i="75"/>
  <c r="M246" i="75"/>
  <c r="L118" i="75"/>
  <c r="K282" i="75"/>
  <c r="M251" i="75"/>
  <c r="P100" i="74"/>
  <c r="P7" i="74" s="1"/>
  <c r="H100" i="74"/>
  <c r="H7" i="74" s="1"/>
  <c r="AE7" i="74"/>
  <c r="I100" i="74"/>
  <c r="I7" i="74" s="1"/>
  <c r="W261" i="74"/>
  <c r="C100" i="74"/>
  <c r="C7" i="74" s="1"/>
  <c r="AA261" i="74"/>
  <c r="K100" i="74"/>
  <c r="K7" i="74" s="1"/>
  <c r="F100" i="74"/>
  <c r="F7" i="74" s="1"/>
  <c r="G100" i="74"/>
  <c r="G7" i="74" s="1"/>
  <c r="F108" i="74"/>
  <c r="AF108" i="73"/>
  <c r="AF97" i="73"/>
  <c r="AF99" i="73" s="1"/>
  <c r="AX261" i="73" s="1"/>
  <c r="AH108" i="74"/>
  <c r="AI108" i="74"/>
  <c r="V261" i="74"/>
  <c r="D100" i="74"/>
  <c r="D7" i="74" s="1"/>
  <c r="AD7" i="74"/>
  <c r="H246" i="74"/>
  <c r="AB261" i="74"/>
  <c r="J100" i="74"/>
  <c r="J7" i="74" s="1"/>
  <c r="AL261" i="74"/>
  <c r="T100" i="74"/>
  <c r="T7" i="74" s="1"/>
  <c r="AT261" i="74"/>
  <c r="AB7" i="74"/>
  <c r="AI107" i="74"/>
  <c r="AH107" i="74"/>
  <c r="V100" i="74"/>
  <c r="V7" i="74" s="1"/>
  <c r="AI97" i="74"/>
  <c r="AH97" i="74"/>
  <c r="B99" i="74"/>
  <c r="F247" i="74"/>
  <c r="E252" i="74"/>
  <c r="AJ261" i="74"/>
  <c r="R100" i="74"/>
  <c r="R7" i="74" s="1"/>
  <c r="B256" i="74"/>
  <c r="AD261" i="74"/>
  <c r="L100" i="74"/>
  <c r="L7" i="74" s="1"/>
  <c r="N100" i="74"/>
  <c r="N7" i="74" s="1"/>
  <c r="AR261" i="74"/>
  <c r="Z100" i="74"/>
  <c r="Z7" i="74" s="1"/>
  <c r="D282" i="74"/>
  <c r="F251" i="74"/>
  <c r="C256" i="74"/>
  <c r="AD5" i="73"/>
  <c r="AE107" i="73"/>
  <c r="AE108" i="73" s="1"/>
  <c r="AE97" i="73"/>
  <c r="AE99" i="73" s="1"/>
  <c r="AW261" i="73" s="1"/>
  <c r="AD97" i="73"/>
  <c r="AD99" i="73" s="1"/>
  <c r="AC97" i="73"/>
  <c r="AC99" i="73" s="1"/>
  <c r="AU261" i="73" s="1"/>
  <c r="AC107" i="73"/>
  <c r="AC108" i="73" s="1"/>
  <c r="AB97" i="73"/>
  <c r="AB99" i="73" s="1"/>
  <c r="AP261" i="73"/>
  <c r="U100" i="73"/>
  <c r="T97" i="73"/>
  <c r="T99" i="73" s="1"/>
  <c r="T107" i="73"/>
  <c r="T108" i="73" s="1"/>
  <c r="S97" i="73"/>
  <c r="S99" i="73" s="1"/>
  <c r="R107" i="73"/>
  <c r="R97" i="73"/>
  <c r="R99" i="73" s="1"/>
  <c r="Q107" i="73"/>
  <c r="P108" i="73"/>
  <c r="P97" i="73"/>
  <c r="P99" i="73" s="1"/>
  <c r="AH261" i="73" s="1"/>
  <c r="AH57" i="73"/>
  <c r="O108" i="73"/>
  <c r="O97" i="73"/>
  <c r="O99" i="73" s="1"/>
  <c r="N97" i="73"/>
  <c r="N99" i="73" s="1"/>
  <c r="L5" i="73"/>
  <c r="L107" i="73"/>
  <c r="L97" i="73"/>
  <c r="L99" i="73" s="1"/>
  <c r="L100" i="73" s="1"/>
  <c r="L7" i="73" s="1"/>
  <c r="M97" i="73"/>
  <c r="M99" i="73" s="1"/>
  <c r="AE261" i="73" s="1"/>
  <c r="K97" i="73"/>
  <c r="K99" i="73" s="1"/>
  <c r="AC261" i="73" s="1"/>
  <c r="J107" i="73"/>
  <c r="J97" i="73"/>
  <c r="J99" i="73" s="1"/>
  <c r="J100" i="73" s="1"/>
  <c r="J7" i="73" s="1"/>
  <c r="AI123" i="73"/>
  <c r="AH123" i="73"/>
  <c r="I107" i="73"/>
  <c r="H107" i="73"/>
  <c r="H108" i="73"/>
  <c r="H97" i="73"/>
  <c r="H99" i="73" s="1"/>
  <c r="Z261" i="73" s="1"/>
  <c r="G97" i="73"/>
  <c r="G99" i="73" s="1"/>
  <c r="G108" i="73"/>
  <c r="F97" i="73"/>
  <c r="F99" i="73" s="1"/>
  <c r="E97" i="73"/>
  <c r="E99" i="73" s="1"/>
  <c r="W261" i="73" s="1"/>
  <c r="E107" i="73"/>
  <c r="E108" i="73" s="1"/>
  <c r="D107" i="73"/>
  <c r="D97" i="73"/>
  <c r="D99" i="73" s="1"/>
  <c r="V261" i="73" s="1"/>
  <c r="AI103" i="73"/>
  <c r="AH103" i="73"/>
  <c r="C97" i="73"/>
  <c r="C99" i="73" s="1"/>
  <c r="U261" i="73" s="1"/>
  <c r="AI105" i="73"/>
  <c r="AI58" i="73"/>
  <c r="AJ261" i="73"/>
  <c r="R100" i="73"/>
  <c r="R7" i="73" s="1"/>
  <c r="X261" i="73"/>
  <c r="AR261" i="73"/>
  <c r="Z7" i="73"/>
  <c r="AV261" i="73"/>
  <c r="AF261" i="73"/>
  <c r="E251" i="73"/>
  <c r="C282" i="73"/>
  <c r="AS261" i="73"/>
  <c r="AH76" i="73"/>
  <c r="H100" i="73"/>
  <c r="H7" i="73" s="1"/>
  <c r="F107" i="73"/>
  <c r="F108" i="73" s="1"/>
  <c r="N107" i="73"/>
  <c r="N100" i="73" s="1"/>
  <c r="N7" i="73" s="1"/>
  <c r="V7" i="73"/>
  <c r="AD107" i="73"/>
  <c r="AK261" i="73"/>
  <c r="AG6" i="73"/>
  <c r="AD261" i="73"/>
  <c r="AL261" i="73"/>
  <c r="AT261" i="73"/>
  <c r="AB100" i="73"/>
  <c r="AB7" i="73" s="1"/>
  <c r="P100" i="73"/>
  <c r="P7" i="73" s="1"/>
  <c r="AI104" i="73"/>
  <c r="S258" i="73"/>
  <c r="D258" i="73"/>
  <c r="AM261" i="73"/>
  <c r="U7" i="73"/>
  <c r="AG99" i="73"/>
  <c r="X7" i="73"/>
  <c r="AN261" i="73"/>
  <c r="X5" i="73"/>
  <c r="AI102" i="73"/>
  <c r="Y261" i="73"/>
  <c r="G100" i="73"/>
  <c r="G7" i="73" s="1"/>
  <c r="AG261" i="73"/>
  <c r="O100" i="73"/>
  <c r="O7" i="73" s="1"/>
  <c r="AO261" i="73"/>
  <c r="W7" i="73"/>
  <c r="AE100" i="73"/>
  <c r="AE7" i="73" s="1"/>
  <c r="AI101" i="73"/>
  <c r="P5" i="73"/>
  <c r="Q108" i="73"/>
  <c r="AI62" i="73"/>
  <c r="C107" i="73"/>
  <c r="C108" i="73" s="1"/>
  <c r="K107" i="73"/>
  <c r="K108" i="73" s="1"/>
  <c r="S107" i="73"/>
  <c r="S100" i="73" s="1"/>
  <c r="S7" i="73" s="1"/>
  <c r="H5" i="73"/>
  <c r="I108" i="73"/>
  <c r="I97" i="73"/>
  <c r="I99" i="73" s="1"/>
  <c r="Q97" i="73"/>
  <c r="Q99" i="73" s="1"/>
  <c r="AG97" i="73"/>
  <c r="AH80" i="73"/>
  <c r="D108" i="73"/>
  <c r="L108" i="73"/>
  <c r="AB108" i="73"/>
  <c r="AH92" i="73"/>
  <c r="AI76" i="73"/>
  <c r="AI80" i="73"/>
  <c r="AI92" i="73"/>
  <c r="AH101" i="73"/>
  <c r="B107" i="73"/>
  <c r="AF5" i="73"/>
  <c r="AH102" i="73"/>
  <c r="J108" i="73"/>
  <c r="R108" i="73"/>
  <c r="E246" i="73"/>
  <c r="AH58" i="73"/>
  <c r="AH62" i="73"/>
  <c r="B97" i="73"/>
  <c r="AH104" i="73"/>
  <c r="AH105" i="73"/>
  <c r="AF123" i="72"/>
  <c r="AE123" i="72"/>
  <c r="AD123" i="72"/>
  <c r="AC123" i="72"/>
  <c r="AB123" i="72"/>
  <c r="AA123" i="72"/>
  <c r="AA58" i="72"/>
  <c r="AA62" i="72"/>
  <c r="AA76" i="72"/>
  <c r="AA80" i="72"/>
  <c r="AA92" i="72"/>
  <c r="AA101" i="72"/>
  <c r="AA102" i="72"/>
  <c r="AA103" i="72"/>
  <c r="AA104" i="72"/>
  <c r="AA105" i="72"/>
  <c r="AA118" i="72"/>
  <c r="Z123" i="72"/>
  <c r="Z58" i="72"/>
  <c r="Z62" i="72"/>
  <c r="Z76" i="72"/>
  <c r="Z80" i="72"/>
  <c r="Z92" i="72"/>
  <c r="Z101" i="72"/>
  <c r="Z102" i="72"/>
  <c r="Z103" i="72"/>
  <c r="Z104" i="72"/>
  <c r="Z105" i="72"/>
  <c r="Z107" i="72"/>
  <c r="Z118" i="72"/>
  <c r="Y123" i="72"/>
  <c r="Y58" i="72"/>
  <c r="Y62" i="72"/>
  <c r="Y76" i="72"/>
  <c r="Y80" i="72"/>
  <c r="Y92" i="72"/>
  <c r="Y101" i="72"/>
  <c r="Y107" i="72" s="1"/>
  <c r="Y102" i="72"/>
  <c r="Y103" i="72"/>
  <c r="Y104" i="72"/>
  <c r="Y105" i="72"/>
  <c r="X123" i="72"/>
  <c r="X58" i="72"/>
  <c r="X62" i="72"/>
  <c r="X76" i="72"/>
  <c r="X80" i="72"/>
  <c r="X92" i="72"/>
  <c r="W5" i="72" s="1"/>
  <c r="X101" i="72"/>
  <c r="X102" i="72"/>
  <c r="X103" i="72"/>
  <c r="X104" i="72"/>
  <c r="X105" i="72"/>
  <c r="X118" i="72"/>
  <c r="W123" i="72"/>
  <c r="W58" i="72"/>
  <c r="W62" i="72"/>
  <c r="W76" i="72"/>
  <c r="W80" i="72"/>
  <c r="W92" i="72"/>
  <c r="V5" i="72" s="1"/>
  <c r="W101" i="72"/>
  <c r="W102" i="72"/>
  <c r="W103" i="72"/>
  <c r="W104" i="72"/>
  <c r="W107" i="72" s="1"/>
  <c r="W108" i="72" s="1"/>
  <c r="W105" i="72"/>
  <c r="W118" i="72"/>
  <c r="V123" i="72"/>
  <c r="V58" i="72"/>
  <c r="V62" i="72"/>
  <c r="V76" i="72"/>
  <c r="V80" i="72"/>
  <c r="V92" i="72"/>
  <c r="V101" i="72"/>
  <c r="V102" i="72"/>
  <c r="V103" i="72"/>
  <c r="V104" i="72"/>
  <c r="V105" i="72"/>
  <c r="V107" i="72" s="1"/>
  <c r="V118" i="72"/>
  <c r="U85" i="72"/>
  <c r="U123" i="72"/>
  <c r="U58" i="72"/>
  <c r="U62" i="72"/>
  <c r="U76" i="72"/>
  <c r="U80" i="72"/>
  <c r="U92" i="72"/>
  <c r="U101" i="72"/>
  <c r="U102" i="72"/>
  <c r="U103" i="72"/>
  <c r="U104" i="72"/>
  <c r="U105" i="72"/>
  <c r="U118" i="72"/>
  <c r="T123" i="72"/>
  <c r="T58" i="72"/>
  <c r="T62" i="72"/>
  <c r="T76" i="72"/>
  <c r="T80" i="72"/>
  <c r="T103" i="72"/>
  <c r="T107" i="72" s="1"/>
  <c r="T101" i="72"/>
  <c r="T102" i="72"/>
  <c r="T104" i="72"/>
  <c r="T105" i="72"/>
  <c r="T118" i="72"/>
  <c r="S85" i="72"/>
  <c r="S123" i="72"/>
  <c r="S58" i="72"/>
  <c r="S62" i="72"/>
  <c r="S76" i="72"/>
  <c r="S80" i="72"/>
  <c r="S92" i="72"/>
  <c r="S101" i="72"/>
  <c r="S102" i="72"/>
  <c r="S103" i="72"/>
  <c r="S107" i="72" s="1"/>
  <c r="S104" i="72"/>
  <c r="S105" i="72"/>
  <c r="S118" i="72"/>
  <c r="P123" i="72"/>
  <c r="O123" i="72"/>
  <c r="O58" i="72"/>
  <c r="O62" i="72"/>
  <c r="M123" i="72"/>
  <c r="L123" i="72"/>
  <c r="K123" i="72"/>
  <c r="J123" i="72"/>
  <c r="I123" i="72"/>
  <c r="H123" i="72"/>
  <c r="G123" i="72"/>
  <c r="F123" i="72"/>
  <c r="E123" i="72"/>
  <c r="C107" i="72"/>
  <c r="D107" i="72"/>
  <c r="D58" i="72"/>
  <c r="D62" i="72"/>
  <c r="D76" i="72"/>
  <c r="D80" i="72"/>
  <c r="D92" i="72"/>
  <c r="C5" i="72" s="1"/>
  <c r="D101" i="72"/>
  <c r="D102" i="72"/>
  <c r="D103" i="72"/>
  <c r="D104" i="72"/>
  <c r="D105" i="72"/>
  <c r="D118" i="72"/>
  <c r="C58" i="72"/>
  <c r="C62" i="72"/>
  <c r="C76" i="72"/>
  <c r="C80" i="72"/>
  <c r="C92" i="72"/>
  <c r="B5" i="72" s="1"/>
  <c r="C101" i="72"/>
  <c r="C102" i="72"/>
  <c r="C103" i="72"/>
  <c r="C104" i="72"/>
  <c r="C105" i="72"/>
  <c r="C118" i="72"/>
  <c r="B118" i="72"/>
  <c r="B105" i="72"/>
  <c r="B104" i="72"/>
  <c r="B103" i="72"/>
  <c r="B102" i="72"/>
  <c r="B101" i="72"/>
  <c r="B92" i="72"/>
  <c r="AF5" i="72" s="1"/>
  <c r="B80" i="72"/>
  <c r="B76" i="72"/>
  <c r="B62" i="72"/>
  <c r="B58" i="72"/>
  <c r="AF58" i="71"/>
  <c r="AF62" i="71"/>
  <c r="AF76" i="71"/>
  <c r="AF80" i="71"/>
  <c r="AF92" i="71"/>
  <c r="AF101" i="71"/>
  <c r="AF107" i="71" s="1"/>
  <c r="AF102" i="71"/>
  <c r="AF103" i="71"/>
  <c r="AF104" i="71"/>
  <c r="AF105" i="71"/>
  <c r="AF118" i="71"/>
  <c r="AE58" i="71"/>
  <c r="AE62" i="71"/>
  <c r="AE76" i="71"/>
  <c r="AE80" i="71"/>
  <c r="AF286" i="72"/>
  <c r="AE286" i="72"/>
  <c r="AD286" i="72"/>
  <c r="AC286" i="72"/>
  <c r="AB286" i="72"/>
  <c r="AA286" i="72"/>
  <c r="Z286" i="72"/>
  <c r="Y286" i="72"/>
  <c r="X286" i="72"/>
  <c r="W286" i="72"/>
  <c r="V286" i="72"/>
  <c r="U286" i="72"/>
  <c r="T286" i="72"/>
  <c r="S286" i="72"/>
  <c r="R286" i="72"/>
  <c r="Q286" i="72"/>
  <c r="P286" i="72"/>
  <c r="O286" i="72"/>
  <c r="N286" i="72"/>
  <c r="M286" i="72"/>
  <c r="L286" i="72"/>
  <c r="K286" i="72"/>
  <c r="J286" i="72"/>
  <c r="I286" i="72"/>
  <c r="H286" i="72"/>
  <c r="G286" i="72"/>
  <c r="F286" i="72"/>
  <c r="E286" i="72"/>
  <c r="D286" i="72"/>
  <c r="C286" i="72"/>
  <c r="B286" i="72"/>
  <c r="A286" i="72"/>
  <c r="AF285" i="72"/>
  <c r="AE285" i="72"/>
  <c r="AD285" i="72"/>
  <c r="AC285" i="72"/>
  <c r="AB285" i="72"/>
  <c r="AA285" i="72"/>
  <c r="Z285" i="72"/>
  <c r="Y285" i="72"/>
  <c r="X285" i="72"/>
  <c r="W285" i="72"/>
  <c r="V285" i="72"/>
  <c r="U285" i="72"/>
  <c r="T285" i="72"/>
  <c r="S285" i="72"/>
  <c r="R285" i="72"/>
  <c r="Q285" i="72"/>
  <c r="P285" i="72"/>
  <c r="O285" i="72"/>
  <c r="N285" i="72"/>
  <c r="M285" i="72"/>
  <c r="L285" i="72"/>
  <c r="K285" i="72"/>
  <c r="J285" i="72"/>
  <c r="I285" i="72"/>
  <c r="H285" i="72"/>
  <c r="G285" i="72"/>
  <c r="F285" i="72"/>
  <c r="E285" i="72"/>
  <c r="D285" i="72"/>
  <c r="C285" i="72"/>
  <c r="B285" i="72"/>
  <c r="A285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C284" i="72"/>
  <c r="B284" i="72"/>
  <c r="A284" i="72"/>
  <c r="AF283" i="72"/>
  <c r="AE283" i="72"/>
  <c r="AD283" i="72"/>
  <c r="AC283" i="72"/>
  <c r="AB283" i="72"/>
  <c r="AA283" i="72"/>
  <c r="Z283" i="72"/>
  <c r="Y283" i="72"/>
  <c r="X283" i="72"/>
  <c r="W283" i="72"/>
  <c r="V283" i="72"/>
  <c r="U283" i="72"/>
  <c r="T283" i="72"/>
  <c r="S283" i="72"/>
  <c r="R283" i="72"/>
  <c r="Q283" i="72"/>
  <c r="P283" i="72"/>
  <c r="O283" i="72"/>
  <c r="N283" i="72"/>
  <c r="M283" i="72"/>
  <c r="L283" i="72"/>
  <c r="K283" i="72"/>
  <c r="J283" i="72"/>
  <c r="I283" i="72"/>
  <c r="H283" i="72"/>
  <c r="G283" i="72"/>
  <c r="F283" i="72"/>
  <c r="E283" i="72"/>
  <c r="D283" i="72"/>
  <c r="C283" i="72"/>
  <c r="B283" i="72"/>
  <c r="A283" i="72"/>
  <c r="B282" i="72"/>
  <c r="S257" i="72"/>
  <c r="AG252" i="72"/>
  <c r="C252" i="72"/>
  <c r="D251" i="72"/>
  <c r="C282" i="72" s="1"/>
  <c r="E250" i="72"/>
  <c r="F250" i="72" s="1"/>
  <c r="G250" i="72" s="1"/>
  <c r="H250" i="72" s="1"/>
  <c r="I250" i="72" s="1"/>
  <c r="J250" i="72" s="1"/>
  <c r="K250" i="72" s="1"/>
  <c r="L250" i="72" s="1"/>
  <c r="M250" i="72" s="1"/>
  <c r="N250" i="72" s="1"/>
  <c r="O250" i="72" s="1"/>
  <c r="P250" i="72" s="1"/>
  <c r="Q250" i="72" s="1"/>
  <c r="R250" i="72" s="1"/>
  <c r="S250" i="72" s="1"/>
  <c r="T250" i="72" s="1"/>
  <c r="U250" i="72" s="1"/>
  <c r="V250" i="72" s="1"/>
  <c r="W250" i="72" s="1"/>
  <c r="X250" i="72" s="1"/>
  <c r="Y250" i="72" s="1"/>
  <c r="Z250" i="72" s="1"/>
  <c r="AA250" i="72" s="1"/>
  <c r="AB250" i="72" s="1"/>
  <c r="AC250" i="72" s="1"/>
  <c r="AD250" i="72" s="1"/>
  <c r="AE250" i="72" s="1"/>
  <c r="AF250" i="72" s="1"/>
  <c r="B250" i="72" s="1"/>
  <c r="D250" i="72"/>
  <c r="E249" i="72"/>
  <c r="F249" i="72" s="1"/>
  <c r="G249" i="72" s="1"/>
  <c r="H249" i="72" s="1"/>
  <c r="I249" i="72" s="1"/>
  <c r="J249" i="72" s="1"/>
  <c r="K249" i="72" s="1"/>
  <c r="L249" i="72" s="1"/>
  <c r="M249" i="72" s="1"/>
  <c r="N249" i="72" s="1"/>
  <c r="O249" i="72" s="1"/>
  <c r="P249" i="72" s="1"/>
  <c r="Q249" i="72" s="1"/>
  <c r="R249" i="72" s="1"/>
  <c r="S249" i="72" s="1"/>
  <c r="T249" i="72" s="1"/>
  <c r="U249" i="72" s="1"/>
  <c r="V249" i="72" s="1"/>
  <c r="W249" i="72" s="1"/>
  <c r="X249" i="72" s="1"/>
  <c r="Y249" i="72" s="1"/>
  <c r="Z249" i="72" s="1"/>
  <c r="AA249" i="72" s="1"/>
  <c r="AB249" i="72" s="1"/>
  <c r="AC249" i="72" s="1"/>
  <c r="AD249" i="72" s="1"/>
  <c r="AE249" i="72" s="1"/>
  <c r="AF249" i="72" s="1"/>
  <c r="B249" i="72" s="1"/>
  <c r="D249" i="72"/>
  <c r="F248" i="72"/>
  <c r="G248" i="72" s="1"/>
  <c r="H248" i="72" s="1"/>
  <c r="I248" i="72" s="1"/>
  <c r="J248" i="72" s="1"/>
  <c r="K248" i="72" s="1"/>
  <c r="L248" i="72" s="1"/>
  <c r="M248" i="72" s="1"/>
  <c r="N248" i="72" s="1"/>
  <c r="O248" i="72" s="1"/>
  <c r="P248" i="72" s="1"/>
  <c r="Q248" i="72" s="1"/>
  <c r="R248" i="72" s="1"/>
  <c r="S248" i="72" s="1"/>
  <c r="T248" i="72" s="1"/>
  <c r="U248" i="72" s="1"/>
  <c r="V248" i="72" s="1"/>
  <c r="W248" i="72" s="1"/>
  <c r="X248" i="72" s="1"/>
  <c r="Y248" i="72" s="1"/>
  <c r="Z248" i="72" s="1"/>
  <c r="AA248" i="72" s="1"/>
  <c r="AB248" i="72" s="1"/>
  <c r="AC248" i="72" s="1"/>
  <c r="AD248" i="72" s="1"/>
  <c r="AE248" i="72" s="1"/>
  <c r="AF248" i="72" s="1"/>
  <c r="B248" i="72" s="1"/>
  <c r="E248" i="72"/>
  <c r="D248" i="72"/>
  <c r="D247" i="72"/>
  <c r="D252" i="72" s="1"/>
  <c r="E246" i="72"/>
  <c r="F246" i="72" s="1"/>
  <c r="D246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C244" i="72"/>
  <c r="B244" i="72"/>
  <c r="AI130" i="72"/>
  <c r="AH130" i="72"/>
  <c r="AI129" i="72"/>
  <c r="AH129" i="72"/>
  <c r="AI128" i="72"/>
  <c r="AH128" i="72"/>
  <c r="AI127" i="72"/>
  <c r="AH127" i="72"/>
  <c r="AI126" i="72"/>
  <c r="AH126" i="72"/>
  <c r="AI122" i="72"/>
  <c r="AH122" i="72"/>
  <c r="AI121" i="72"/>
  <c r="AH121" i="72"/>
  <c r="AI120" i="72"/>
  <c r="AH120" i="72"/>
  <c r="AI119" i="72"/>
  <c r="AH119" i="72"/>
  <c r="AI117" i="72"/>
  <c r="AH117" i="72"/>
  <c r="AI116" i="72"/>
  <c r="AH116" i="72"/>
  <c r="AI115" i="72"/>
  <c r="AH115" i="72"/>
  <c r="AI114" i="72"/>
  <c r="AH114" i="72"/>
  <c r="AI113" i="72"/>
  <c r="AH113" i="72"/>
  <c r="AI112" i="72"/>
  <c r="AH112" i="72"/>
  <c r="AI111" i="72"/>
  <c r="AH111" i="72"/>
  <c r="AI110" i="72"/>
  <c r="AH110" i="72"/>
  <c r="AI109" i="72"/>
  <c r="AH109" i="72"/>
  <c r="AI106" i="72"/>
  <c r="AH106" i="72"/>
  <c r="AF105" i="72"/>
  <c r="AE105" i="72"/>
  <c r="AD105" i="72"/>
  <c r="AC105" i="72"/>
  <c r="AB105" i="72"/>
  <c r="R105" i="72"/>
  <c r="Q105" i="72"/>
  <c r="P105" i="72"/>
  <c r="O105" i="72"/>
  <c r="N105" i="72"/>
  <c r="M105" i="72"/>
  <c r="L105" i="72"/>
  <c r="K105" i="72"/>
  <c r="J105" i="72"/>
  <c r="I105" i="72"/>
  <c r="H105" i="72"/>
  <c r="G105" i="72"/>
  <c r="F105" i="72"/>
  <c r="E105" i="72"/>
  <c r="AF104" i="72"/>
  <c r="AE104" i="72"/>
  <c r="AD104" i="72"/>
  <c r="AC104" i="72"/>
  <c r="AB104" i="72"/>
  <c r="R104" i="72"/>
  <c r="Q104" i="72"/>
  <c r="P104" i="72"/>
  <c r="O104" i="72"/>
  <c r="N104" i="72"/>
  <c r="M104" i="72"/>
  <c r="L104" i="72"/>
  <c r="K104" i="72"/>
  <c r="J104" i="72"/>
  <c r="I104" i="72"/>
  <c r="H104" i="72"/>
  <c r="G104" i="72"/>
  <c r="F104" i="72"/>
  <c r="E104" i="72"/>
  <c r="AF103" i="72"/>
  <c r="AE103" i="72"/>
  <c r="AD103" i="72"/>
  <c r="AC103" i="72"/>
  <c r="AB103" i="72"/>
  <c r="R103" i="72"/>
  <c r="Q103" i="72"/>
  <c r="P103" i="72"/>
  <c r="O103" i="72"/>
  <c r="N103" i="72"/>
  <c r="M103" i="72"/>
  <c r="L103" i="72"/>
  <c r="K103" i="72"/>
  <c r="J103" i="72"/>
  <c r="I103" i="72"/>
  <c r="H103" i="72"/>
  <c r="G103" i="72"/>
  <c r="F103" i="72"/>
  <c r="E103" i="72"/>
  <c r="AF102" i="72"/>
  <c r="AE102" i="72"/>
  <c r="AD102" i="72"/>
  <c r="AC102" i="72"/>
  <c r="AB102" i="72"/>
  <c r="R102" i="72"/>
  <c r="Q102" i="72"/>
  <c r="P102" i="72"/>
  <c r="O102" i="72"/>
  <c r="N102" i="72"/>
  <c r="M102" i="72"/>
  <c r="L102" i="72"/>
  <c r="K102" i="72"/>
  <c r="J102" i="72"/>
  <c r="I102" i="72"/>
  <c r="H102" i="72"/>
  <c r="G102" i="72"/>
  <c r="F102" i="72"/>
  <c r="E102" i="72"/>
  <c r="AI102" i="72"/>
  <c r="AF101" i="72"/>
  <c r="AE101" i="72"/>
  <c r="AE107" i="72" s="1"/>
  <c r="AD101" i="72"/>
  <c r="AD107" i="72" s="1"/>
  <c r="AC101" i="72"/>
  <c r="AB101" i="72"/>
  <c r="R101" i="72"/>
  <c r="Q101" i="72"/>
  <c r="P101" i="72"/>
  <c r="O101" i="72"/>
  <c r="N101" i="72"/>
  <c r="M101" i="72"/>
  <c r="L101" i="72"/>
  <c r="K101" i="72"/>
  <c r="J101" i="72"/>
  <c r="J107" i="72" s="1"/>
  <c r="I101" i="72"/>
  <c r="H101" i="72"/>
  <c r="G101" i="72"/>
  <c r="F101" i="72"/>
  <c r="E101" i="72"/>
  <c r="AI98" i="72"/>
  <c r="AH98" i="72"/>
  <c r="AI96" i="72"/>
  <c r="AH96" i="72"/>
  <c r="AG96" i="72"/>
  <c r="AI95" i="72"/>
  <c r="AH95" i="72"/>
  <c r="AI94" i="72"/>
  <c r="AH94" i="72"/>
  <c r="AI93" i="72"/>
  <c r="AH93" i="72"/>
  <c r="AG92" i="72"/>
  <c r="AG99" i="72" s="1"/>
  <c r="AF92" i="72"/>
  <c r="AE92" i="72"/>
  <c r="AD5" i="72" s="1"/>
  <c r="AD92" i="72"/>
  <c r="AD108" i="72" s="1"/>
  <c r="AC92" i="72"/>
  <c r="AB92" i="72"/>
  <c r="AA5" i="72" s="1"/>
  <c r="X5" i="72"/>
  <c r="R92" i="72"/>
  <c r="Q92" i="72"/>
  <c r="P5" i="72" s="1"/>
  <c r="P92" i="72"/>
  <c r="O92" i="72"/>
  <c r="O97" i="72" s="1"/>
  <c r="O99" i="72" s="1"/>
  <c r="N92" i="72"/>
  <c r="M92" i="72"/>
  <c r="L5" i="72" s="1"/>
  <c r="L92" i="72"/>
  <c r="K92" i="72"/>
  <c r="J5" i="72" s="1"/>
  <c r="J92" i="72"/>
  <c r="J108" i="72" s="1"/>
  <c r="I92" i="72"/>
  <c r="H5" i="72" s="1"/>
  <c r="H92" i="72"/>
  <c r="G92" i="72"/>
  <c r="F5" i="72" s="1"/>
  <c r="F92" i="72"/>
  <c r="E92" i="72"/>
  <c r="D5" i="72" s="1"/>
  <c r="AI91" i="72"/>
  <c r="AH91" i="72"/>
  <c r="AI90" i="72"/>
  <c r="AH90" i="72"/>
  <c r="AI89" i="72"/>
  <c r="AH89" i="72"/>
  <c r="AI88" i="72"/>
  <c r="AH88" i="72"/>
  <c r="AI87" i="72"/>
  <c r="AH87" i="72"/>
  <c r="AI86" i="72"/>
  <c r="AH86" i="72"/>
  <c r="AH85" i="72"/>
  <c r="AI84" i="72"/>
  <c r="AH84" i="72"/>
  <c r="AI83" i="72"/>
  <c r="AH83" i="72"/>
  <c r="AI82" i="72"/>
  <c r="AH82" i="72"/>
  <c r="AI81" i="72"/>
  <c r="AH81" i="72"/>
  <c r="AG80" i="72"/>
  <c r="AG4" i="72" s="1"/>
  <c r="AF80" i="72"/>
  <c r="AE80" i="72"/>
  <c r="AD80" i="72"/>
  <c r="AC80" i="72"/>
  <c r="AB80" i="72"/>
  <c r="R80" i="72"/>
  <c r="Q80" i="72"/>
  <c r="P80" i="72"/>
  <c r="O80" i="72"/>
  <c r="N80" i="72"/>
  <c r="M80" i="72"/>
  <c r="L80" i="72"/>
  <c r="K80" i="72"/>
  <c r="J80" i="72"/>
  <c r="I80" i="72"/>
  <c r="H80" i="72"/>
  <c r="G80" i="72"/>
  <c r="F80" i="72"/>
  <c r="E80" i="72"/>
  <c r="AI79" i="72"/>
  <c r="AH79" i="72"/>
  <c r="AI78" i="72"/>
  <c r="AH78" i="72"/>
  <c r="AI77" i="72"/>
  <c r="AH77" i="72"/>
  <c r="AG76" i="72"/>
  <c r="AG3" i="72" s="1"/>
  <c r="AF76" i="72"/>
  <c r="AE76" i="72"/>
  <c r="AD76" i="72"/>
  <c r="AC76" i="72"/>
  <c r="AB76" i="72"/>
  <c r="R76" i="72"/>
  <c r="Q76" i="72"/>
  <c r="P76" i="72"/>
  <c r="O76" i="72"/>
  <c r="N76" i="72"/>
  <c r="M76" i="72"/>
  <c r="L76" i="72"/>
  <c r="K76" i="72"/>
  <c r="J76" i="72"/>
  <c r="I76" i="72"/>
  <c r="H76" i="72"/>
  <c r="G76" i="72"/>
  <c r="F76" i="72"/>
  <c r="E76" i="72"/>
  <c r="AI75" i="72"/>
  <c r="AH75" i="72"/>
  <c r="AG75" i="72"/>
  <c r="AI74" i="72"/>
  <c r="AH74" i="72"/>
  <c r="AI73" i="72"/>
  <c r="AH73" i="72"/>
  <c r="AI72" i="72"/>
  <c r="AH72" i="72"/>
  <c r="AI71" i="72"/>
  <c r="AH71" i="72"/>
  <c r="AI70" i="72"/>
  <c r="AH70" i="72"/>
  <c r="AI69" i="72"/>
  <c r="AH69" i="72"/>
  <c r="AI68" i="72"/>
  <c r="AH68" i="72"/>
  <c r="AI67" i="72"/>
  <c r="AH67" i="72"/>
  <c r="AI66" i="72"/>
  <c r="AH66" i="72"/>
  <c r="AI65" i="72"/>
  <c r="AH65" i="72"/>
  <c r="AI64" i="72"/>
  <c r="AH64" i="72"/>
  <c r="AI63" i="72"/>
  <c r="AH63" i="72"/>
  <c r="AG62" i="72"/>
  <c r="AF62" i="72"/>
  <c r="AE62" i="72"/>
  <c r="AD62" i="72"/>
  <c r="AC62" i="72"/>
  <c r="AB62" i="72"/>
  <c r="R62" i="72"/>
  <c r="Q62" i="72"/>
  <c r="P62" i="72"/>
  <c r="N62" i="72"/>
  <c r="M62" i="72"/>
  <c r="L62" i="72"/>
  <c r="K62" i="72"/>
  <c r="J62" i="72"/>
  <c r="I62" i="72"/>
  <c r="H62" i="72"/>
  <c r="G62" i="72"/>
  <c r="F62" i="72"/>
  <c r="E62" i="72"/>
  <c r="AI61" i="72"/>
  <c r="AH61" i="72"/>
  <c r="AI60" i="72"/>
  <c r="AH60" i="72"/>
  <c r="AI59" i="72"/>
  <c r="AH59" i="72"/>
  <c r="AG58" i="72"/>
  <c r="AG97" i="72" s="1"/>
  <c r="AF58" i="72"/>
  <c r="AE58" i="72"/>
  <c r="AD58" i="72"/>
  <c r="AC58" i="72"/>
  <c r="AB58" i="72"/>
  <c r="R58" i="72"/>
  <c r="Q58" i="72"/>
  <c r="P58" i="72"/>
  <c r="N58" i="72"/>
  <c r="M58" i="72"/>
  <c r="L58" i="72"/>
  <c r="K58" i="72"/>
  <c r="J58" i="72"/>
  <c r="I58" i="72"/>
  <c r="H58" i="72"/>
  <c r="G58" i="72"/>
  <c r="F58" i="72"/>
  <c r="E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I23" i="72"/>
  <c r="AH23" i="72"/>
  <c r="AI22" i="72"/>
  <c r="AH22" i="72"/>
  <c r="AI21" i="72"/>
  <c r="AH21" i="72"/>
  <c r="AI20" i="72"/>
  <c r="AH20" i="72"/>
  <c r="AI19" i="72"/>
  <c r="AH19" i="72"/>
  <c r="AI18" i="72"/>
  <c r="AH18" i="72"/>
  <c r="AI17" i="72"/>
  <c r="AH17" i="72"/>
  <c r="AI16" i="72"/>
  <c r="AH16" i="72"/>
  <c r="AI15" i="72"/>
  <c r="AH15" i="72"/>
  <c r="AI14" i="72"/>
  <c r="AH14" i="72"/>
  <c r="AI13" i="72"/>
  <c r="AH13" i="72"/>
  <c r="AI12" i="72"/>
  <c r="AH12" i="72"/>
  <c r="AI11" i="72"/>
  <c r="AH11" i="72"/>
  <c r="AB5" i="72"/>
  <c r="Z5" i="72"/>
  <c r="R5" i="72"/>
  <c r="G5" i="72"/>
  <c r="K4" i="72"/>
  <c r="E4" i="72"/>
  <c r="H4" i="72" s="1"/>
  <c r="B4" i="72"/>
  <c r="D258" i="72" s="1"/>
  <c r="AG2" i="72"/>
  <c r="AG6" i="72" s="1"/>
  <c r="AD118" i="71"/>
  <c r="AC58" i="71"/>
  <c r="AC62" i="71"/>
  <c r="AC76" i="71"/>
  <c r="AC80" i="71"/>
  <c r="AC92" i="71"/>
  <c r="AC101" i="71"/>
  <c r="AC102" i="71"/>
  <c r="AC103" i="71"/>
  <c r="AC104" i="71"/>
  <c r="AC105" i="71"/>
  <c r="AC118" i="71"/>
  <c r="AB123" i="71"/>
  <c r="AA123" i="71"/>
  <c r="Z123" i="71"/>
  <c r="Y123" i="71"/>
  <c r="X123" i="71"/>
  <c r="W123" i="71"/>
  <c r="V123" i="71"/>
  <c r="U123" i="71"/>
  <c r="T123" i="71"/>
  <c r="S123" i="71"/>
  <c r="R57" i="71"/>
  <c r="Q57" i="71"/>
  <c r="P57" i="71"/>
  <c r="O57" i="71"/>
  <c r="N246" i="75" l="1"/>
  <c r="M118" i="75"/>
  <c r="M252" i="75"/>
  <c r="N251" i="75"/>
  <c r="L282" i="75"/>
  <c r="AF100" i="73"/>
  <c r="AF7" i="73" s="1"/>
  <c r="G247" i="74"/>
  <c r="F252" i="74"/>
  <c r="G251" i="74"/>
  <c r="E282" i="74"/>
  <c r="F118" i="74"/>
  <c r="I246" i="74"/>
  <c r="T261" i="74"/>
  <c r="B100" i="74"/>
  <c r="AI99" i="74"/>
  <c r="AH99" i="74"/>
  <c r="K6" i="74"/>
  <c r="AC100" i="73"/>
  <c r="AC7" i="73" s="1"/>
  <c r="AD100" i="73"/>
  <c r="AD7" i="73" s="1"/>
  <c r="AD108" i="73"/>
  <c r="T100" i="73"/>
  <c r="T7" i="73" s="1"/>
  <c r="S108" i="73"/>
  <c r="N108" i="73"/>
  <c r="M100" i="73"/>
  <c r="M7" i="73" s="1"/>
  <c r="K100" i="73"/>
  <c r="K7" i="73" s="1"/>
  <c r="AB261" i="73"/>
  <c r="F100" i="73"/>
  <c r="F7" i="73" s="1"/>
  <c r="E100" i="73"/>
  <c r="E7" i="73" s="1"/>
  <c r="D100" i="73"/>
  <c r="D7" i="73" s="1"/>
  <c r="C100" i="73"/>
  <c r="C7" i="73" s="1"/>
  <c r="AI97" i="73"/>
  <c r="AH97" i="73"/>
  <c r="B99" i="73"/>
  <c r="AH107" i="73"/>
  <c r="AI107" i="73"/>
  <c r="D282" i="73"/>
  <c r="F251" i="73"/>
  <c r="AA261" i="73"/>
  <c r="I100" i="73"/>
  <c r="I7" i="73" s="1"/>
  <c r="E252" i="73"/>
  <c r="F246" i="73"/>
  <c r="E118" i="73"/>
  <c r="AA7" i="73"/>
  <c r="AQ261" i="73"/>
  <c r="Y7" i="73"/>
  <c r="B256" i="73"/>
  <c r="Q100" i="73"/>
  <c r="Q7" i="73" s="1"/>
  <c r="AI261" i="73"/>
  <c r="B108" i="73"/>
  <c r="C256" i="73"/>
  <c r="AF107" i="72"/>
  <c r="AF108" i="72" s="1"/>
  <c r="AE5" i="72"/>
  <c r="AF97" i="72"/>
  <c r="AF99" i="72" s="1"/>
  <c r="AE108" i="72"/>
  <c r="AE97" i="72"/>
  <c r="AE99" i="72" s="1"/>
  <c r="AC5" i="72"/>
  <c r="AD97" i="72"/>
  <c r="AD99" i="72" s="1"/>
  <c r="AC97" i="72"/>
  <c r="AC99" i="72" s="1"/>
  <c r="AC107" i="72"/>
  <c r="AB107" i="72"/>
  <c r="AB108" i="72" s="1"/>
  <c r="U97" i="72"/>
  <c r="U99" i="72" s="1"/>
  <c r="AB97" i="72"/>
  <c r="AB99" i="72" s="1"/>
  <c r="AA107" i="72"/>
  <c r="AA108" i="72" s="1"/>
  <c r="AA97" i="72"/>
  <c r="AA99" i="72" s="1"/>
  <c r="AI123" i="72"/>
  <c r="Z108" i="72"/>
  <c r="Z97" i="72"/>
  <c r="Z99" i="72" s="1"/>
  <c r="Z100" i="72" s="1"/>
  <c r="Z7" i="72" s="1"/>
  <c r="Y5" i="72"/>
  <c r="Y97" i="72"/>
  <c r="Y99" i="72" s="1"/>
  <c r="Y100" i="72" s="1"/>
  <c r="Y108" i="72"/>
  <c r="Y118" i="72"/>
  <c r="AH123" i="72"/>
  <c r="W97" i="72"/>
  <c r="W99" i="72" s="1"/>
  <c r="W100" i="72" s="1"/>
  <c r="W7" i="72" s="1"/>
  <c r="X97" i="72"/>
  <c r="X99" i="72" s="1"/>
  <c r="X107" i="72"/>
  <c r="AI80" i="72"/>
  <c r="U5" i="72"/>
  <c r="V108" i="72"/>
  <c r="V97" i="72"/>
  <c r="V99" i="72" s="1"/>
  <c r="V100" i="72" s="1"/>
  <c r="T5" i="72"/>
  <c r="U107" i="72"/>
  <c r="U100" i="72" s="1"/>
  <c r="U7" i="72" s="1"/>
  <c r="U108" i="72"/>
  <c r="AI85" i="72"/>
  <c r="T92" i="72"/>
  <c r="S108" i="72"/>
  <c r="S97" i="72"/>
  <c r="S99" i="72" s="1"/>
  <c r="S100" i="72" s="1"/>
  <c r="R107" i="72"/>
  <c r="R108" i="72" s="1"/>
  <c r="Q5" i="72"/>
  <c r="R97" i="72"/>
  <c r="R99" i="72" s="1"/>
  <c r="Q107" i="72"/>
  <c r="Q97" i="72"/>
  <c r="Q99" i="72" s="1"/>
  <c r="P107" i="72"/>
  <c r="P108" i="72"/>
  <c r="O5" i="72"/>
  <c r="P97" i="72"/>
  <c r="P99" i="72" s="1"/>
  <c r="N5" i="72"/>
  <c r="O107" i="72"/>
  <c r="O108" i="72" s="1"/>
  <c r="N107" i="72"/>
  <c r="N108" i="72" s="1"/>
  <c r="M5" i="72"/>
  <c r="N97" i="72"/>
  <c r="N99" i="72" s="1"/>
  <c r="M107" i="72"/>
  <c r="M97" i="72"/>
  <c r="M99" i="72" s="1"/>
  <c r="AE261" i="72" s="1"/>
  <c r="L107" i="72"/>
  <c r="L108" i="72"/>
  <c r="K5" i="72"/>
  <c r="L97" i="72"/>
  <c r="L99" i="72" s="1"/>
  <c r="AD261" i="72" s="1"/>
  <c r="K107" i="72"/>
  <c r="K97" i="72"/>
  <c r="K99" i="72" s="1"/>
  <c r="AC261" i="72" s="1"/>
  <c r="I5" i="72"/>
  <c r="J97" i="72"/>
  <c r="J99" i="72" s="1"/>
  <c r="J100" i="72" s="1"/>
  <c r="J7" i="72" s="1"/>
  <c r="I107" i="72"/>
  <c r="I97" i="72"/>
  <c r="I99" i="72" s="1"/>
  <c r="AA261" i="72" s="1"/>
  <c r="H107" i="72"/>
  <c r="H108" i="72"/>
  <c r="H97" i="72"/>
  <c r="H99" i="72" s="1"/>
  <c r="G107" i="72"/>
  <c r="G97" i="72"/>
  <c r="G99" i="72" s="1"/>
  <c r="G100" i="72" s="1"/>
  <c r="G7" i="72" s="1"/>
  <c r="G108" i="72"/>
  <c r="AI76" i="72"/>
  <c r="AI103" i="72"/>
  <c r="F107" i="72"/>
  <c r="F108" i="72" s="1"/>
  <c r="F97" i="72"/>
  <c r="F99" i="72" s="1"/>
  <c r="X261" i="72" s="1"/>
  <c r="E5" i="72"/>
  <c r="AI62" i="72"/>
  <c r="E107" i="72"/>
  <c r="E97" i="72"/>
  <c r="E99" i="72" s="1"/>
  <c r="W261" i="72" s="1"/>
  <c r="D97" i="72"/>
  <c r="D99" i="72" s="1"/>
  <c r="D100" i="72" s="1"/>
  <c r="D108" i="72"/>
  <c r="AH104" i="72"/>
  <c r="C108" i="72"/>
  <c r="C97" i="72"/>
  <c r="C99" i="72" s="1"/>
  <c r="AI104" i="72"/>
  <c r="AI105" i="72"/>
  <c r="AI101" i="72"/>
  <c r="B97" i="72"/>
  <c r="B99" i="72" s="1"/>
  <c r="B100" i="72" s="1"/>
  <c r="B108" i="72"/>
  <c r="AI58" i="72"/>
  <c r="AH103" i="72"/>
  <c r="AF97" i="71"/>
  <c r="AF99" i="71" s="1"/>
  <c r="AF100" i="71" s="1"/>
  <c r="AF108" i="71"/>
  <c r="V261" i="72"/>
  <c r="D7" i="72"/>
  <c r="AT261" i="72"/>
  <c r="AB100" i="72"/>
  <c r="AB7" i="72" s="1"/>
  <c r="AS261" i="72"/>
  <c r="AM261" i="72"/>
  <c r="AU261" i="72"/>
  <c r="AC100" i="72"/>
  <c r="AC7" i="72" s="1"/>
  <c r="G246" i="72"/>
  <c r="AF261" i="72"/>
  <c r="N100" i="72"/>
  <c r="N7" i="72" s="1"/>
  <c r="AN261" i="72"/>
  <c r="V7" i="72"/>
  <c r="AV261" i="72"/>
  <c r="AD100" i="72"/>
  <c r="AD7" i="72" s="1"/>
  <c r="AG261" i="72"/>
  <c r="O100" i="72"/>
  <c r="O7" i="72" s="1"/>
  <c r="AO261" i="72"/>
  <c r="AW261" i="72"/>
  <c r="AE100" i="72"/>
  <c r="AE7" i="72" s="1"/>
  <c r="AK261" i="72"/>
  <c r="S7" i="72"/>
  <c r="H100" i="72"/>
  <c r="H7" i="72" s="1"/>
  <c r="Z261" i="72"/>
  <c r="AH261" i="72"/>
  <c r="P100" i="72"/>
  <c r="P7" i="72" s="1"/>
  <c r="AP261" i="72"/>
  <c r="AF100" i="72"/>
  <c r="AF7" i="72" s="1"/>
  <c r="AX261" i="72"/>
  <c r="K108" i="72"/>
  <c r="I100" i="72"/>
  <c r="I7" i="72" s="1"/>
  <c r="AI261" i="72"/>
  <c r="Q100" i="72"/>
  <c r="Q7" i="72" s="1"/>
  <c r="AQ261" i="72"/>
  <c r="Y7" i="72"/>
  <c r="AB261" i="72"/>
  <c r="AJ261" i="72"/>
  <c r="R100" i="72"/>
  <c r="R7" i="72" s="1"/>
  <c r="E108" i="72"/>
  <c r="M108" i="72"/>
  <c r="AC108" i="72"/>
  <c r="AH76" i="72"/>
  <c r="AH80" i="72"/>
  <c r="AH92" i="72"/>
  <c r="E247" i="72"/>
  <c r="E251" i="72"/>
  <c r="S258" i="72"/>
  <c r="AI92" i="72"/>
  <c r="AH101" i="72"/>
  <c r="I108" i="72"/>
  <c r="Q108" i="72"/>
  <c r="AH102" i="72"/>
  <c r="AH58" i="72"/>
  <c r="AH62" i="72"/>
  <c r="AH105" i="72"/>
  <c r="AC107" i="71"/>
  <c r="AC108" i="71" s="1"/>
  <c r="AC97" i="71"/>
  <c r="AC99" i="71" s="1"/>
  <c r="AC100" i="71" s="1"/>
  <c r="M282" i="75" l="1"/>
  <c r="O251" i="75"/>
  <c r="O246" i="75"/>
  <c r="N118" i="75"/>
  <c r="N252" i="75"/>
  <c r="J246" i="74"/>
  <c r="F282" i="74"/>
  <c r="H251" i="74"/>
  <c r="G118" i="74"/>
  <c r="B7" i="74"/>
  <c r="A7" i="74" s="1"/>
  <c r="AI100" i="74"/>
  <c r="AH100" i="74"/>
  <c r="H247" i="74"/>
  <c r="G252" i="74"/>
  <c r="AR261" i="72"/>
  <c r="K6" i="73"/>
  <c r="E282" i="73"/>
  <c r="G251" i="73"/>
  <c r="AI108" i="73"/>
  <c r="AH108" i="73"/>
  <c r="F252" i="73"/>
  <c r="G246" i="73"/>
  <c r="F118" i="73"/>
  <c r="T261" i="73"/>
  <c r="B100" i="73"/>
  <c r="AI99" i="73"/>
  <c r="AH99" i="73"/>
  <c r="AA100" i="72"/>
  <c r="AA7" i="72" s="1"/>
  <c r="X100" i="72"/>
  <c r="X7" i="72" s="1"/>
  <c r="X108" i="72"/>
  <c r="AH108" i="72" s="1"/>
  <c r="T108" i="72"/>
  <c r="S5" i="72"/>
  <c r="T97" i="72"/>
  <c r="T99" i="72" s="1"/>
  <c r="M100" i="72"/>
  <c r="M7" i="72" s="1"/>
  <c r="B256" i="72"/>
  <c r="L100" i="72"/>
  <c r="L7" i="72" s="1"/>
  <c r="K100" i="72"/>
  <c r="K7" i="72" s="1"/>
  <c r="C256" i="72"/>
  <c r="Y261" i="72"/>
  <c r="F100" i="72"/>
  <c r="F7" i="72" s="1"/>
  <c r="E100" i="72"/>
  <c r="E7" i="72" s="1"/>
  <c r="C100" i="72"/>
  <c r="C7" i="72" s="1"/>
  <c r="U261" i="72"/>
  <c r="AI108" i="72"/>
  <c r="D282" i="72"/>
  <c r="F251" i="72"/>
  <c r="E118" i="72"/>
  <c r="E252" i="72"/>
  <c r="F247" i="72"/>
  <c r="H246" i="72"/>
  <c r="AI97" i="72"/>
  <c r="AH97" i="72"/>
  <c r="AI107" i="72"/>
  <c r="AH107" i="72"/>
  <c r="N282" i="75" l="1"/>
  <c r="P251" i="75"/>
  <c r="P246" i="75"/>
  <c r="O252" i="75"/>
  <c r="O118" i="75"/>
  <c r="G282" i="74"/>
  <c r="I251" i="74"/>
  <c r="H118" i="74"/>
  <c r="K246" i="74"/>
  <c r="I247" i="74"/>
  <c r="H252" i="74"/>
  <c r="H246" i="73"/>
  <c r="G118" i="73"/>
  <c r="G252" i="73"/>
  <c r="F282" i="73"/>
  <c r="H251" i="73"/>
  <c r="B7" i="73"/>
  <c r="A7" i="73" s="1"/>
  <c r="AH100" i="73"/>
  <c r="AI100" i="73"/>
  <c r="T100" i="72"/>
  <c r="T7" i="72" s="1"/>
  <c r="AL261" i="72"/>
  <c r="K6" i="72"/>
  <c r="G247" i="72"/>
  <c r="F252" i="72"/>
  <c r="AH99" i="72"/>
  <c r="T261" i="72"/>
  <c r="AI99" i="72"/>
  <c r="E282" i="72"/>
  <c r="G251" i="72"/>
  <c r="F118" i="72"/>
  <c r="I246" i="72"/>
  <c r="Q246" i="75" l="1"/>
  <c r="P252" i="75"/>
  <c r="O282" i="75"/>
  <c r="Q251" i="75"/>
  <c r="J247" i="74"/>
  <c r="I252" i="74"/>
  <c r="L246" i="74"/>
  <c r="H282" i="74"/>
  <c r="J251" i="74"/>
  <c r="I118" i="74"/>
  <c r="G282" i="73"/>
  <c r="I251" i="73"/>
  <c r="I246" i="73"/>
  <c r="H118" i="73"/>
  <c r="H252" i="73"/>
  <c r="F282" i="72"/>
  <c r="H251" i="72"/>
  <c r="G118" i="72"/>
  <c r="B7" i="72"/>
  <c r="A7" i="72" s="1"/>
  <c r="AI100" i="72"/>
  <c r="AH100" i="72"/>
  <c r="J246" i="72"/>
  <c r="H247" i="72"/>
  <c r="G252" i="72"/>
  <c r="P282" i="75" l="1"/>
  <c r="R251" i="75"/>
  <c r="Q252" i="75"/>
  <c r="Q118" i="75"/>
  <c r="R246" i="75"/>
  <c r="K251" i="74"/>
  <c r="I282" i="74"/>
  <c r="J118" i="74"/>
  <c r="M246" i="74"/>
  <c r="K247" i="74"/>
  <c r="J252" i="74"/>
  <c r="I118" i="73"/>
  <c r="I252" i="73"/>
  <c r="J246" i="73"/>
  <c r="H282" i="73"/>
  <c r="J251" i="73"/>
  <c r="I247" i="72"/>
  <c r="H252" i="72"/>
  <c r="G282" i="72"/>
  <c r="I251" i="72"/>
  <c r="H118" i="72"/>
  <c r="K246" i="72"/>
  <c r="R252" i="75" l="1"/>
  <c r="R118" i="75"/>
  <c r="S246" i="75"/>
  <c r="S251" i="75"/>
  <c r="Q282" i="75"/>
  <c r="L247" i="74"/>
  <c r="K252" i="74"/>
  <c r="N246" i="74"/>
  <c r="J282" i="74"/>
  <c r="L251" i="74"/>
  <c r="K118" i="74"/>
  <c r="K251" i="73"/>
  <c r="I282" i="73"/>
  <c r="J118" i="73"/>
  <c r="K246" i="73"/>
  <c r="J252" i="73"/>
  <c r="L246" i="72"/>
  <c r="H282" i="72"/>
  <c r="J251" i="72"/>
  <c r="I118" i="72"/>
  <c r="J247" i="72"/>
  <c r="I252" i="72"/>
  <c r="R282" i="75" l="1"/>
  <c r="T251" i="75"/>
  <c r="S252" i="75"/>
  <c r="S118" i="75"/>
  <c r="T246" i="75"/>
  <c r="K282" i="74"/>
  <c r="M251" i="74"/>
  <c r="L118" i="74"/>
  <c r="O246" i="74"/>
  <c r="M247" i="74"/>
  <c r="L252" i="74"/>
  <c r="K118" i="73"/>
  <c r="K252" i="73"/>
  <c r="L246" i="73"/>
  <c r="J282" i="73"/>
  <c r="L251" i="73"/>
  <c r="K251" i="72"/>
  <c r="I282" i="72"/>
  <c r="J118" i="72"/>
  <c r="M246" i="72"/>
  <c r="K247" i="72"/>
  <c r="J252" i="72"/>
  <c r="T252" i="75" l="1"/>
  <c r="T118" i="75"/>
  <c r="U246" i="75"/>
  <c r="S282" i="75"/>
  <c r="U251" i="75"/>
  <c r="N247" i="74"/>
  <c r="M252" i="74"/>
  <c r="P246" i="74"/>
  <c r="L282" i="74"/>
  <c r="N251" i="74"/>
  <c r="M118" i="74"/>
  <c r="M251" i="73"/>
  <c r="K282" i="73"/>
  <c r="L252" i="73"/>
  <c r="M246" i="73"/>
  <c r="L118" i="73"/>
  <c r="L247" i="72"/>
  <c r="K252" i="72"/>
  <c r="N246" i="72"/>
  <c r="L251" i="72"/>
  <c r="J282" i="72"/>
  <c r="K118" i="72"/>
  <c r="V246" i="75" l="1"/>
  <c r="U118" i="75"/>
  <c r="U252" i="75"/>
  <c r="V251" i="75"/>
  <c r="T282" i="75"/>
  <c r="M282" i="74"/>
  <c r="O251" i="74"/>
  <c r="N118" i="74"/>
  <c r="Q246" i="74"/>
  <c r="O247" i="74"/>
  <c r="N252" i="74"/>
  <c r="M118" i="73"/>
  <c r="N246" i="73"/>
  <c r="M252" i="73"/>
  <c r="L282" i="73"/>
  <c r="N251" i="73"/>
  <c r="K282" i="72"/>
  <c r="M251" i="72"/>
  <c r="L118" i="72"/>
  <c r="O246" i="72"/>
  <c r="M247" i="72"/>
  <c r="L252" i="72"/>
  <c r="U282" i="75" l="1"/>
  <c r="W251" i="75"/>
  <c r="W246" i="75"/>
  <c r="V252" i="75"/>
  <c r="V118" i="75"/>
  <c r="P247" i="74"/>
  <c r="O252" i="74"/>
  <c r="R246" i="74"/>
  <c r="N282" i="74"/>
  <c r="P251" i="74"/>
  <c r="O118" i="74"/>
  <c r="M282" i="73"/>
  <c r="O251" i="73"/>
  <c r="N252" i="73"/>
  <c r="O246" i="73"/>
  <c r="N118" i="73"/>
  <c r="N247" i="72"/>
  <c r="M252" i="72"/>
  <c r="P246" i="72"/>
  <c r="L282" i="72"/>
  <c r="N251" i="72"/>
  <c r="M118" i="72"/>
  <c r="X246" i="75" l="1"/>
  <c r="W118" i="75"/>
  <c r="W252" i="75"/>
  <c r="V282" i="75"/>
  <c r="X251" i="75"/>
  <c r="O282" i="74"/>
  <c r="Q251" i="74"/>
  <c r="S246" i="74"/>
  <c r="Q247" i="74"/>
  <c r="P252" i="74"/>
  <c r="P246" i="73"/>
  <c r="O118" i="73"/>
  <c r="O252" i="73"/>
  <c r="N282" i="73"/>
  <c r="P251" i="73"/>
  <c r="M282" i="72"/>
  <c r="O251" i="72"/>
  <c r="N118" i="72"/>
  <c r="Q246" i="72"/>
  <c r="O247" i="72"/>
  <c r="N252" i="72"/>
  <c r="W282" i="75" l="1"/>
  <c r="Y251" i="75"/>
  <c r="Y246" i="75"/>
  <c r="X252" i="75"/>
  <c r="X118" i="75"/>
  <c r="R247" i="74"/>
  <c r="Q252" i="74"/>
  <c r="T246" i="74"/>
  <c r="P282" i="74"/>
  <c r="R251" i="74"/>
  <c r="Q118" i="74"/>
  <c r="O282" i="73"/>
  <c r="Q251" i="73"/>
  <c r="Q246" i="73"/>
  <c r="P252" i="73"/>
  <c r="P247" i="72"/>
  <c r="O252" i="72"/>
  <c r="R246" i="72"/>
  <c r="N282" i="72"/>
  <c r="P251" i="72"/>
  <c r="O118" i="72"/>
  <c r="X282" i="75" l="1"/>
  <c r="Z251" i="75"/>
  <c r="Y252" i="75"/>
  <c r="Z246" i="75"/>
  <c r="S251" i="74"/>
  <c r="S118" i="74" s="1"/>
  <c r="Q282" i="74"/>
  <c r="R118" i="74"/>
  <c r="U246" i="74"/>
  <c r="S247" i="74"/>
  <c r="R252" i="74"/>
  <c r="Q252" i="73"/>
  <c r="Q118" i="73"/>
  <c r="R246" i="73"/>
  <c r="P282" i="73"/>
  <c r="R251" i="73"/>
  <c r="O282" i="72"/>
  <c r="Q251" i="72"/>
  <c r="S246" i="72"/>
  <c r="Q247" i="72"/>
  <c r="P252" i="72"/>
  <c r="Z252" i="75" l="1"/>
  <c r="AA246" i="75"/>
  <c r="AA251" i="75"/>
  <c r="Y282" i="75"/>
  <c r="T247" i="74"/>
  <c r="S252" i="74"/>
  <c r="V246" i="74"/>
  <c r="R282" i="74"/>
  <c r="T251" i="74"/>
  <c r="S251" i="73"/>
  <c r="Q282" i="73"/>
  <c r="S246" i="73"/>
  <c r="R252" i="73"/>
  <c r="R118" i="73"/>
  <c r="R247" i="72"/>
  <c r="Q252" i="72"/>
  <c r="T246" i="72"/>
  <c r="P282" i="72"/>
  <c r="R251" i="72"/>
  <c r="Q118" i="72"/>
  <c r="AA252" i="75" l="1"/>
  <c r="AA118" i="75"/>
  <c r="AB246" i="75"/>
  <c r="Z282" i="75"/>
  <c r="AB251" i="75"/>
  <c r="S282" i="74"/>
  <c r="U251" i="74"/>
  <c r="T118" i="74"/>
  <c r="W246" i="74"/>
  <c r="U247" i="74"/>
  <c r="T252" i="74"/>
  <c r="S252" i="73"/>
  <c r="S118" i="73"/>
  <c r="T246" i="73"/>
  <c r="R282" i="73"/>
  <c r="T251" i="73"/>
  <c r="S251" i="72"/>
  <c r="Q282" i="72"/>
  <c r="R118" i="72"/>
  <c r="U246" i="72"/>
  <c r="S247" i="72"/>
  <c r="R252" i="72"/>
  <c r="AB252" i="75" l="1"/>
  <c r="AB118" i="75"/>
  <c r="AC246" i="75"/>
  <c r="AA282" i="75"/>
  <c r="AC251" i="75"/>
  <c r="V247" i="74"/>
  <c r="U252" i="74"/>
  <c r="X246" i="74"/>
  <c r="T282" i="74"/>
  <c r="V251" i="74"/>
  <c r="U118" i="74"/>
  <c r="U251" i="73"/>
  <c r="S282" i="73"/>
  <c r="T252" i="73"/>
  <c r="U246" i="73"/>
  <c r="T247" i="72"/>
  <c r="S252" i="72"/>
  <c r="V246" i="72"/>
  <c r="T251" i="72"/>
  <c r="R282" i="72"/>
  <c r="AD251" i="75" l="1"/>
  <c r="AB282" i="75"/>
  <c r="AD246" i="75"/>
  <c r="AC252" i="75"/>
  <c r="AC118" i="75"/>
  <c r="W251" i="74"/>
  <c r="U282" i="74"/>
  <c r="V118" i="74"/>
  <c r="Y246" i="74"/>
  <c r="W247" i="74"/>
  <c r="V252" i="74"/>
  <c r="U252" i="73"/>
  <c r="V246" i="73"/>
  <c r="T282" i="73"/>
  <c r="V251" i="73"/>
  <c r="S282" i="72"/>
  <c r="U251" i="72"/>
  <c r="W246" i="72"/>
  <c r="U247" i="72"/>
  <c r="T252" i="72"/>
  <c r="AE246" i="75" l="1"/>
  <c r="AD252" i="75"/>
  <c r="AC282" i="75"/>
  <c r="AE251" i="75"/>
  <c r="X247" i="74"/>
  <c r="W252" i="74"/>
  <c r="Z246" i="74"/>
  <c r="V282" i="74"/>
  <c r="X251" i="74"/>
  <c r="W118" i="74"/>
  <c r="U282" i="73"/>
  <c r="W251" i="73"/>
  <c r="W246" i="73"/>
  <c r="V252" i="73"/>
  <c r="V247" i="72"/>
  <c r="U252" i="72"/>
  <c r="X246" i="72"/>
  <c r="T282" i="72"/>
  <c r="V251" i="72"/>
  <c r="AD282" i="75" l="1"/>
  <c r="AF251" i="75"/>
  <c r="AF246" i="75"/>
  <c r="AE252" i="75"/>
  <c r="AE118" i="75"/>
  <c r="W282" i="74"/>
  <c r="Y251" i="74"/>
  <c r="X118" i="74"/>
  <c r="AA246" i="74"/>
  <c r="Y247" i="74"/>
  <c r="X252" i="74"/>
  <c r="X246" i="73"/>
  <c r="W252" i="73"/>
  <c r="V282" i="73"/>
  <c r="X251" i="73"/>
  <c r="U282" i="72"/>
  <c r="W251" i="72"/>
  <c r="Y246" i="72"/>
  <c r="W247" i="72"/>
  <c r="V252" i="72"/>
  <c r="AF252" i="75" l="1"/>
  <c r="B246" i="75"/>
  <c r="B251" i="75"/>
  <c r="AF282" i="75" s="1"/>
  <c r="AE282" i="75"/>
  <c r="AB246" i="74"/>
  <c r="Z247" i="74"/>
  <c r="Y252" i="74"/>
  <c r="X282" i="74"/>
  <c r="Z251" i="74"/>
  <c r="W282" i="73"/>
  <c r="Y251" i="73"/>
  <c r="Y246" i="73"/>
  <c r="X252" i="73"/>
  <c r="X247" i="72"/>
  <c r="W252" i="72"/>
  <c r="Z246" i="72"/>
  <c r="V282" i="72"/>
  <c r="X251" i="72"/>
  <c r="B252" i="75" l="1"/>
  <c r="AA251" i="74"/>
  <c r="Y282" i="74"/>
  <c r="AA247" i="74"/>
  <c r="Z252" i="74"/>
  <c r="AC246" i="74"/>
  <c r="Y252" i="73"/>
  <c r="Z246" i="73"/>
  <c r="X282" i="73"/>
  <c r="Z251" i="73"/>
  <c r="W282" i="72"/>
  <c r="Y251" i="72"/>
  <c r="AA246" i="72"/>
  <c r="Y247" i="72"/>
  <c r="X252" i="72"/>
  <c r="AI118" i="75" l="1"/>
  <c r="AH118" i="75"/>
  <c r="AD246" i="74"/>
  <c r="AB247" i="74"/>
  <c r="AA252" i="74"/>
  <c r="Z282" i="74"/>
  <c r="AB251" i="74"/>
  <c r="AB118" i="74" s="1"/>
  <c r="AA118" i="74"/>
  <c r="AA251" i="73"/>
  <c r="Y282" i="73"/>
  <c r="Z252" i="73"/>
  <c r="AA246" i="73"/>
  <c r="Z247" i="72"/>
  <c r="Y252" i="72"/>
  <c r="AB246" i="72"/>
  <c r="X282" i="72"/>
  <c r="Z251" i="72"/>
  <c r="AA282" i="74" l="1"/>
  <c r="AC251" i="74"/>
  <c r="AC118" i="74" s="1"/>
  <c r="AC247" i="74"/>
  <c r="AB252" i="74"/>
  <c r="AE246" i="74"/>
  <c r="AA252" i="73"/>
  <c r="AB246" i="73"/>
  <c r="Z282" i="73"/>
  <c r="AB251" i="73"/>
  <c r="AA251" i="72"/>
  <c r="Y282" i="72"/>
  <c r="AC246" i="72"/>
  <c r="AA247" i="72"/>
  <c r="Z252" i="72"/>
  <c r="AF246" i="74" l="1"/>
  <c r="AD247" i="74"/>
  <c r="AC252" i="74"/>
  <c r="AB282" i="74"/>
  <c r="AD251" i="74"/>
  <c r="AD118" i="74" s="1"/>
  <c r="AA282" i="73"/>
  <c r="AC251" i="73"/>
  <c r="AB252" i="73"/>
  <c r="AB118" i="73"/>
  <c r="AC246" i="73"/>
  <c r="AB247" i="72"/>
  <c r="AA252" i="72"/>
  <c r="AD246" i="72"/>
  <c r="AB251" i="72"/>
  <c r="Z282" i="72"/>
  <c r="AE251" i="74" l="1"/>
  <c r="AE118" i="74" s="1"/>
  <c r="AC282" i="74"/>
  <c r="AE247" i="74"/>
  <c r="AD252" i="74"/>
  <c r="B246" i="74"/>
  <c r="AC252" i="73"/>
  <c r="AD246" i="73"/>
  <c r="AC118" i="73"/>
  <c r="AB282" i="73"/>
  <c r="AD251" i="73"/>
  <c r="AE246" i="72"/>
  <c r="AA282" i="72"/>
  <c r="AC251" i="72"/>
  <c r="AB118" i="72"/>
  <c r="AC247" i="72"/>
  <c r="AB252" i="72"/>
  <c r="AF247" i="74" l="1"/>
  <c r="AE252" i="74"/>
  <c r="AD282" i="74"/>
  <c r="AF251" i="74"/>
  <c r="AF118" i="74" s="1"/>
  <c r="AC282" i="73"/>
  <c r="AE251" i="73"/>
  <c r="AE246" i="73"/>
  <c r="AD252" i="73"/>
  <c r="AD247" i="72"/>
  <c r="AC252" i="72"/>
  <c r="AB282" i="72"/>
  <c r="AD251" i="72"/>
  <c r="AC118" i="72"/>
  <c r="AF246" i="72"/>
  <c r="B247" i="74" l="1"/>
  <c r="AF252" i="74"/>
  <c r="B251" i="74"/>
  <c r="AE282" i="74"/>
  <c r="AF246" i="73"/>
  <c r="AE252" i="73"/>
  <c r="AD282" i="73"/>
  <c r="AF251" i="73"/>
  <c r="B246" i="72"/>
  <c r="AC282" i="72"/>
  <c r="AE251" i="72"/>
  <c r="AE247" i="72"/>
  <c r="AD252" i="72"/>
  <c r="AF282" i="74" l="1"/>
  <c r="B118" i="74"/>
  <c r="B252" i="74"/>
  <c r="B251" i="73"/>
  <c r="AF282" i="73" s="1"/>
  <c r="AE282" i="73"/>
  <c r="AF252" i="73"/>
  <c r="B246" i="73"/>
  <c r="AF247" i="72"/>
  <c r="AE252" i="72"/>
  <c r="AD282" i="72"/>
  <c r="AF251" i="72"/>
  <c r="AE118" i="72"/>
  <c r="AI118" i="74" l="1"/>
  <c r="AH118" i="74"/>
  <c r="B118" i="73"/>
  <c r="B252" i="73"/>
  <c r="B251" i="72"/>
  <c r="AE282" i="72"/>
  <c r="AF118" i="72"/>
  <c r="B247" i="72"/>
  <c r="B252" i="72" s="1"/>
  <c r="AF252" i="72"/>
  <c r="AI118" i="73" l="1"/>
  <c r="AH118" i="73"/>
  <c r="AF282" i="72"/>
  <c r="AI118" i="72" l="1"/>
  <c r="AH118" i="72"/>
  <c r="N57" i="71" l="1"/>
  <c r="N58" i="71"/>
  <c r="N62" i="71"/>
  <c r="M57" i="71"/>
  <c r="L123" i="71"/>
  <c r="L121" i="71"/>
  <c r="L57" i="71"/>
  <c r="K123" i="71"/>
  <c r="K121" i="71"/>
  <c r="K57" i="71"/>
  <c r="J123" i="71"/>
  <c r="J121" i="71"/>
  <c r="J57" i="71"/>
  <c r="I123" i="71"/>
  <c r="I121" i="71"/>
  <c r="I57" i="71"/>
  <c r="H123" i="71"/>
  <c r="H57" i="71"/>
  <c r="G123" i="71"/>
  <c r="G121" i="71"/>
  <c r="G57" i="71"/>
  <c r="F123" i="71"/>
  <c r="F121" i="71"/>
  <c r="F57" i="71"/>
  <c r="E123" i="71"/>
  <c r="E121" i="71"/>
  <c r="E57" i="71"/>
  <c r="D123" i="71"/>
  <c r="D121" i="71"/>
  <c r="D57" i="71"/>
  <c r="D58" i="71"/>
  <c r="D62" i="71"/>
  <c r="D76" i="71"/>
  <c r="D80" i="71"/>
  <c r="D92" i="71"/>
  <c r="C5" i="71" s="1"/>
  <c r="D101" i="71"/>
  <c r="D102" i="71"/>
  <c r="D103" i="71"/>
  <c r="D104" i="71"/>
  <c r="D105" i="71"/>
  <c r="D118" i="71"/>
  <c r="C123" i="71"/>
  <c r="C121" i="71"/>
  <c r="C118" i="71" s="1"/>
  <c r="C57" i="71"/>
  <c r="C58" i="71"/>
  <c r="B123" i="71"/>
  <c r="B121" i="71"/>
  <c r="B57" i="71"/>
  <c r="B118" i="71"/>
  <c r="B105" i="71"/>
  <c r="B104" i="71"/>
  <c r="B103" i="71"/>
  <c r="B102" i="71"/>
  <c r="B101" i="71"/>
  <c r="B92" i="71"/>
  <c r="AF5" i="71" s="1"/>
  <c r="B80" i="71"/>
  <c r="B76" i="71"/>
  <c r="B62" i="71"/>
  <c r="B58" i="71"/>
  <c r="AF286" i="71"/>
  <c r="AE286" i="71"/>
  <c r="AD286" i="71"/>
  <c r="AC286" i="71"/>
  <c r="AB286" i="71"/>
  <c r="AA286" i="71"/>
  <c r="Z286" i="71"/>
  <c r="Y286" i="71"/>
  <c r="X286" i="71"/>
  <c r="W286" i="71"/>
  <c r="V286" i="71"/>
  <c r="U286" i="71"/>
  <c r="T286" i="71"/>
  <c r="S286" i="71"/>
  <c r="R286" i="71"/>
  <c r="Q286" i="71"/>
  <c r="P286" i="71"/>
  <c r="O286" i="71"/>
  <c r="N286" i="71"/>
  <c r="M286" i="71"/>
  <c r="L286" i="71"/>
  <c r="K286" i="71"/>
  <c r="J286" i="71"/>
  <c r="I286" i="71"/>
  <c r="H286" i="71"/>
  <c r="G286" i="71"/>
  <c r="F286" i="71"/>
  <c r="E286" i="71"/>
  <c r="D286" i="71"/>
  <c r="C286" i="71"/>
  <c r="B286" i="71"/>
  <c r="A286" i="71"/>
  <c r="AF285" i="71"/>
  <c r="AE285" i="71"/>
  <c r="AD285" i="71"/>
  <c r="AC285" i="71"/>
  <c r="AB285" i="71"/>
  <c r="AA285" i="71"/>
  <c r="Z285" i="71"/>
  <c r="Y285" i="71"/>
  <c r="X285" i="71"/>
  <c r="W285" i="71"/>
  <c r="V285" i="71"/>
  <c r="U285" i="71"/>
  <c r="T285" i="71"/>
  <c r="S285" i="71"/>
  <c r="R285" i="71"/>
  <c r="Q285" i="71"/>
  <c r="P285" i="71"/>
  <c r="O285" i="71"/>
  <c r="N285" i="71"/>
  <c r="M285" i="71"/>
  <c r="L285" i="71"/>
  <c r="K285" i="71"/>
  <c r="J285" i="71"/>
  <c r="I285" i="71"/>
  <c r="H285" i="71"/>
  <c r="G285" i="71"/>
  <c r="F285" i="71"/>
  <c r="E285" i="71"/>
  <c r="D285" i="71"/>
  <c r="C285" i="71"/>
  <c r="B285" i="71"/>
  <c r="A285" i="71"/>
  <c r="AF284" i="71"/>
  <c r="AE284" i="71"/>
  <c r="AD284" i="71"/>
  <c r="AC284" i="71"/>
  <c r="AB284" i="71"/>
  <c r="AA284" i="71"/>
  <c r="Z284" i="71"/>
  <c r="Y284" i="71"/>
  <c r="X284" i="71"/>
  <c r="W284" i="71"/>
  <c r="V284" i="71"/>
  <c r="U284" i="71"/>
  <c r="T284" i="71"/>
  <c r="S284" i="71"/>
  <c r="R284" i="71"/>
  <c r="Q284" i="71"/>
  <c r="P284" i="71"/>
  <c r="O284" i="71"/>
  <c r="N284" i="71"/>
  <c r="M284" i="71"/>
  <c r="L284" i="71"/>
  <c r="K284" i="71"/>
  <c r="J284" i="71"/>
  <c r="I284" i="71"/>
  <c r="H284" i="71"/>
  <c r="G284" i="71"/>
  <c r="F284" i="71"/>
  <c r="E284" i="71"/>
  <c r="D284" i="71"/>
  <c r="C284" i="71"/>
  <c r="B284" i="71"/>
  <c r="A284" i="71"/>
  <c r="AF283" i="71"/>
  <c r="AE283" i="71"/>
  <c r="AD283" i="71"/>
  <c r="AC283" i="71"/>
  <c r="AB283" i="71"/>
  <c r="AA283" i="71"/>
  <c r="Z283" i="71"/>
  <c r="Y283" i="71"/>
  <c r="X283" i="71"/>
  <c r="W283" i="71"/>
  <c r="V283" i="71"/>
  <c r="U283" i="71"/>
  <c r="T283" i="71"/>
  <c r="S283" i="71"/>
  <c r="R283" i="71"/>
  <c r="Q283" i="71"/>
  <c r="P283" i="71"/>
  <c r="O283" i="71"/>
  <c r="N283" i="71"/>
  <c r="M283" i="71"/>
  <c r="L283" i="71"/>
  <c r="K283" i="71"/>
  <c r="J283" i="71"/>
  <c r="I283" i="71"/>
  <c r="H283" i="71"/>
  <c r="G283" i="71"/>
  <c r="F283" i="71"/>
  <c r="E283" i="71"/>
  <c r="D283" i="71"/>
  <c r="C283" i="71"/>
  <c r="B283" i="71"/>
  <c r="A283" i="71"/>
  <c r="B282" i="71"/>
  <c r="S257" i="71"/>
  <c r="AG252" i="71"/>
  <c r="C252" i="71"/>
  <c r="D251" i="71"/>
  <c r="D250" i="71"/>
  <c r="E250" i="71" s="1"/>
  <c r="F250" i="71" s="1"/>
  <c r="G250" i="71" s="1"/>
  <c r="H250" i="71" s="1"/>
  <c r="I250" i="71" s="1"/>
  <c r="J250" i="71" s="1"/>
  <c r="K250" i="71" s="1"/>
  <c r="L250" i="71" s="1"/>
  <c r="M250" i="71" s="1"/>
  <c r="N250" i="71" s="1"/>
  <c r="O250" i="71" s="1"/>
  <c r="P250" i="71" s="1"/>
  <c r="Q250" i="71" s="1"/>
  <c r="R250" i="71" s="1"/>
  <c r="S250" i="71" s="1"/>
  <c r="T250" i="71" s="1"/>
  <c r="U250" i="71" s="1"/>
  <c r="V250" i="71" s="1"/>
  <c r="W250" i="71" s="1"/>
  <c r="X250" i="71" s="1"/>
  <c r="Y250" i="71" s="1"/>
  <c r="Z250" i="71" s="1"/>
  <c r="AA250" i="71" s="1"/>
  <c r="AB250" i="71" s="1"/>
  <c r="AC250" i="71" s="1"/>
  <c r="AD250" i="71" s="1"/>
  <c r="AE250" i="71" s="1"/>
  <c r="AF250" i="71" s="1"/>
  <c r="B250" i="71" s="1"/>
  <c r="H249" i="71"/>
  <c r="I249" i="71" s="1"/>
  <c r="J249" i="71" s="1"/>
  <c r="K249" i="71" s="1"/>
  <c r="L249" i="71" s="1"/>
  <c r="M249" i="71" s="1"/>
  <c r="N249" i="71" s="1"/>
  <c r="O249" i="71" s="1"/>
  <c r="P249" i="71" s="1"/>
  <c r="Q249" i="71" s="1"/>
  <c r="R249" i="71" s="1"/>
  <c r="S249" i="71" s="1"/>
  <c r="T249" i="71" s="1"/>
  <c r="U249" i="71" s="1"/>
  <c r="V249" i="71" s="1"/>
  <c r="W249" i="71" s="1"/>
  <c r="X249" i="71" s="1"/>
  <c r="Y249" i="71" s="1"/>
  <c r="Z249" i="71" s="1"/>
  <c r="AA249" i="71" s="1"/>
  <c r="AB249" i="71" s="1"/>
  <c r="AC249" i="71" s="1"/>
  <c r="AD249" i="71" s="1"/>
  <c r="AE249" i="71" s="1"/>
  <c r="AF249" i="71" s="1"/>
  <c r="B249" i="71" s="1"/>
  <c r="G249" i="71"/>
  <c r="F249" i="71"/>
  <c r="E249" i="71"/>
  <c r="D249" i="71"/>
  <c r="F248" i="71"/>
  <c r="G248" i="71" s="1"/>
  <c r="H248" i="71" s="1"/>
  <c r="I248" i="71" s="1"/>
  <c r="J248" i="71" s="1"/>
  <c r="K248" i="71" s="1"/>
  <c r="L248" i="71" s="1"/>
  <c r="M248" i="71" s="1"/>
  <c r="N248" i="71" s="1"/>
  <c r="O248" i="71" s="1"/>
  <c r="P248" i="71" s="1"/>
  <c r="Q248" i="71" s="1"/>
  <c r="R248" i="71" s="1"/>
  <c r="S248" i="71" s="1"/>
  <c r="T248" i="71" s="1"/>
  <c r="U248" i="71" s="1"/>
  <c r="V248" i="71" s="1"/>
  <c r="W248" i="71" s="1"/>
  <c r="X248" i="71" s="1"/>
  <c r="Y248" i="71" s="1"/>
  <c r="Z248" i="71" s="1"/>
  <c r="AA248" i="71" s="1"/>
  <c r="AB248" i="71" s="1"/>
  <c r="AC248" i="71" s="1"/>
  <c r="AD248" i="71" s="1"/>
  <c r="AE248" i="71" s="1"/>
  <c r="AF248" i="71" s="1"/>
  <c r="B248" i="71" s="1"/>
  <c r="E248" i="71"/>
  <c r="D248" i="71"/>
  <c r="D247" i="71"/>
  <c r="E247" i="71" s="1"/>
  <c r="F247" i="71" s="1"/>
  <c r="G247" i="71" s="1"/>
  <c r="H247" i="71" s="1"/>
  <c r="I247" i="71" s="1"/>
  <c r="J247" i="71" s="1"/>
  <c r="K247" i="71" s="1"/>
  <c r="L247" i="71" s="1"/>
  <c r="M247" i="71" s="1"/>
  <c r="N247" i="71" s="1"/>
  <c r="O247" i="71" s="1"/>
  <c r="P247" i="71" s="1"/>
  <c r="Q247" i="71" s="1"/>
  <c r="R247" i="71" s="1"/>
  <c r="S247" i="71" s="1"/>
  <c r="T247" i="71" s="1"/>
  <c r="U247" i="71" s="1"/>
  <c r="V247" i="71" s="1"/>
  <c r="W247" i="71" s="1"/>
  <c r="X247" i="71" s="1"/>
  <c r="Y247" i="71" s="1"/>
  <c r="Z247" i="71" s="1"/>
  <c r="AA247" i="71" s="1"/>
  <c r="AB247" i="71" s="1"/>
  <c r="AC247" i="71" s="1"/>
  <c r="AD247" i="71" s="1"/>
  <c r="AE247" i="71" s="1"/>
  <c r="AF247" i="71" s="1"/>
  <c r="B247" i="71" s="1"/>
  <c r="D246" i="71"/>
  <c r="AG244" i="71"/>
  <c r="AF244" i="71"/>
  <c r="AE244" i="71"/>
  <c r="AD244" i="71"/>
  <c r="AC244" i="71"/>
  <c r="AB244" i="71"/>
  <c r="AA244" i="71"/>
  <c r="Z244" i="71"/>
  <c r="Y244" i="71"/>
  <c r="Y118" i="71" s="1"/>
  <c r="X244" i="71"/>
  <c r="W244" i="71"/>
  <c r="V244" i="71"/>
  <c r="U244" i="71"/>
  <c r="T244" i="71"/>
  <c r="S244" i="71"/>
  <c r="R244" i="71"/>
  <c r="Q244" i="71"/>
  <c r="P244" i="71"/>
  <c r="O244" i="71"/>
  <c r="N244" i="71"/>
  <c r="M244" i="71"/>
  <c r="L244" i="71"/>
  <c r="K244" i="71"/>
  <c r="J244" i="71"/>
  <c r="I244" i="71"/>
  <c r="H244" i="71"/>
  <c r="G244" i="71"/>
  <c r="F244" i="71"/>
  <c r="E244" i="71"/>
  <c r="D244" i="71"/>
  <c r="C244" i="71"/>
  <c r="B244" i="71"/>
  <c r="AI130" i="71"/>
  <c r="AH130" i="71"/>
  <c r="AI129" i="71"/>
  <c r="AH129" i="71"/>
  <c r="AI128" i="71"/>
  <c r="AH128" i="71"/>
  <c r="AI127" i="71"/>
  <c r="AH127" i="71"/>
  <c r="AI126" i="71"/>
  <c r="AH126" i="71"/>
  <c r="AI122" i="71"/>
  <c r="AH122" i="71"/>
  <c r="AI120" i="71"/>
  <c r="AH120" i="71"/>
  <c r="AI119" i="71"/>
  <c r="AH119" i="71"/>
  <c r="Z118" i="71"/>
  <c r="AI117" i="71"/>
  <c r="AH117" i="71"/>
  <c r="AI116" i="71"/>
  <c r="AH116" i="71"/>
  <c r="AI115" i="71"/>
  <c r="AH115" i="71"/>
  <c r="AI114" i="71"/>
  <c r="AH114" i="71"/>
  <c r="AI113" i="71"/>
  <c r="AH113" i="71"/>
  <c r="AI112" i="71"/>
  <c r="AH112" i="71"/>
  <c r="AI111" i="71"/>
  <c r="AH111" i="71"/>
  <c r="AI110" i="71"/>
  <c r="AH110" i="71"/>
  <c r="AI109" i="71"/>
  <c r="AH109" i="71"/>
  <c r="AI106" i="71"/>
  <c r="AH106" i="71"/>
  <c r="AE105" i="71"/>
  <c r="AD105" i="71"/>
  <c r="AB105" i="71"/>
  <c r="AA105" i="71"/>
  <c r="Z105" i="71"/>
  <c r="Y105" i="71"/>
  <c r="X105" i="71"/>
  <c r="W105" i="71"/>
  <c r="V105" i="71"/>
  <c r="U105" i="71"/>
  <c r="T105" i="71"/>
  <c r="S105" i="71"/>
  <c r="R105" i="71"/>
  <c r="Q105" i="71"/>
  <c r="P105" i="71"/>
  <c r="O105" i="71"/>
  <c r="N105" i="71"/>
  <c r="M105" i="71"/>
  <c r="L105" i="71"/>
  <c r="K105" i="71"/>
  <c r="J105" i="71"/>
  <c r="I105" i="71"/>
  <c r="H105" i="71"/>
  <c r="G105" i="71"/>
  <c r="F105" i="71"/>
  <c r="E105" i="71"/>
  <c r="C105" i="71"/>
  <c r="AE104" i="71"/>
  <c r="AD104" i="71"/>
  <c r="AB104" i="71"/>
  <c r="AA104" i="71"/>
  <c r="Z104" i="71"/>
  <c r="Y104" i="71"/>
  <c r="X104" i="71"/>
  <c r="W104" i="71"/>
  <c r="V104" i="71"/>
  <c r="U104" i="71"/>
  <c r="T104" i="71"/>
  <c r="S104" i="71"/>
  <c r="R104" i="71"/>
  <c r="Q104" i="71"/>
  <c r="P104" i="71"/>
  <c r="O104" i="71"/>
  <c r="N104" i="71"/>
  <c r="M104" i="71"/>
  <c r="L104" i="71"/>
  <c r="K104" i="71"/>
  <c r="J104" i="71"/>
  <c r="I104" i="71"/>
  <c r="H104" i="71"/>
  <c r="G104" i="71"/>
  <c r="F104" i="71"/>
  <c r="E104" i="71"/>
  <c r="C104" i="71"/>
  <c r="AE103" i="71"/>
  <c r="AD103" i="71"/>
  <c r="AB103" i="71"/>
  <c r="AA103" i="71"/>
  <c r="Z103" i="71"/>
  <c r="Y103" i="71"/>
  <c r="X103" i="71"/>
  <c r="W103" i="71"/>
  <c r="V103" i="71"/>
  <c r="U103" i="71"/>
  <c r="T103" i="71"/>
  <c r="S103" i="71"/>
  <c r="R103" i="71"/>
  <c r="Q103" i="71"/>
  <c r="P103" i="71"/>
  <c r="O103" i="71"/>
  <c r="N103" i="71"/>
  <c r="M103" i="71"/>
  <c r="L103" i="71"/>
  <c r="K103" i="71"/>
  <c r="J103" i="71"/>
  <c r="I103" i="71"/>
  <c r="H103" i="71"/>
  <c r="G103" i="71"/>
  <c r="F103" i="71"/>
  <c r="E103" i="71"/>
  <c r="C103" i="71"/>
  <c r="AE102" i="71"/>
  <c r="AD102" i="71"/>
  <c r="AB102" i="71"/>
  <c r="AA102" i="71"/>
  <c r="Z102" i="71"/>
  <c r="Y102" i="71"/>
  <c r="X102" i="71"/>
  <c r="W102" i="71"/>
  <c r="V102" i="71"/>
  <c r="U102" i="71"/>
  <c r="T102" i="71"/>
  <c r="S102" i="71"/>
  <c r="R102" i="71"/>
  <c r="Q102" i="71"/>
  <c r="P102" i="71"/>
  <c r="O102" i="71"/>
  <c r="N102" i="71"/>
  <c r="M102" i="71"/>
  <c r="L102" i="71"/>
  <c r="K102" i="71"/>
  <c r="J102" i="71"/>
  <c r="I102" i="71"/>
  <c r="H102" i="71"/>
  <c r="G102" i="71"/>
  <c r="F102" i="71"/>
  <c r="E102" i="71"/>
  <c r="C102" i="71"/>
  <c r="AE101" i="71"/>
  <c r="AD101" i="71"/>
  <c r="AD107" i="71" s="1"/>
  <c r="AB101" i="71"/>
  <c r="AA101" i="71"/>
  <c r="Z101" i="71"/>
  <c r="Z107" i="71" s="1"/>
  <c r="Y101" i="71"/>
  <c r="Y107" i="71" s="1"/>
  <c r="X101" i="71"/>
  <c r="W101" i="71"/>
  <c r="V101" i="71"/>
  <c r="V107" i="71" s="1"/>
  <c r="U101" i="71"/>
  <c r="T101" i="71"/>
  <c r="S101" i="71"/>
  <c r="R101" i="71"/>
  <c r="Q101" i="71"/>
  <c r="P101" i="71"/>
  <c r="O101" i="71"/>
  <c r="N101" i="71"/>
  <c r="M101" i="71"/>
  <c r="L101" i="71"/>
  <c r="K101" i="71"/>
  <c r="J101" i="71"/>
  <c r="I101" i="71"/>
  <c r="H101" i="71"/>
  <c r="G101" i="71"/>
  <c r="F101" i="71"/>
  <c r="E101" i="71"/>
  <c r="C101" i="71"/>
  <c r="AI98" i="71"/>
  <c r="AH98" i="71"/>
  <c r="AI96" i="71"/>
  <c r="AH96" i="71"/>
  <c r="AG96" i="71"/>
  <c r="AI95" i="71"/>
  <c r="AH95" i="71"/>
  <c r="AI94" i="71"/>
  <c r="AH94" i="71"/>
  <c r="AI93" i="71"/>
  <c r="AH93" i="71"/>
  <c r="AG92" i="71"/>
  <c r="AE92" i="71"/>
  <c r="AD5" i="71" s="1"/>
  <c r="AD92" i="71"/>
  <c r="AD108" i="71" s="1"/>
  <c r="AB92" i="71"/>
  <c r="AA5" i="71" s="1"/>
  <c r="AA92" i="71"/>
  <c r="Z92" i="71"/>
  <c r="Y92" i="71"/>
  <c r="X5" i="71" s="1"/>
  <c r="X92" i="71"/>
  <c r="W5" i="71" s="1"/>
  <c r="W92" i="71"/>
  <c r="V5" i="71" s="1"/>
  <c r="V92" i="71"/>
  <c r="V108" i="71" s="1"/>
  <c r="U92" i="71"/>
  <c r="T5" i="71" s="1"/>
  <c r="T92" i="71"/>
  <c r="S5" i="71" s="1"/>
  <c r="S92" i="71"/>
  <c r="R92" i="71"/>
  <c r="Q5" i="71" s="1"/>
  <c r="Q92" i="71"/>
  <c r="P5" i="71" s="1"/>
  <c r="P92" i="71"/>
  <c r="O5" i="71" s="1"/>
  <c r="O92" i="71"/>
  <c r="N5" i="71" s="1"/>
  <c r="N92" i="71"/>
  <c r="M5" i="71" s="1"/>
  <c r="M92" i="71"/>
  <c r="L5" i="71" s="1"/>
  <c r="L92" i="71"/>
  <c r="K5" i="71" s="1"/>
  <c r="K92" i="71"/>
  <c r="J92" i="71"/>
  <c r="I5" i="71" s="1"/>
  <c r="I92" i="71"/>
  <c r="H5" i="71" s="1"/>
  <c r="H92" i="71"/>
  <c r="G5" i="71" s="1"/>
  <c r="G92" i="71"/>
  <c r="F5" i="71" s="1"/>
  <c r="F92" i="71"/>
  <c r="E5" i="71" s="1"/>
  <c r="E92" i="71"/>
  <c r="D5" i="71" s="1"/>
  <c r="C92" i="71"/>
  <c r="AI91" i="71"/>
  <c r="AH91" i="71"/>
  <c r="AI90" i="71"/>
  <c r="AH90" i="71"/>
  <c r="AI89" i="71"/>
  <c r="AH89" i="71"/>
  <c r="AI88" i="71"/>
  <c r="AH88" i="71"/>
  <c r="AI87" i="71"/>
  <c r="AH87" i="71"/>
  <c r="AI86" i="71"/>
  <c r="AH86" i="71"/>
  <c r="AI85" i="71"/>
  <c r="AH85" i="71"/>
  <c r="AI84" i="71"/>
  <c r="AH84" i="71"/>
  <c r="AI83" i="71"/>
  <c r="AH83" i="71"/>
  <c r="AI82" i="71"/>
  <c r="AH82" i="71"/>
  <c r="AI81" i="71"/>
  <c r="AH81" i="71"/>
  <c r="AG80" i="71"/>
  <c r="AG4" i="71" s="1"/>
  <c r="AD80" i="71"/>
  <c r="AB80" i="71"/>
  <c r="AA80" i="71"/>
  <c r="Z80" i="71"/>
  <c r="Y80" i="71"/>
  <c r="X80" i="71"/>
  <c r="W80" i="71"/>
  <c r="V80" i="71"/>
  <c r="U80" i="71"/>
  <c r="T80" i="71"/>
  <c r="S80" i="71"/>
  <c r="R80" i="71"/>
  <c r="Q80" i="71"/>
  <c r="P80" i="71"/>
  <c r="O80" i="71"/>
  <c r="N80" i="71"/>
  <c r="M80" i="71"/>
  <c r="L80" i="71"/>
  <c r="K80" i="71"/>
  <c r="J80" i="71"/>
  <c r="I80" i="71"/>
  <c r="H80" i="71"/>
  <c r="G80" i="71"/>
  <c r="F80" i="71"/>
  <c r="E80" i="71"/>
  <c r="C80" i="71"/>
  <c r="AI79" i="71"/>
  <c r="AH79" i="71"/>
  <c r="AI78" i="71"/>
  <c r="AH78" i="71"/>
  <c r="AI77" i="71"/>
  <c r="AH77" i="71"/>
  <c r="AG76" i="71"/>
  <c r="AG3" i="71" s="1"/>
  <c r="AD76" i="71"/>
  <c r="AB76" i="71"/>
  <c r="AA76" i="71"/>
  <c r="Z76" i="71"/>
  <c r="Y76" i="71"/>
  <c r="X76" i="71"/>
  <c r="W76" i="71"/>
  <c r="V76" i="71"/>
  <c r="U76" i="71"/>
  <c r="T76" i="71"/>
  <c r="S76" i="71"/>
  <c r="R76" i="71"/>
  <c r="Q76" i="71"/>
  <c r="P76" i="71"/>
  <c r="O76" i="71"/>
  <c r="N76" i="71"/>
  <c r="M76" i="71"/>
  <c r="L76" i="71"/>
  <c r="K76" i="71"/>
  <c r="J76" i="71"/>
  <c r="I76" i="71"/>
  <c r="H76" i="71"/>
  <c r="G76" i="71"/>
  <c r="F76" i="71"/>
  <c r="E76" i="71"/>
  <c r="C76" i="71"/>
  <c r="AI75" i="71"/>
  <c r="AH75" i="71"/>
  <c r="AG75" i="71"/>
  <c r="AI74" i="71"/>
  <c r="AH74" i="71"/>
  <c r="AI73" i="71"/>
  <c r="AH73" i="71"/>
  <c r="AI72" i="71"/>
  <c r="AH72" i="71"/>
  <c r="AI71" i="71"/>
  <c r="AH71" i="71"/>
  <c r="AI70" i="71"/>
  <c r="AH70" i="71"/>
  <c r="AI69" i="71"/>
  <c r="AH69" i="71"/>
  <c r="AI68" i="71"/>
  <c r="AH68" i="71"/>
  <c r="AI67" i="71"/>
  <c r="AH67" i="71"/>
  <c r="AI66" i="71"/>
  <c r="AH66" i="71"/>
  <c r="AI65" i="71"/>
  <c r="AH65" i="71"/>
  <c r="AI64" i="71"/>
  <c r="AH64" i="71"/>
  <c r="AI63" i="71"/>
  <c r="AH63" i="71"/>
  <c r="AG62" i="71"/>
  <c r="AD62" i="71"/>
  <c r="AB62" i="71"/>
  <c r="AA62" i="71"/>
  <c r="Z62" i="71"/>
  <c r="Y62" i="71"/>
  <c r="X62" i="71"/>
  <c r="W62" i="71"/>
  <c r="V62" i="71"/>
  <c r="U62" i="71"/>
  <c r="T62" i="71"/>
  <c r="S62" i="71"/>
  <c r="R62" i="71"/>
  <c r="Q62" i="71"/>
  <c r="P62" i="71"/>
  <c r="O62" i="71"/>
  <c r="M62" i="71"/>
  <c r="L62" i="71"/>
  <c r="K62" i="71"/>
  <c r="J62" i="71"/>
  <c r="I62" i="71"/>
  <c r="H62" i="71"/>
  <c r="G62" i="71"/>
  <c r="F62" i="71"/>
  <c r="E62" i="71"/>
  <c r="C62" i="71"/>
  <c r="AI61" i="71"/>
  <c r="AH61" i="71"/>
  <c r="AI60" i="71"/>
  <c r="AH60" i="71"/>
  <c r="AI59" i="71"/>
  <c r="AH59" i="71"/>
  <c r="AG58" i="71"/>
  <c r="AG97" i="71" s="1"/>
  <c r="AD58" i="71"/>
  <c r="AB58" i="71"/>
  <c r="AA58" i="71"/>
  <c r="Z58" i="71"/>
  <c r="Y58" i="71"/>
  <c r="X58" i="71"/>
  <c r="W58" i="71"/>
  <c r="V58" i="71"/>
  <c r="U58" i="71"/>
  <c r="T58" i="71"/>
  <c r="S58" i="71"/>
  <c r="R58" i="71"/>
  <c r="Q58" i="71"/>
  <c r="P58" i="71"/>
  <c r="O58" i="71"/>
  <c r="M58" i="71"/>
  <c r="L58" i="71"/>
  <c r="K58" i="71"/>
  <c r="J58" i="71"/>
  <c r="I58" i="71"/>
  <c r="H58" i="71"/>
  <c r="G58" i="71"/>
  <c r="F58" i="71"/>
  <c r="E58" i="71"/>
  <c r="AI56" i="71"/>
  <c r="AH56" i="71"/>
  <c r="AI55" i="71"/>
  <c r="AH55" i="71"/>
  <c r="AI54" i="71"/>
  <c r="AH54" i="71"/>
  <c r="AI53" i="71"/>
  <c r="AH53" i="71"/>
  <c r="AI52" i="71"/>
  <c r="AH52" i="71"/>
  <c r="AI51" i="71"/>
  <c r="AH51" i="71"/>
  <c r="AI50" i="71"/>
  <c r="AH50" i="71"/>
  <c r="AI49" i="71"/>
  <c r="AH49" i="71"/>
  <c r="AI48" i="71"/>
  <c r="AH48" i="71"/>
  <c r="AI47" i="71"/>
  <c r="AH47" i="71"/>
  <c r="AI46" i="71"/>
  <c r="AH46" i="71"/>
  <c r="AI45" i="71"/>
  <c r="AH45" i="71"/>
  <c r="AI44" i="71"/>
  <c r="AH44" i="71"/>
  <c r="AI43" i="71"/>
  <c r="AH43" i="71"/>
  <c r="AI42" i="71"/>
  <c r="AH42" i="71"/>
  <c r="AI41" i="71"/>
  <c r="AH41" i="71"/>
  <c r="AI40" i="71"/>
  <c r="AH40" i="71"/>
  <c r="AI39" i="71"/>
  <c r="AH39" i="71"/>
  <c r="AI38" i="71"/>
  <c r="AH38" i="71"/>
  <c r="AI37" i="71"/>
  <c r="AH37" i="71"/>
  <c r="AI36" i="71"/>
  <c r="AH36" i="71"/>
  <c r="AI35" i="71"/>
  <c r="AH35" i="71"/>
  <c r="AI34" i="71"/>
  <c r="AH34" i="71"/>
  <c r="AI33" i="71"/>
  <c r="AH33" i="71"/>
  <c r="AI32" i="71"/>
  <c r="AH32" i="71"/>
  <c r="AI31" i="71"/>
  <c r="AH31" i="71"/>
  <c r="AI30" i="71"/>
  <c r="AH30" i="71"/>
  <c r="AI29" i="71"/>
  <c r="AH29" i="71"/>
  <c r="AI28" i="71"/>
  <c r="AH28" i="71"/>
  <c r="AI27" i="71"/>
  <c r="AH27" i="71"/>
  <c r="AI26" i="71"/>
  <c r="AH26" i="71"/>
  <c r="AI25" i="71"/>
  <c r="AH25" i="71"/>
  <c r="AI24" i="71"/>
  <c r="AH24" i="71"/>
  <c r="AI23" i="71"/>
  <c r="AH23" i="71"/>
  <c r="AI22" i="71"/>
  <c r="AH22" i="71"/>
  <c r="AI21" i="71"/>
  <c r="AH21" i="71"/>
  <c r="AI20" i="71"/>
  <c r="AH20" i="71"/>
  <c r="AI19" i="71"/>
  <c r="AH19" i="71"/>
  <c r="AI18" i="71"/>
  <c r="AH18" i="71"/>
  <c r="AI17" i="71"/>
  <c r="AH17" i="71"/>
  <c r="AI16" i="71"/>
  <c r="AH16" i="71"/>
  <c r="AI15" i="71"/>
  <c r="AH15" i="71"/>
  <c r="AI14" i="71"/>
  <c r="AH14" i="71"/>
  <c r="AI13" i="71"/>
  <c r="AH13" i="71"/>
  <c r="AI12" i="71"/>
  <c r="AH12" i="71"/>
  <c r="AI11" i="71"/>
  <c r="AH11" i="71"/>
  <c r="AE5" i="71"/>
  <c r="AB5" i="71"/>
  <c r="K4" i="71"/>
  <c r="E4" i="71"/>
  <c r="H4" i="71" s="1"/>
  <c r="B4" i="71"/>
  <c r="S258" i="71" s="1"/>
  <c r="AG2" i="71"/>
  <c r="AG6" i="71" s="1"/>
  <c r="AF123" i="70"/>
  <c r="AF121" i="70"/>
  <c r="AF57" i="70"/>
  <c r="AF58" i="70"/>
  <c r="AF62" i="70"/>
  <c r="AE123" i="70"/>
  <c r="AE121" i="70"/>
  <c r="AE85" i="70"/>
  <c r="AE57" i="70"/>
  <c r="AE58" i="70"/>
  <c r="AE62" i="70"/>
  <c r="AE76" i="70"/>
  <c r="AE80" i="70"/>
  <c r="AD123" i="70"/>
  <c r="AD121" i="70"/>
  <c r="AD57" i="70"/>
  <c r="AC123" i="70"/>
  <c r="AC121" i="70"/>
  <c r="AC57" i="70"/>
  <c r="AB123" i="70"/>
  <c r="AB121" i="70"/>
  <c r="AB57" i="70"/>
  <c r="AA123" i="70"/>
  <c r="Z123" i="70"/>
  <c r="X123" i="70"/>
  <c r="W123" i="70"/>
  <c r="V123" i="70"/>
  <c r="U58" i="70"/>
  <c r="U62" i="70"/>
  <c r="U76" i="70"/>
  <c r="U92" i="70"/>
  <c r="U101" i="70"/>
  <c r="U102" i="70"/>
  <c r="U103" i="70"/>
  <c r="U104" i="70"/>
  <c r="U105" i="70"/>
  <c r="U123" i="70"/>
  <c r="AE97" i="71" l="1"/>
  <c r="AE99" i="71" s="1"/>
  <c r="AC5" i="71"/>
  <c r="AD97" i="71"/>
  <c r="AD99" i="71" s="1"/>
  <c r="AB97" i="71"/>
  <c r="AB99" i="71" s="1"/>
  <c r="AA97" i="71"/>
  <c r="AA99" i="71" s="1"/>
  <c r="Z108" i="71"/>
  <c r="Y5" i="71"/>
  <c r="Z97" i="71"/>
  <c r="Z99" i="71" s="1"/>
  <c r="Y97" i="71"/>
  <c r="Y99" i="71" s="1"/>
  <c r="X107" i="71"/>
  <c r="X97" i="71"/>
  <c r="X99" i="71" s="1"/>
  <c r="W97" i="71"/>
  <c r="W99" i="71" s="1"/>
  <c r="U5" i="71"/>
  <c r="V97" i="71"/>
  <c r="V99" i="71" s="1"/>
  <c r="U97" i="71"/>
  <c r="U99" i="71" s="1"/>
  <c r="T97" i="71"/>
  <c r="T99" i="71" s="1"/>
  <c r="S97" i="71"/>
  <c r="S99" i="71" s="1"/>
  <c r="R107" i="71"/>
  <c r="R108" i="71"/>
  <c r="R97" i="71"/>
  <c r="R99" i="71" s="1"/>
  <c r="Q107" i="71"/>
  <c r="Q97" i="71"/>
  <c r="Q99" i="71" s="1"/>
  <c r="P97" i="71"/>
  <c r="P99" i="71" s="1"/>
  <c r="P107" i="71"/>
  <c r="O97" i="71"/>
  <c r="O99" i="71" s="1"/>
  <c r="N97" i="71"/>
  <c r="N99" i="71" s="1"/>
  <c r="AF261" i="71" s="1"/>
  <c r="N107" i="71"/>
  <c r="N108" i="71" s="1"/>
  <c r="M97" i="71"/>
  <c r="M99" i="71" s="1"/>
  <c r="AE261" i="71" s="1"/>
  <c r="AH123" i="71"/>
  <c r="L97" i="71"/>
  <c r="L99" i="71" s="1"/>
  <c r="AD261" i="71" s="1"/>
  <c r="K97" i="71"/>
  <c r="K99" i="71" s="1"/>
  <c r="J107" i="71"/>
  <c r="J97" i="71"/>
  <c r="J99" i="71" s="1"/>
  <c r="AB261" i="71" s="1"/>
  <c r="AI123" i="71"/>
  <c r="AH121" i="71"/>
  <c r="I107" i="71"/>
  <c r="I108" i="71"/>
  <c r="I97" i="71"/>
  <c r="I99" i="71" s="1"/>
  <c r="AA261" i="71" s="1"/>
  <c r="H107" i="71"/>
  <c r="H108" i="71" s="1"/>
  <c r="H97" i="71"/>
  <c r="H99" i="71" s="1"/>
  <c r="G97" i="71"/>
  <c r="G99" i="71" s="1"/>
  <c r="Y261" i="71" s="1"/>
  <c r="F107" i="71"/>
  <c r="F108" i="71" s="1"/>
  <c r="F97" i="71"/>
  <c r="F99" i="71" s="1"/>
  <c r="F100" i="71" s="1"/>
  <c r="F7" i="71" s="1"/>
  <c r="AI57" i="71"/>
  <c r="AI103" i="71"/>
  <c r="E97" i="71"/>
  <c r="E99" i="71" s="1"/>
  <c r="AH57" i="71"/>
  <c r="D107" i="71"/>
  <c r="D108" i="71" s="1"/>
  <c r="D97" i="71"/>
  <c r="D99" i="71" s="1"/>
  <c r="AI80" i="71"/>
  <c r="AI104" i="71"/>
  <c r="AI121" i="71"/>
  <c r="C97" i="71"/>
  <c r="C99" i="71" s="1"/>
  <c r="U261" i="71" s="1"/>
  <c r="AI76" i="71"/>
  <c r="B107" i="71"/>
  <c r="B97" i="71"/>
  <c r="B99" i="71" s="1"/>
  <c r="B100" i="71" s="1"/>
  <c r="AI92" i="71"/>
  <c r="B108" i="71"/>
  <c r="AH76" i="71"/>
  <c r="AH103" i="71"/>
  <c r="AJ261" i="71"/>
  <c r="R100" i="71"/>
  <c r="R7" i="71" s="1"/>
  <c r="AR261" i="71"/>
  <c r="Z100" i="71"/>
  <c r="Z7" i="71" s="1"/>
  <c r="AN261" i="71"/>
  <c r="V100" i="71"/>
  <c r="V7" i="71" s="1"/>
  <c r="AV261" i="71"/>
  <c r="AD100" i="71"/>
  <c r="AD7" i="71" s="1"/>
  <c r="P100" i="71"/>
  <c r="P7" i="71" s="1"/>
  <c r="AH261" i="71"/>
  <c r="AT261" i="71"/>
  <c r="X100" i="71"/>
  <c r="X7" i="71" s="1"/>
  <c r="AP261" i="71"/>
  <c r="AF7" i="71"/>
  <c r="AX261" i="71"/>
  <c r="AU261" i="71"/>
  <c r="AH101" i="71"/>
  <c r="D252" i="71"/>
  <c r="E246" i="71"/>
  <c r="AI62" i="71"/>
  <c r="AG99" i="71"/>
  <c r="C107" i="71"/>
  <c r="C108" i="71" s="1"/>
  <c r="K107" i="71"/>
  <c r="K108" i="71" s="1"/>
  <c r="S107" i="71"/>
  <c r="S108" i="71" s="1"/>
  <c r="AA107" i="71"/>
  <c r="AA100" i="71" s="1"/>
  <c r="AA7" i="71" s="1"/>
  <c r="W261" i="71"/>
  <c r="N100" i="71"/>
  <c r="N7" i="71" s="1"/>
  <c r="AH105" i="71"/>
  <c r="AO261" i="71"/>
  <c r="AI101" i="71"/>
  <c r="AI261" i="71"/>
  <c r="Q100" i="71"/>
  <c r="Q7" i="71" s="1"/>
  <c r="AQ261" i="71"/>
  <c r="Y100" i="71"/>
  <c r="Y7" i="71" s="1"/>
  <c r="J108" i="71"/>
  <c r="L107" i="71"/>
  <c r="L108" i="71" s="1"/>
  <c r="T107" i="71"/>
  <c r="T100" i="71" s="1"/>
  <c r="T7" i="71" s="1"/>
  <c r="AB107" i="71"/>
  <c r="AB100" i="71" s="1"/>
  <c r="AB7" i="71" s="1"/>
  <c r="Q108" i="71"/>
  <c r="C282" i="71"/>
  <c r="E251" i="71"/>
  <c r="V261" i="71"/>
  <c r="AG261" i="71"/>
  <c r="P108" i="71"/>
  <c r="AI102" i="71"/>
  <c r="AI58" i="71"/>
  <c r="AH80" i="71"/>
  <c r="B5" i="71"/>
  <c r="J5" i="71"/>
  <c r="R5" i="71"/>
  <c r="Z5" i="71"/>
  <c r="AL261" i="71"/>
  <c r="E107" i="71"/>
  <c r="E108" i="71" s="1"/>
  <c r="M107" i="71"/>
  <c r="U107" i="71"/>
  <c r="U100" i="71" s="1"/>
  <c r="U7" i="71" s="1"/>
  <c r="AC7" i="71"/>
  <c r="AS261" i="71"/>
  <c r="Y108" i="71"/>
  <c r="AM261" i="71"/>
  <c r="AW261" i="71"/>
  <c r="X108" i="71"/>
  <c r="AK261" i="71"/>
  <c r="G107" i="71"/>
  <c r="G108" i="71" s="1"/>
  <c r="O107" i="71"/>
  <c r="O108" i="71" s="1"/>
  <c r="W107" i="71"/>
  <c r="W108" i="71" s="1"/>
  <c r="AE107" i="71"/>
  <c r="AE108" i="71" s="1"/>
  <c r="AI105" i="71"/>
  <c r="D258" i="71"/>
  <c r="AH92" i="71"/>
  <c r="AH102" i="71"/>
  <c r="AH58" i="71"/>
  <c r="AH62" i="71"/>
  <c r="AH104" i="71"/>
  <c r="U107" i="70"/>
  <c r="U108" i="70" s="1"/>
  <c r="U97" i="70"/>
  <c r="U99" i="70" s="1"/>
  <c r="T123" i="70"/>
  <c r="S57" i="70"/>
  <c r="R57" i="70"/>
  <c r="R123" i="70"/>
  <c r="AE100" i="71" l="1"/>
  <c r="AE7" i="71" s="1"/>
  <c r="AB108" i="71"/>
  <c r="AA108" i="71"/>
  <c r="U108" i="71"/>
  <c r="M100" i="71"/>
  <c r="M7" i="71" s="1"/>
  <c r="S100" i="71"/>
  <c r="S7" i="71" s="1"/>
  <c r="M108" i="71"/>
  <c r="L100" i="71"/>
  <c r="L7" i="71" s="1"/>
  <c r="K100" i="71"/>
  <c r="K7" i="71" s="1"/>
  <c r="AC261" i="71"/>
  <c r="J100" i="71"/>
  <c r="J7" i="71" s="1"/>
  <c r="I100" i="71"/>
  <c r="I7" i="71" s="1"/>
  <c r="H100" i="71"/>
  <c r="H7" i="71" s="1"/>
  <c r="Z261" i="71"/>
  <c r="B256" i="71"/>
  <c r="C256" i="71"/>
  <c r="X261" i="71"/>
  <c r="E100" i="71"/>
  <c r="E7" i="71" s="1"/>
  <c r="D100" i="71"/>
  <c r="D7" i="71" s="1"/>
  <c r="C100" i="71"/>
  <c r="C7" i="71" s="1"/>
  <c r="AH107" i="71"/>
  <c r="F251" i="71"/>
  <c r="D282" i="71"/>
  <c r="AI107" i="71"/>
  <c r="O100" i="71"/>
  <c r="O7" i="71" s="1"/>
  <c r="AI97" i="71"/>
  <c r="AH97" i="71"/>
  <c r="T108" i="71"/>
  <c r="AI108" i="71" s="1"/>
  <c r="W100" i="71"/>
  <c r="W7" i="71" s="1"/>
  <c r="F246" i="71"/>
  <c r="E118" i="71"/>
  <c r="E252" i="71"/>
  <c r="G100" i="71"/>
  <c r="G7" i="71" s="1"/>
  <c r="U100" i="70"/>
  <c r="Q123" i="70"/>
  <c r="Q57" i="70"/>
  <c r="P92" i="70"/>
  <c r="P57" i="70"/>
  <c r="P123" i="70"/>
  <c r="O57" i="70"/>
  <c r="N123" i="70"/>
  <c r="N57" i="70"/>
  <c r="AH108" i="71" l="1"/>
  <c r="K6" i="71"/>
  <c r="G246" i="71"/>
  <c r="F252" i="71"/>
  <c r="F118" i="71"/>
  <c r="T261" i="71"/>
  <c r="AI99" i="71"/>
  <c r="AH99" i="71"/>
  <c r="E282" i="71"/>
  <c r="G251" i="71"/>
  <c r="B7" i="71" l="1"/>
  <c r="A7" i="71" s="1"/>
  <c r="AH100" i="71"/>
  <c r="AI100" i="71"/>
  <c r="F282" i="71"/>
  <c r="H251" i="71"/>
  <c r="H246" i="71"/>
  <c r="G252" i="71"/>
  <c r="G118" i="71"/>
  <c r="I246" i="71" l="1"/>
  <c r="H118" i="71"/>
  <c r="H252" i="71"/>
  <c r="G282" i="71"/>
  <c r="I251" i="71"/>
  <c r="H282" i="71" l="1"/>
  <c r="J251" i="71"/>
  <c r="I118" i="71"/>
  <c r="I252" i="71"/>
  <c r="J246" i="71"/>
  <c r="J118" i="71" l="1"/>
  <c r="J252" i="71"/>
  <c r="K246" i="71"/>
  <c r="K251" i="71"/>
  <c r="I282" i="71"/>
  <c r="J282" i="71" l="1"/>
  <c r="L251" i="71"/>
  <c r="K118" i="71"/>
  <c r="K252" i="71"/>
  <c r="L246" i="71"/>
  <c r="K282" i="71" l="1"/>
  <c r="M251" i="71"/>
  <c r="L252" i="71"/>
  <c r="M246" i="71"/>
  <c r="L118" i="71"/>
  <c r="N246" i="71" l="1"/>
  <c r="M118" i="71"/>
  <c r="M252" i="71"/>
  <c r="L282" i="71"/>
  <c r="N251" i="71"/>
  <c r="M282" i="71" l="1"/>
  <c r="O251" i="71"/>
  <c r="O246" i="71"/>
  <c r="N252" i="71"/>
  <c r="N118" i="71"/>
  <c r="P246" i="71" l="1"/>
  <c r="O252" i="71"/>
  <c r="O118" i="71"/>
  <c r="N282" i="71"/>
  <c r="P251" i="71"/>
  <c r="O282" i="71" l="1"/>
  <c r="Q251" i="71"/>
  <c r="Q246" i="71"/>
  <c r="P252" i="71"/>
  <c r="Q252" i="71" l="1"/>
  <c r="Q118" i="71"/>
  <c r="R246" i="71"/>
  <c r="P282" i="71"/>
  <c r="R251" i="71"/>
  <c r="S251" i="71" l="1"/>
  <c r="Q282" i="71"/>
  <c r="R252" i="71"/>
  <c r="R118" i="71"/>
  <c r="S246" i="71"/>
  <c r="S252" i="71" l="1"/>
  <c r="S118" i="71"/>
  <c r="T246" i="71"/>
  <c r="R282" i="71"/>
  <c r="T251" i="71"/>
  <c r="S282" i="71" l="1"/>
  <c r="U251" i="71"/>
  <c r="T252" i="71"/>
  <c r="T118" i="71"/>
  <c r="U246" i="71"/>
  <c r="V246" i="71" l="1"/>
  <c r="U118" i="71"/>
  <c r="U252" i="71"/>
  <c r="V251" i="71"/>
  <c r="T282" i="71"/>
  <c r="M123" i="70"/>
  <c r="M57" i="70"/>
  <c r="L123" i="70"/>
  <c r="L57" i="70"/>
  <c r="K123" i="70"/>
  <c r="K57" i="70"/>
  <c r="J123" i="70"/>
  <c r="J57" i="70"/>
  <c r="I123" i="70"/>
  <c r="I57" i="70"/>
  <c r="H123" i="70"/>
  <c r="H57" i="70"/>
  <c r="G57" i="70"/>
  <c r="U282" i="71" l="1"/>
  <c r="W251" i="71"/>
  <c r="W246" i="71"/>
  <c r="V252" i="71"/>
  <c r="V118" i="71"/>
  <c r="G123" i="70"/>
  <c r="X246" i="71" l="1"/>
  <c r="W252" i="71"/>
  <c r="W118" i="71"/>
  <c r="V282" i="71"/>
  <c r="X251" i="71"/>
  <c r="F123" i="70"/>
  <c r="F57" i="70"/>
  <c r="E123" i="70"/>
  <c r="E57" i="70"/>
  <c r="W282" i="71" l="1"/>
  <c r="Y251" i="71"/>
  <c r="Y246" i="71"/>
  <c r="X252" i="71"/>
  <c r="X118" i="71"/>
  <c r="D123" i="70"/>
  <c r="D58" i="70"/>
  <c r="D62" i="70"/>
  <c r="D76" i="70"/>
  <c r="D80" i="70"/>
  <c r="D92" i="70"/>
  <c r="D101" i="70"/>
  <c r="D102" i="70"/>
  <c r="D103" i="70"/>
  <c r="D104" i="70"/>
  <c r="D105" i="70"/>
  <c r="C123" i="70"/>
  <c r="C118" i="70" s="1"/>
  <c r="C58" i="70"/>
  <c r="C62" i="70"/>
  <c r="C76" i="70"/>
  <c r="C80" i="70"/>
  <c r="C92" i="70"/>
  <c r="C101" i="70"/>
  <c r="C102" i="70"/>
  <c r="C103" i="70"/>
  <c r="C104" i="70"/>
  <c r="C105" i="70"/>
  <c r="B123" i="70"/>
  <c r="B105" i="70"/>
  <c r="B104" i="70"/>
  <c r="B103" i="70"/>
  <c r="B102" i="70"/>
  <c r="B101" i="70"/>
  <c r="B92" i="70"/>
  <c r="B80" i="70"/>
  <c r="B76" i="70"/>
  <c r="B62" i="70"/>
  <c r="B58" i="70"/>
  <c r="AF286" i="70"/>
  <c r="AE286" i="70"/>
  <c r="AD286" i="70"/>
  <c r="AC286" i="70"/>
  <c r="AB286" i="70"/>
  <c r="AA286" i="70"/>
  <c r="Z286" i="70"/>
  <c r="Y286" i="70"/>
  <c r="X286" i="70"/>
  <c r="W286" i="70"/>
  <c r="V286" i="70"/>
  <c r="U286" i="70"/>
  <c r="T286" i="70"/>
  <c r="S286" i="70"/>
  <c r="R286" i="70"/>
  <c r="Q286" i="70"/>
  <c r="P286" i="70"/>
  <c r="O286" i="70"/>
  <c r="N286" i="70"/>
  <c r="M286" i="70"/>
  <c r="L286" i="70"/>
  <c r="K286" i="70"/>
  <c r="J286" i="70"/>
  <c r="I286" i="70"/>
  <c r="H286" i="70"/>
  <c r="G286" i="70"/>
  <c r="F286" i="70"/>
  <c r="E286" i="70"/>
  <c r="D286" i="70"/>
  <c r="C286" i="70"/>
  <c r="B286" i="70"/>
  <c r="A286" i="70"/>
  <c r="AF285" i="70"/>
  <c r="AE285" i="70"/>
  <c r="AD285" i="70"/>
  <c r="AC285" i="70"/>
  <c r="AB285" i="70"/>
  <c r="AA285" i="70"/>
  <c r="Z285" i="70"/>
  <c r="Y285" i="70"/>
  <c r="X285" i="70"/>
  <c r="W285" i="70"/>
  <c r="V285" i="70"/>
  <c r="U285" i="70"/>
  <c r="T285" i="70"/>
  <c r="S285" i="70"/>
  <c r="R285" i="70"/>
  <c r="Q285" i="70"/>
  <c r="P285" i="70"/>
  <c r="O285" i="70"/>
  <c r="N285" i="70"/>
  <c r="M285" i="70"/>
  <c r="L285" i="70"/>
  <c r="K285" i="70"/>
  <c r="J285" i="70"/>
  <c r="I285" i="70"/>
  <c r="H285" i="70"/>
  <c r="G285" i="70"/>
  <c r="F285" i="70"/>
  <c r="E285" i="70"/>
  <c r="D285" i="70"/>
  <c r="C285" i="70"/>
  <c r="B285" i="70"/>
  <c r="A285" i="70"/>
  <c r="AF284" i="70"/>
  <c r="AE284" i="70"/>
  <c r="AD284" i="70"/>
  <c r="AC284" i="70"/>
  <c r="AB284" i="70"/>
  <c r="AA284" i="70"/>
  <c r="Z284" i="70"/>
  <c r="Y284" i="70"/>
  <c r="X284" i="70"/>
  <c r="W284" i="70"/>
  <c r="V284" i="70"/>
  <c r="U284" i="70"/>
  <c r="T284" i="70"/>
  <c r="S284" i="70"/>
  <c r="R284" i="70"/>
  <c r="Q284" i="70"/>
  <c r="P284" i="70"/>
  <c r="O284" i="70"/>
  <c r="N284" i="70"/>
  <c r="M284" i="70"/>
  <c r="L284" i="70"/>
  <c r="K284" i="70"/>
  <c r="J284" i="70"/>
  <c r="I284" i="70"/>
  <c r="H284" i="70"/>
  <c r="G284" i="70"/>
  <c r="F284" i="70"/>
  <c r="E284" i="70"/>
  <c r="D284" i="70"/>
  <c r="C284" i="70"/>
  <c r="B284" i="70"/>
  <c r="A284" i="70"/>
  <c r="AF283" i="70"/>
  <c r="AE283" i="70"/>
  <c r="AD283" i="70"/>
  <c r="AC283" i="70"/>
  <c r="AB283" i="70"/>
  <c r="AA283" i="70"/>
  <c r="Z283" i="70"/>
  <c r="Y283" i="70"/>
  <c r="X283" i="70"/>
  <c r="W283" i="70"/>
  <c r="V283" i="70"/>
  <c r="U283" i="70"/>
  <c r="T283" i="70"/>
  <c r="S283" i="70"/>
  <c r="R283" i="70"/>
  <c r="Q283" i="70"/>
  <c r="P283" i="70"/>
  <c r="O283" i="70"/>
  <c r="N283" i="70"/>
  <c r="M283" i="70"/>
  <c r="L283" i="70"/>
  <c r="K283" i="70"/>
  <c r="J283" i="70"/>
  <c r="I283" i="70"/>
  <c r="H283" i="70"/>
  <c r="G283" i="70"/>
  <c r="F283" i="70"/>
  <c r="E283" i="70"/>
  <c r="D283" i="70"/>
  <c r="C283" i="70"/>
  <c r="B283" i="70"/>
  <c r="A283" i="70"/>
  <c r="C282" i="70"/>
  <c r="B282" i="70"/>
  <c r="S257" i="70"/>
  <c r="AG252" i="70"/>
  <c r="C252" i="70"/>
  <c r="D251" i="70"/>
  <c r="E251" i="70" s="1"/>
  <c r="D282" i="70" s="1"/>
  <c r="L250" i="70"/>
  <c r="M250" i="70" s="1"/>
  <c r="N250" i="70" s="1"/>
  <c r="O250" i="70" s="1"/>
  <c r="P250" i="70" s="1"/>
  <c r="Q250" i="70" s="1"/>
  <c r="R250" i="70" s="1"/>
  <c r="S250" i="70" s="1"/>
  <c r="T250" i="70" s="1"/>
  <c r="U250" i="70" s="1"/>
  <c r="V250" i="70" s="1"/>
  <c r="W250" i="70" s="1"/>
  <c r="X250" i="70" s="1"/>
  <c r="Y250" i="70" s="1"/>
  <c r="Z250" i="70" s="1"/>
  <c r="AA250" i="70" s="1"/>
  <c r="AB250" i="70" s="1"/>
  <c r="AC250" i="70" s="1"/>
  <c r="AD250" i="70" s="1"/>
  <c r="AE250" i="70" s="1"/>
  <c r="AF250" i="70" s="1"/>
  <c r="B250" i="70" s="1"/>
  <c r="D250" i="70"/>
  <c r="E250" i="70" s="1"/>
  <c r="F250" i="70" s="1"/>
  <c r="G250" i="70" s="1"/>
  <c r="H250" i="70" s="1"/>
  <c r="I250" i="70" s="1"/>
  <c r="J250" i="70" s="1"/>
  <c r="K250" i="70" s="1"/>
  <c r="E249" i="70"/>
  <c r="F249" i="70" s="1"/>
  <c r="G249" i="70" s="1"/>
  <c r="H249" i="70" s="1"/>
  <c r="I249" i="70" s="1"/>
  <c r="J249" i="70" s="1"/>
  <c r="K249" i="70" s="1"/>
  <c r="L249" i="70" s="1"/>
  <c r="M249" i="70" s="1"/>
  <c r="N249" i="70" s="1"/>
  <c r="O249" i="70" s="1"/>
  <c r="P249" i="70" s="1"/>
  <c r="Q249" i="70" s="1"/>
  <c r="R249" i="70" s="1"/>
  <c r="S249" i="70" s="1"/>
  <c r="T249" i="70" s="1"/>
  <c r="U249" i="70" s="1"/>
  <c r="V249" i="70" s="1"/>
  <c r="W249" i="70" s="1"/>
  <c r="X249" i="70" s="1"/>
  <c r="Y249" i="70" s="1"/>
  <c r="Z249" i="70" s="1"/>
  <c r="AA249" i="70" s="1"/>
  <c r="AB249" i="70" s="1"/>
  <c r="AC249" i="70" s="1"/>
  <c r="AD249" i="70" s="1"/>
  <c r="AE249" i="70" s="1"/>
  <c r="AF249" i="70" s="1"/>
  <c r="B249" i="70" s="1"/>
  <c r="D249" i="70"/>
  <c r="E248" i="70"/>
  <c r="F248" i="70" s="1"/>
  <c r="G248" i="70" s="1"/>
  <c r="H248" i="70" s="1"/>
  <c r="I248" i="70" s="1"/>
  <c r="J248" i="70" s="1"/>
  <c r="K248" i="70" s="1"/>
  <c r="L248" i="70" s="1"/>
  <c r="M248" i="70" s="1"/>
  <c r="N248" i="70" s="1"/>
  <c r="O248" i="70" s="1"/>
  <c r="P248" i="70" s="1"/>
  <c r="Q248" i="70" s="1"/>
  <c r="R248" i="70" s="1"/>
  <c r="S248" i="70" s="1"/>
  <c r="T248" i="70" s="1"/>
  <c r="U248" i="70" s="1"/>
  <c r="V248" i="70" s="1"/>
  <c r="W248" i="70" s="1"/>
  <c r="X248" i="70" s="1"/>
  <c r="Y248" i="70" s="1"/>
  <c r="Z248" i="70" s="1"/>
  <c r="AA248" i="70" s="1"/>
  <c r="AB248" i="70" s="1"/>
  <c r="AC248" i="70" s="1"/>
  <c r="AD248" i="70" s="1"/>
  <c r="AE248" i="70" s="1"/>
  <c r="AF248" i="70" s="1"/>
  <c r="B248" i="70" s="1"/>
  <c r="D248" i="70"/>
  <c r="F247" i="70"/>
  <c r="G247" i="70" s="1"/>
  <c r="H247" i="70" s="1"/>
  <c r="I247" i="70" s="1"/>
  <c r="J247" i="70" s="1"/>
  <c r="K247" i="70" s="1"/>
  <c r="L247" i="70" s="1"/>
  <c r="M247" i="70" s="1"/>
  <c r="N247" i="70" s="1"/>
  <c r="O247" i="70" s="1"/>
  <c r="P247" i="70" s="1"/>
  <c r="Q247" i="70" s="1"/>
  <c r="R247" i="70" s="1"/>
  <c r="S247" i="70" s="1"/>
  <c r="T247" i="70" s="1"/>
  <c r="U247" i="70" s="1"/>
  <c r="V247" i="70" s="1"/>
  <c r="W247" i="70" s="1"/>
  <c r="X247" i="70" s="1"/>
  <c r="Y247" i="70" s="1"/>
  <c r="Z247" i="70" s="1"/>
  <c r="AA247" i="70" s="1"/>
  <c r="AB247" i="70" s="1"/>
  <c r="AC247" i="70" s="1"/>
  <c r="AD247" i="70" s="1"/>
  <c r="AE247" i="70" s="1"/>
  <c r="AF247" i="70" s="1"/>
  <c r="B247" i="70" s="1"/>
  <c r="D247" i="70"/>
  <c r="E247" i="70" s="1"/>
  <c r="D246" i="70"/>
  <c r="D118" i="70" s="1"/>
  <c r="AG244" i="70"/>
  <c r="AF244" i="70"/>
  <c r="AE244" i="70"/>
  <c r="AD244" i="70"/>
  <c r="AC244" i="70"/>
  <c r="AB244" i="70"/>
  <c r="AA244" i="70"/>
  <c r="Z244" i="70"/>
  <c r="Z118" i="70" s="1"/>
  <c r="Y244" i="70"/>
  <c r="Y118" i="70" s="1"/>
  <c r="X244" i="70"/>
  <c r="W244" i="70"/>
  <c r="V244" i="70"/>
  <c r="U244" i="70"/>
  <c r="T244" i="70"/>
  <c r="S244" i="70"/>
  <c r="R244" i="70"/>
  <c r="Q244" i="70"/>
  <c r="P244" i="70"/>
  <c r="O244" i="70"/>
  <c r="N244" i="70"/>
  <c r="M244" i="70"/>
  <c r="L244" i="70"/>
  <c r="K244" i="70"/>
  <c r="J244" i="70"/>
  <c r="I244" i="70"/>
  <c r="H244" i="70"/>
  <c r="G244" i="70"/>
  <c r="F244" i="70"/>
  <c r="E244" i="70"/>
  <c r="D244" i="70"/>
  <c r="C244" i="70"/>
  <c r="B244" i="70"/>
  <c r="AI130" i="70"/>
  <c r="AH130" i="70"/>
  <c r="AI129" i="70"/>
  <c r="AH129" i="70"/>
  <c r="AI128" i="70"/>
  <c r="AH128" i="70"/>
  <c r="AI127" i="70"/>
  <c r="AH127" i="70"/>
  <c r="AI126" i="70"/>
  <c r="AH126" i="70"/>
  <c r="AI122" i="70"/>
  <c r="AH122" i="70"/>
  <c r="AI121" i="70"/>
  <c r="AH121" i="70"/>
  <c r="AI120" i="70"/>
  <c r="AH120" i="70"/>
  <c r="AI119" i="70"/>
  <c r="AH119" i="70"/>
  <c r="AI117" i="70"/>
  <c r="AH117" i="70"/>
  <c r="AI116" i="70"/>
  <c r="AH116" i="70"/>
  <c r="AI115" i="70"/>
  <c r="AH115" i="70"/>
  <c r="AI114" i="70"/>
  <c r="AH114" i="70"/>
  <c r="AI113" i="70"/>
  <c r="AH113" i="70"/>
  <c r="AI112" i="70"/>
  <c r="AH112" i="70"/>
  <c r="AI111" i="70"/>
  <c r="AH111" i="70"/>
  <c r="AI110" i="70"/>
  <c r="AH110" i="70"/>
  <c r="AI109" i="70"/>
  <c r="AH109" i="70"/>
  <c r="AI106" i="70"/>
  <c r="AH106" i="70"/>
  <c r="AF105" i="70"/>
  <c r="AE105" i="70"/>
  <c r="AD105" i="70"/>
  <c r="AC105" i="70"/>
  <c r="AB105" i="70"/>
  <c r="AA105" i="70"/>
  <c r="Z105" i="70"/>
  <c r="Y105" i="70"/>
  <c r="X105" i="70"/>
  <c r="W105" i="70"/>
  <c r="V105" i="70"/>
  <c r="T105" i="70"/>
  <c r="S105" i="70"/>
  <c r="R105" i="70"/>
  <c r="Q105" i="70"/>
  <c r="P105" i="70"/>
  <c r="O105" i="70"/>
  <c r="N105" i="70"/>
  <c r="M105" i="70"/>
  <c r="L105" i="70"/>
  <c r="K105" i="70"/>
  <c r="J105" i="70"/>
  <c r="I105" i="70"/>
  <c r="H105" i="70"/>
  <c r="G105" i="70"/>
  <c r="F105" i="70"/>
  <c r="E105" i="70"/>
  <c r="AF104" i="70"/>
  <c r="AE104" i="70"/>
  <c r="AD104" i="70"/>
  <c r="AC104" i="70"/>
  <c r="AB104" i="70"/>
  <c r="AA104" i="70"/>
  <c r="Z104" i="70"/>
  <c r="Y104" i="70"/>
  <c r="X104" i="70"/>
  <c r="W104" i="70"/>
  <c r="V104" i="70"/>
  <c r="T104" i="70"/>
  <c r="S104" i="70"/>
  <c r="R104" i="70"/>
  <c r="Q104" i="70"/>
  <c r="P104" i="70"/>
  <c r="O104" i="70"/>
  <c r="N104" i="70"/>
  <c r="M104" i="70"/>
  <c r="L104" i="70"/>
  <c r="K104" i="70"/>
  <c r="J104" i="70"/>
  <c r="I104" i="70"/>
  <c r="H104" i="70"/>
  <c r="G104" i="70"/>
  <c r="F104" i="70"/>
  <c r="E104" i="70"/>
  <c r="AF103" i="70"/>
  <c r="AE103" i="70"/>
  <c r="AD103" i="70"/>
  <c r="AC103" i="70"/>
  <c r="AB103" i="70"/>
  <c r="AA103" i="70"/>
  <c r="Z103" i="70"/>
  <c r="Y103" i="70"/>
  <c r="X103" i="70"/>
  <c r="W103" i="70"/>
  <c r="V103" i="70"/>
  <c r="T103" i="70"/>
  <c r="S103" i="70"/>
  <c r="R103" i="70"/>
  <c r="Q103" i="70"/>
  <c r="P103" i="70"/>
  <c r="O103" i="70"/>
  <c r="N103" i="70"/>
  <c r="M103" i="70"/>
  <c r="L103" i="70"/>
  <c r="K103" i="70"/>
  <c r="J103" i="70"/>
  <c r="I103" i="70"/>
  <c r="H103" i="70"/>
  <c r="G103" i="70"/>
  <c r="F103" i="70"/>
  <c r="E103" i="70"/>
  <c r="AF102" i="70"/>
  <c r="AE102" i="70"/>
  <c r="AD102" i="70"/>
  <c r="AC102" i="70"/>
  <c r="AB102" i="70"/>
  <c r="AA102" i="70"/>
  <c r="Z102" i="70"/>
  <c r="Y102" i="70"/>
  <c r="X102" i="70"/>
  <c r="W102" i="70"/>
  <c r="V102" i="70"/>
  <c r="T102" i="70"/>
  <c r="S102" i="70"/>
  <c r="R102" i="70"/>
  <c r="Q102" i="70"/>
  <c r="P102" i="70"/>
  <c r="O102" i="70"/>
  <c r="N102" i="70"/>
  <c r="M102" i="70"/>
  <c r="L102" i="70"/>
  <c r="K102" i="70"/>
  <c r="J102" i="70"/>
  <c r="I102" i="70"/>
  <c r="H102" i="70"/>
  <c r="G102" i="70"/>
  <c r="F102" i="70"/>
  <c r="E102" i="70"/>
  <c r="AF101" i="70"/>
  <c r="AE101" i="70"/>
  <c r="AD101" i="70"/>
  <c r="AC101" i="70"/>
  <c r="AB101" i="70"/>
  <c r="AA101" i="70"/>
  <c r="Z101" i="70"/>
  <c r="Y101" i="70"/>
  <c r="X101" i="70"/>
  <c r="W101" i="70"/>
  <c r="V101" i="70"/>
  <c r="T101" i="70"/>
  <c r="S101" i="70"/>
  <c r="R101" i="70"/>
  <c r="Q101" i="70"/>
  <c r="P101" i="70"/>
  <c r="O101" i="70"/>
  <c r="N101" i="70"/>
  <c r="M101" i="70"/>
  <c r="L101" i="70"/>
  <c r="K101" i="70"/>
  <c r="J101" i="70"/>
  <c r="I101" i="70"/>
  <c r="I107" i="70" s="1"/>
  <c r="H101" i="70"/>
  <c r="G101" i="70"/>
  <c r="F101" i="70"/>
  <c r="E101" i="70"/>
  <c r="AI98" i="70"/>
  <c r="AH98" i="70"/>
  <c r="AI96" i="70"/>
  <c r="AH96" i="70"/>
  <c r="AG96" i="70"/>
  <c r="AI95" i="70"/>
  <c r="AH95" i="70"/>
  <c r="AI94" i="70"/>
  <c r="AH94" i="70"/>
  <c r="AI93" i="70"/>
  <c r="AH93" i="70"/>
  <c r="AG92" i="70"/>
  <c r="AF92" i="70"/>
  <c r="AE5" i="70" s="1"/>
  <c r="AE92" i="70"/>
  <c r="AE97" i="70" s="1"/>
  <c r="AE99" i="70" s="1"/>
  <c r="AD92" i="70"/>
  <c r="AC5" i="70" s="1"/>
  <c r="AC92" i="70"/>
  <c r="AB5" i="70" s="1"/>
  <c r="AB92" i="70"/>
  <c r="AA92" i="70"/>
  <c r="Z92" i="70"/>
  <c r="Y5" i="70" s="1"/>
  <c r="Y92" i="70"/>
  <c r="X92" i="70"/>
  <c r="W5" i="70" s="1"/>
  <c r="W92" i="70"/>
  <c r="V5" i="70" s="1"/>
  <c r="V92" i="70"/>
  <c r="T92" i="70"/>
  <c r="S92" i="70"/>
  <c r="R92" i="70"/>
  <c r="Q5" i="70" s="1"/>
  <c r="Q92" i="70"/>
  <c r="O5" i="70"/>
  <c r="O92" i="70"/>
  <c r="N5" i="70" s="1"/>
  <c r="N92" i="70"/>
  <c r="M5" i="70" s="1"/>
  <c r="M92" i="70"/>
  <c r="L5" i="70" s="1"/>
  <c r="L92" i="70"/>
  <c r="K92" i="70"/>
  <c r="J92" i="70"/>
  <c r="I92" i="70"/>
  <c r="H92" i="70"/>
  <c r="G5" i="70" s="1"/>
  <c r="G92" i="70"/>
  <c r="F5" i="70" s="1"/>
  <c r="F92" i="70"/>
  <c r="E5" i="70" s="1"/>
  <c r="E92" i="70"/>
  <c r="D5" i="70" s="1"/>
  <c r="AI91" i="70"/>
  <c r="AH91" i="70"/>
  <c r="AI90" i="70"/>
  <c r="AH90" i="70"/>
  <c r="AI89" i="70"/>
  <c r="AH89" i="70"/>
  <c r="AI88" i="70"/>
  <c r="AH88" i="70"/>
  <c r="AI87" i="70"/>
  <c r="AH87" i="70"/>
  <c r="AI86" i="70"/>
  <c r="AH86" i="70"/>
  <c r="AI85" i="70"/>
  <c r="AH85" i="70"/>
  <c r="AI84" i="70"/>
  <c r="AH84" i="70"/>
  <c r="AI83" i="70"/>
  <c r="AH83" i="70"/>
  <c r="AI82" i="70"/>
  <c r="AH82" i="70"/>
  <c r="AI81" i="70"/>
  <c r="AH81" i="70"/>
  <c r="AG80" i="70"/>
  <c r="AG4" i="70" s="1"/>
  <c r="AF80" i="70"/>
  <c r="AD80" i="70"/>
  <c r="AC80" i="70"/>
  <c r="AB80" i="70"/>
  <c r="AA80" i="70"/>
  <c r="Z80" i="70"/>
  <c r="Y80" i="70"/>
  <c r="X80" i="70"/>
  <c r="W80" i="70"/>
  <c r="V80" i="70"/>
  <c r="T80" i="70"/>
  <c r="S80" i="70"/>
  <c r="R80" i="70"/>
  <c r="Q80" i="70"/>
  <c r="P80" i="70"/>
  <c r="O80" i="70"/>
  <c r="N80" i="70"/>
  <c r="M80" i="70"/>
  <c r="L80" i="70"/>
  <c r="K80" i="70"/>
  <c r="J80" i="70"/>
  <c r="I80" i="70"/>
  <c r="H80" i="70"/>
  <c r="G80" i="70"/>
  <c r="F80" i="70"/>
  <c r="E80" i="70"/>
  <c r="AI79" i="70"/>
  <c r="AH79" i="70"/>
  <c r="AI78" i="70"/>
  <c r="AH78" i="70"/>
  <c r="AI77" i="70"/>
  <c r="AH77" i="70"/>
  <c r="AG76" i="70"/>
  <c r="AG3" i="70" s="1"/>
  <c r="AF76" i="70"/>
  <c r="AD76" i="70"/>
  <c r="AC76" i="70"/>
  <c r="AB76" i="70"/>
  <c r="AA76" i="70"/>
  <c r="Z76" i="70"/>
  <c r="Y76" i="70"/>
  <c r="X76" i="70"/>
  <c r="W76" i="70"/>
  <c r="V76" i="70"/>
  <c r="T76" i="70"/>
  <c r="S76" i="70"/>
  <c r="R76" i="70"/>
  <c r="Q76" i="70"/>
  <c r="P76" i="70"/>
  <c r="O76" i="70"/>
  <c r="N76" i="70"/>
  <c r="M76" i="70"/>
  <c r="L76" i="70"/>
  <c r="K76" i="70"/>
  <c r="J76" i="70"/>
  <c r="I76" i="70"/>
  <c r="H76" i="70"/>
  <c r="G76" i="70"/>
  <c r="F76" i="70"/>
  <c r="E76" i="70"/>
  <c r="AI75" i="70"/>
  <c r="AH75" i="70"/>
  <c r="AG75" i="70"/>
  <c r="AI74" i="70"/>
  <c r="AH74" i="70"/>
  <c r="AI73" i="70"/>
  <c r="AH73" i="70"/>
  <c r="AI72" i="70"/>
  <c r="AH72" i="70"/>
  <c r="AI71" i="70"/>
  <c r="AH71" i="70"/>
  <c r="AI70" i="70"/>
  <c r="AH70" i="70"/>
  <c r="AI69" i="70"/>
  <c r="AH69" i="70"/>
  <c r="AI68" i="70"/>
  <c r="AH68" i="70"/>
  <c r="AI67" i="70"/>
  <c r="AH67" i="70"/>
  <c r="AI66" i="70"/>
  <c r="AH66" i="70"/>
  <c r="AI65" i="70"/>
  <c r="AH65" i="70"/>
  <c r="AI64" i="70"/>
  <c r="AH64" i="70"/>
  <c r="AI63" i="70"/>
  <c r="AH63" i="70"/>
  <c r="AG62" i="70"/>
  <c r="AD62" i="70"/>
  <c r="AC62" i="70"/>
  <c r="AB62" i="70"/>
  <c r="AA62" i="70"/>
  <c r="Z62" i="70"/>
  <c r="Y62" i="70"/>
  <c r="X62" i="70"/>
  <c r="W62" i="70"/>
  <c r="V62" i="70"/>
  <c r="T62" i="70"/>
  <c r="S62" i="70"/>
  <c r="R62" i="70"/>
  <c r="Q62" i="70"/>
  <c r="P62" i="70"/>
  <c r="O62" i="70"/>
  <c r="N62" i="70"/>
  <c r="M62" i="70"/>
  <c r="L62" i="70"/>
  <c r="K62" i="70"/>
  <c r="J62" i="70"/>
  <c r="I62" i="70"/>
  <c r="H62" i="70"/>
  <c r="G62" i="70"/>
  <c r="F62" i="70"/>
  <c r="E62" i="70"/>
  <c r="AI61" i="70"/>
  <c r="AH61" i="70"/>
  <c r="AI60" i="70"/>
  <c r="AH60" i="70"/>
  <c r="AI59" i="70"/>
  <c r="AH59" i="70"/>
  <c r="AG58" i="70"/>
  <c r="AG2" i="70" s="1"/>
  <c r="AD58" i="70"/>
  <c r="AC58" i="70"/>
  <c r="AB58" i="70"/>
  <c r="AA58" i="70"/>
  <c r="Z58" i="70"/>
  <c r="Y58" i="70"/>
  <c r="X58" i="70"/>
  <c r="W58" i="70"/>
  <c r="V58" i="70"/>
  <c r="T58" i="70"/>
  <c r="S58" i="70"/>
  <c r="R58" i="70"/>
  <c r="Q58" i="70"/>
  <c r="P58" i="70"/>
  <c r="O58" i="70"/>
  <c r="N58" i="70"/>
  <c r="M58" i="70"/>
  <c r="L58" i="70"/>
  <c r="K58" i="70"/>
  <c r="J58" i="70"/>
  <c r="I58" i="70"/>
  <c r="H58" i="70"/>
  <c r="G58" i="70"/>
  <c r="F58" i="70"/>
  <c r="E58" i="70"/>
  <c r="AI57" i="70"/>
  <c r="AH57" i="70"/>
  <c r="AI56" i="70"/>
  <c r="AH56" i="70"/>
  <c r="AI55" i="70"/>
  <c r="AH55" i="70"/>
  <c r="AI54" i="70"/>
  <c r="AH54" i="70"/>
  <c r="AI53" i="70"/>
  <c r="AH53" i="70"/>
  <c r="AI52" i="70"/>
  <c r="AH52" i="70"/>
  <c r="AI51" i="70"/>
  <c r="AH51" i="70"/>
  <c r="AI50" i="70"/>
  <c r="AH50" i="70"/>
  <c r="AI49" i="70"/>
  <c r="AH49" i="70"/>
  <c r="AI48" i="70"/>
  <c r="AH48" i="70"/>
  <c r="AI47" i="70"/>
  <c r="AH47" i="70"/>
  <c r="AI46" i="70"/>
  <c r="AH46" i="70"/>
  <c r="AI45" i="70"/>
  <c r="AH45" i="70"/>
  <c r="AI44" i="70"/>
  <c r="AH44" i="70"/>
  <c r="AI43" i="70"/>
  <c r="AH43" i="70"/>
  <c r="AI42" i="70"/>
  <c r="AH42" i="70"/>
  <c r="AI41" i="70"/>
  <c r="AH41" i="70"/>
  <c r="AI40" i="70"/>
  <c r="AH40" i="70"/>
  <c r="AI39" i="70"/>
  <c r="AH39" i="70"/>
  <c r="AI38" i="70"/>
  <c r="AH38" i="70"/>
  <c r="AI37" i="70"/>
  <c r="AH37" i="70"/>
  <c r="AI36" i="70"/>
  <c r="AH36" i="70"/>
  <c r="AI35" i="70"/>
  <c r="AH35" i="70"/>
  <c r="AI34" i="70"/>
  <c r="AH34" i="70"/>
  <c r="AI33" i="70"/>
  <c r="AH33" i="70"/>
  <c r="AI32" i="70"/>
  <c r="AH32" i="70"/>
  <c r="AI31" i="70"/>
  <c r="AH31" i="70"/>
  <c r="AI30" i="70"/>
  <c r="AH30" i="70"/>
  <c r="AI29" i="70"/>
  <c r="AH29" i="70"/>
  <c r="AI28" i="70"/>
  <c r="AH28" i="70"/>
  <c r="AI27" i="70"/>
  <c r="AH27" i="70"/>
  <c r="AI26" i="70"/>
  <c r="AH26" i="70"/>
  <c r="AI25" i="70"/>
  <c r="AH25" i="70"/>
  <c r="AI24" i="70"/>
  <c r="AH24" i="70"/>
  <c r="AI23" i="70"/>
  <c r="AH23" i="70"/>
  <c r="AI22" i="70"/>
  <c r="AH22" i="70"/>
  <c r="AI21" i="70"/>
  <c r="AH21" i="70"/>
  <c r="AI20" i="70"/>
  <c r="AH20" i="70"/>
  <c r="AI19" i="70"/>
  <c r="AH19" i="70"/>
  <c r="AI18" i="70"/>
  <c r="AH18" i="70"/>
  <c r="AI17" i="70"/>
  <c r="AH17" i="70"/>
  <c r="AI16" i="70"/>
  <c r="AH16" i="70"/>
  <c r="AI15" i="70"/>
  <c r="AH15" i="70"/>
  <c r="AI14" i="70"/>
  <c r="AH14" i="70"/>
  <c r="AI13" i="70"/>
  <c r="AH13" i="70"/>
  <c r="AI12" i="70"/>
  <c r="AH12" i="70"/>
  <c r="AI11" i="70"/>
  <c r="AH11" i="70"/>
  <c r="U5" i="70"/>
  <c r="T5" i="70"/>
  <c r="I5" i="70"/>
  <c r="K4" i="70"/>
  <c r="E4" i="70"/>
  <c r="H4" i="70" s="1"/>
  <c r="B4" i="70"/>
  <c r="AF123" i="69"/>
  <c r="AF58" i="69"/>
  <c r="AF62" i="69"/>
  <c r="AF76" i="69"/>
  <c r="AF80" i="69"/>
  <c r="AF92" i="69"/>
  <c r="AF101" i="69"/>
  <c r="AF102" i="69"/>
  <c r="AF103" i="69"/>
  <c r="AF104" i="69"/>
  <c r="AF105" i="69"/>
  <c r="AE123" i="69"/>
  <c r="AE58" i="69"/>
  <c r="AE62" i="69"/>
  <c r="AE76" i="69"/>
  <c r="AE80" i="69"/>
  <c r="AE92" i="69"/>
  <c r="AE101" i="69"/>
  <c r="AE102" i="69"/>
  <c r="AE103" i="69"/>
  <c r="AE104" i="69"/>
  <c r="AE105" i="69"/>
  <c r="AD123" i="69"/>
  <c r="AC85" i="69"/>
  <c r="AC103" i="69" s="1"/>
  <c r="AD58" i="69"/>
  <c r="AD62" i="69"/>
  <c r="AD76" i="69"/>
  <c r="AD80" i="69"/>
  <c r="AD92" i="69"/>
  <c r="AD101" i="69"/>
  <c r="AD102" i="69"/>
  <c r="AD103" i="69"/>
  <c r="AD104" i="69"/>
  <c r="AD105" i="69"/>
  <c r="AC58" i="69"/>
  <c r="AC62" i="69"/>
  <c r="AC76" i="69"/>
  <c r="AC80" i="69"/>
  <c r="AC92" i="69"/>
  <c r="AC101" i="69"/>
  <c r="AC102" i="69"/>
  <c r="AC104" i="69"/>
  <c r="AC105" i="69"/>
  <c r="AC123" i="69"/>
  <c r="AB123" i="69"/>
  <c r="AB58" i="69"/>
  <c r="AB62" i="69"/>
  <c r="AB76" i="69"/>
  <c r="AB80" i="69"/>
  <c r="AB92" i="69"/>
  <c r="AB101" i="69"/>
  <c r="AB102" i="69"/>
  <c r="AB103" i="69"/>
  <c r="AB104" i="69"/>
  <c r="AB105" i="69"/>
  <c r="AA123" i="69"/>
  <c r="AB107" i="69" l="1"/>
  <c r="AD107" i="69"/>
  <c r="AE107" i="69"/>
  <c r="AE108" i="69" s="1"/>
  <c r="Y252" i="71"/>
  <c r="Z246" i="71"/>
  <c r="X282" i="71"/>
  <c r="Z251" i="71"/>
  <c r="F97" i="70"/>
  <c r="F99" i="70" s="1"/>
  <c r="W97" i="70"/>
  <c r="W99" i="70" s="1"/>
  <c r="AG6" i="70"/>
  <c r="Y107" i="70"/>
  <c r="Y108" i="70" s="1"/>
  <c r="I108" i="70"/>
  <c r="AF107" i="70"/>
  <c r="AF108" i="70" s="1"/>
  <c r="L107" i="70"/>
  <c r="T107" i="70"/>
  <c r="C97" i="70"/>
  <c r="C99" i="70" s="1"/>
  <c r="C100" i="70" s="1"/>
  <c r="C7" i="70" s="1"/>
  <c r="AF97" i="70"/>
  <c r="AF99" i="70" s="1"/>
  <c r="AX261" i="70" s="1"/>
  <c r="AH123" i="70"/>
  <c r="AD5" i="70"/>
  <c r="AD97" i="70"/>
  <c r="AD99" i="70" s="1"/>
  <c r="AV261" i="70" s="1"/>
  <c r="AD107" i="70"/>
  <c r="AC97" i="70"/>
  <c r="AC99" i="70" s="1"/>
  <c r="AU261" i="70" s="1"/>
  <c r="AB107" i="70"/>
  <c r="AB97" i="70"/>
  <c r="AB99" i="70" s="1"/>
  <c r="AA107" i="70"/>
  <c r="AA97" i="70"/>
  <c r="AA99" i="70" s="1"/>
  <c r="AS261" i="70" s="1"/>
  <c r="Z107" i="70"/>
  <c r="Z108" i="70" s="1"/>
  <c r="Z97" i="70"/>
  <c r="Z99" i="70" s="1"/>
  <c r="Z100" i="70" s="1"/>
  <c r="Z7" i="70" s="1"/>
  <c r="Y97" i="70"/>
  <c r="Y99" i="70" s="1"/>
  <c r="Y100" i="70" s="1"/>
  <c r="Y7" i="70" s="1"/>
  <c r="X5" i="70"/>
  <c r="X107" i="70"/>
  <c r="X97" i="70"/>
  <c r="X99" i="70" s="1"/>
  <c r="V107" i="70"/>
  <c r="V97" i="70"/>
  <c r="V99" i="70" s="1"/>
  <c r="AN261" i="70" s="1"/>
  <c r="T97" i="70"/>
  <c r="T99" i="70" s="1"/>
  <c r="T100" i="70" s="1"/>
  <c r="T7" i="70" s="1"/>
  <c r="S107" i="70"/>
  <c r="S97" i="70"/>
  <c r="S99" i="70" s="1"/>
  <c r="AK261" i="70" s="1"/>
  <c r="R107" i="70"/>
  <c r="R108" i="70" s="1"/>
  <c r="R97" i="70"/>
  <c r="R99" i="70" s="1"/>
  <c r="AJ261" i="70" s="1"/>
  <c r="P5" i="70"/>
  <c r="Q107" i="70"/>
  <c r="Q108" i="70" s="1"/>
  <c r="Q97" i="70"/>
  <c r="Q99" i="70" s="1"/>
  <c r="AI261" i="70" s="1"/>
  <c r="P107" i="70"/>
  <c r="P108" i="70" s="1"/>
  <c r="P97" i="70"/>
  <c r="P99" i="70" s="1"/>
  <c r="AH261" i="70" s="1"/>
  <c r="O97" i="70"/>
  <c r="O99" i="70" s="1"/>
  <c r="AG261" i="70" s="1"/>
  <c r="N107" i="70"/>
  <c r="N97" i="70"/>
  <c r="N99" i="70" s="1"/>
  <c r="AF261" i="70" s="1"/>
  <c r="AI102" i="70"/>
  <c r="M97" i="70"/>
  <c r="M99" i="70" s="1"/>
  <c r="AE261" i="70" s="1"/>
  <c r="L97" i="70"/>
  <c r="L99" i="70" s="1"/>
  <c r="AD261" i="70" s="1"/>
  <c r="K107" i="70"/>
  <c r="K108" i="70" s="1"/>
  <c r="K97" i="70"/>
  <c r="K99" i="70" s="1"/>
  <c r="AC261" i="70" s="1"/>
  <c r="J107" i="70"/>
  <c r="J108" i="70" s="1"/>
  <c r="J97" i="70"/>
  <c r="J99" i="70" s="1"/>
  <c r="J100" i="70" s="1"/>
  <c r="J7" i="70" s="1"/>
  <c r="H5" i="70"/>
  <c r="I97" i="70"/>
  <c r="I99" i="70" s="1"/>
  <c r="I100" i="70" s="1"/>
  <c r="I7" i="70" s="1"/>
  <c r="H107" i="70"/>
  <c r="H108" i="70" s="1"/>
  <c r="H97" i="70"/>
  <c r="H99" i="70" s="1"/>
  <c r="H100" i="70" s="1"/>
  <c r="H7" i="70" s="1"/>
  <c r="G97" i="70"/>
  <c r="G99" i="70" s="1"/>
  <c r="Y261" i="70" s="1"/>
  <c r="F107" i="70"/>
  <c r="F100" i="70" s="1"/>
  <c r="F7" i="70" s="1"/>
  <c r="AI76" i="70"/>
  <c r="E97" i="70"/>
  <c r="E99" i="70" s="1"/>
  <c r="W261" i="70" s="1"/>
  <c r="D97" i="70"/>
  <c r="D99" i="70" s="1"/>
  <c r="V261" i="70" s="1"/>
  <c r="D107" i="70"/>
  <c r="D108" i="70" s="1"/>
  <c r="C107" i="70"/>
  <c r="C108" i="70"/>
  <c r="AI123" i="70"/>
  <c r="U261" i="70"/>
  <c r="B107" i="70"/>
  <c r="B108" i="70" s="1"/>
  <c r="AF5" i="70"/>
  <c r="AH92" i="70"/>
  <c r="AI92" i="70"/>
  <c r="B97" i="70"/>
  <c r="B99" i="70" s="1"/>
  <c r="AI80" i="70"/>
  <c r="AH102" i="70"/>
  <c r="AM261" i="70"/>
  <c r="X261" i="70"/>
  <c r="AI62" i="70"/>
  <c r="AG99" i="70"/>
  <c r="AA100" i="70"/>
  <c r="AA7" i="70" s="1"/>
  <c r="G107" i="70"/>
  <c r="G108" i="70" s="1"/>
  <c r="O107" i="70"/>
  <c r="O108" i="70" s="1"/>
  <c r="W107" i="70"/>
  <c r="W108" i="70" s="1"/>
  <c r="AE107" i="70"/>
  <c r="AE108" i="70" s="1"/>
  <c r="AH80" i="70"/>
  <c r="B5" i="70"/>
  <c r="J5" i="70"/>
  <c r="R5" i="70"/>
  <c r="S108" i="70"/>
  <c r="Z5" i="70"/>
  <c r="AA108" i="70"/>
  <c r="AH101" i="70"/>
  <c r="AI105" i="70"/>
  <c r="AW261" i="70"/>
  <c r="X108" i="70"/>
  <c r="AH76" i="70"/>
  <c r="C5" i="70"/>
  <c r="K5" i="70"/>
  <c r="L108" i="70"/>
  <c r="S5" i="70"/>
  <c r="T108" i="70"/>
  <c r="AA5" i="70"/>
  <c r="AB108" i="70"/>
  <c r="AI101" i="70"/>
  <c r="AI104" i="70"/>
  <c r="F251" i="70"/>
  <c r="AO261" i="70"/>
  <c r="AI58" i="70"/>
  <c r="AI103" i="70"/>
  <c r="F108" i="70"/>
  <c r="N108" i="70"/>
  <c r="V108" i="70"/>
  <c r="AD108" i="70"/>
  <c r="D252" i="70"/>
  <c r="E246" i="70"/>
  <c r="S258" i="70"/>
  <c r="D258" i="70"/>
  <c r="AG97" i="70"/>
  <c r="E107" i="70"/>
  <c r="E108" i="70" s="1"/>
  <c r="M107" i="70"/>
  <c r="U7" i="70"/>
  <c r="AC107" i="70"/>
  <c r="AH58" i="70"/>
  <c r="AH62" i="70"/>
  <c r="AH103" i="70"/>
  <c r="AH104" i="70"/>
  <c r="AH105" i="70"/>
  <c r="AF107" i="69"/>
  <c r="AF108" i="69" s="1"/>
  <c r="AF97" i="69"/>
  <c r="AF99" i="69" s="1"/>
  <c r="AE97" i="69"/>
  <c r="AE99" i="69" s="1"/>
  <c r="AE100" i="69" s="1"/>
  <c r="AD97" i="69"/>
  <c r="AD99" i="69" s="1"/>
  <c r="AD100" i="69" s="1"/>
  <c r="AC107" i="69"/>
  <c r="AC108" i="69" s="1"/>
  <c r="AC97" i="69"/>
  <c r="AC99" i="69" s="1"/>
  <c r="AD108" i="69"/>
  <c r="AB97" i="69"/>
  <c r="AB99" i="69" s="1"/>
  <c r="AB100" i="69" s="1"/>
  <c r="AB108" i="69"/>
  <c r="AF100" i="69" l="1"/>
  <c r="AA251" i="71"/>
  <c r="Y282" i="71"/>
  <c r="Z252" i="71"/>
  <c r="AA246" i="71"/>
  <c r="AF100" i="70"/>
  <c r="AF7" i="70" s="1"/>
  <c r="AQ261" i="70"/>
  <c r="Z261" i="70"/>
  <c r="B100" i="70"/>
  <c r="X100" i="70"/>
  <c r="X7" i="70" s="1"/>
  <c r="AB100" i="70"/>
  <c r="AB7" i="70" s="1"/>
  <c r="AD100" i="70"/>
  <c r="AD7" i="70" s="1"/>
  <c r="AC100" i="70"/>
  <c r="AC7" i="70" s="1"/>
  <c r="AT261" i="70"/>
  <c r="AR261" i="70"/>
  <c r="AP261" i="70"/>
  <c r="V100" i="70"/>
  <c r="V7" i="70" s="1"/>
  <c r="AL261" i="70"/>
  <c r="S100" i="70"/>
  <c r="S7" i="70" s="1"/>
  <c r="R100" i="70"/>
  <c r="R7" i="70" s="1"/>
  <c r="Q100" i="70"/>
  <c r="Q7" i="70" s="1"/>
  <c r="P100" i="70"/>
  <c r="P7" i="70" s="1"/>
  <c r="N100" i="70"/>
  <c r="N7" i="70" s="1"/>
  <c r="M100" i="70"/>
  <c r="M7" i="70" s="1"/>
  <c r="L100" i="70"/>
  <c r="L7" i="70" s="1"/>
  <c r="K100" i="70"/>
  <c r="K7" i="70" s="1"/>
  <c r="AB261" i="70"/>
  <c r="AA261" i="70"/>
  <c r="B256" i="70"/>
  <c r="C256" i="70"/>
  <c r="K6" i="70" s="1"/>
  <c r="E100" i="70"/>
  <c r="E7" i="70" s="1"/>
  <c r="D100" i="70"/>
  <c r="D7" i="70" s="1"/>
  <c r="F246" i="70"/>
  <c r="E118" i="70"/>
  <c r="E252" i="70"/>
  <c r="G251" i="70"/>
  <c r="E282" i="70"/>
  <c r="AC108" i="70"/>
  <c r="AI108" i="70" s="1"/>
  <c r="AI107" i="70"/>
  <c r="AH107" i="70"/>
  <c r="M108" i="70"/>
  <c r="G100" i="70"/>
  <c r="G7" i="70" s="1"/>
  <c r="AI97" i="70"/>
  <c r="AH97" i="70"/>
  <c r="W100" i="70"/>
  <c r="W7" i="70" s="1"/>
  <c r="AE100" i="70"/>
  <c r="AE7" i="70" s="1"/>
  <c r="O100" i="70"/>
  <c r="O7" i="70" s="1"/>
  <c r="AC100" i="69"/>
  <c r="AA252" i="71" l="1"/>
  <c r="AA118" i="71"/>
  <c r="AB246" i="71"/>
  <c r="Z282" i="71"/>
  <c r="AB251" i="71"/>
  <c r="AH108" i="70"/>
  <c r="F282" i="70"/>
  <c r="H251" i="70"/>
  <c r="AI99" i="70"/>
  <c r="T261" i="70"/>
  <c r="AH99" i="70"/>
  <c r="G246" i="70"/>
  <c r="F252" i="70"/>
  <c r="F118" i="70"/>
  <c r="AA282" i="71" l="1"/>
  <c r="AC251" i="71"/>
  <c r="AB252" i="71"/>
  <c r="AB118" i="71"/>
  <c r="AC246" i="71"/>
  <c r="H246" i="70"/>
  <c r="G118" i="70"/>
  <c r="G252" i="70"/>
  <c r="B7" i="70"/>
  <c r="A7" i="70" s="1"/>
  <c r="AH100" i="70"/>
  <c r="AI100" i="70"/>
  <c r="G282" i="70"/>
  <c r="I251" i="70"/>
  <c r="AD246" i="71" l="1"/>
  <c r="AC252" i="71"/>
  <c r="AD251" i="71"/>
  <c r="AB282" i="71"/>
  <c r="H282" i="70"/>
  <c r="J251" i="70"/>
  <c r="I246" i="70"/>
  <c r="H252" i="70"/>
  <c r="H118" i="70"/>
  <c r="AC282" i="71" l="1"/>
  <c r="AE251" i="71"/>
  <c r="AE246" i="71"/>
  <c r="AD252" i="71"/>
  <c r="I118" i="70"/>
  <c r="I252" i="70"/>
  <c r="J246" i="70"/>
  <c r="K251" i="70"/>
  <c r="I282" i="70"/>
  <c r="AF246" i="71" l="1"/>
  <c r="AE252" i="71"/>
  <c r="AE118" i="71"/>
  <c r="AD282" i="71"/>
  <c r="AF251" i="71"/>
  <c r="J282" i="70"/>
  <c r="L251" i="70"/>
  <c r="J118" i="70"/>
  <c r="J252" i="70"/>
  <c r="K246" i="70"/>
  <c r="B251" i="71" l="1"/>
  <c r="AF282" i="71" s="1"/>
  <c r="AE282" i="71"/>
  <c r="AF252" i="71"/>
  <c r="B246" i="71"/>
  <c r="K118" i="70"/>
  <c r="K252" i="70"/>
  <c r="L246" i="70"/>
  <c r="M251" i="70"/>
  <c r="K282" i="70"/>
  <c r="B252" i="71" l="1"/>
  <c r="L282" i="70"/>
  <c r="N251" i="70"/>
  <c r="L252" i="70"/>
  <c r="M246" i="70"/>
  <c r="L118" i="70"/>
  <c r="AI118" i="71" l="1"/>
  <c r="AH118" i="71"/>
  <c r="N246" i="70"/>
  <c r="M118" i="70"/>
  <c r="M252" i="70"/>
  <c r="M282" i="70"/>
  <c r="O251" i="70"/>
  <c r="N282" i="70" l="1"/>
  <c r="P251" i="70"/>
  <c r="O246" i="70"/>
  <c r="N252" i="70"/>
  <c r="N118" i="70"/>
  <c r="P246" i="70" l="1"/>
  <c r="O118" i="70"/>
  <c r="O252" i="70"/>
  <c r="O282" i="70"/>
  <c r="Q251" i="70"/>
  <c r="P282" i="70" l="1"/>
  <c r="R251" i="70"/>
  <c r="Q246" i="70"/>
  <c r="P252" i="70"/>
  <c r="Q252" i="70" l="1"/>
  <c r="Q118" i="70"/>
  <c r="R246" i="70"/>
  <c r="S251" i="70"/>
  <c r="Q282" i="70"/>
  <c r="R282" i="70" l="1"/>
  <c r="T251" i="70"/>
  <c r="R252" i="70"/>
  <c r="R118" i="70"/>
  <c r="S246" i="70"/>
  <c r="S252" i="70" l="1"/>
  <c r="S118" i="70"/>
  <c r="T246" i="70"/>
  <c r="U251" i="70"/>
  <c r="S282" i="70"/>
  <c r="T282" i="70" l="1"/>
  <c r="V251" i="70"/>
  <c r="T252" i="70"/>
  <c r="T118" i="70"/>
  <c r="U246" i="70"/>
  <c r="U118" i="70" s="1"/>
  <c r="V246" i="70" l="1"/>
  <c r="U252" i="70"/>
  <c r="W251" i="70"/>
  <c r="U282" i="70"/>
  <c r="V282" i="70" l="1"/>
  <c r="X251" i="70"/>
  <c r="W246" i="70"/>
  <c r="V252" i="70"/>
  <c r="V118" i="70"/>
  <c r="X246" i="70" l="1"/>
  <c r="W118" i="70"/>
  <c r="W252" i="70"/>
  <c r="W282" i="70"/>
  <c r="Y251" i="70"/>
  <c r="X282" i="70" l="1"/>
  <c r="Z251" i="70"/>
  <c r="Y246" i="70"/>
  <c r="X118" i="70"/>
  <c r="X252" i="70"/>
  <c r="Y252" i="70" l="1"/>
  <c r="Z246" i="70"/>
  <c r="AA251" i="70"/>
  <c r="Y282" i="70"/>
  <c r="Z282" i="70" l="1"/>
  <c r="AB251" i="70"/>
  <c r="Z252" i="70"/>
  <c r="AA246" i="70"/>
  <c r="AA252" i="70" l="1"/>
  <c r="AA118" i="70"/>
  <c r="AB246" i="70"/>
  <c r="AC251" i="70"/>
  <c r="AA282" i="70"/>
  <c r="AB282" i="70" l="1"/>
  <c r="AD251" i="70"/>
  <c r="AB252" i="70"/>
  <c r="AB118" i="70"/>
  <c r="AC246" i="70"/>
  <c r="AD246" i="70" l="1"/>
  <c r="AC252" i="70"/>
  <c r="AC118" i="70"/>
  <c r="AE251" i="70"/>
  <c r="AC282" i="70"/>
  <c r="AD282" i="70" l="1"/>
  <c r="AF251" i="70"/>
  <c r="AE246" i="70"/>
  <c r="AD252" i="70"/>
  <c r="AF246" i="70" l="1"/>
  <c r="AE118" i="70"/>
  <c r="AE252" i="70"/>
  <c r="B251" i="70"/>
  <c r="AF282" i="70" s="1"/>
  <c r="AE282" i="70"/>
  <c r="AF252" i="70" l="1"/>
  <c r="B246" i="70"/>
  <c r="B118" i="70" s="1"/>
  <c r="AF118" i="70"/>
  <c r="B252" i="70" l="1"/>
  <c r="AI118" i="70" l="1"/>
  <c r="AH118" i="70"/>
  <c r="Z123" i="69" l="1"/>
  <c r="X123" i="69"/>
  <c r="W123" i="69"/>
  <c r="V123" i="69"/>
  <c r="U123" i="69" l="1"/>
  <c r="T58" i="69"/>
  <c r="T62" i="69"/>
  <c r="T76" i="69"/>
  <c r="T80" i="69"/>
  <c r="T92" i="69"/>
  <c r="T101" i="69"/>
  <c r="T102" i="69"/>
  <c r="T103" i="69"/>
  <c r="T104" i="69"/>
  <c r="T105" i="69"/>
  <c r="S123" i="69"/>
  <c r="R123" i="69"/>
  <c r="R121" i="69"/>
  <c r="R57" i="69"/>
  <c r="Q123" i="69"/>
  <c r="Q121" i="69"/>
  <c r="Q57" i="69"/>
  <c r="P123" i="69"/>
  <c r="P121" i="69"/>
  <c r="P57" i="69"/>
  <c r="O123" i="69"/>
  <c r="O121" i="69"/>
  <c r="O57" i="69"/>
  <c r="O58" i="69"/>
  <c r="O62" i="69"/>
  <c r="N123" i="69"/>
  <c r="N57" i="69"/>
  <c r="M123" i="69"/>
  <c r="L123" i="69"/>
  <c r="K123" i="69"/>
  <c r="J123" i="69"/>
  <c r="I123" i="69"/>
  <c r="I58" i="69"/>
  <c r="I62" i="69"/>
  <c r="T107" i="69" l="1"/>
  <c r="T108" i="69" s="1"/>
  <c r="T97" i="69"/>
  <c r="T99" i="69" s="1"/>
  <c r="T100" i="69" l="1"/>
  <c r="H123" i="69" l="1"/>
  <c r="H58" i="69"/>
  <c r="H62" i="69"/>
  <c r="G123" i="69" l="1"/>
  <c r="G58" i="69"/>
  <c r="G62" i="69"/>
  <c r="F123" i="69"/>
  <c r="E123" i="69"/>
  <c r="AH125" i="69" l="1"/>
  <c r="AI125" i="69"/>
  <c r="AH124" i="69"/>
  <c r="AI124" i="69"/>
  <c r="AF286" i="69"/>
  <c r="AE286" i="69"/>
  <c r="AD286" i="69"/>
  <c r="AC286" i="69"/>
  <c r="AB286" i="69"/>
  <c r="AA286" i="69"/>
  <c r="Z286" i="69"/>
  <c r="Y286" i="69"/>
  <c r="X286" i="69"/>
  <c r="W286" i="69"/>
  <c r="V286" i="69"/>
  <c r="U286" i="69"/>
  <c r="T286" i="69"/>
  <c r="S286" i="69"/>
  <c r="R286" i="69"/>
  <c r="Q286" i="69"/>
  <c r="P286" i="69"/>
  <c r="O286" i="69"/>
  <c r="N286" i="69"/>
  <c r="M286" i="69"/>
  <c r="L286" i="69"/>
  <c r="K286" i="69"/>
  <c r="J286" i="69"/>
  <c r="I286" i="69"/>
  <c r="H286" i="69"/>
  <c r="G286" i="69"/>
  <c r="F286" i="69"/>
  <c r="E286" i="69"/>
  <c r="D286" i="69"/>
  <c r="C286" i="69"/>
  <c r="B286" i="69"/>
  <c r="A286" i="69"/>
  <c r="AF285" i="69"/>
  <c r="AE285" i="69"/>
  <c r="AD285" i="69"/>
  <c r="AC285" i="69"/>
  <c r="AB285" i="69"/>
  <c r="AA285" i="69"/>
  <c r="Z285" i="69"/>
  <c r="Y285" i="69"/>
  <c r="X285" i="69"/>
  <c r="W285" i="69"/>
  <c r="V285" i="69"/>
  <c r="U285" i="69"/>
  <c r="T285" i="69"/>
  <c r="S285" i="69"/>
  <c r="R285" i="69"/>
  <c r="Q285" i="69"/>
  <c r="P285" i="69"/>
  <c r="O285" i="69"/>
  <c r="N285" i="69"/>
  <c r="M285" i="69"/>
  <c r="L285" i="69"/>
  <c r="K285" i="69"/>
  <c r="J285" i="69"/>
  <c r="I285" i="69"/>
  <c r="H285" i="69"/>
  <c r="G285" i="69"/>
  <c r="F285" i="69"/>
  <c r="E285" i="69"/>
  <c r="D285" i="69"/>
  <c r="C285" i="69"/>
  <c r="B285" i="69"/>
  <c r="A285" i="69"/>
  <c r="AF284" i="69"/>
  <c r="AE284" i="69"/>
  <c r="AD284" i="69"/>
  <c r="AC284" i="69"/>
  <c r="AB284" i="69"/>
  <c r="AA284" i="69"/>
  <c r="Z284" i="69"/>
  <c r="Y284" i="69"/>
  <c r="X284" i="69"/>
  <c r="W284" i="69"/>
  <c r="V284" i="69"/>
  <c r="U284" i="69"/>
  <c r="T284" i="69"/>
  <c r="S284" i="69"/>
  <c r="R284" i="69"/>
  <c r="Q284" i="69"/>
  <c r="P284" i="69"/>
  <c r="O284" i="69"/>
  <c r="N284" i="69"/>
  <c r="M284" i="69"/>
  <c r="L284" i="69"/>
  <c r="K284" i="69"/>
  <c r="J284" i="69"/>
  <c r="I284" i="69"/>
  <c r="H284" i="69"/>
  <c r="G284" i="69"/>
  <c r="F284" i="69"/>
  <c r="E284" i="69"/>
  <c r="D284" i="69"/>
  <c r="C284" i="69"/>
  <c r="B284" i="69"/>
  <c r="A284" i="69"/>
  <c r="AF283" i="69"/>
  <c r="AE283" i="69"/>
  <c r="AD283" i="69"/>
  <c r="AC283" i="69"/>
  <c r="AB283" i="69"/>
  <c r="AA283" i="69"/>
  <c r="Z283" i="69"/>
  <c r="Y283" i="69"/>
  <c r="X283" i="69"/>
  <c r="W283" i="69"/>
  <c r="V283" i="69"/>
  <c r="U283" i="69"/>
  <c r="T283" i="69"/>
  <c r="S283" i="69"/>
  <c r="R283" i="69"/>
  <c r="Q283" i="69"/>
  <c r="P283" i="69"/>
  <c r="O283" i="69"/>
  <c r="N283" i="69"/>
  <c r="M283" i="69"/>
  <c r="L283" i="69"/>
  <c r="K283" i="69"/>
  <c r="J283" i="69"/>
  <c r="I283" i="69"/>
  <c r="H283" i="69"/>
  <c r="G283" i="69"/>
  <c r="F283" i="69"/>
  <c r="E283" i="69"/>
  <c r="D283" i="69"/>
  <c r="C283" i="69"/>
  <c r="B283" i="69"/>
  <c r="A283" i="69"/>
  <c r="B282" i="69"/>
  <c r="S257" i="69"/>
  <c r="AG252" i="69"/>
  <c r="AG75" i="69" s="1"/>
  <c r="AG76" i="69" s="1"/>
  <c r="AG3" i="69" s="1"/>
  <c r="C252" i="69"/>
  <c r="D251" i="69"/>
  <c r="D250" i="69"/>
  <c r="E250" i="69" s="1"/>
  <c r="F250" i="69" s="1"/>
  <c r="G250" i="69" s="1"/>
  <c r="H250" i="69" s="1"/>
  <c r="I250" i="69" s="1"/>
  <c r="J250" i="69" s="1"/>
  <c r="K250" i="69" s="1"/>
  <c r="L250" i="69" s="1"/>
  <c r="M250" i="69" s="1"/>
  <c r="N250" i="69" s="1"/>
  <c r="O250" i="69" s="1"/>
  <c r="P250" i="69" s="1"/>
  <c r="Q250" i="69" s="1"/>
  <c r="R250" i="69" s="1"/>
  <c r="S250" i="69" s="1"/>
  <c r="T250" i="69" s="1"/>
  <c r="U250" i="69" s="1"/>
  <c r="V250" i="69" s="1"/>
  <c r="W250" i="69" s="1"/>
  <c r="X250" i="69" s="1"/>
  <c r="Y250" i="69" s="1"/>
  <c r="Z250" i="69" s="1"/>
  <c r="AA250" i="69" s="1"/>
  <c r="AB250" i="69" s="1"/>
  <c r="AC250" i="69" s="1"/>
  <c r="AD250" i="69" s="1"/>
  <c r="AE250" i="69" s="1"/>
  <c r="AF250" i="69" s="1"/>
  <c r="B250" i="69" s="1"/>
  <c r="D249" i="69"/>
  <c r="E249" i="69" s="1"/>
  <c r="F249" i="69" s="1"/>
  <c r="G249" i="69" s="1"/>
  <c r="H249" i="69" s="1"/>
  <c r="I249" i="69" s="1"/>
  <c r="J249" i="69" s="1"/>
  <c r="K249" i="69" s="1"/>
  <c r="L249" i="69" s="1"/>
  <c r="M249" i="69" s="1"/>
  <c r="N249" i="69" s="1"/>
  <c r="O249" i="69" s="1"/>
  <c r="P249" i="69" s="1"/>
  <c r="Q249" i="69" s="1"/>
  <c r="R249" i="69" s="1"/>
  <c r="S249" i="69" s="1"/>
  <c r="T249" i="69" s="1"/>
  <c r="U249" i="69" s="1"/>
  <c r="V249" i="69" s="1"/>
  <c r="W249" i="69" s="1"/>
  <c r="X249" i="69" s="1"/>
  <c r="Y249" i="69" s="1"/>
  <c r="Z249" i="69" s="1"/>
  <c r="AA249" i="69" s="1"/>
  <c r="AB249" i="69" s="1"/>
  <c r="AC249" i="69" s="1"/>
  <c r="AD249" i="69" s="1"/>
  <c r="AE249" i="69" s="1"/>
  <c r="AF249" i="69" s="1"/>
  <c r="B249" i="69" s="1"/>
  <c r="D248" i="69"/>
  <c r="E248" i="69" s="1"/>
  <c r="F248" i="69" s="1"/>
  <c r="G248" i="69" s="1"/>
  <c r="H248" i="69" s="1"/>
  <c r="I248" i="69" s="1"/>
  <c r="J248" i="69" s="1"/>
  <c r="K248" i="69" s="1"/>
  <c r="L248" i="69" s="1"/>
  <c r="M248" i="69" s="1"/>
  <c r="N248" i="69" s="1"/>
  <c r="O248" i="69" s="1"/>
  <c r="P248" i="69" s="1"/>
  <c r="Q248" i="69" s="1"/>
  <c r="R248" i="69" s="1"/>
  <c r="S248" i="69" s="1"/>
  <c r="T248" i="69" s="1"/>
  <c r="U248" i="69" s="1"/>
  <c r="V248" i="69" s="1"/>
  <c r="W248" i="69" s="1"/>
  <c r="X248" i="69" s="1"/>
  <c r="Y248" i="69" s="1"/>
  <c r="Z248" i="69" s="1"/>
  <c r="AA248" i="69" s="1"/>
  <c r="AB248" i="69" s="1"/>
  <c r="AC248" i="69" s="1"/>
  <c r="AD248" i="69" s="1"/>
  <c r="AE248" i="69" s="1"/>
  <c r="AF248" i="69" s="1"/>
  <c r="B248" i="69" s="1"/>
  <c r="D247" i="69"/>
  <c r="D246" i="69"/>
  <c r="E246" i="69" s="1"/>
  <c r="AG244" i="69"/>
  <c r="AF244" i="69"/>
  <c r="AE244" i="69"/>
  <c r="AD244" i="69"/>
  <c r="AC244" i="69"/>
  <c r="AB244" i="69"/>
  <c r="AA244" i="69"/>
  <c r="Z244" i="69"/>
  <c r="Z118" i="69" s="1"/>
  <c r="Y244" i="69"/>
  <c r="Y118" i="69" s="1"/>
  <c r="X244" i="69"/>
  <c r="W244" i="69"/>
  <c r="V244" i="69"/>
  <c r="U244" i="69"/>
  <c r="T244" i="69"/>
  <c r="S244" i="69"/>
  <c r="R244" i="69"/>
  <c r="Q244" i="69"/>
  <c r="P244" i="69"/>
  <c r="O244" i="69"/>
  <c r="N244" i="69"/>
  <c r="M244" i="69"/>
  <c r="L244" i="69"/>
  <c r="K244" i="69"/>
  <c r="J244" i="69"/>
  <c r="I244" i="69"/>
  <c r="H244" i="69"/>
  <c r="G244" i="69"/>
  <c r="F244" i="69"/>
  <c r="E244" i="69"/>
  <c r="D244" i="69"/>
  <c r="C244" i="69"/>
  <c r="B244" i="69"/>
  <c r="AI130" i="69"/>
  <c r="AH130" i="69"/>
  <c r="AI129" i="69"/>
  <c r="AH129" i="69"/>
  <c r="AI128" i="69"/>
  <c r="AH128" i="69"/>
  <c r="AI127" i="69"/>
  <c r="AH127" i="69"/>
  <c r="AI126" i="69"/>
  <c r="AH126" i="69"/>
  <c r="AI123" i="69"/>
  <c r="AH123" i="69"/>
  <c r="AI122" i="69"/>
  <c r="AH122" i="69"/>
  <c r="AI121" i="69"/>
  <c r="AH121" i="69"/>
  <c r="AI120" i="69"/>
  <c r="AH120" i="69"/>
  <c r="AI119" i="69"/>
  <c r="AH119" i="69"/>
  <c r="C118" i="69"/>
  <c r="AI117" i="69"/>
  <c r="AH117" i="69"/>
  <c r="AI116" i="69"/>
  <c r="AH116" i="69"/>
  <c r="AI115" i="69"/>
  <c r="AH115" i="69"/>
  <c r="AI114" i="69"/>
  <c r="AH114" i="69"/>
  <c r="AI113" i="69"/>
  <c r="AH113" i="69"/>
  <c r="AI112" i="69"/>
  <c r="AH112" i="69"/>
  <c r="AI111" i="69"/>
  <c r="AH111" i="69"/>
  <c r="AI110" i="69"/>
  <c r="AH110" i="69"/>
  <c r="AI109" i="69"/>
  <c r="AH109" i="69"/>
  <c r="AI106" i="69"/>
  <c r="AH106" i="69"/>
  <c r="AA105" i="69"/>
  <c r="Z105" i="69"/>
  <c r="Y105" i="69"/>
  <c r="X105" i="69"/>
  <c r="W105" i="69"/>
  <c r="V105" i="69"/>
  <c r="U105" i="69"/>
  <c r="S105" i="69"/>
  <c r="R105" i="69"/>
  <c r="Q105" i="69"/>
  <c r="P105" i="69"/>
  <c r="O105" i="69"/>
  <c r="N105" i="69"/>
  <c r="M105" i="69"/>
  <c r="L105" i="69"/>
  <c r="K105" i="69"/>
  <c r="J105" i="69"/>
  <c r="I105" i="69"/>
  <c r="H105" i="69"/>
  <c r="G105" i="69"/>
  <c r="F105" i="69"/>
  <c r="E105" i="69"/>
  <c r="D105" i="69"/>
  <c r="C105" i="69"/>
  <c r="B105" i="69"/>
  <c r="AA104" i="69"/>
  <c r="Z104" i="69"/>
  <c r="Y104" i="69"/>
  <c r="X104" i="69"/>
  <c r="W104" i="69"/>
  <c r="V104" i="69"/>
  <c r="U104" i="69"/>
  <c r="S104" i="69"/>
  <c r="R104" i="69"/>
  <c r="Q104" i="69"/>
  <c r="P104" i="69"/>
  <c r="O104" i="69"/>
  <c r="N104" i="69"/>
  <c r="M104" i="69"/>
  <c r="L104" i="69"/>
  <c r="K104" i="69"/>
  <c r="J104" i="69"/>
  <c r="I104" i="69"/>
  <c r="H104" i="69"/>
  <c r="G104" i="69"/>
  <c r="F104" i="69"/>
  <c r="E104" i="69"/>
  <c r="D104" i="69"/>
  <c r="C104" i="69"/>
  <c r="B104" i="69"/>
  <c r="AA103" i="69"/>
  <c r="Z103" i="69"/>
  <c r="Y103" i="69"/>
  <c r="X103" i="69"/>
  <c r="W103" i="69"/>
  <c r="V103" i="69"/>
  <c r="U103" i="69"/>
  <c r="S103" i="69"/>
  <c r="R103" i="69"/>
  <c r="Q103" i="69"/>
  <c r="P103" i="69"/>
  <c r="O103" i="69"/>
  <c r="N103" i="69"/>
  <c r="M103" i="69"/>
  <c r="L103" i="69"/>
  <c r="K103" i="69"/>
  <c r="J103" i="69"/>
  <c r="I103" i="69"/>
  <c r="H103" i="69"/>
  <c r="G103" i="69"/>
  <c r="F103" i="69"/>
  <c r="E103" i="69"/>
  <c r="D103" i="69"/>
  <c r="C103" i="69"/>
  <c r="B103" i="69"/>
  <c r="AA102" i="69"/>
  <c r="Z102" i="69"/>
  <c r="Y102" i="69"/>
  <c r="X102" i="69"/>
  <c r="W102" i="69"/>
  <c r="V102" i="69"/>
  <c r="U102" i="69"/>
  <c r="S102" i="69"/>
  <c r="R102" i="69"/>
  <c r="Q102" i="69"/>
  <c r="P102" i="69"/>
  <c r="O102" i="69"/>
  <c r="N102" i="69"/>
  <c r="M102" i="69"/>
  <c r="L102" i="69"/>
  <c r="K102" i="69"/>
  <c r="J102" i="69"/>
  <c r="I102" i="69"/>
  <c r="H102" i="69"/>
  <c r="G102" i="69"/>
  <c r="F102" i="69"/>
  <c r="E102" i="69"/>
  <c r="D102" i="69"/>
  <c r="C102" i="69"/>
  <c r="B102" i="69"/>
  <c r="AA101" i="69"/>
  <c r="Z101" i="69"/>
  <c r="Y101" i="69"/>
  <c r="X101" i="69"/>
  <c r="W101" i="69"/>
  <c r="V101" i="69"/>
  <c r="U101" i="69"/>
  <c r="S101" i="69"/>
  <c r="R101" i="69"/>
  <c r="Q101" i="69"/>
  <c r="P101" i="69"/>
  <c r="O101" i="69"/>
  <c r="N101" i="69"/>
  <c r="M101" i="69"/>
  <c r="L101" i="69"/>
  <c r="K101" i="69"/>
  <c r="J101" i="69"/>
  <c r="I101" i="69"/>
  <c r="H101" i="69"/>
  <c r="G101" i="69"/>
  <c r="F101" i="69"/>
  <c r="E101" i="69"/>
  <c r="D101" i="69"/>
  <c r="C101" i="69"/>
  <c r="B101" i="69"/>
  <c r="AI98" i="69"/>
  <c r="AH98" i="69"/>
  <c r="AI96" i="69"/>
  <c r="AH96" i="69"/>
  <c r="AG96" i="69"/>
  <c r="AI95" i="69"/>
  <c r="AH95" i="69"/>
  <c r="AI94" i="69"/>
  <c r="AH94" i="69"/>
  <c r="AI93" i="69"/>
  <c r="AH93" i="69"/>
  <c r="AG92" i="69"/>
  <c r="AD5" i="69"/>
  <c r="AA92" i="69"/>
  <c r="Z5" i="69" s="1"/>
  <c r="Z92" i="69"/>
  <c r="Y5" i="69" s="1"/>
  <c r="Y92" i="69"/>
  <c r="X92" i="69"/>
  <c r="W5" i="69" s="1"/>
  <c r="W92" i="69"/>
  <c r="V5" i="69" s="1"/>
  <c r="V92" i="69"/>
  <c r="U92" i="69"/>
  <c r="T5" i="69" s="1"/>
  <c r="S92" i="69"/>
  <c r="R5" i="69" s="1"/>
  <c r="R92" i="69"/>
  <c r="Q5" i="69" s="1"/>
  <c r="Q92" i="69"/>
  <c r="P92" i="69"/>
  <c r="O92" i="69"/>
  <c r="N5" i="69" s="1"/>
  <c r="N92" i="69"/>
  <c r="M92" i="69"/>
  <c r="L5" i="69" s="1"/>
  <c r="L92" i="69"/>
  <c r="K5" i="69" s="1"/>
  <c r="K92" i="69"/>
  <c r="J5" i="69" s="1"/>
  <c r="J92" i="69"/>
  <c r="I5" i="69" s="1"/>
  <c r="I92" i="69"/>
  <c r="H5" i="69" s="1"/>
  <c r="H92" i="69"/>
  <c r="G92" i="69"/>
  <c r="F5" i="69" s="1"/>
  <c r="F92" i="69"/>
  <c r="E5" i="69" s="1"/>
  <c r="E92" i="69"/>
  <c r="D5" i="69" s="1"/>
  <c r="D92" i="69"/>
  <c r="C5" i="69" s="1"/>
  <c r="C92" i="69"/>
  <c r="B5" i="69" s="1"/>
  <c r="B92" i="69"/>
  <c r="AI91" i="69"/>
  <c r="AH91" i="69"/>
  <c r="AI90" i="69"/>
  <c r="AH90" i="69"/>
  <c r="AI89" i="69"/>
  <c r="AH89" i="69"/>
  <c r="AI88" i="69"/>
  <c r="AH88" i="69"/>
  <c r="AI87" i="69"/>
  <c r="AH87" i="69"/>
  <c r="AI86" i="69"/>
  <c r="AH86" i="69"/>
  <c r="AI85" i="69"/>
  <c r="AH85" i="69"/>
  <c r="AI84" i="69"/>
  <c r="AH84" i="69"/>
  <c r="AI83" i="69"/>
  <c r="AH83" i="69"/>
  <c r="AI82" i="69"/>
  <c r="AH82" i="69"/>
  <c r="AI81" i="69"/>
  <c r="AH81" i="69"/>
  <c r="AG80" i="69"/>
  <c r="AG4" i="69" s="1"/>
  <c r="AA80" i="69"/>
  <c r="Z80" i="69"/>
  <c r="Y80" i="69"/>
  <c r="X80" i="69"/>
  <c r="W80" i="69"/>
  <c r="V80" i="69"/>
  <c r="U80" i="69"/>
  <c r="S80" i="69"/>
  <c r="R80" i="69"/>
  <c r="Q80" i="69"/>
  <c r="P80" i="69"/>
  <c r="O80" i="69"/>
  <c r="N80" i="69"/>
  <c r="M80" i="69"/>
  <c r="L80" i="69"/>
  <c r="K80" i="69"/>
  <c r="J80" i="69"/>
  <c r="I80" i="69"/>
  <c r="H80" i="69"/>
  <c r="G80" i="69"/>
  <c r="F80" i="69"/>
  <c r="E80" i="69"/>
  <c r="D80" i="69"/>
  <c r="C80" i="69"/>
  <c r="B80" i="69"/>
  <c r="AI79" i="69"/>
  <c r="AH79" i="69"/>
  <c r="AI78" i="69"/>
  <c r="AH78" i="69"/>
  <c r="AI77" i="69"/>
  <c r="AH77" i="69"/>
  <c r="AA76" i="69"/>
  <c r="Z76" i="69"/>
  <c r="Y76" i="69"/>
  <c r="X76" i="69"/>
  <c r="W76" i="69"/>
  <c r="V76" i="69"/>
  <c r="U76" i="69"/>
  <c r="S76" i="69"/>
  <c r="R76" i="69"/>
  <c r="Q76" i="69"/>
  <c r="P76" i="69"/>
  <c r="O76" i="69"/>
  <c r="N76" i="69"/>
  <c r="M76" i="69"/>
  <c r="L76" i="69"/>
  <c r="K76" i="69"/>
  <c r="J76" i="69"/>
  <c r="I76" i="69"/>
  <c r="H76" i="69"/>
  <c r="G76" i="69"/>
  <c r="F76" i="69"/>
  <c r="E76" i="69"/>
  <c r="D76" i="69"/>
  <c r="C76" i="69"/>
  <c r="B76" i="69"/>
  <c r="AI75" i="69"/>
  <c r="AH75" i="69"/>
  <c r="AI74" i="69"/>
  <c r="AH74" i="69"/>
  <c r="AI73" i="69"/>
  <c r="AH73" i="69"/>
  <c r="AI72" i="69"/>
  <c r="AH72" i="69"/>
  <c r="AI71" i="69"/>
  <c r="AH71" i="69"/>
  <c r="AI70" i="69"/>
  <c r="AH70" i="69"/>
  <c r="AI69" i="69"/>
  <c r="AH69" i="69"/>
  <c r="AI68" i="69"/>
  <c r="AH68" i="69"/>
  <c r="AI67" i="69"/>
  <c r="AH67" i="69"/>
  <c r="AI66" i="69"/>
  <c r="AH66" i="69"/>
  <c r="AI65" i="69"/>
  <c r="AH65" i="69"/>
  <c r="AI64" i="69"/>
  <c r="AH64" i="69"/>
  <c r="AI63" i="69"/>
  <c r="AH63" i="69"/>
  <c r="AG62" i="69"/>
  <c r="AA62" i="69"/>
  <c r="Z62" i="69"/>
  <c r="Y62" i="69"/>
  <c r="X62" i="69"/>
  <c r="W62" i="69"/>
  <c r="V62" i="69"/>
  <c r="U62" i="69"/>
  <c r="S62" i="69"/>
  <c r="R62" i="69"/>
  <c r="Q62" i="69"/>
  <c r="P62" i="69"/>
  <c r="N62" i="69"/>
  <c r="M62" i="69"/>
  <c r="L62" i="69"/>
  <c r="K62" i="69"/>
  <c r="J62" i="69"/>
  <c r="F62" i="69"/>
  <c r="E62" i="69"/>
  <c r="D62" i="69"/>
  <c r="C62" i="69"/>
  <c r="B62" i="69"/>
  <c r="AI61" i="69"/>
  <c r="AH61" i="69"/>
  <c r="AI60" i="69"/>
  <c r="AH60" i="69"/>
  <c r="AI59" i="69"/>
  <c r="AH59" i="69"/>
  <c r="AG58" i="69"/>
  <c r="AG2" i="69" s="1"/>
  <c r="AX261" i="69"/>
  <c r="AA58" i="69"/>
  <c r="Z58" i="69"/>
  <c r="Y58" i="69"/>
  <c r="X58" i="69"/>
  <c r="W58" i="69"/>
  <c r="V58" i="69"/>
  <c r="U58" i="69"/>
  <c r="S58" i="69"/>
  <c r="R58" i="69"/>
  <c r="Q58" i="69"/>
  <c r="P58" i="69"/>
  <c r="N58" i="69"/>
  <c r="M58" i="69"/>
  <c r="L58" i="69"/>
  <c r="K58" i="69"/>
  <c r="J58" i="69"/>
  <c r="F58" i="69"/>
  <c r="E58" i="69"/>
  <c r="D58" i="69"/>
  <c r="C58" i="69"/>
  <c r="B58" i="69"/>
  <c r="AI57" i="69"/>
  <c r="AH57" i="69"/>
  <c r="AI56" i="69"/>
  <c r="AH56" i="69"/>
  <c r="AI55" i="69"/>
  <c r="AH55" i="69"/>
  <c r="AI54" i="69"/>
  <c r="AH54" i="69"/>
  <c r="AI53" i="69"/>
  <c r="AH53" i="69"/>
  <c r="AI52" i="69"/>
  <c r="AH52" i="69"/>
  <c r="AI51" i="69"/>
  <c r="AH51" i="69"/>
  <c r="AI50" i="69"/>
  <c r="AH50" i="69"/>
  <c r="AI49" i="69"/>
  <c r="AH49" i="69"/>
  <c r="AI48" i="69"/>
  <c r="AH48" i="69"/>
  <c r="AI47" i="69"/>
  <c r="AH47" i="69"/>
  <c r="AI46" i="69"/>
  <c r="AH46" i="69"/>
  <c r="AI45" i="69"/>
  <c r="AH45" i="69"/>
  <c r="AI44" i="69"/>
  <c r="AH44" i="69"/>
  <c r="AI43" i="69"/>
  <c r="AH43" i="69"/>
  <c r="AI42" i="69"/>
  <c r="AH42" i="69"/>
  <c r="AI41" i="69"/>
  <c r="AH41" i="69"/>
  <c r="AI40" i="69"/>
  <c r="AH40" i="69"/>
  <c r="AI39" i="69"/>
  <c r="AH39" i="69"/>
  <c r="AI38" i="69"/>
  <c r="AH38" i="69"/>
  <c r="AI37" i="69"/>
  <c r="AH37" i="69"/>
  <c r="AI36" i="69"/>
  <c r="AH36" i="69"/>
  <c r="AI35" i="69"/>
  <c r="AH35" i="69"/>
  <c r="AI34" i="69"/>
  <c r="AH34" i="69"/>
  <c r="AI33" i="69"/>
  <c r="AH33" i="69"/>
  <c r="AI32" i="69"/>
  <c r="AH32" i="69"/>
  <c r="AI31" i="69"/>
  <c r="AH31" i="69"/>
  <c r="AI30" i="69"/>
  <c r="AH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AI21" i="69"/>
  <c r="AH21" i="69"/>
  <c r="AI20" i="69"/>
  <c r="AH20" i="69"/>
  <c r="AI19" i="69"/>
  <c r="AH19" i="69"/>
  <c r="AI18" i="69"/>
  <c r="AH18" i="69"/>
  <c r="AI17" i="69"/>
  <c r="AH17" i="69"/>
  <c r="AI16" i="69"/>
  <c r="AH16" i="69"/>
  <c r="AI15" i="69"/>
  <c r="AH15" i="69"/>
  <c r="AI14" i="69"/>
  <c r="AH14" i="69"/>
  <c r="AI13" i="69"/>
  <c r="AH13" i="69"/>
  <c r="AI12" i="69"/>
  <c r="AH12" i="69"/>
  <c r="AI11" i="69"/>
  <c r="AH11" i="69"/>
  <c r="AE5" i="69"/>
  <c r="AC5" i="69"/>
  <c r="AB5" i="69"/>
  <c r="AA5" i="69"/>
  <c r="S5" i="69"/>
  <c r="K4" i="69"/>
  <c r="E4" i="69"/>
  <c r="H4" i="69" s="1"/>
  <c r="B4" i="69"/>
  <c r="S258" i="69" s="1"/>
  <c r="AE118" i="68"/>
  <c r="AF118" i="68"/>
  <c r="AD118" i="68"/>
  <c r="AB123" i="68"/>
  <c r="AA123" i="68"/>
  <c r="Z123" i="68"/>
  <c r="Z58" i="68"/>
  <c r="Z62" i="68"/>
  <c r="Z76" i="68"/>
  <c r="Z80" i="68"/>
  <c r="Z92" i="68"/>
  <c r="Z97" i="68" s="1"/>
  <c r="Z99" i="68" s="1"/>
  <c r="Z100" i="68" s="1"/>
  <c r="Z101" i="68"/>
  <c r="Z102" i="68"/>
  <c r="Z103" i="68"/>
  <c r="Z104" i="68"/>
  <c r="Z105" i="68"/>
  <c r="Z118" i="68"/>
  <c r="Y123" i="68"/>
  <c r="Y118" i="68"/>
  <c r="Y105" i="68"/>
  <c r="Y104" i="68"/>
  <c r="Y103" i="68"/>
  <c r="Y102" i="68"/>
  <c r="Y101" i="68"/>
  <c r="Y92" i="68"/>
  <c r="Y108" i="68" s="1"/>
  <c r="Y80" i="68"/>
  <c r="Y76" i="68"/>
  <c r="Y62" i="68"/>
  <c r="Y58" i="68"/>
  <c r="X123" i="68"/>
  <c r="X58" i="68"/>
  <c r="X62" i="68"/>
  <c r="X76" i="68"/>
  <c r="X80" i="68"/>
  <c r="X92" i="68"/>
  <c r="X101" i="68"/>
  <c r="X102" i="68"/>
  <c r="X103" i="68"/>
  <c r="X104" i="68"/>
  <c r="X105" i="68"/>
  <c r="X118" i="68"/>
  <c r="W123" i="68"/>
  <c r="W58" i="68"/>
  <c r="W62" i="68"/>
  <c r="W76" i="68"/>
  <c r="W80" i="68"/>
  <c r="W92" i="68"/>
  <c r="W101" i="68"/>
  <c r="W102" i="68"/>
  <c r="W103" i="68"/>
  <c r="W104" i="68"/>
  <c r="W105" i="68"/>
  <c r="W118" i="68"/>
  <c r="V123" i="68"/>
  <c r="V58" i="68"/>
  <c r="V62" i="68"/>
  <c r="V76" i="68"/>
  <c r="V80" i="68"/>
  <c r="V92" i="68"/>
  <c r="V101" i="68"/>
  <c r="V102" i="68"/>
  <c r="V103" i="68"/>
  <c r="V104" i="68"/>
  <c r="V105" i="68"/>
  <c r="V118" i="68"/>
  <c r="U123" i="68"/>
  <c r="U58" i="68"/>
  <c r="U62" i="68"/>
  <c r="U76" i="68"/>
  <c r="U80" i="68"/>
  <c r="U103" i="68"/>
  <c r="U92" i="68"/>
  <c r="U101" i="68"/>
  <c r="U102" i="68"/>
  <c r="U104" i="68"/>
  <c r="U105" i="68"/>
  <c r="U118" i="68"/>
  <c r="D118" i="69" l="1"/>
  <c r="G107" i="69"/>
  <c r="O107" i="69"/>
  <c r="AG6" i="69"/>
  <c r="N107" i="69"/>
  <c r="K107" i="69"/>
  <c r="N108" i="69"/>
  <c r="H107" i="69"/>
  <c r="H108" i="69" s="1"/>
  <c r="AA107" i="69"/>
  <c r="AA97" i="69"/>
  <c r="AA99" i="69" s="1"/>
  <c r="Z107" i="69"/>
  <c r="Z108" i="69" s="1"/>
  <c r="Z97" i="69"/>
  <c r="Z99" i="69" s="1"/>
  <c r="X5" i="69"/>
  <c r="Y107" i="69"/>
  <c r="Y108" i="69" s="1"/>
  <c r="AI102" i="69"/>
  <c r="AH102" i="69"/>
  <c r="X97" i="69"/>
  <c r="X99" i="69" s="1"/>
  <c r="AP261" i="69" s="1"/>
  <c r="X107" i="69"/>
  <c r="X108" i="69" s="1"/>
  <c r="W107" i="69"/>
  <c r="W108" i="69" s="1"/>
  <c r="W97" i="69"/>
  <c r="W99" i="69" s="1"/>
  <c r="AO261" i="69" s="1"/>
  <c r="V107" i="69"/>
  <c r="V108" i="69" s="1"/>
  <c r="U5" i="69"/>
  <c r="V97" i="69"/>
  <c r="V99" i="69" s="1"/>
  <c r="AN261" i="69" s="1"/>
  <c r="U97" i="69"/>
  <c r="U99" i="69" s="1"/>
  <c r="AM261" i="69" s="1"/>
  <c r="S107" i="69"/>
  <c r="S97" i="69"/>
  <c r="S99" i="69" s="1"/>
  <c r="S100" i="69" s="1"/>
  <c r="S7" i="69" s="1"/>
  <c r="R107" i="69"/>
  <c r="R108" i="69" s="1"/>
  <c r="R97" i="69"/>
  <c r="R99" i="69" s="1"/>
  <c r="AJ261" i="69" s="1"/>
  <c r="P5" i="69"/>
  <c r="Q107" i="69"/>
  <c r="Q108" i="69" s="1"/>
  <c r="P107" i="69"/>
  <c r="P108" i="69" s="1"/>
  <c r="O5" i="69"/>
  <c r="P97" i="69"/>
  <c r="P99" i="69" s="1"/>
  <c r="AH261" i="69" s="1"/>
  <c r="O108" i="69"/>
  <c r="O97" i="69"/>
  <c r="O99" i="69" s="1"/>
  <c r="O100" i="69" s="1"/>
  <c r="O7" i="69" s="1"/>
  <c r="M5" i="69"/>
  <c r="N97" i="69"/>
  <c r="N99" i="69" s="1"/>
  <c r="AF261" i="69" s="1"/>
  <c r="M97" i="69"/>
  <c r="M99" i="69" s="1"/>
  <c r="AE261" i="69" s="1"/>
  <c r="L107" i="69"/>
  <c r="L108" i="69" s="1"/>
  <c r="K97" i="69"/>
  <c r="K99" i="69" s="1"/>
  <c r="K100" i="69" s="1"/>
  <c r="K7" i="69" s="1"/>
  <c r="J107" i="69"/>
  <c r="J108" i="69" s="1"/>
  <c r="J97" i="69"/>
  <c r="J99" i="69" s="1"/>
  <c r="AB261" i="69" s="1"/>
  <c r="I107" i="69"/>
  <c r="I108" i="69" s="1"/>
  <c r="H97" i="69"/>
  <c r="H99" i="69" s="1"/>
  <c r="Z261" i="69" s="1"/>
  <c r="G5" i="69"/>
  <c r="G108" i="69"/>
  <c r="G97" i="69"/>
  <c r="G99" i="69" s="1"/>
  <c r="G100" i="69" s="1"/>
  <c r="G7" i="69" s="1"/>
  <c r="AI103" i="69"/>
  <c r="F107" i="69"/>
  <c r="F108" i="69" s="1"/>
  <c r="AH76" i="69"/>
  <c r="F97" i="69"/>
  <c r="F99" i="69" s="1"/>
  <c r="X261" i="69" s="1"/>
  <c r="E97" i="69"/>
  <c r="E99" i="69" s="1"/>
  <c r="W261" i="69" s="1"/>
  <c r="D107" i="69"/>
  <c r="D108" i="69" s="1"/>
  <c r="AI104" i="69"/>
  <c r="C97" i="69"/>
  <c r="C99" i="69" s="1"/>
  <c r="AH92" i="69"/>
  <c r="AI105" i="69"/>
  <c r="AF5" i="69"/>
  <c r="AI76" i="69"/>
  <c r="AV261" i="69"/>
  <c r="AD7" i="69"/>
  <c r="AH105" i="69"/>
  <c r="C107" i="69"/>
  <c r="C108" i="69" s="1"/>
  <c r="D252" i="69"/>
  <c r="E247" i="69"/>
  <c r="AU261" i="69"/>
  <c r="AG99" i="69"/>
  <c r="AF7" i="69"/>
  <c r="AH103" i="69"/>
  <c r="D97" i="69"/>
  <c r="D99" i="69" s="1"/>
  <c r="AG261" i="69"/>
  <c r="AW261" i="69"/>
  <c r="AE7" i="69"/>
  <c r="AI101" i="69"/>
  <c r="C282" i="69"/>
  <c r="E251" i="69"/>
  <c r="E118" i="69" s="1"/>
  <c r="F246" i="69"/>
  <c r="I97" i="69"/>
  <c r="I99" i="69" s="1"/>
  <c r="Q97" i="69"/>
  <c r="Q99" i="69" s="1"/>
  <c r="Y97" i="69"/>
  <c r="Y99" i="69" s="1"/>
  <c r="AG97" i="69"/>
  <c r="AH80" i="69"/>
  <c r="AK261" i="69"/>
  <c r="L97" i="69"/>
  <c r="L99" i="69" s="1"/>
  <c r="AI62" i="69"/>
  <c r="AI58" i="69"/>
  <c r="AI80" i="69"/>
  <c r="E107" i="69"/>
  <c r="E108" i="69" s="1"/>
  <c r="M107" i="69"/>
  <c r="U107" i="69"/>
  <c r="U108" i="69" s="1"/>
  <c r="D258" i="69"/>
  <c r="AI92" i="69"/>
  <c r="AH101" i="69"/>
  <c r="B107" i="69"/>
  <c r="AH58" i="69"/>
  <c r="AH62" i="69"/>
  <c r="B97" i="69"/>
  <c r="K108" i="69"/>
  <c r="S108" i="69"/>
  <c r="AA108" i="69"/>
  <c r="AH104" i="69"/>
  <c r="Z108" i="68"/>
  <c r="Y97" i="68"/>
  <c r="Y99" i="68" s="1"/>
  <c r="Y100" i="68" s="1"/>
  <c r="X97" i="68"/>
  <c r="X99" i="68" s="1"/>
  <c r="X100" i="68" s="1"/>
  <c r="X108" i="68"/>
  <c r="W97" i="68"/>
  <c r="W99" i="68" s="1"/>
  <c r="W100" i="68" s="1"/>
  <c r="W108" i="68"/>
  <c r="V97" i="68"/>
  <c r="V99" i="68" s="1"/>
  <c r="V100" i="68" s="1"/>
  <c r="V108" i="68"/>
  <c r="U108" i="68"/>
  <c r="U97" i="68"/>
  <c r="U99" i="68" s="1"/>
  <c r="U100" i="68" s="1"/>
  <c r="U153" i="68"/>
  <c r="U152" i="68"/>
  <c r="U151" i="68"/>
  <c r="U150" i="68"/>
  <c r="U149" i="68"/>
  <c r="U148" i="68"/>
  <c r="T149" i="68"/>
  <c r="T148" i="68"/>
  <c r="T123" i="68"/>
  <c r="T85" i="68"/>
  <c r="T58" i="68"/>
  <c r="T62" i="68"/>
  <c r="T76" i="68"/>
  <c r="T80" i="68"/>
  <c r="T103" i="68"/>
  <c r="T92" i="68"/>
  <c r="T101" i="68"/>
  <c r="T102" i="68"/>
  <c r="T104" i="68"/>
  <c r="T105" i="68"/>
  <c r="T118" i="68"/>
  <c r="AC261" i="69" l="1"/>
  <c r="N100" i="69"/>
  <c r="N7" i="69" s="1"/>
  <c r="AA100" i="69"/>
  <c r="AA7" i="69" s="1"/>
  <c r="AS261" i="69"/>
  <c r="U100" i="69"/>
  <c r="U7" i="69" s="1"/>
  <c r="Z100" i="69"/>
  <c r="Z7" i="69" s="1"/>
  <c r="M100" i="69"/>
  <c r="M7" i="69" s="1"/>
  <c r="X100" i="69"/>
  <c r="X7" i="69" s="1"/>
  <c r="AR261" i="69"/>
  <c r="W100" i="69"/>
  <c r="W7" i="69" s="1"/>
  <c r="V100" i="69"/>
  <c r="V7" i="69" s="1"/>
  <c r="R100" i="69"/>
  <c r="R7" i="69" s="1"/>
  <c r="P100" i="69"/>
  <c r="P7" i="69" s="1"/>
  <c r="M108" i="69"/>
  <c r="J100" i="69"/>
  <c r="J7" i="69" s="1"/>
  <c r="Y261" i="69"/>
  <c r="H100" i="69"/>
  <c r="H7" i="69" s="1"/>
  <c r="F100" i="69"/>
  <c r="F7" i="69" s="1"/>
  <c r="E100" i="69"/>
  <c r="E7" i="69" s="1"/>
  <c r="C100" i="69"/>
  <c r="C7" i="69" s="1"/>
  <c r="U261" i="69"/>
  <c r="AL261" i="69"/>
  <c r="T7" i="69"/>
  <c r="F247" i="69"/>
  <c r="G247" i="69" s="1"/>
  <c r="H247" i="69" s="1"/>
  <c r="I247" i="69" s="1"/>
  <c r="J247" i="69" s="1"/>
  <c r="K247" i="69" s="1"/>
  <c r="L247" i="69" s="1"/>
  <c r="M247" i="69" s="1"/>
  <c r="N247" i="69" s="1"/>
  <c r="O247" i="69" s="1"/>
  <c r="P247" i="69" s="1"/>
  <c r="Q247" i="69" s="1"/>
  <c r="R247" i="69" s="1"/>
  <c r="S247" i="69" s="1"/>
  <c r="T247" i="69" s="1"/>
  <c r="U247" i="69" s="1"/>
  <c r="V247" i="69" s="1"/>
  <c r="W247" i="69" s="1"/>
  <c r="X247" i="69" s="1"/>
  <c r="Y247" i="69" s="1"/>
  <c r="Z247" i="69" s="1"/>
  <c r="AA247" i="69" s="1"/>
  <c r="AB247" i="69" s="1"/>
  <c r="AC247" i="69" s="1"/>
  <c r="AD247" i="69" s="1"/>
  <c r="AE247" i="69" s="1"/>
  <c r="AF247" i="69" s="1"/>
  <c r="B247" i="69" s="1"/>
  <c r="E252" i="69"/>
  <c r="AA261" i="69"/>
  <c r="I100" i="69"/>
  <c r="I7" i="69" s="1"/>
  <c r="AI97" i="69"/>
  <c r="AH97" i="69"/>
  <c r="B99" i="69"/>
  <c r="G246" i="69"/>
  <c r="AC7" i="69"/>
  <c r="AD261" i="69"/>
  <c r="L100" i="69"/>
  <c r="L7" i="69" s="1"/>
  <c r="B256" i="69"/>
  <c r="C256" i="69"/>
  <c r="B108" i="69"/>
  <c r="AI107" i="69"/>
  <c r="AH107" i="69"/>
  <c r="AQ261" i="69"/>
  <c r="Y100" i="69"/>
  <c r="Y7" i="69" s="1"/>
  <c r="V261" i="69"/>
  <c r="D100" i="69"/>
  <c r="D7" i="69" s="1"/>
  <c r="AT261" i="69"/>
  <c r="AB7" i="69"/>
  <c r="AI261" i="69"/>
  <c r="Q100" i="69"/>
  <c r="Q7" i="69" s="1"/>
  <c r="D282" i="69"/>
  <c r="F251" i="69"/>
  <c r="T107" i="68"/>
  <c r="T108" i="68" s="1"/>
  <c r="T97" i="68"/>
  <c r="T99" i="68" s="1"/>
  <c r="T100" i="68" s="1"/>
  <c r="S123" i="68"/>
  <c r="S85" i="68"/>
  <c r="S58" i="68"/>
  <c r="S62" i="68"/>
  <c r="S76" i="68"/>
  <c r="S80" i="68"/>
  <c r="S92" i="68"/>
  <c r="S101" i="68"/>
  <c r="S102" i="68"/>
  <c r="S103" i="68"/>
  <c r="S104" i="68"/>
  <c r="S105" i="68"/>
  <c r="S118" i="68"/>
  <c r="R123" i="68"/>
  <c r="R121" i="68"/>
  <c r="R57" i="68"/>
  <c r="R58" i="68"/>
  <c r="R62" i="68"/>
  <c r="R76" i="68"/>
  <c r="R80" i="68"/>
  <c r="Q123" i="68"/>
  <c r="Q121" i="68"/>
  <c r="Q57" i="68"/>
  <c r="P123" i="68"/>
  <c r="P121" i="68"/>
  <c r="P57" i="68"/>
  <c r="O123" i="68"/>
  <c r="O121" i="68"/>
  <c r="O57" i="68"/>
  <c r="AI111" i="68"/>
  <c r="N123" i="68"/>
  <c r="N121" i="68"/>
  <c r="N57" i="68"/>
  <c r="M123" i="68"/>
  <c r="M121" i="68"/>
  <c r="M57" i="68"/>
  <c r="M58" i="68"/>
  <c r="M62" i="68"/>
  <c r="M76" i="68"/>
  <c r="M80" i="68"/>
  <c r="D123" i="68"/>
  <c r="C123" i="68"/>
  <c r="AI123" i="68" s="1"/>
  <c r="B123" i="68"/>
  <c r="AF286" i="68"/>
  <c r="AE286" i="68"/>
  <c r="AD286" i="68"/>
  <c r="AC286" i="68"/>
  <c r="AB286" i="68"/>
  <c r="AA286" i="68"/>
  <c r="Z286" i="68"/>
  <c r="Y286" i="68"/>
  <c r="X286" i="68"/>
  <c r="W286" i="68"/>
  <c r="V286" i="68"/>
  <c r="U286" i="68"/>
  <c r="T286" i="68"/>
  <c r="S286" i="68"/>
  <c r="R286" i="68"/>
  <c r="Q286" i="68"/>
  <c r="P286" i="68"/>
  <c r="O286" i="68"/>
  <c r="N286" i="68"/>
  <c r="M286" i="68"/>
  <c r="L286" i="68"/>
  <c r="K286" i="68"/>
  <c r="J286" i="68"/>
  <c r="I286" i="68"/>
  <c r="H286" i="68"/>
  <c r="G286" i="68"/>
  <c r="F286" i="68"/>
  <c r="E286" i="68"/>
  <c r="D286" i="68"/>
  <c r="C286" i="68"/>
  <c r="B286" i="68"/>
  <c r="A286" i="68"/>
  <c r="AF285" i="68"/>
  <c r="AE285" i="68"/>
  <c r="AD285" i="68"/>
  <c r="AC285" i="68"/>
  <c r="AB285" i="68"/>
  <c r="AA285" i="68"/>
  <c r="Z285" i="68"/>
  <c r="Y285" i="68"/>
  <c r="X285" i="68"/>
  <c r="W285" i="68"/>
  <c r="V285" i="68"/>
  <c r="U285" i="68"/>
  <c r="T285" i="68"/>
  <c r="S285" i="68"/>
  <c r="R285" i="68"/>
  <c r="Q285" i="68"/>
  <c r="P285" i="68"/>
  <c r="O285" i="68"/>
  <c r="N285" i="68"/>
  <c r="M285" i="68"/>
  <c r="L285" i="68"/>
  <c r="K285" i="68"/>
  <c r="J285" i="68"/>
  <c r="I285" i="68"/>
  <c r="H285" i="68"/>
  <c r="G285" i="68"/>
  <c r="F285" i="68"/>
  <c r="E285" i="68"/>
  <c r="D285" i="68"/>
  <c r="C285" i="68"/>
  <c r="B285" i="68"/>
  <c r="A285" i="68"/>
  <c r="AF284" i="68"/>
  <c r="AE284" i="68"/>
  <c r="AD284" i="68"/>
  <c r="AC284" i="68"/>
  <c r="AB284" i="68"/>
  <c r="AA284" i="68"/>
  <c r="Z284" i="68"/>
  <c r="Y284" i="68"/>
  <c r="X284" i="68"/>
  <c r="W284" i="68"/>
  <c r="V284" i="68"/>
  <c r="U284" i="68"/>
  <c r="T284" i="68"/>
  <c r="S284" i="68"/>
  <c r="R284" i="68"/>
  <c r="Q284" i="68"/>
  <c r="P284" i="68"/>
  <c r="O284" i="68"/>
  <c r="N284" i="68"/>
  <c r="M284" i="68"/>
  <c r="L284" i="68"/>
  <c r="K284" i="68"/>
  <c r="J284" i="68"/>
  <c r="I284" i="68"/>
  <c r="H284" i="68"/>
  <c r="G284" i="68"/>
  <c r="F284" i="68"/>
  <c r="E284" i="68"/>
  <c r="D284" i="68"/>
  <c r="C284" i="68"/>
  <c r="B284" i="68"/>
  <c r="A284" i="68"/>
  <c r="AF283" i="68"/>
  <c r="AE283" i="68"/>
  <c r="AD283" i="68"/>
  <c r="AC283" i="68"/>
  <c r="AB283" i="68"/>
  <c r="AA283" i="68"/>
  <c r="Z283" i="68"/>
  <c r="Y283" i="68"/>
  <c r="X283" i="68"/>
  <c r="W283" i="68"/>
  <c r="V283" i="68"/>
  <c r="U283" i="68"/>
  <c r="T283" i="68"/>
  <c r="S283" i="68"/>
  <c r="R283" i="68"/>
  <c r="Q283" i="68"/>
  <c r="P283" i="68"/>
  <c r="O283" i="68"/>
  <c r="N283" i="68"/>
  <c r="M283" i="68"/>
  <c r="L283" i="68"/>
  <c r="K283" i="68"/>
  <c r="J283" i="68"/>
  <c r="I283" i="68"/>
  <c r="H283" i="68"/>
  <c r="G283" i="68"/>
  <c r="F283" i="68"/>
  <c r="E283" i="68"/>
  <c r="D283" i="68"/>
  <c r="C283" i="68"/>
  <c r="B283" i="68"/>
  <c r="A283" i="68"/>
  <c r="B282" i="68"/>
  <c r="S257" i="68"/>
  <c r="AG252" i="68"/>
  <c r="C252" i="68"/>
  <c r="D251" i="68"/>
  <c r="C282" i="68" s="1"/>
  <c r="E250" i="68"/>
  <c r="F250" i="68" s="1"/>
  <c r="G250" i="68" s="1"/>
  <c r="H250" i="68" s="1"/>
  <c r="I250" i="68" s="1"/>
  <c r="J250" i="68" s="1"/>
  <c r="K250" i="68" s="1"/>
  <c r="L250" i="68" s="1"/>
  <c r="M250" i="68" s="1"/>
  <c r="N250" i="68" s="1"/>
  <c r="O250" i="68" s="1"/>
  <c r="P250" i="68" s="1"/>
  <c r="Q250" i="68" s="1"/>
  <c r="R250" i="68" s="1"/>
  <c r="S250" i="68" s="1"/>
  <c r="T250" i="68" s="1"/>
  <c r="U250" i="68" s="1"/>
  <c r="V250" i="68" s="1"/>
  <c r="W250" i="68" s="1"/>
  <c r="X250" i="68" s="1"/>
  <c r="Y250" i="68" s="1"/>
  <c r="Z250" i="68" s="1"/>
  <c r="AA250" i="68" s="1"/>
  <c r="AB250" i="68" s="1"/>
  <c r="AC250" i="68" s="1"/>
  <c r="AD250" i="68" s="1"/>
  <c r="AE250" i="68" s="1"/>
  <c r="AF250" i="68" s="1"/>
  <c r="B250" i="68" s="1"/>
  <c r="D250" i="68"/>
  <c r="H249" i="68"/>
  <c r="I249" i="68" s="1"/>
  <c r="J249" i="68" s="1"/>
  <c r="K249" i="68" s="1"/>
  <c r="L249" i="68" s="1"/>
  <c r="M249" i="68" s="1"/>
  <c r="N249" i="68" s="1"/>
  <c r="O249" i="68" s="1"/>
  <c r="P249" i="68" s="1"/>
  <c r="Q249" i="68" s="1"/>
  <c r="R249" i="68" s="1"/>
  <c r="S249" i="68" s="1"/>
  <c r="T249" i="68" s="1"/>
  <c r="U249" i="68" s="1"/>
  <c r="V249" i="68" s="1"/>
  <c r="W249" i="68" s="1"/>
  <c r="X249" i="68" s="1"/>
  <c r="Y249" i="68" s="1"/>
  <c r="Z249" i="68" s="1"/>
  <c r="AA249" i="68" s="1"/>
  <c r="AB249" i="68" s="1"/>
  <c r="AC249" i="68" s="1"/>
  <c r="AD249" i="68" s="1"/>
  <c r="AE249" i="68" s="1"/>
  <c r="AF249" i="68" s="1"/>
  <c r="B249" i="68" s="1"/>
  <c r="D249" i="68"/>
  <c r="E249" i="68" s="1"/>
  <c r="F249" i="68" s="1"/>
  <c r="G249" i="68" s="1"/>
  <c r="D248" i="68"/>
  <c r="E248" i="68" s="1"/>
  <c r="F248" i="68" s="1"/>
  <c r="G248" i="68" s="1"/>
  <c r="H248" i="68" s="1"/>
  <c r="I248" i="68" s="1"/>
  <c r="J248" i="68" s="1"/>
  <c r="K248" i="68" s="1"/>
  <c r="L248" i="68" s="1"/>
  <c r="M248" i="68" s="1"/>
  <c r="N248" i="68" s="1"/>
  <c r="O248" i="68" s="1"/>
  <c r="P248" i="68" s="1"/>
  <c r="Q248" i="68" s="1"/>
  <c r="R248" i="68" s="1"/>
  <c r="S248" i="68" s="1"/>
  <c r="T248" i="68" s="1"/>
  <c r="U248" i="68" s="1"/>
  <c r="V248" i="68" s="1"/>
  <c r="W248" i="68" s="1"/>
  <c r="X248" i="68" s="1"/>
  <c r="Y248" i="68" s="1"/>
  <c r="Z248" i="68" s="1"/>
  <c r="AA248" i="68" s="1"/>
  <c r="AB248" i="68" s="1"/>
  <c r="AC248" i="68" s="1"/>
  <c r="AD248" i="68" s="1"/>
  <c r="AE248" i="68" s="1"/>
  <c r="AF248" i="68" s="1"/>
  <c r="B248" i="68" s="1"/>
  <c r="D247" i="68"/>
  <c r="D252" i="68" s="1"/>
  <c r="E246" i="68"/>
  <c r="F246" i="68" s="1"/>
  <c r="D246" i="68"/>
  <c r="AG244" i="68"/>
  <c r="AF244" i="68"/>
  <c r="AE244" i="68"/>
  <c r="AD244" i="68"/>
  <c r="AC244" i="68"/>
  <c r="AB244" i="68"/>
  <c r="AA244" i="68"/>
  <c r="Z244" i="68"/>
  <c r="Y244" i="68"/>
  <c r="X244" i="68"/>
  <c r="W244" i="68"/>
  <c r="V244" i="68"/>
  <c r="U244" i="68"/>
  <c r="T244" i="68"/>
  <c r="S244" i="68"/>
  <c r="R244" i="68"/>
  <c r="Q244" i="68"/>
  <c r="P244" i="68"/>
  <c r="O244" i="68"/>
  <c r="N244" i="68"/>
  <c r="M244" i="68"/>
  <c r="L244" i="68"/>
  <c r="K244" i="68"/>
  <c r="J244" i="68"/>
  <c r="I244" i="68"/>
  <c r="H244" i="68"/>
  <c r="G244" i="68"/>
  <c r="F244" i="68"/>
  <c r="E244" i="68"/>
  <c r="D244" i="68"/>
  <c r="C244" i="68"/>
  <c r="B244" i="68"/>
  <c r="AI130" i="68"/>
  <c r="AH130" i="68"/>
  <c r="AI129" i="68"/>
  <c r="AH129" i="68"/>
  <c r="AI128" i="68"/>
  <c r="AH128" i="68"/>
  <c r="AI127" i="68"/>
  <c r="AH127" i="68"/>
  <c r="AI126" i="68"/>
  <c r="AH126" i="68"/>
  <c r="AI122" i="68"/>
  <c r="AH122" i="68"/>
  <c r="AI121" i="68"/>
  <c r="AH121" i="68"/>
  <c r="AI120" i="68"/>
  <c r="AH120" i="68"/>
  <c r="AI119" i="68"/>
  <c r="AH119" i="68"/>
  <c r="C118" i="68"/>
  <c r="AI117" i="68"/>
  <c r="AH117" i="68"/>
  <c r="AI116" i="68"/>
  <c r="AH116" i="68"/>
  <c r="AI115" i="68"/>
  <c r="AH115" i="68"/>
  <c r="AI114" i="68"/>
  <c r="AH114" i="68"/>
  <c r="AI113" i="68"/>
  <c r="AH113" i="68"/>
  <c r="AI112" i="68"/>
  <c r="AH112" i="68"/>
  <c r="AH111" i="68"/>
  <c r="AI110" i="68"/>
  <c r="AH110" i="68"/>
  <c r="AI109" i="68"/>
  <c r="AH109" i="68"/>
  <c r="AA107" i="68"/>
  <c r="AI106" i="68"/>
  <c r="AH106" i="68"/>
  <c r="AF105" i="68"/>
  <c r="AE105" i="68"/>
  <c r="AD105" i="68"/>
  <c r="AC105" i="68"/>
  <c r="AB105" i="68"/>
  <c r="AA105" i="68"/>
  <c r="R105" i="68"/>
  <c r="Q105" i="68"/>
  <c r="P105" i="68"/>
  <c r="O105" i="68"/>
  <c r="N105" i="68"/>
  <c r="M105" i="68"/>
  <c r="L105" i="68"/>
  <c r="K105" i="68"/>
  <c r="J105" i="68"/>
  <c r="I105" i="68"/>
  <c r="H105" i="68"/>
  <c r="G105" i="68"/>
  <c r="F105" i="68"/>
  <c r="E105" i="68"/>
  <c r="D105" i="68"/>
  <c r="C105" i="68"/>
  <c r="B105" i="68"/>
  <c r="AF104" i="68"/>
  <c r="AE104" i="68"/>
  <c r="AD104" i="68"/>
  <c r="AC104" i="68"/>
  <c r="AB104" i="68"/>
  <c r="AA104" i="68"/>
  <c r="R104" i="68"/>
  <c r="Q104" i="68"/>
  <c r="P104" i="68"/>
  <c r="O104" i="68"/>
  <c r="N104" i="68"/>
  <c r="M104" i="68"/>
  <c r="L104" i="68"/>
  <c r="K104" i="68"/>
  <c r="J104" i="68"/>
  <c r="I104" i="68"/>
  <c r="H104" i="68"/>
  <c r="G104" i="68"/>
  <c r="F104" i="68"/>
  <c r="E104" i="68"/>
  <c r="D104" i="68"/>
  <c r="C104" i="68"/>
  <c r="B104" i="68"/>
  <c r="AF103" i="68"/>
  <c r="AE103" i="68"/>
  <c r="AD103" i="68"/>
  <c r="AC103" i="68"/>
  <c r="AB103" i="68"/>
  <c r="AA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F102" i="68"/>
  <c r="AE102" i="68"/>
  <c r="AD102" i="68"/>
  <c r="AC102" i="68"/>
  <c r="AB102" i="68"/>
  <c r="AA102" i="68"/>
  <c r="R102" i="68"/>
  <c r="Q102" i="68"/>
  <c r="P102" i="68"/>
  <c r="O102" i="68"/>
  <c r="N102" i="68"/>
  <c r="M102" i="68"/>
  <c r="L102" i="68"/>
  <c r="K102" i="68"/>
  <c r="J102" i="68"/>
  <c r="I102" i="68"/>
  <c r="H102" i="68"/>
  <c r="G102" i="68"/>
  <c r="F102" i="68"/>
  <c r="E102" i="68"/>
  <c r="D102" i="68"/>
  <c r="C102" i="68"/>
  <c r="B102" i="68"/>
  <c r="AF101" i="68"/>
  <c r="AE101" i="68"/>
  <c r="AE107" i="68" s="1"/>
  <c r="AD101" i="68"/>
  <c r="AC101" i="68"/>
  <c r="AC107" i="68" s="1"/>
  <c r="AB101" i="68"/>
  <c r="AA101" i="68"/>
  <c r="R101" i="68"/>
  <c r="Q101" i="68"/>
  <c r="P101" i="68"/>
  <c r="O101" i="68"/>
  <c r="O107" i="68" s="1"/>
  <c r="N101" i="68"/>
  <c r="M101" i="68"/>
  <c r="L101" i="68"/>
  <c r="K101" i="68"/>
  <c r="J101" i="68"/>
  <c r="J107" i="68" s="1"/>
  <c r="I101" i="68"/>
  <c r="H101" i="68"/>
  <c r="G101" i="68"/>
  <c r="F101" i="68"/>
  <c r="E101" i="68"/>
  <c r="D101" i="68"/>
  <c r="C101" i="68"/>
  <c r="B101" i="68"/>
  <c r="AI98" i="68"/>
  <c r="AH98" i="68"/>
  <c r="AI96" i="68"/>
  <c r="AH96" i="68"/>
  <c r="AG96" i="68"/>
  <c r="AG99" i="68" s="1"/>
  <c r="AI95" i="68"/>
  <c r="AH95" i="68"/>
  <c r="AI94" i="68"/>
  <c r="AH94" i="68"/>
  <c r="AI93" i="68"/>
  <c r="AH93" i="68"/>
  <c r="AG92" i="68"/>
  <c r="AF92" i="68"/>
  <c r="AE5" i="68" s="1"/>
  <c r="AE92" i="68"/>
  <c r="AD5" i="68" s="1"/>
  <c r="AD92" i="68"/>
  <c r="AC5" i="68" s="1"/>
  <c r="AC92" i="68"/>
  <c r="AB5" i="68" s="1"/>
  <c r="AB92" i="68"/>
  <c r="AA5" i="68" s="1"/>
  <c r="AA92" i="68"/>
  <c r="Z5" i="68" s="1"/>
  <c r="Y5" i="68"/>
  <c r="S5" i="68"/>
  <c r="R92" i="68"/>
  <c r="Q5" i="68" s="1"/>
  <c r="Q92" i="68"/>
  <c r="P5" i="68" s="1"/>
  <c r="P92" i="68"/>
  <c r="O5" i="68" s="1"/>
  <c r="O92" i="68"/>
  <c r="N5" i="68" s="1"/>
  <c r="N92" i="68"/>
  <c r="M5" i="68" s="1"/>
  <c r="M92" i="68"/>
  <c r="L5" i="68" s="1"/>
  <c r="L92" i="68"/>
  <c r="K5" i="68" s="1"/>
  <c r="K92" i="68"/>
  <c r="J5" i="68" s="1"/>
  <c r="J92" i="68"/>
  <c r="I5" i="68" s="1"/>
  <c r="I92" i="68"/>
  <c r="H92" i="68"/>
  <c r="G5" i="68" s="1"/>
  <c r="G92" i="68"/>
  <c r="F5" i="68" s="1"/>
  <c r="F92" i="68"/>
  <c r="E92" i="68"/>
  <c r="D5" i="68" s="1"/>
  <c r="D92" i="68"/>
  <c r="C92" i="68"/>
  <c r="B5" i="68" s="1"/>
  <c r="B92" i="68"/>
  <c r="AI91" i="68"/>
  <c r="AH91" i="68"/>
  <c r="AI90" i="68"/>
  <c r="AH90" i="68"/>
  <c r="AI89" i="68"/>
  <c r="AH89" i="68"/>
  <c r="AI88" i="68"/>
  <c r="AH88" i="68"/>
  <c r="AI87" i="68"/>
  <c r="AH87" i="68"/>
  <c r="AI86" i="68"/>
  <c r="AH86" i="68"/>
  <c r="AI85" i="68"/>
  <c r="AH85" i="68"/>
  <c r="AI84" i="68"/>
  <c r="AH84" i="68"/>
  <c r="AI83" i="68"/>
  <c r="AH83" i="68"/>
  <c r="AI82" i="68"/>
  <c r="AH82" i="68"/>
  <c r="AI81" i="68"/>
  <c r="AH81" i="68"/>
  <c r="AG80" i="68"/>
  <c r="AG4" i="68" s="1"/>
  <c r="AF80" i="68"/>
  <c r="AE80" i="68"/>
  <c r="AD80" i="68"/>
  <c r="AC80" i="68"/>
  <c r="AB80" i="68"/>
  <c r="AA80" i="68"/>
  <c r="Q80" i="68"/>
  <c r="P80" i="68"/>
  <c r="O80" i="68"/>
  <c r="N80" i="68"/>
  <c r="L80" i="68"/>
  <c r="K80" i="68"/>
  <c r="J80" i="68"/>
  <c r="I80" i="68"/>
  <c r="H80" i="68"/>
  <c r="G80" i="68"/>
  <c r="F80" i="68"/>
  <c r="E80" i="68"/>
  <c r="D80" i="68"/>
  <c r="C80" i="68"/>
  <c r="B80" i="68"/>
  <c r="AI79" i="68"/>
  <c r="AH79" i="68"/>
  <c r="AI78" i="68"/>
  <c r="AH78" i="68"/>
  <c r="AI77" i="68"/>
  <c r="AH77" i="68"/>
  <c r="AG76" i="68"/>
  <c r="AG3" i="68" s="1"/>
  <c r="AF76" i="68"/>
  <c r="AE76" i="68"/>
  <c r="AD76" i="68"/>
  <c r="AC76" i="68"/>
  <c r="AB76" i="68"/>
  <c r="AA76" i="68"/>
  <c r="Q76" i="68"/>
  <c r="P76" i="68"/>
  <c r="O76" i="68"/>
  <c r="N76" i="68"/>
  <c r="L76" i="68"/>
  <c r="K76" i="68"/>
  <c r="J76" i="68"/>
  <c r="I76" i="68"/>
  <c r="H76" i="68"/>
  <c r="G76" i="68"/>
  <c r="F76" i="68"/>
  <c r="E76" i="68"/>
  <c r="D76" i="68"/>
  <c r="C76" i="68"/>
  <c r="B76" i="68"/>
  <c r="AI75" i="68"/>
  <c r="AH75" i="68"/>
  <c r="AG75" i="68"/>
  <c r="AI74" i="68"/>
  <c r="AH74" i="68"/>
  <c r="AI73" i="68"/>
  <c r="AH73" i="68"/>
  <c r="AI72" i="68"/>
  <c r="AH72" i="68"/>
  <c r="AI71" i="68"/>
  <c r="AH71" i="68"/>
  <c r="AI70" i="68"/>
  <c r="AH70" i="68"/>
  <c r="AI69" i="68"/>
  <c r="AH69" i="68"/>
  <c r="AI68" i="68"/>
  <c r="AH68" i="68"/>
  <c r="AI67" i="68"/>
  <c r="AH67" i="68"/>
  <c r="AI66" i="68"/>
  <c r="AH66" i="68"/>
  <c r="AI65" i="68"/>
  <c r="AH65" i="68"/>
  <c r="AI64" i="68"/>
  <c r="AH64" i="68"/>
  <c r="AI63" i="68"/>
  <c r="AH63" i="68"/>
  <c r="AG62" i="68"/>
  <c r="AF62" i="68"/>
  <c r="AE62" i="68"/>
  <c r="AD62" i="68"/>
  <c r="AC62" i="68"/>
  <c r="AB62" i="68"/>
  <c r="AA62" i="68"/>
  <c r="Q62" i="68"/>
  <c r="P62" i="68"/>
  <c r="O62" i="68"/>
  <c r="N62" i="68"/>
  <c r="L62" i="68"/>
  <c r="K62" i="68"/>
  <c r="J62" i="68"/>
  <c r="I62" i="68"/>
  <c r="H62" i="68"/>
  <c r="G62" i="68"/>
  <c r="F62" i="68"/>
  <c r="E62" i="68"/>
  <c r="D62" i="68"/>
  <c r="C62" i="68"/>
  <c r="B62" i="68"/>
  <c r="AI61" i="68"/>
  <c r="AH61" i="68"/>
  <c r="AI60" i="68"/>
  <c r="AH60" i="68"/>
  <c r="AI59" i="68"/>
  <c r="AH59" i="68"/>
  <c r="AG58" i="68"/>
  <c r="AG2" i="68" s="1"/>
  <c r="AG6" i="68" s="1"/>
  <c r="AF58" i="68"/>
  <c r="AE58" i="68"/>
  <c r="AD58" i="68"/>
  <c r="AC58" i="68"/>
  <c r="AB58" i="68"/>
  <c r="AA58" i="68"/>
  <c r="Q58" i="68"/>
  <c r="P58" i="68"/>
  <c r="O58" i="68"/>
  <c r="N58" i="68"/>
  <c r="L58" i="68"/>
  <c r="K58" i="68"/>
  <c r="J58" i="68"/>
  <c r="I58" i="68"/>
  <c r="H58" i="68"/>
  <c r="G58" i="68"/>
  <c r="F58" i="68"/>
  <c r="E58" i="68"/>
  <c r="D58" i="68"/>
  <c r="C58" i="68"/>
  <c r="B58" i="68"/>
  <c r="AI57" i="68"/>
  <c r="AH57" i="68"/>
  <c r="AI56" i="68"/>
  <c r="AH56" i="68"/>
  <c r="AI55" i="68"/>
  <c r="AH55" i="68"/>
  <c r="AI54" i="68"/>
  <c r="AH54" i="68"/>
  <c r="AI53" i="68"/>
  <c r="AH53" i="68"/>
  <c r="AI52" i="68"/>
  <c r="AH52" i="68"/>
  <c r="AI51" i="68"/>
  <c r="AH51" i="68"/>
  <c r="AI50" i="68"/>
  <c r="AH50" i="68"/>
  <c r="AI49" i="68"/>
  <c r="AH49" i="68"/>
  <c r="AI48" i="68"/>
  <c r="AH48" i="68"/>
  <c r="AI47" i="68"/>
  <c r="AH47" i="68"/>
  <c r="AI46" i="68"/>
  <c r="AH46" i="68"/>
  <c r="AI45" i="68"/>
  <c r="AH45" i="68"/>
  <c r="AI44" i="68"/>
  <c r="AH44" i="68"/>
  <c r="AI43" i="68"/>
  <c r="AH43" i="68"/>
  <c r="AI42" i="68"/>
  <c r="AH42" i="68"/>
  <c r="AI41" i="68"/>
  <c r="AH41" i="68"/>
  <c r="AI40" i="68"/>
  <c r="AH40" i="68"/>
  <c r="AI39" i="68"/>
  <c r="AH39" i="68"/>
  <c r="AI38" i="68"/>
  <c r="AH38" i="68"/>
  <c r="AI37" i="68"/>
  <c r="AH37" i="68"/>
  <c r="AI36" i="68"/>
  <c r="AH36" i="68"/>
  <c r="AI35" i="68"/>
  <c r="AH35" i="68"/>
  <c r="AI34" i="68"/>
  <c r="AH34" i="68"/>
  <c r="AI33" i="68"/>
  <c r="AH33" i="68"/>
  <c r="AI32" i="68"/>
  <c r="AH32" i="68"/>
  <c r="AI31" i="68"/>
  <c r="AH31" i="68"/>
  <c r="AI30" i="68"/>
  <c r="AH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AI23" i="68"/>
  <c r="AH23" i="68"/>
  <c r="AI22" i="68"/>
  <c r="AH22" i="68"/>
  <c r="AI21" i="68"/>
  <c r="AH21" i="68"/>
  <c r="AI20" i="68"/>
  <c r="AH20" i="68"/>
  <c r="AI19" i="68"/>
  <c r="AH19" i="68"/>
  <c r="AI18" i="68"/>
  <c r="AH18" i="68"/>
  <c r="AI17" i="68"/>
  <c r="AH17" i="68"/>
  <c r="AI16" i="68"/>
  <c r="AH16" i="68"/>
  <c r="AI15" i="68"/>
  <c r="AH15" i="68"/>
  <c r="AI14" i="68"/>
  <c r="AH14" i="68"/>
  <c r="AI13" i="68"/>
  <c r="AH13" i="68"/>
  <c r="AI12" i="68"/>
  <c r="AH12" i="68"/>
  <c r="AI11" i="68"/>
  <c r="AH11" i="68"/>
  <c r="W5" i="68"/>
  <c r="V5" i="68"/>
  <c r="U5" i="68"/>
  <c r="T5" i="68"/>
  <c r="R5" i="68"/>
  <c r="K4" i="68"/>
  <c r="E4" i="68"/>
  <c r="H4" i="68" s="1"/>
  <c r="B4" i="68"/>
  <c r="S258" i="68" s="1"/>
  <c r="K6" i="69" l="1"/>
  <c r="E282" i="69"/>
  <c r="G251" i="69"/>
  <c r="F252" i="69"/>
  <c r="F118" i="69"/>
  <c r="AI108" i="69"/>
  <c r="AH108" i="69"/>
  <c r="H246" i="69"/>
  <c r="G118" i="69"/>
  <c r="T261" i="69"/>
  <c r="B100" i="69"/>
  <c r="AI99" i="69"/>
  <c r="AH99" i="69"/>
  <c r="AF97" i="68"/>
  <c r="AF99" i="68" s="1"/>
  <c r="AX261" i="68" s="1"/>
  <c r="AF107" i="68"/>
  <c r="AF108" i="68" s="1"/>
  <c r="AE108" i="68"/>
  <c r="AE97" i="68"/>
  <c r="AE99" i="68" s="1"/>
  <c r="AE100" i="68" s="1"/>
  <c r="AE7" i="68" s="1"/>
  <c r="AD97" i="68"/>
  <c r="AD99" i="68" s="1"/>
  <c r="AV261" i="68" s="1"/>
  <c r="AC108" i="68"/>
  <c r="AC97" i="68"/>
  <c r="AC99" i="68" s="1"/>
  <c r="AU261" i="68" s="1"/>
  <c r="AA97" i="68"/>
  <c r="AA99" i="68" s="1"/>
  <c r="S97" i="68"/>
  <c r="S99" i="68" s="1"/>
  <c r="S107" i="68"/>
  <c r="S108" i="68" s="1"/>
  <c r="R107" i="68"/>
  <c r="Q107" i="68"/>
  <c r="P107" i="68"/>
  <c r="P108" i="68" s="1"/>
  <c r="P97" i="68"/>
  <c r="P99" i="68" s="1"/>
  <c r="O108" i="68"/>
  <c r="O97" i="68"/>
  <c r="O99" i="68" s="1"/>
  <c r="N107" i="68"/>
  <c r="N108" i="68" s="1"/>
  <c r="N97" i="68"/>
  <c r="N99" i="68" s="1"/>
  <c r="M97" i="68"/>
  <c r="M99" i="68" s="1"/>
  <c r="M100" i="68" s="1"/>
  <c r="M7" i="68" s="1"/>
  <c r="M107" i="68"/>
  <c r="M108" i="68" s="1"/>
  <c r="K107" i="68"/>
  <c r="K108" i="68" s="1"/>
  <c r="AI101" i="68"/>
  <c r="I107" i="68"/>
  <c r="I108" i="68" s="1"/>
  <c r="H107" i="68"/>
  <c r="H108" i="68" s="1"/>
  <c r="AI105" i="68"/>
  <c r="G107" i="68"/>
  <c r="G108" i="68" s="1"/>
  <c r="F107" i="68"/>
  <c r="F108" i="68" s="1"/>
  <c r="G97" i="68"/>
  <c r="G99" i="68" s="1"/>
  <c r="E5" i="68"/>
  <c r="E107" i="68"/>
  <c r="E108" i="68" s="1"/>
  <c r="K97" i="68"/>
  <c r="K99" i="68" s="1"/>
  <c r="AC261" i="68" s="1"/>
  <c r="H97" i="68"/>
  <c r="H99" i="68" s="1"/>
  <c r="Z261" i="68" s="1"/>
  <c r="E97" i="68"/>
  <c r="E99" i="68" s="1"/>
  <c r="W261" i="68" s="1"/>
  <c r="F97" i="68"/>
  <c r="F99" i="68" s="1"/>
  <c r="I97" i="68"/>
  <c r="I99" i="68" s="1"/>
  <c r="AH123" i="68"/>
  <c r="AH92" i="68"/>
  <c r="AI76" i="68"/>
  <c r="AI62" i="68"/>
  <c r="C97" i="68"/>
  <c r="C99" i="68" s="1"/>
  <c r="U261" i="68" s="1"/>
  <c r="AH102" i="68"/>
  <c r="AF261" i="68"/>
  <c r="N100" i="68"/>
  <c r="N7" i="68" s="1"/>
  <c r="P100" i="68"/>
  <c r="P7" i="68" s="1"/>
  <c r="X7" i="68"/>
  <c r="AG261" i="68"/>
  <c r="O100" i="68"/>
  <c r="O7" i="68" s="1"/>
  <c r="AQ261" i="68"/>
  <c r="Y7" i="68"/>
  <c r="AS261" i="68"/>
  <c r="AA100" i="68"/>
  <c r="AA7" i="68" s="1"/>
  <c r="AO261" i="68"/>
  <c r="W7" i="68"/>
  <c r="H5" i="68"/>
  <c r="AN261" i="68"/>
  <c r="V7" i="68"/>
  <c r="AM261" i="68"/>
  <c r="U7" i="68"/>
  <c r="J108" i="68"/>
  <c r="AH261" i="68"/>
  <c r="AI58" i="68"/>
  <c r="J97" i="68"/>
  <c r="J99" i="68" s="1"/>
  <c r="R97" i="68"/>
  <c r="R99" i="68" s="1"/>
  <c r="AI80" i="68"/>
  <c r="AH80" i="68"/>
  <c r="AA108" i="68"/>
  <c r="AI104" i="68"/>
  <c r="AH105" i="68"/>
  <c r="C107" i="68"/>
  <c r="C108" i="68" s="1"/>
  <c r="E247" i="68"/>
  <c r="F247" i="68" s="1"/>
  <c r="G247" i="68" s="1"/>
  <c r="H247" i="68" s="1"/>
  <c r="I247" i="68" s="1"/>
  <c r="J247" i="68" s="1"/>
  <c r="K247" i="68" s="1"/>
  <c r="L247" i="68" s="1"/>
  <c r="M247" i="68" s="1"/>
  <c r="N247" i="68" s="1"/>
  <c r="O247" i="68" s="1"/>
  <c r="P247" i="68" s="1"/>
  <c r="Q247" i="68" s="1"/>
  <c r="R247" i="68" s="1"/>
  <c r="S247" i="68" s="1"/>
  <c r="T247" i="68" s="1"/>
  <c r="U247" i="68" s="1"/>
  <c r="V247" i="68" s="1"/>
  <c r="W247" i="68" s="1"/>
  <c r="X247" i="68" s="1"/>
  <c r="Y247" i="68" s="1"/>
  <c r="Z247" i="68" s="1"/>
  <c r="AA247" i="68" s="1"/>
  <c r="AB247" i="68" s="1"/>
  <c r="AC247" i="68" s="1"/>
  <c r="AD247" i="68" s="1"/>
  <c r="AE247" i="68" s="1"/>
  <c r="AF247" i="68" s="1"/>
  <c r="B247" i="68" s="1"/>
  <c r="AP261" i="68"/>
  <c r="B107" i="68"/>
  <c r="AH101" i="68"/>
  <c r="AI102" i="68"/>
  <c r="AI103" i="68"/>
  <c r="L97" i="68"/>
  <c r="L99" i="68" s="1"/>
  <c r="AH103" i="68"/>
  <c r="R108" i="68"/>
  <c r="E251" i="68"/>
  <c r="E252" i="68"/>
  <c r="Q108" i="68"/>
  <c r="Q97" i="68"/>
  <c r="Q99" i="68" s="1"/>
  <c r="AH76" i="68"/>
  <c r="C5" i="68"/>
  <c r="D97" i="68"/>
  <c r="D99" i="68" s="1"/>
  <c r="AB97" i="68"/>
  <c r="AB99" i="68" s="1"/>
  <c r="D107" i="68"/>
  <c r="D108" i="68" s="1"/>
  <c r="L107" i="68"/>
  <c r="L108" i="68" s="1"/>
  <c r="AB107" i="68"/>
  <c r="AB108" i="68" s="1"/>
  <c r="AI92" i="68"/>
  <c r="AF5" i="68"/>
  <c r="AG97" i="68"/>
  <c r="D118" i="68"/>
  <c r="D258" i="68"/>
  <c r="G246" i="68"/>
  <c r="X5" i="68"/>
  <c r="AD107" i="68"/>
  <c r="AD108" i="68" s="1"/>
  <c r="E118" i="68"/>
  <c r="AH58" i="68"/>
  <c r="AH62" i="68"/>
  <c r="B97" i="68"/>
  <c r="AH104" i="68"/>
  <c r="I246" i="69" l="1"/>
  <c r="B7" i="69"/>
  <c r="A7" i="69" s="1"/>
  <c r="AI100" i="69"/>
  <c r="AH100" i="69"/>
  <c r="F282" i="69"/>
  <c r="H251" i="69"/>
  <c r="G252" i="69"/>
  <c r="AF100" i="68"/>
  <c r="AF7" i="68" s="1"/>
  <c r="AW261" i="68"/>
  <c r="AD100" i="68"/>
  <c r="AD7" i="68" s="1"/>
  <c r="AC100" i="68"/>
  <c r="AC7" i="68" s="1"/>
  <c r="S100" i="68"/>
  <c r="S7" i="68" s="1"/>
  <c r="AK261" i="68"/>
  <c r="AE261" i="68"/>
  <c r="K100" i="68"/>
  <c r="K7" i="68" s="1"/>
  <c r="I100" i="68"/>
  <c r="I7" i="68" s="1"/>
  <c r="G100" i="68"/>
  <c r="G7" i="68" s="1"/>
  <c r="AA261" i="68"/>
  <c r="Y261" i="68"/>
  <c r="F100" i="68"/>
  <c r="F7" i="68" s="1"/>
  <c r="X261" i="68"/>
  <c r="H100" i="68"/>
  <c r="H7" i="68" s="1"/>
  <c r="C256" i="68"/>
  <c r="E100" i="68"/>
  <c r="E7" i="68" s="1"/>
  <c r="AR261" i="68"/>
  <c r="Z7" i="68"/>
  <c r="AI97" i="68"/>
  <c r="AH97" i="68"/>
  <c r="B99" i="68"/>
  <c r="AT261" i="68"/>
  <c r="AB100" i="68"/>
  <c r="AB7" i="68" s="1"/>
  <c r="D282" i="68"/>
  <c r="F251" i="68"/>
  <c r="AJ261" i="68"/>
  <c r="R100" i="68"/>
  <c r="R7" i="68" s="1"/>
  <c r="F252" i="68"/>
  <c r="AI107" i="68"/>
  <c r="AH107" i="68"/>
  <c r="H246" i="68"/>
  <c r="V261" i="68"/>
  <c r="D100" i="68"/>
  <c r="D7" i="68" s="1"/>
  <c r="AL261" i="68"/>
  <c r="T7" i="68"/>
  <c r="AB261" i="68"/>
  <c r="J100" i="68"/>
  <c r="J7" i="68" s="1"/>
  <c r="C100" i="68"/>
  <c r="C7" i="68" s="1"/>
  <c r="AD261" i="68"/>
  <c r="L100" i="68"/>
  <c r="L7" i="68" s="1"/>
  <c r="B108" i="68"/>
  <c r="AI261" i="68"/>
  <c r="Q100" i="68"/>
  <c r="Q7" i="68" s="1"/>
  <c r="B256" i="68"/>
  <c r="G282" i="69" l="1"/>
  <c r="I251" i="69"/>
  <c r="H252" i="69"/>
  <c r="H118" i="69"/>
  <c r="I118" i="69"/>
  <c r="I252" i="69"/>
  <c r="J246" i="69"/>
  <c r="K6" i="68"/>
  <c r="I246" i="68"/>
  <c r="T261" i="68"/>
  <c r="B100" i="68"/>
  <c r="AI99" i="68"/>
  <c r="AH99" i="68"/>
  <c r="AH108" i="68"/>
  <c r="AI108" i="68"/>
  <c r="G251" i="68"/>
  <c r="E282" i="68"/>
  <c r="F118" i="68"/>
  <c r="K246" i="69" l="1"/>
  <c r="H282" i="69"/>
  <c r="J251" i="69"/>
  <c r="J118" i="69" s="1"/>
  <c r="B7" i="68"/>
  <c r="A7" i="68" s="1"/>
  <c r="AI100" i="68"/>
  <c r="AH100" i="68"/>
  <c r="F282" i="68"/>
  <c r="H251" i="68"/>
  <c r="G118" i="68"/>
  <c r="G252" i="68"/>
  <c r="J246" i="68"/>
  <c r="K251" i="69" l="1"/>
  <c r="I282" i="69"/>
  <c r="K118" i="69"/>
  <c r="K252" i="69"/>
  <c r="L246" i="69"/>
  <c r="J252" i="69"/>
  <c r="G282" i="68"/>
  <c r="I251" i="68"/>
  <c r="H252" i="68"/>
  <c r="H118" i="68"/>
  <c r="K246" i="68"/>
  <c r="M246" i="69" l="1"/>
  <c r="J282" i="69"/>
  <c r="L251" i="69"/>
  <c r="L246" i="68"/>
  <c r="H282" i="68"/>
  <c r="J251" i="68"/>
  <c r="I252" i="68"/>
  <c r="I118" i="68"/>
  <c r="K282" i="69" l="1"/>
  <c r="M251" i="69"/>
  <c r="L118" i="69"/>
  <c r="N246" i="69"/>
  <c r="M118" i="69"/>
  <c r="M252" i="69"/>
  <c r="L252" i="69"/>
  <c r="K251" i="68"/>
  <c r="I282" i="68"/>
  <c r="J252" i="68"/>
  <c r="J118" i="68"/>
  <c r="M246" i="68"/>
  <c r="O246" i="69" l="1"/>
  <c r="L282" i="69"/>
  <c r="N251" i="69"/>
  <c r="N246" i="68"/>
  <c r="J282" i="68"/>
  <c r="L251" i="68"/>
  <c r="K118" i="68"/>
  <c r="K252" i="68"/>
  <c r="M282" i="69" l="1"/>
  <c r="O251" i="69"/>
  <c r="N252" i="69"/>
  <c r="N118" i="69"/>
  <c r="P246" i="69"/>
  <c r="O118" i="69"/>
  <c r="O252" i="69"/>
  <c r="K282" i="68"/>
  <c r="M251" i="68"/>
  <c r="L118" i="68"/>
  <c r="L252" i="68"/>
  <c r="O246" i="68"/>
  <c r="Q246" i="69" l="1"/>
  <c r="N282" i="69"/>
  <c r="P251" i="69"/>
  <c r="P246" i="68"/>
  <c r="L282" i="68"/>
  <c r="N251" i="68"/>
  <c r="M252" i="68"/>
  <c r="M118" i="68"/>
  <c r="O282" i="69" l="1"/>
  <c r="Q251" i="69"/>
  <c r="P252" i="69"/>
  <c r="Q252" i="69"/>
  <c r="Q118" i="69"/>
  <c r="R246" i="69"/>
  <c r="M282" i="68"/>
  <c r="O251" i="68"/>
  <c r="N252" i="68"/>
  <c r="N118" i="68"/>
  <c r="Q246" i="68"/>
  <c r="S246" i="69" l="1"/>
  <c r="P282" i="69"/>
  <c r="R251" i="69"/>
  <c r="R246" i="68"/>
  <c r="N282" i="68"/>
  <c r="P251" i="68"/>
  <c r="O252" i="68"/>
  <c r="O118" i="68"/>
  <c r="S251" i="69" l="1"/>
  <c r="S252" i="69" s="1"/>
  <c r="Q282" i="69"/>
  <c r="S118" i="69"/>
  <c r="T246" i="69"/>
  <c r="R118" i="69"/>
  <c r="R252" i="69"/>
  <c r="O282" i="68"/>
  <c r="Q251" i="68"/>
  <c r="P252" i="68"/>
  <c r="S246" i="68"/>
  <c r="U246" i="69" l="1"/>
  <c r="R282" i="69"/>
  <c r="T251" i="69"/>
  <c r="T246" i="68"/>
  <c r="P282" i="68"/>
  <c r="R251" i="68"/>
  <c r="Q252" i="68"/>
  <c r="Q118" i="68"/>
  <c r="V246" i="69" l="1"/>
  <c r="S282" i="69"/>
  <c r="U251" i="69"/>
  <c r="U252" i="69" s="1"/>
  <c r="T118" i="69"/>
  <c r="T252" i="69"/>
  <c r="U246" i="68"/>
  <c r="S251" i="68"/>
  <c r="Q282" i="68"/>
  <c r="R118" i="68"/>
  <c r="R252" i="68"/>
  <c r="T282" i="69" l="1"/>
  <c r="V251" i="69"/>
  <c r="U118" i="69"/>
  <c r="W246" i="69"/>
  <c r="V252" i="69"/>
  <c r="V118" i="69"/>
  <c r="R282" i="68"/>
  <c r="T251" i="68"/>
  <c r="S252" i="68"/>
  <c r="V246" i="68"/>
  <c r="X246" i="69" l="1"/>
  <c r="U282" i="69"/>
  <c r="W251" i="69"/>
  <c r="W118" i="69" s="1"/>
  <c r="S282" i="68"/>
  <c r="U251" i="68"/>
  <c r="T252" i="68"/>
  <c r="W246" i="68"/>
  <c r="V282" i="69" l="1"/>
  <c r="X251" i="69"/>
  <c r="W252" i="69"/>
  <c r="Y246" i="69"/>
  <c r="X252" i="69"/>
  <c r="X118" i="69"/>
  <c r="X246" i="68"/>
  <c r="T282" i="68"/>
  <c r="V251" i="68"/>
  <c r="U252" i="68"/>
  <c r="Z246" i="69" l="1"/>
  <c r="W282" i="69"/>
  <c r="Y251" i="69"/>
  <c r="W251" i="68"/>
  <c r="U282" i="68"/>
  <c r="V252" i="68"/>
  <c r="Y246" i="68"/>
  <c r="E128" i="18"/>
  <c r="E129" i="18"/>
  <c r="E130" i="18"/>
  <c r="E131" i="18"/>
  <c r="E132" i="18"/>
  <c r="E133" i="18"/>
  <c r="E134" i="18"/>
  <c r="E135" i="18"/>
  <c r="E136" i="18"/>
  <c r="E137" i="18"/>
  <c r="E138" i="18"/>
  <c r="E127" i="18"/>
  <c r="E139" i="18" s="1"/>
  <c r="X282" i="69" l="1"/>
  <c r="Z251" i="69"/>
  <c r="Z252" i="69" s="1"/>
  <c r="AA246" i="69"/>
  <c r="Y252" i="69"/>
  <c r="Z246" i="68"/>
  <c r="V282" i="68"/>
  <c r="X251" i="68"/>
  <c r="W252" i="68"/>
  <c r="AB246" i="69" l="1"/>
  <c r="AA251" i="69"/>
  <c r="Y282" i="69"/>
  <c r="W282" i="68"/>
  <c r="Y251" i="68"/>
  <c r="X252" i="68"/>
  <c r="AA246" i="68"/>
  <c r="AC246" i="69" l="1"/>
  <c r="Z282" i="69"/>
  <c r="AB251" i="69"/>
  <c r="AB118" i="69" s="1"/>
  <c r="AA118" i="69"/>
  <c r="AA252" i="69"/>
  <c r="AB246" i="68"/>
  <c r="X282" i="68"/>
  <c r="Z251" i="68"/>
  <c r="Y252" i="68"/>
  <c r="AA282" i="69" l="1"/>
  <c r="AC251" i="69"/>
  <c r="AC118" i="69" s="1"/>
  <c r="AD246" i="69"/>
  <c r="AC252" i="69"/>
  <c r="AB252" i="69"/>
  <c r="AC246" i="68"/>
  <c r="AA251" i="68"/>
  <c r="Y282" i="68"/>
  <c r="Z252" i="68"/>
  <c r="AE246" i="69" l="1"/>
  <c r="AB282" i="69"/>
  <c r="AD251" i="69"/>
  <c r="AD118" i="69" s="1"/>
  <c r="Z282" i="68"/>
  <c r="AB251" i="68"/>
  <c r="AA252" i="68"/>
  <c r="AA118" i="68"/>
  <c r="AD246" i="68"/>
  <c r="AC282" i="69" l="1"/>
  <c r="AE251" i="69"/>
  <c r="AE118" i="69" s="1"/>
  <c r="AD252" i="69"/>
  <c r="AF246" i="69"/>
  <c r="AE252" i="69"/>
  <c r="AE246" i="68"/>
  <c r="AA282" i="68"/>
  <c r="AC251" i="68"/>
  <c r="AB252" i="68"/>
  <c r="AB118" i="68"/>
  <c r="B246" i="69" l="1"/>
  <c r="AD282" i="69"/>
  <c r="AF251" i="69"/>
  <c r="AF118" i="69" s="1"/>
  <c r="AB282" i="68"/>
  <c r="AD251" i="68"/>
  <c r="AC252" i="68"/>
  <c r="AC118" i="68"/>
  <c r="AF246" i="68"/>
  <c r="AF252" i="69" l="1"/>
  <c r="B251" i="69"/>
  <c r="AF282" i="69" s="1"/>
  <c r="AE282" i="69"/>
  <c r="B118" i="69"/>
  <c r="B246" i="68"/>
  <c r="AC282" i="68"/>
  <c r="AE251" i="68"/>
  <c r="AD252" i="68"/>
  <c r="AI118" i="69" l="1"/>
  <c r="AH118" i="69"/>
  <c r="B252" i="69"/>
  <c r="AD282" i="68"/>
  <c r="AF251" i="68"/>
  <c r="AE252" i="68"/>
  <c r="B251" i="68" l="1"/>
  <c r="AE282" i="68"/>
  <c r="AF252" i="68"/>
  <c r="AF282" i="68" l="1"/>
  <c r="B118" i="68"/>
  <c r="B252" i="68"/>
  <c r="AI118" i="68" l="1"/>
  <c r="AH118" i="68"/>
  <c r="K139" i="18" l="1"/>
  <c r="E140" i="60" l="1"/>
  <c r="E133" i="60"/>
  <c r="E143" i="60" s="1"/>
  <c r="E146" i="60" s="1"/>
  <c r="E119" i="60"/>
  <c r="E88" i="60"/>
  <c r="E82" i="60"/>
  <c r="E72" i="60"/>
  <c r="H17" i="60"/>
  <c r="H16" i="60"/>
  <c r="I10" i="60"/>
  <c r="I9" i="60"/>
  <c r="I8" i="60"/>
  <c r="I14" i="60" s="1"/>
  <c r="I7" i="60"/>
  <c r="I11" i="60" s="1"/>
  <c r="C109" i="18" l="1"/>
  <c r="L107" i="18" l="1"/>
  <c r="I76" i="18" l="1"/>
  <c r="Q43" i="18"/>
  <c r="M43" i="18"/>
  <c r="M40" i="18"/>
  <c r="H35" i="18"/>
  <c r="H34" i="18"/>
  <c r="H36" i="18" s="1"/>
  <c r="B34" i="18"/>
  <c r="M33" i="18"/>
  <c r="G33" i="18"/>
  <c r="F33" i="18"/>
  <c r="E33" i="18"/>
  <c r="D33" i="18"/>
  <c r="C33" i="18"/>
  <c r="G32" i="18"/>
  <c r="F32" i="18"/>
  <c r="E32" i="18"/>
  <c r="D32" i="18"/>
  <c r="C32" i="18"/>
  <c r="G31" i="18"/>
  <c r="F31" i="18"/>
  <c r="E31" i="18"/>
  <c r="D31" i="18"/>
  <c r="C31" i="18"/>
  <c r="G30" i="18"/>
  <c r="G34" i="18" s="1"/>
  <c r="F30" i="18"/>
  <c r="E30" i="18"/>
  <c r="D30" i="18"/>
  <c r="C30" i="18"/>
  <c r="G28" i="18"/>
  <c r="F28" i="18"/>
  <c r="E28" i="18"/>
  <c r="D28" i="18"/>
  <c r="C28" i="18"/>
  <c r="N16" i="18"/>
  <c r="C7" i="18"/>
  <c r="D34" i="18" l="1"/>
  <c r="E34" i="18"/>
  <c r="F34" i="18"/>
  <c r="C34" i="18"/>
  <c r="AH11" i="80" l="1"/>
  <c r="AI11" i="80"/>
  <c r="AF58" i="80"/>
  <c r="AH58" i="80" s="1"/>
  <c r="AF97" i="80" l="1"/>
  <c r="BJ16" i="80"/>
  <c r="BJ22" i="80" s="1"/>
  <c r="BJ24" i="80" s="1"/>
  <c r="AI58" i="80"/>
  <c r="AH97" i="80" l="1"/>
  <c r="AI97" i="80"/>
  <c r="AF99" i="80"/>
  <c r="AI99" i="80" l="1"/>
  <c r="AH99" i="80"/>
  <c r="AF100" i="80"/>
  <c r="AH100" i="80" l="1"/>
  <c r="AF7" i="80"/>
  <c r="A7" i="80" s="1"/>
  <c r="AI100" i="80"/>
  <c r="AI11" i="95"/>
  <c r="AH11" i="95"/>
  <c r="N58" i="95"/>
  <c r="AV16" i="95" s="1"/>
  <c r="AV22" i="95" s="1"/>
  <c r="N97" i="95" l="1"/>
  <c r="AI97" i="95" s="1"/>
  <c r="AT8" i="95"/>
  <c r="AV24" i="95"/>
  <c r="AT9" i="95" s="1"/>
  <c r="N99" i="95"/>
  <c r="AH97" i="95"/>
  <c r="AI58" i="95"/>
  <c r="AH58" i="95"/>
  <c r="C256" i="95" l="1"/>
  <c r="AH99" i="95"/>
  <c r="AI99" i="95"/>
  <c r="B256" i="95"/>
  <c r="N100" i="95"/>
  <c r="K6" i="95" l="1"/>
  <c r="N7" i="95"/>
  <c r="A7" i="95" s="1"/>
  <c r="AH100" i="95"/>
  <c r="AI100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B035FC8-BE6C-4E28-8D7A-E8A5EE76738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5AC910B-426B-48AE-AF5A-06C8DEB9FD4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BDD4FF6-0DDD-41A4-AF2D-B09BEC6F104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A38CEA5-7485-402E-9430-26274F0BDFE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2C9D0B-91EE-4BA0-B160-674D377BE35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FD69C71-59AF-49F4-A1EF-4E7675D938E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FDD5CF4-5D45-4685-A07C-1AF422978C8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720A348-B4F4-4913-9587-9D6CA180CCB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3CA8B73-9C54-4298-AB9A-C13AA3E3A91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EC5E291-64C8-45A9-B5B9-F5F3E3354F5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C5CACF7-695C-4844-B120-64E73282121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7497299-1EF2-41E7-BC1B-7C35580CF1D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F29D6B8-3B3D-4941-8D07-8CD5501BE47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C2188C6-3D51-4816-ADB4-A52431D1D6D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92C5EA5-2028-4B7D-BEAB-6E5FCEC692B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32A9B3C-3752-4C18-BC36-196C65280F7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B9BA142-C38B-422F-B059-14F45FB7EE3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EE2A60A-325F-4B39-9D61-5B7D4F758F4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517DC38-E6F4-4E31-BF84-34D4119FB2E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236C997-E7C7-4DAD-B51D-C8D6E18B54A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4D7B311-A794-471D-98A2-BFA32C77828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D18197C-A826-4F83-BA85-026324B3AFA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972689B-B8AC-4B82-85DF-737F17C64A2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DBA8059-741A-4EBE-985B-26ACD913AE2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898315E-F95C-4FAB-A484-61A8F6BCE0E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BE42167-5426-4371-BA6B-29925B80FA2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F768163-B4E3-4B1A-A9E8-9C62A56BED1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78FDC54-6CE1-436A-B824-378CB286B91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176425B-008A-4C31-A94F-3BEFB191888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A9FAE8E-78F3-4DB2-A964-CAD6839B75F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732A6CF-3923-43E7-86BE-5CD613D531C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914AD97-4627-46D4-ABF5-79BA826DEA8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68A2630-6A22-4309-AA3F-950CEBF4D26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<sst xmlns="http://schemas.openxmlformats.org/spreadsheetml/2006/main" count="10081" uniqueCount="655">
  <si>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</si>
  <si>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</si>
  <si>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</si>
  <si>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</si>
  <si>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</si>
  <si>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</si>
  <si>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</si>
  <si>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</si>
  <si>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</si>
  <si>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</si>
  <si>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</si>
  <si>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</si>
  <si>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</si>
  <si>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</si>
  <si>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</si>
  <si>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</si>
  <si>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</si>
  <si>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</si>
  <si>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</si>
  <si>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</si>
  <si>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Super Dordi (54)</t>
  </si>
  <si>
    <t>Likhu-IV(52.4)</t>
  </si>
  <si>
    <t>Upper Marsyangdi "A"(50)</t>
  </si>
  <si>
    <t>Upper Bhotekoshi Khola(45)</t>
  </si>
  <si>
    <t>Super Madi ( 44 )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</si>
  <si>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</si>
  <si>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</si>
  <si>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</si>
  <si>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</si>
  <si>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</si>
  <si>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</si>
  <si>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</si>
  <si>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</si>
  <si>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</si>
  <si>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</si>
  <si>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</si>
  <si>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</si>
  <si>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</si>
  <si>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</si>
  <si>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</si>
  <si>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</si>
  <si>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</si>
  <si>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</si>
  <si>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</si>
  <si>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</si>
  <si>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</si>
  <si>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</si>
  <si>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</si>
  <si>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</si>
  <si>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</si>
  <si>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</si>
  <si>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</si>
  <si>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</si>
  <si>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</si>
  <si>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</si>
  <si>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</si>
  <si>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</si>
  <si>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</si>
  <si>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</si>
  <si>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</si>
  <si>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</si>
  <si>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</si>
  <si>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</si>
  <si>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</si>
  <si>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</si>
  <si>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</si>
  <si>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</si>
  <si>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</si>
  <si>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</si>
  <si>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</si>
  <si>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</si>
  <si>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</si>
  <si>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</si>
  <si>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</si>
  <si>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</si>
  <si>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</si>
  <si>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</si>
  <si>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</si>
  <si>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</si>
  <si>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</si>
  <si>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</si>
  <si>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</si>
  <si>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</si>
  <si>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</si>
  <si>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</si>
  <si>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</si>
  <si>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</si>
  <si>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</si>
  <si>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</si>
  <si>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</si>
  <si>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</si>
  <si>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</si>
  <si>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</si>
  <si>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</si>
  <si>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</si>
  <si>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</si>
  <si>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</si>
  <si>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</si>
  <si>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</si>
  <si>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</si>
  <si>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</si>
  <si>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</si>
  <si>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</si>
  <si>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</si>
  <si>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</si>
  <si>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</si>
  <si>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</si>
  <si>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</si>
  <si>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</si>
  <si>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</si>
  <si>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</si>
  <si>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</si>
  <si>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</si>
  <si>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</si>
  <si>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</si>
  <si>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</si>
  <si>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</si>
  <si>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</si>
  <si>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</si>
  <si>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</si>
  <si>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</si>
  <si>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</si>
  <si>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</si>
  <si>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DAMAK-DUHABI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</si>
  <si>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</si>
  <si>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</si>
  <si>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</si>
  <si>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</si>
  <si>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</si>
  <si>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</si>
  <si>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</si>
  <si>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</si>
  <si>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</si>
  <si>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</si>
  <si>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</si>
  <si>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</si>
  <si>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</si>
  <si>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</si>
  <si>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</si>
  <si>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</si>
  <si>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</si>
  <si>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</si>
  <si>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</si>
  <si>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</si>
  <si>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</si>
  <si>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</si>
  <si>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</si>
  <si>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</si>
  <si>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</si>
  <si>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</si>
  <si>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</si>
  <si>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</si>
  <si>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</si>
  <si>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</si>
  <si>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</si>
  <si>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</si>
  <si>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</si>
  <si>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</si>
  <si>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</si>
  <si>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</si>
  <si>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</si>
  <si>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</si>
  <si>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</si>
  <si>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</si>
  <si>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</si>
  <si>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</si>
  <si>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</si>
  <si>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</si>
  <si>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</si>
  <si>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</si>
  <si>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</si>
  <si>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</si>
  <si>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</si>
  <si>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</si>
  <si>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</si>
  <si>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</si>
  <si>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</si>
  <si>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</si>
  <si>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</si>
  <si>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</si>
  <si>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</si>
  <si>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</si>
  <si>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</si>
  <si>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</si>
  <si>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</si>
  <si>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</si>
  <si>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</si>
  <si>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</si>
  <si>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</si>
  <si>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</si>
  <si>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</si>
  <si>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</si>
  <si>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</si>
  <si>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</si>
  <si>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</si>
  <si>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</si>
  <si>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</si>
  <si>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</si>
  <si>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</si>
  <si>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</si>
  <si>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</si>
  <si>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</si>
  <si>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</si>
  <si>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</si>
  <si>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</si>
  <si>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</si>
  <si>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</si>
  <si>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</si>
  <si>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</si>
  <si>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</si>
  <si>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</si>
  <si>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</si>
  <si>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</si>
  <si>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</si>
  <si>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</si>
  <si>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</si>
  <si>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</si>
  <si>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</si>
  <si>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</si>
  <si>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</si>
  <si>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</si>
  <si>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</si>
  <si>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</si>
  <si>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</si>
  <si>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</si>
  <si>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</si>
  <si>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</si>
  <si>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</si>
  <si>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</si>
  <si>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</si>
  <si>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</si>
  <si>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</si>
  <si>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</si>
  <si>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</si>
  <si>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</si>
  <si>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</si>
  <si>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</si>
  <si>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</si>
  <si>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</si>
  <si>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</si>
  <si>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</si>
  <si>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</si>
  <si>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</si>
  <si>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</si>
  <si>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</si>
  <si>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</si>
  <si>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</si>
  <si>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</si>
  <si>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</si>
  <si>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</si>
  <si>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</si>
  <si>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</si>
  <si>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</si>
  <si>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</t>
  </si>
  <si>
    <t>DHALKE-NAWALPUR I</t>
  </si>
  <si>
    <t>BALAJU-SYUCHATAR</t>
  </si>
  <si>
    <t>N. BHARATPUR-BARDGHAT</t>
  </si>
  <si>
    <t>MIRCHAIYA LAHAN 2</t>
  </si>
  <si>
    <t>LAMOSHANGU-BHAKTAPUR</t>
  </si>
  <si>
    <t>KHIMTI-LAMOSANGHU</t>
  </si>
  <si>
    <t>HETAUDA-KAMANE</t>
  </si>
  <si>
    <t>Likhu-II(55)</t>
  </si>
  <si>
    <t>Upper Chameliya(40)</t>
  </si>
  <si>
    <t>Mathilo Solu khola(19.8)</t>
  </si>
  <si>
    <t>Sangen(14.8)</t>
  </si>
  <si>
    <t>Ghar khola(14)</t>
  </si>
  <si>
    <t>Upper Sanigad(10.7)</t>
  </si>
  <si>
    <t>Down Piluwa(10.3)</t>
  </si>
  <si>
    <t>Pure-Solar(10)</t>
  </si>
  <si>
    <t>Syule</t>
  </si>
  <si>
    <t>Upper Kalangad 38</t>
  </si>
  <si>
    <t>Kalanga Gad_15.33</t>
  </si>
  <si>
    <t>Upper Sanigad 10.70</t>
  </si>
  <si>
    <t>Upper Chameliya_</t>
  </si>
  <si>
    <t>API Darchula 8</t>
  </si>
  <si>
    <t>ind</t>
  </si>
  <si>
    <t>2 feeder</t>
  </si>
  <si>
    <t>purano</t>
  </si>
  <si>
    <t>11 kV</t>
  </si>
  <si>
    <t>L likhu</t>
  </si>
  <si>
    <t>labipur</t>
  </si>
  <si>
    <t>Mainya</t>
  </si>
  <si>
    <t>2 fed</t>
  </si>
  <si>
    <t>light</t>
  </si>
  <si>
    <t>1 fed</t>
  </si>
  <si>
    <t>8-9 MW</t>
  </si>
  <si>
    <t>45 MVA</t>
  </si>
  <si>
    <t>Butwal</t>
  </si>
  <si>
    <t>Argach</t>
  </si>
  <si>
    <t>Dhagdhagi</t>
  </si>
  <si>
    <t>300 Amp</t>
  </si>
  <si>
    <t>2 feeders of 33 kV</t>
  </si>
  <si>
    <t>Sunwal</t>
  </si>
  <si>
    <t>palpa+goyal</t>
  </si>
  <si>
    <t>10 MW</t>
  </si>
  <si>
    <t>2.5 domes</t>
  </si>
  <si>
    <t>Sarb shut</t>
  </si>
  <si>
    <t>laxmi</t>
  </si>
  <si>
    <t>1 mw</t>
  </si>
  <si>
    <t xml:space="preserve">Goyal </t>
  </si>
  <si>
    <t>5 mw</t>
  </si>
  <si>
    <t>Nyadi</t>
  </si>
  <si>
    <t>mistri</t>
  </si>
  <si>
    <t>Upper Sanigad</t>
  </si>
  <si>
    <t>Likhu2</t>
  </si>
  <si>
    <t>Sdordi</t>
  </si>
  <si>
    <t>ghalemdi</t>
  </si>
  <si>
    <t>Upper Chameliya</t>
  </si>
  <si>
    <t>udordi</t>
  </si>
  <si>
    <t>ghar khola</t>
  </si>
  <si>
    <t>dordi27</t>
  </si>
  <si>
    <t>lmodi1</t>
  </si>
  <si>
    <t>dordi 12</t>
  </si>
  <si>
    <t>lmodi20</t>
  </si>
  <si>
    <t>Chepe</t>
  </si>
  <si>
    <t>Dordi Corridor Total</t>
  </si>
  <si>
    <t>Dordi NyadiSpill</t>
  </si>
  <si>
    <t>Mistri</t>
  </si>
  <si>
    <t>L Modi</t>
  </si>
  <si>
    <t>L Modi-1</t>
  </si>
  <si>
    <t>Ghar</t>
  </si>
  <si>
    <t>Middle Modi</t>
  </si>
  <si>
    <t>Ghalamdi</t>
  </si>
  <si>
    <t>Date: 9</t>
  </si>
  <si>
    <t>Load at 0730</t>
  </si>
  <si>
    <t>DAM at 0730</t>
  </si>
  <si>
    <t>UTK at 0730</t>
  </si>
  <si>
    <t>Ghalamdi_5</t>
  </si>
  <si>
    <t>L-Modi</t>
  </si>
  <si>
    <t>Load at 4</t>
  </si>
  <si>
    <t>DAM at 0400</t>
  </si>
  <si>
    <t>UTK at 0400</t>
  </si>
  <si>
    <t>Ghar Khola_14</t>
  </si>
  <si>
    <t>M-Modi</t>
  </si>
  <si>
    <t>increase in Load</t>
  </si>
  <si>
    <t>Export Increase</t>
  </si>
  <si>
    <t>UTK Increase</t>
  </si>
  <si>
    <t>IdiMardi</t>
  </si>
  <si>
    <t>Super Madi</t>
  </si>
  <si>
    <t>Upper Madi</t>
  </si>
  <si>
    <t>KGA Increase</t>
  </si>
  <si>
    <t>Namarjun_12</t>
  </si>
  <si>
    <t>MMRS Increase</t>
  </si>
  <si>
    <t>Sikless_13</t>
  </si>
  <si>
    <t>IdiMardi_7</t>
  </si>
  <si>
    <t>Likhu-A</t>
  </si>
  <si>
    <t>L-Likhu</t>
  </si>
  <si>
    <t>Khimti</t>
  </si>
  <si>
    <t>Likhu-IV</t>
  </si>
  <si>
    <t>Likhu 2</t>
  </si>
  <si>
    <t>BKPC</t>
  </si>
  <si>
    <t>Balephi</t>
  </si>
  <si>
    <t>Singati</t>
  </si>
  <si>
    <t>Sipring_9.6</t>
  </si>
  <si>
    <t>Ghatte_5</t>
  </si>
  <si>
    <t>Spill</t>
  </si>
  <si>
    <t>U Solu_23.5</t>
  </si>
  <si>
    <t>Solu86</t>
  </si>
  <si>
    <t>-</t>
  </si>
  <si>
    <t>20 MW</t>
  </si>
  <si>
    <t>45 MW</t>
  </si>
  <si>
    <t>Shree Steel</t>
  </si>
  <si>
    <t>12 MW</t>
  </si>
  <si>
    <t>half load</t>
  </si>
  <si>
    <t>40 MW</t>
  </si>
  <si>
    <t>Full load</t>
  </si>
  <si>
    <t>Shivpur</t>
  </si>
  <si>
    <t>UTK</t>
  </si>
  <si>
    <t>Godak</t>
  </si>
  <si>
    <t>Sanima</t>
  </si>
  <si>
    <t>Panchakanya, 2 PH, supermai</t>
  </si>
  <si>
    <t>Sagarmatha</t>
  </si>
  <si>
    <t>PuwaNEA</t>
  </si>
  <si>
    <t>Jogmai</t>
  </si>
  <si>
    <t>Puwa khola</t>
  </si>
  <si>
    <t>Himal dolaka</t>
  </si>
  <si>
    <t>Mai beni</t>
  </si>
  <si>
    <t>Tanakpur</t>
  </si>
  <si>
    <t>Ghorai</t>
  </si>
  <si>
    <t xml:space="preserve">Sona </t>
  </si>
  <si>
    <t>S/D</t>
  </si>
  <si>
    <t>Bijaya Cement</t>
  </si>
  <si>
    <t>25 at peak</t>
  </si>
  <si>
    <t>7.2 after industry shutdown</t>
  </si>
  <si>
    <t>CHM</t>
  </si>
  <si>
    <t>Birjung</t>
  </si>
  <si>
    <t>Bir-5- industry</t>
  </si>
  <si>
    <t>Bindambasini-Ind</t>
  </si>
  <si>
    <t>Parsuani-Ind</t>
  </si>
  <si>
    <t xml:space="preserve">Sarbottam </t>
  </si>
  <si>
    <t xml:space="preserve">Birg1: </t>
  </si>
  <si>
    <t>Parwani-Het</t>
  </si>
  <si>
    <t>Birjung-Parwani</t>
  </si>
  <si>
    <t>400 Amp</t>
  </si>
  <si>
    <t>SAMPATIYA 132 kV</t>
  </si>
  <si>
    <t>Kohal</t>
  </si>
  <si>
    <t>Mainiya</t>
  </si>
  <si>
    <t>Hetauda-2</t>
  </si>
  <si>
    <t>Hetauda-1</t>
  </si>
  <si>
    <t>Parwani-1</t>
  </si>
  <si>
    <r>
      <t xml:space="preserve">                                                    Industrial Loading                                 </t>
    </r>
    <r>
      <rPr>
        <sz val="8"/>
        <color theme="1"/>
        <rFont val="Aptos Narrow"/>
        <family val="2"/>
        <scheme val="minor"/>
      </rPr>
      <t>(Updated 2080/10/16)</t>
    </r>
  </si>
  <si>
    <t>A.</t>
  </si>
  <si>
    <t>Hetauda Grid Division</t>
  </si>
  <si>
    <t>S.N.</t>
  </si>
  <si>
    <t>Consumer Name</t>
  </si>
  <si>
    <t>Supply Voltage</t>
  </si>
  <si>
    <t>Substation</t>
  </si>
  <si>
    <t>Recent Max Load (MW)</t>
  </si>
  <si>
    <t>Substations</t>
  </si>
  <si>
    <t>Hetauda cement</t>
  </si>
  <si>
    <t>Hetauda ss</t>
  </si>
  <si>
    <t>Hetauda:</t>
  </si>
  <si>
    <t>Hulas Steel Industries</t>
  </si>
  <si>
    <t>Parwanipur:</t>
  </si>
  <si>
    <t>Jagdamba Steel</t>
  </si>
  <si>
    <t>Birgung:</t>
  </si>
  <si>
    <t>Jagadamba Wires</t>
  </si>
  <si>
    <t>Parwanipur ss</t>
  </si>
  <si>
    <t>Kamane:</t>
  </si>
  <si>
    <t>Hama Iron &amp; Steel Ind.</t>
  </si>
  <si>
    <t>Surya Nepal</t>
  </si>
  <si>
    <t>Jagadamba Enterprises</t>
  </si>
  <si>
    <t>Ashok Steel</t>
  </si>
  <si>
    <t>Shalimar Cement</t>
  </si>
  <si>
    <t>Triveni Spinning Mill</t>
  </si>
  <si>
    <t>Narayani Ispat</t>
  </si>
  <si>
    <t>Himal Iron&amp; Steel Pvt.Ltd</t>
  </si>
  <si>
    <t>Sarbottam steels</t>
  </si>
  <si>
    <t>Triveni Syenthetic yarn</t>
  </si>
  <si>
    <t>Shivam Cement</t>
  </si>
  <si>
    <t>Kamane ss</t>
  </si>
  <si>
    <t>Riddhi Siddhi Cement</t>
  </si>
  <si>
    <t>Hetauda Industrial State A</t>
  </si>
  <si>
    <t>Hetauda Industrial State B</t>
  </si>
  <si>
    <t>Hetauda Industrial State C</t>
  </si>
  <si>
    <t>Ncell</t>
  </si>
  <si>
    <t>Dedicated feeders from hetauda ss</t>
  </si>
  <si>
    <t>Industrial-1</t>
  </si>
  <si>
    <t>Bharatpur ss</t>
  </si>
  <si>
    <t>Industrial -2</t>
  </si>
  <si>
    <t>Industrial-3</t>
  </si>
  <si>
    <t>From New-Bharatpur ss</t>
  </si>
  <si>
    <t>Coca Cola</t>
  </si>
  <si>
    <t>bharatpur ss</t>
  </si>
  <si>
    <t>Amlekhgunj Pole Plant</t>
  </si>
  <si>
    <t>Amlekhgunj ss</t>
  </si>
  <si>
    <t>Nepal Oil Nigam</t>
  </si>
  <si>
    <t>Dabur</t>
  </si>
  <si>
    <t xml:space="preserve">Simara </t>
  </si>
  <si>
    <t>Jagadamba</t>
  </si>
  <si>
    <t xml:space="preserve">Narayani </t>
  </si>
  <si>
    <t>Parwanipur</t>
  </si>
  <si>
    <t>Birgunj</t>
  </si>
  <si>
    <t>Chorni</t>
  </si>
  <si>
    <t>Nitanpur</t>
  </si>
  <si>
    <t>Parwanipur ss(with oxygen plant)</t>
  </si>
  <si>
    <t>Himal</t>
  </si>
  <si>
    <t>Pathaliya-1</t>
  </si>
  <si>
    <t>Piluwa ss</t>
  </si>
  <si>
    <t>Pathaliya-2</t>
  </si>
  <si>
    <t>Parsauni</t>
  </si>
  <si>
    <t xml:space="preserve">Birgunj ss </t>
  </si>
  <si>
    <t>Bindhabaseni</t>
  </si>
  <si>
    <t>Jagannathpur</t>
  </si>
  <si>
    <t>Birgunj ss with very few  domestic consumer</t>
  </si>
  <si>
    <t>Total (MW):</t>
  </si>
  <si>
    <t>B.</t>
  </si>
  <si>
    <t>Duhabi Grid Division</t>
  </si>
  <si>
    <t>Consumer/Feeder Name</t>
  </si>
  <si>
    <t>Substation/DCS</t>
  </si>
  <si>
    <t>11 kV Tahara1</t>
  </si>
  <si>
    <t>Duhabi</t>
  </si>
  <si>
    <t>11 kV Tahara2</t>
  </si>
  <si>
    <t>11 kV Biratnagar2</t>
  </si>
  <si>
    <t>11 kV Biratnagar1</t>
  </si>
  <si>
    <t>33 kV Pashupati Iron</t>
  </si>
  <si>
    <t>33 kV Premier</t>
  </si>
  <si>
    <t>33 kV Swastik</t>
  </si>
  <si>
    <t>33 kv Multifuel 2</t>
  </si>
  <si>
    <t>33  kv Duhabi Industries</t>
  </si>
  <si>
    <t>33 kv Biratnagar Industries</t>
  </si>
  <si>
    <t>33 kv Reliance</t>
  </si>
  <si>
    <t>Khanar</t>
  </si>
  <si>
    <t>11 kv Purano Udyog</t>
  </si>
  <si>
    <t>11 kv Udyog</t>
  </si>
  <si>
    <t>Inaruwa</t>
  </si>
  <si>
    <t>33 kv Arati</t>
  </si>
  <si>
    <t>Tanki SS</t>
  </si>
  <si>
    <t>11 kv Tanki</t>
  </si>
  <si>
    <t>Basbari SS</t>
  </si>
  <si>
    <t>11 kv Hatimuda</t>
  </si>
  <si>
    <t>11 kv Judi</t>
  </si>
  <si>
    <t>Katahari SS</t>
  </si>
  <si>
    <t>11 kv Singya</t>
  </si>
  <si>
    <t>33 kv RJM</t>
  </si>
  <si>
    <t>Rani SS</t>
  </si>
  <si>
    <t>11 KV BJM</t>
  </si>
  <si>
    <t>C.</t>
  </si>
  <si>
    <t>Kathmandu Grid Division</t>
  </si>
  <si>
    <t>Patan Industrial District</t>
  </si>
  <si>
    <t>Balaju</t>
  </si>
  <si>
    <t>Balaju Industrial District</t>
  </si>
  <si>
    <t>Patan</t>
  </si>
  <si>
    <t>Bhaktapur Industrial District</t>
  </si>
  <si>
    <t>Bhaktapur</t>
  </si>
  <si>
    <t>Huaxin Cement Narayani Pvt.Ltd.</t>
  </si>
  <si>
    <t>Malekhu</t>
  </si>
  <si>
    <t>United Cement</t>
  </si>
  <si>
    <t>Naubise DC SS</t>
  </si>
  <si>
    <t>D.</t>
  </si>
  <si>
    <t>Pokhara Grid Division</t>
  </si>
  <si>
    <t>Pokhara Industrial District</t>
  </si>
  <si>
    <t>Pokhara</t>
  </si>
  <si>
    <t>E.</t>
  </si>
  <si>
    <t>Butwal Grid Division</t>
  </si>
  <si>
    <t>DC/Substation</t>
  </si>
  <si>
    <t>33 KV Ghorahi Cement</t>
  </si>
  <si>
    <t>132/33</t>
  </si>
  <si>
    <t>Ghorahi</t>
  </si>
  <si>
    <t>33 KV Sonapur</t>
  </si>
  <si>
    <t>33 KV Samrat Cement</t>
  </si>
  <si>
    <t>Lamahi</t>
  </si>
  <si>
    <t>33 KV Agni Cement</t>
  </si>
  <si>
    <t>33 KV Vijaya Shree Steel</t>
  </si>
  <si>
    <t>Chanauta</t>
  </si>
  <si>
    <t>33 KV Industrial</t>
  </si>
  <si>
    <t>33 KV Dhakadhai I (Shree Steel)</t>
  </si>
  <si>
    <t>33 KV Dhakadhai II (Shree Steel)</t>
  </si>
  <si>
    <t xml:space="preserve">33 KV Bhairahawa New II </t>
  </si>
  <si>
    <t>33 KV Bhairahawa Old</t>
  </si>
  <si>
    <t>33 KV Groud water</t>
  </si>
  <si>
    <t>33 KV Laxmi Steel</t>
  </si>
  <si>
    <t>33 KV Palpa Cement</t>
  </si>
  <si>
    <t xml:space="preserve">33 KV Sarbottam Cement              </t>
  </si>
  <si>
    <t>33 KV Goyal Spat</t>
  </si>
  <si>
    <t>132 KV Hongshi Cement</t>
  </si>
  <si>
    <t>Bardaghat</t>
  </si>
  <si>
    <t>11 KV CG Cement</t>
  </si>
  <si>
    <t>132/11</t>
  </si>
  <si>
    <t>11 KV Industrial</t>
  </si>
  <si>
    <t>33 KV Industrial I</t>
  </si>
  <si>
    <t>Gandak</t>
  </si>
  <si>
    <t>33 KV Industrial II</t>
  </si>
  <si>
    <t>33 KV Arghakhanchi Cement</t>
  </si>
  <si>
    <t>Mainahiya</t>
  </si>
  <si>
    <t>33 KV Bhairahawa -I</t>
  </si>
  <si>
    <t>33 KV Bhairahawa -II</t>
  </si>
  <si>
    <t>33 KV  New -II</t>
  </si>
  <si>
    <t>33 KV Lumbini</t>
  </si>
  <si>
    <t>F.</t>
  </si>
  <si>
    <t>Dhalkebar Grid Division</t>
  </si>
  <si>
    <t>Supply Voltage, kV</t>
  </si>
  <si>
    <t>Cosmos Cement</t>
  </si>
  <si>
    <t>Dhalkebar S/S</t>
  </si>
  <si>
    <t>Everest Paper Mill</t>
  </si>
  <si>
    <t>Everest Sugar Mill</t>
  </si>
  <si>
    <t>11 kV Industrial (Dhalkebar, small industries)</t>
  </si>
  <si>
    <t>Saurya Cement</t>
  </si>
  <si>
    <t>Mirchaiya S/S</t>
  </si>
  <si>
    <t>Maruti Cement</t>
  </si>
  <si>
    <t>Udaypur Cement</t>
  </si>
  <si>
    <t>Jaljale S/S from Lahan</t>
  </si>
  <si>
    <t>InduShankar Sugar Mill, Bagmati Sinchai, karmahiya Khanepani</t>
  </si>
  <si>
    <t>Nawalpur S/S</t>
  </si>
  <si>
    <t>Godawari Steels</t>
  </si>
  <si>
    <t>Chapur S/S</t>
  </si>
  <si>
    <t>G.</t>
  </si>
  <si>
    <t>Attariya Grid Division</t>
  </si>
  <si>
    <t>Industrial Feeder</t>
  </si>
  <si>
    <t>Kohalpur</t>
  </si>
  <si>
    <t>Ambe steel</t>
  </si>
  <si>
    <t>Total Industrial Load in MW without considering Diversity Factor</t>
  </si>
  <si>
    <t>Note:</t>
  </si>
  <si>
    <t>Diversity Factor to be considered</t>
  </si>
  <si>
    <t>Total Industrial Load in MW considering Coincedence Factor of 0.75</t>
  </si>
  <si>
    <t>Parwani- 2</t>
  </si>
  <si>
    <t>Bard</t>
  </si>
  <si>
    <t>Ambe on Tr2m voltage on left</t>
  </si>
  <si>
    <t>Kathmandu</t>
  </si>
  <si>
    <t>Chapali</t>
  </si>
  <si>
    <t>132/11 kV Transformer</t>
  </si>
  <si>
    <t>218 Amp Max</t>
  </si>
  <si>
    <t>129..4</t>
  </si>
  <si>
    <t>Parwani-Simra Ckt#1</t>
  </si>
  <si>
    <t>Parwani-Birjung-1</t>
  </si>
  <si>
    <t>Vijay Steel</t>
  </si>
  <si>
    <t>73..6</t>
  </si>
  <si>
    <t>N. BHARATPUR-BARDGHAT I</t>
  </si>
  <si>
    <t>63..5</t>
  </si>
  <si>
    <t>520.68.</t>
  </si>
  <si>
    <t>Pure-Solar(20)</t>
  </si>
  <si>
    <t>623..93</t>
  </si>
  <si>
    <t>NEA SUB</t>
  </si>
  <si>
    <t>NEA ROR PROR</t>
  </si>
  <si>
    <t>IMPORT</t>
  </si>
  <si>
    <t>NEA STORAGE</t>
  </si>
  <si>
    <t>INTERRUPTION</t>
  </si>
  <si>
    <t>System_Load</t>
  </si>
  <si>
    <t>National_Load</t>
  </si>
  <si>
    <t>65..6</t>
  </si>
  <si>
    <t>.521.48</t>
  </si>
  <si>
    <t>88.7.1</t>
  </si>
  <si>
    <t>1984..32</t>
  </si>
  <si>
    <t>126..6</t>
  </si>
  <si>
    <t>Kat</t>
  </si>
  <si>
    <t>Muz</t>
  </si>
  <si>
    <t>Ram</t>
  </si>
  <si>
    <t>Rax</t>
  </si>
  <si>
    <t>Sam</t>
  </si>
  <si>
    <t>b</t>
  </si>
  <si>
    <t>aaa</t>
  </si>
  <si>
    <t>bbb</t>
  </si>
  <si>
    <t>abc</t>
  </si>
  <si>
    <t>dsfasd</t>
  </si>
  <si>
    <t>sdf</t>
  </si>
  <si>
    <t>sdfsd</t>
  </si>
  <si>
    <t>class1</t>
  </si>
  <si>
    <t>class2</t>
  </si>
  <si>
    <t>class4</t>
  </si>
  <si>
    <t>class3</t>
  </si>
  <si>
    <t>Name</t>
  </si>
  <si>
    <t>Class</t>
  </si>
  <si>
    <t>SSD</t>
  </si>
  <si>
    <t>ESD</t>
  </si>
  <si>
    <t>TRP</t>
  </si>
  <si>
    <t>50.03.6</t>
  </si>
  <si>
    <t xml:space="preserve">Lamahi </t>
  </si>
  <si>
    <t>Ashok Steels</t>
  </si>
  <si>
    <t>s</t>
  </si>
  <si>
    <t>y</t>
  </si>
  <si>
    <t>r</t>
  </si>
  <si>
    <t>t</t>
  </si>
  <si>
    <t>e</t>
  </si>
  <si>
    <t>m</t>
  </si>
  <si>
    <t>d</t>
  </si>
  <si>
    <t>i</t>
  </si>
  <si>
    <t>u</t>
  </si>
  <si>
    <t>nea</t>
  </si>
  <si>
    <t>sub</t>
  </si>
  <si>
    <t>utk</t>
  </si>
  <si>
    <t>ipp</t>
  </si>
  <si>
    <t>imp</t>
  </si>
  <si>
    <t>int</t>
  </si>
  <si>
    <t>117..3</t>
  </si>
  <si>
    <t>Block</t>
  </si>
  <si>
    <t xml:space="preserve">Muzaffarpur </t>
  </si>
  <si>
    <t>Raxaul</t>
  </si>
  <si>
    <t>Ramnagar</t>
  </si>
  <si>
    <t>Sampatiya</t>
  </si>
  <si>
    <t>Mirchaiya</t>
  </si>
  <si>
    <t>Industrial Interruption near (or fed by) Import Points (MW)</t>
  </si>
  <si>
    <t>Jagadamba Wire_14MW</t>
  </si>
  <si>
    <t>Ghorai_20MW Max</t>
  </si>
  <si>
    <t>9-10 MW 50%</t>
  </si>
  <si>
    <t>521..06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</si>
</sst>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Times New Roman"/>
      <family val="1"/>
    </font>
    <font>
      <sz val="12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Aptos Narrow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sz val="10"/>
      <name val="Arial Narrow"/>
      <family val="2"/>
    </font>
    <font>
      <sz val="11"/>
      <name val="Arial Narrow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305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6" fillId="0" borderId="0" xfId="1" applyFont="1" applyAlignment="1">
      <alignment vertical="center"/>
    </xf>
    <xf numFmtId="164" fontId="7" fillId="0" borderId="2" xfId="1" applyFont="1" applyBorder="1" applyAlignment="1">
      <alignment vertical="center"/>
    </xf>
    <xf numFmtId="164" fontId="7" fillId="0" borderId="4" xfId="1" applyFont="1" applyBorder="1" applyAlignment="1">
      <alignment vertical="center"/>
    </xf>
    <xf numFmtId="164" fontId="4" fillId="0" borderId="6" xfId="1" applyFont="1" applyBorder="1" applyAlignment="1">
      <alignment horizontal="center" vertical="center"/>
    </xf>
    <xf numFmtId="164" fontId="4" fillId="0" borderId="6" xfId="1" applyFont="1" applyBorder="1" applyAlignment="1">
      <alignment vertical="center"/>
    </xf>
    <xf numFmtId="164" fontId="4" fillId="0" borderId="0" xfId="1" applyFont="1" applyAlignment="1">
      <alignment vertical="center"/>
    </xf>
    <xf numFmtId="14" fontId="8" fillId="0" borderId="0" xfId="1" applyNumberFormat="1" applyFont="1" applyAlignment="1">
      <alignment vertical="center"/>
    </xf>
    <xf numFmtId="43" fontId="9" fillId="3" borderId="0" xfId="2" applyFont="1" applyFill="1" applyAlignment="1">
      <alignment horizontal="center"/>
    </xf>
    <xf numFmtId="164" fontId="9" fillId="3" borderId="0" xfId="1" applyFont="1" applyFill="1"/>
    <xf numFmtId="164" fontId="1" fillId="3" borderId="0" xfId="1" applyFill="1"/>
    <xf numFmtId="164" fontId="10" fillId="0" borderId="0" xfId="1" applyFont="1" applyAlignment="1">
      <alignment horizontal="center" vertical="center"/>
    </xf>
    <xf numFmtId="164" fontId="11" fillId="0" borderId="0" xfId="1" applyFont="1"/>
    <xf numFmtId="164" fontId="12" fillId="0" borderId="0" xfId="1" applyFont="1" applyAlignment="1">
      <alignment vertical="center"/>
    </xf>
    <xf numFmtId="164" fontId="7" fillId="0" borderId="8" xfId="1" applyFont="1" applyBorder="1" applyAlignment="1">
      <alignment vertical="center"/>
    </xf>
    <xf numFmtId="164" fontId="7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2" fillId="0" borderId="0" xfId="1" applyFont="1" applyAlignment="1">
      <alignment horizontal="center" vertical="center"/>
    </xf>
    <xf numFmtId="43" fontId="13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4" fillId="0" borderId="0" xfId="1" applyNumberFormat="1" applyFont="1"/>
    <xf numFmtId="164" fontId="15" fillId="4" borderId="0" xfId="1" applyFont="1" applyFill="1" applyAlignment="1">
      <alignment horizontal="right" vertical="center"/>
    </xf>
    <xf numFmtId="164" fontId="16" fillId="0" borderId="0" xfId="1" applyFont="1" applyAlignment="1">
      <alignment vertical="center"/>
    </xf>
    <xf numFmtId="164" fontId="17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5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5" fillId="4" borderId="0" xfId="1" applyFont="1" applyFill="1" applyAlignment="1">
      <alignment horizontal="left" vertical="center"/>
    </xf>
    <xf numFmtId="164" fontId="18" fillId="3" borderId="0" xfId="1" applyFont="1" applyFill="1"/>
    <xf numFmtId="164" fontId="19" fillId="0" borderId="0" xfId="1" applyFont="1" applyAlignment="1">
      <alignment horizontal="left" vertical="center"/>
    </xf>
    <xf numFmtId="1" fontId="20" fillId="0" borderId="0" xfId="1" applyNumberFormat="1" applyFont="1" applyAlignment="1">
      <alignment horizontal="center" vertical="center"/>
    </xf>
    <xf numFmtId="43" fontId="21" fillId="0" borderId="0" xfId="2" applyFont="1" applyFill="1" applyAlignment="1">
      <alignment horizontal="center" vertical="center"/>
    </xf>
    <xf numFmtId="164" fontId="2" fillId="0" borderId="0" xfId="1" applyFont="1"/>
    <xf numFmtId="164" fontId="12" fillId="0" borderId="12" xfId="1" applyFont="1" applyBorder="1" applyAlignment="1">
      <alignment vertical="center"/>
    </xf>
    <xf numFmtId="2" fontId="12" fillId="6" borderId="16" xfId="1" applyNumberFormat="1" applyFont="1" applyFill="1" applyBorder="1" applyAlignment="1">
      <alignment horizontal="center" vertical="center"/>
    </xf>
    <xf numFmtId="164" fontId="18" fillId="0" borderId="0" xfId="1" applyFont="1" applyAlignment="1">
      <alignment horizontal="center"/>
    </xf>
    <xf numFmtId="164" fontId="18" fillId="0" borderId="0" xfId="1" applyFont="1"/>
    <xf numFmtId="164" fontId="18" fillId="0" borderId="0" xfId="1" applyFont="1" applyAlignment="1">
      <alignment horizontal="left"/>
    </xf>
    <xf numFmtId="164" fontId="1" fillId="0" borderId="0" xfId="1" applyAlignment="1">
      <alignment horizontal="center"/>
    </xf>
    <xf numFmtId="164" fontId="12" fillId="0" borderId="24" xfId="1" applyFont="1" applyBorder="1" applyAlignment="1">
      <alignment horizontal="right" vertical="center"/>
    </xf>
    <xf numFmtId="166" fontId="12" fillId="0" borderId="25" xfId="1" applyNumberFormat="1" applyFont="1" applyBorder="1" applyAlignment="1" applyProtection="1">
      <alignment horizontal="center" vertical="center"/>
      <protection locked="0"/>
    </xf>
    <xf numFmtId="169" fontId="12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2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6" fontId="12" fillId="9" borderId="25" xfId="1" applyNumberFormat="1" applyFont="1" applyFill="1" applyBorder="1" applyAlignment="1" applyProtection="1">
      <alignment horizontal="center" vertical="center"/>
      <protection locked="0"/>
    </xf>
    <xf numFmtId="169" fontId="25" fillId="0" borderId="27" xfId="1" applyNumberFormat="1" applyFont="1" applyBorder="1" applyAlignment="1">
      <alignment horizontal="center" vertical="center"/>
    </xf>
    <xf numFmtId="2" fontId="25" fillId="0" borderId="27" xfId="1" applyNumberFormat="1" applyFont="1" applyBorder="1" applyAlignment="1">
      <alignment horizontal="center" vertical="center"/>
    </xf>
    <xf numFmtId="164" fontId="12" fillId="0" borderId="28" xfId="1" applyFont="1" applyBorder="1" applyAlignment="1">
      <alignment horizontal="right" vertical="center"/>
    </xf>
    <xf numFmtId="169" fontId="25" fillId="0" borderId="29" xfId="1" applyNumberFormat="1" applyFont="1" applyBorder="1" applyAlignment="1">
      <alignment horizontal="center" vertical="center"/>
    </xf>
    <xf numFmtId="164" fontId="26" fillId="0" borderId="28" xfId="1" applyFont="1" applyBorder="1" applyAlignment="1">
      <alignment horizontal="right" vertical="center"/>
    </xf>
    <xf numFmtId="166" fontId="12" fillId="10" borderId="6" xfId="1" applyNumberFormat="1" applyFont="1" applyFill="1" applyBorder="1" applyAlignment="1" applyProtection="1">
      <alignment horizontal="center" vertical="center"/>
      <protection locked="0"/>
    </xf>
    <xf numFmtId="164" fontId="16" fillId="0" borderId="24" xfId="1" applyFont="1" applyBorder="1" applyAlignment="1">
      <alignment horizontal="right" vertical="center"/>
    </xf>
    <xf numFmtId="164" fontId="16" fillId="0" borderId="30" xfId="1" applyFont="1" applyBorder="1" applyAlignment="1">
      <alignment horizontal="left" vertical="center"/>
    </xf>
    <xf numFmtId="166" fontId="16" fillId="0" borderId="31" xfId="1" applyNumberFormat="1" applyFont="1" applyBorder="1" applyAlignment="1">
      <alignment horizontal="center" vertical="center"/>
    </xf>
    <xf numFmtId="169" fontId="16" fillId="0" borderId="31" xfId="1" applyNumberFormat="1" applyFont="1" applyBorder="1" applyAlignment="1">
      <alignment horizontal="center" vertical="center"/>
    </xf>
    <xf numFmtId="164" fontId="12" fillId="0" borderId="32" xfId="1" applyFont="1" applyBorder="1" applyAlignment="1">
      <alignment horizontal="right" vertical="center"/>
    </xf>
    <xf numFmtId="166" fontId="12" fillId="11" borderId="25" xfId="1" applyNumberFormat="1" applyFont="1" applyFill="1" applyBorder="1" applyAlignment="1" applyProtection="1">
      <alignment horizontal="center" vertical="center"/>
      <protection locked="0"/>
    </xf>
    <xf numFmtId="164" fontId="12" fillId="0" borderId="33" xfId="1" applyFont="1" applyBorder="1" applyAlignment="1">
      <alignment horizontal="right" vertical="center"/>
    </xf>
    <xf numFmtId="166" fontId="12" fillId="0" borderId="6" xfId="1" applyNumberFormat="1" applyFont="1" applyBorder="1" applyAlignment="1" applyProtection="1">
      <alignment horizontal="center" vertical="center"/>
      <protection locked="0"/>
    </xf>
    <xf numFmtId="164" fontId="12" fillId="0" borderId="34" xfId="1" applyFont="1" applyBorder="1" applyAlignment="1">
      <alignment horizontal="right" vertical="center"/>
    </xf>
    <xf numFmtId="166" fontId="12" fillId="0" borderId="18" xfId="1" applyNumberFormat="1" applyFont="1" applyBorder="1" applyAlignment="1" applyProtection="1">
      <alignment horizontal="center" vertical="center"/>
      <protection locked="0"/>
    </xf>
    <xf numFmtId="169" fontId="25" fillId="0" borderId="23" xfId="1" applyNumberFormat="1" applyFont="1" applyBorder="1" applyAlignment="1">
      <alignment horizontal="center" vertical="center"/>
    </xf>
    <xf numFmtId="164" fontId="16" fillId="0" borderId="35" xfId="1" applyFont="1" applyBorder="1" applyAlignment="1">
      <alignment horizontal="left" vertical="center"/>
    </xf>
    <xf numFmtId="164" fontId="27" fillId="0" borderId="0" xfId="1" applyFont="1"/>
    <xf numFmtId="164" fontId="12" fillId="0" borderId="36" xfId="1" applyFont="1" applyBorder="1" applyAlignment="1">
      <alignment horizontal="right" vertical="center"/>
    </xf>
    <xf numFmtId="2" fontId="26" fillId="0" borderId="37" xfId="1" applyNumberFormat="1" applyFont="1" applyBorder="1" applyAlignment="1">
      <alignment horizontal="center" vertical="center"/>
    </xf>
    <xf numFmtId="169" fontId="26" fillId="0" borderId="37" xfId="1" applyNumberFormat="1" applyFont="1" applyBorder="1" applyAlignment="1">
      <alignment horizontal="center" vertical="center"/>
    </xf>
    <xf numFmtId="164" fontId="16" fillId="0" borderId="38" xfId="1" applyFont="1" applyBorder="1" applyAlignment="1">
      <alignment horizontal="left" vertical="center"/>
    </xf>
    <xf numFmtId="169" fontId="12" fillId="0" borderId="29" xfId="1" applyNumberFormat="1" applyFont="1" applyBorder="1" applyAlignment="1">
      <alignment horizontal="center" vertical="center"/>
    </xf>
    <xf numFmtId="166" fontId="12" fillId="0" borderId="25" xfId="1" applyNumberFormat="1" applyFont="1" applyBorder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164" fontId="2" fillId="12" borderId="0" xfId="1" applyFont="1" applyFill="1"/>
    <xf numFmtId="20" fontId="1" fillId="0" borderId="39" xfId="1" applyNumberFormat="1" applyBorder="1"/>
    <xf numFmtId="166" fontId="12" fillId="0" borderId="2" xfId="1" applyNumberFormat="1" applyFont="1" applyBorder="1" applyAlignment="1" applyProtection="1">
      <alignment horizontal="center" vertical="center"/>
      <protection locked="0"/>
    </xf>
    <xf numFmtId="166" fontId="12" fillId="0" borderId="4" xfId="1" applyNumberFormat="1" applyFont="1" applyBorder="1" applyAlignment="1" applyProtection="1">
      <alignment horizontal="center" vertical="center"/>
      <protection locked="0"/>
    </xf>
    <xf numFmtId="164" fontId="0" fillId="0" borderId="5" xfId="1" applyFont="1" applyBorder="1"/>
    <xf numFmtId="166" fontId="12" fillId="0" borderId="40" xfId="1" applyNumberFormat="1" applyFont="1" applyBorder="1" applyAlignment="1" applyProtection="1">
      <alignment horizontal="center" vertical="center"/>
      <protection locked="0"/>
    </xf>
    <xf numFmtId="164" fontId="12" fillId="0" borderId="41" xfId="1" applyFont="1" applyBorder="1" applyAlignment="1">
      <alignment horizontal="right" vertical="center"/>
    </xf>
    <xf numFmtId="169" fontId="12" fillId="0" borderId="42" xfId="1" applyNumberFormat="1" applyFont="1" applyBorder="1" applyAlignment="1">
      <alignment horizontal="center" vertical="center"/>
    </xf>
    <xf numFmtId="164" fontId="1" fillId="0" borderId="5" xfId="1" applyBorder="1"/>
    <xf numFmtId="166" fontId="12" fillId="12" borderId="43" xfId="1" applyNumberFormat="1" applyFont="1" applyFill="1" applyBorder="1" applyAlignment="1" applyProtection="1">
      <alignment horizontal="center" vertical="center"/>
      <protection locked="0"/>
    </xf>
    <xf numFmtId="169" fontId="16" fillId="0" borderId="44" xfId="1" applyNumberFormat="1" applyFont="1" applyBorder="1" applyAlignment="1">
      <alignment horizontal="center" vertical="center"/>
    </xf>
    <xf numFmtId="166" fontId="12" fillId="0" borderId="45" xfId="1" applyNumberFormat="1" applyFont="1" applyBorder="1" applyAlignment="1">
      <alignment horizontal="center" vertical="center"/>
    </xf>
    <xf numFmtId="169" fontId="12" fillId="0" borderId="27" xfId="1" applyNumberFormat="1" applyFont="1" applyBorder="1" applyAlignment="1">
      <alignment horizontal="center" vertical="center"/>
    </xf>
    <xf numFmtId="164" fontId="1" fillId="0" borderId="48" xfId="1" applyBorder="1"/>
    <xf numFmtId="166" fontId="12" fillId="0" borderId="8" xfId="1" applyNumberFormat="1" applyFont="1" applyBorder="1" applyAlignment="1" applyProtection="1">
      <alignment horizontal="center" vertical="center"/>
      <protection locked="0"/>
    </xf>
    <xf numFmtId="166" fontId="12" fillId="0" borderId="10" xfId="1" applyNumberFormat="1" applyFont="1" applyBorder="1" applyAlignment="1" applyProtection="1">
      <alignment horizontal="center" vertical="center"/>
      <protection locked="0"/>
    </xf>
    <xf numFmtId="166" fontId="12" fillId="0" borderId="37" xfId="1" applyNumberFormat="1" applyFont="1" applyBorder="1" applyAlignment="1">
      <alignment horizontal="center" vertical="center"/>
    </xf>
    <xf numFmtId="1" fontId="16" fillId="0" borderId="31" xfId="1" applyNumberFormat="1" applyFont="1" applyBorder="1" applyAlignment="1">
      <alignment horizontal="center" vertical="center"/>
    </xf>
    <xf numFmtId="164" fontId="16" fillId="12" borderId="38" xfId="1" applyFont="1" applyFill="1" applyBorder="1" applyAlignment="1">
      <alignment vertical="center" wrapText="1"/>
    </xf>
    <xf numFmtId="166" fontId="12" fillId="0" borderId="31" xfId="1" applyNumberFormat="1" applyFont="1" applyBorder="1" applyAlignment="1" applyProtection="1">
      <alignment horizontal="center" vertical="center"/>
      <protection locked="0"/>
    </xf>
    <xf numFmtId="169" fontId="25" fillId="0" borderId="42" xfId="1" applyNumberFormat="1" applyFont="1" applyBorder="1" applyAlignment="1">
      <alignment horizontal="center" vertical="center"/>
    </xf>
    <xf numFmtId="164" fontId="16" fillId="0" borderId="38" xfId="1" applyFont="1" applyBorder="1" applyAlignment="1">
      <alignment horizontal="center" vertical="center"/>
    </xf>
    <xf numFmtId="164" fontId="12" fillId="0" borderId="49" xfId="1" applyFont="1" applyBorder="1" applyAlignment="1">
      <alignment horizontal="right" vertical="center"/>
    </xf>
    <xf numFmtId="2" fontId="12" fillId="0" borderId="2" xfId="1" applyNumberFormat="1" applyFont="1" applyBorder="1" applyAlignment="1" applyProtection="1">
      <alignment horizontal="center" vertical="center"/>
      <protection locked="0"/>
    </xf>
    <xf numFmtId="169" fontId="12" fillId="0" borderId="50" xfId="1" applyNumberFormat="1" applyFont="1" applyBorder="1" applyAlignment="1">
      <alignment horizontal="center" vertical="center"/>
    </xf>
    <xf numFmtId="164" fontId="12" fillId="0" borderId="51" xfId="1" applyFont="1" applyBorder="1" applyAlignment="1">
      <alignment horizontal="right" vertical="center"/>
    </xf>
    <xf numFmtId="169" fontId="12" fillId="0" borderId="52" xfId="1" applyNumberFormat="1" applyFont="1" applyBorder="1" applyAlignment="1">
      <alignment horizontal="center" vertical="center"/>
    </xf>
    <xf numFmtId="164" fontId="12" fillId="0" borderId="53" xfId="1" applyFont="1" applyBorder="1" applyAlignment="1">
      <alignment horizontal="right" vertical="center"/>
    </xf>
    <xf numFmtId="166" fontId="12" fillId="0" borderId="6" xfId="1" applyNumberFormat="1" applyFont="1" applyBorder="1" applyAlignment="1" applyProtection="1">
      <alignment horizontal="center"/>
      <protection locked="0"/>
    </xf>
    <xf numFmtId="169" fontId="12" fillId="0" borderId="52" xfId="1" applyNumberFormat="1" applyFont="1" applyBorder="1" applyAlignment="1">
      <alignment horizontal="center"/>
    </xf>
    <xf numFmtId="169" fontId="12" fillId="0" borderId="54" xfId="1" applyNumberFormat="1" applyFont="1" applyBorder="1" applyAlignment="1">
      <alignment horizontal="center" vertical="center"/>
    </xf>
    <xf numFmtId="164" fontId="16" fillId="0" borderId="0" xfId="1" applyFont="1" applyAlignment="1">
      <alignment horizontal="right" vertical="center"/>
    </xf>
    <xf numFmtId="164" fontId="12" fillId="0" borderId="1" xfId="1" applyFont="1" applyBorder="1" applyAlignment="1">
      <alignment vertical="center"/>
    </xf>
    <xf numFmtId="166" fontId="16" fillId="0" borderId="3" xfId="1" applyNumberFormat="1" applyFont="1" applyBorder="1" applyAlignment="1">
      <alignment horizontal="center" vertical="center"/>
    </xf>
    <xf numFmtId="169" fontId="1" fillId="0" borderId="0" xfId="1" applyNumberFormat="1"/>
    <xf numFmtId="166" fontId="12" fillId="0" borderId="55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6" fontId="12" fillId="0" borderId="45" xfId="1" applyNumberFormat="1" applyFont="1" applyBorder="1" applyAlignment="1" applyProtection="1">
      <alignment horizontal="center" vertical="center"/>
      <protection locked="0"/>
    </xf>
    <xf numFmtId="164" fontId="12" fillId="0" borderId="56" xfId="1" applyFont="1" applyBorder="1" applyAlignment="1">
      <alignment horizontal="right" vertical="center"/>
    </xf>
    <xf numFmtId="166" fontId="12" fillId="0" borderId="57" xfId="1" applyNumberFormat="1" applyFont="1" applyBorder="1" applyAlignment="1" applyProtection="1">
      <alignment horizontal="center"/>
      <protection locked="0"/>
    </xf>
    <xf numFmtId="169" fontId="1" fillId="0" borderId="37" xfId="1" applyNumberFormat="1" applyBorder="1" applyAlignment="1">
      <alignment horizontal="center"/>
    </xf>
    <xf numFmtId="169" fontId="1" fillId="0" borderId="0" xfId="1" applyNumberFormat="1" applyAlignment="1">
      <alignment horizontal="center"/>
    </xf>
    <xf numFmtId="164" fontId="16" fillId="0" borderId="48" xfId="1" applyFont="1" applyBorder="1" applyAlignment="1">
      <alignment vertical="center"/>
    </xf>
    <xf numFmtId="164" fontId="1" fillId="0" borderId="58" xfId="1" applyBorder="1" applyAlignment="1">
      <alignment horizontal="center"/>
    </xf>
    <xf numFmtId="164" fontId="12" fillId="0" borderId="59" xfId="1" applyFont="1" applyBorder="1" applyAlignment="1">
      <alignment horizontal="right" vertical="center"/>
    </xf>
    <xf numFmtId="2" fontId="12" fillId="0" borderId="25" xfId="1" applyNumberFormat="1" applyFont="1" applyBorder="1" applyAlignment="1">
      <alignment horizontal="center" vertical="center"/>
    </xf>
    <xf numFmtId="2" fontId="12" fillId="0" borderId="25" xfId="1" applyNumberFormat="1" applyFont="1" applyBorder="1" applyAlignment="1" applyProtection="1">
      <alignment horizontal="center" vertical="center"/>
      <protection locked="0"/>
    </xf>
    <xf numFmtId="169" fontId="25" fillId="0" borderId="60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 applyProtection="1">
      <alignment horizontal="center" vertical="center"/>
      <protection locked="0"/>
    </xf>
    <xf numFmtId="169" fontId="25" fillId="0" borderId="40" xfId="1" applyNumberFormat="1" applyFont="1" applyBorder="1" applyAlignment="1">
      <alignment horizontal="center" vertical="center"/>
    </xf>
    <xf numFmtId="169" fontId="25" fillId="0" borderId="61" xfId="1" applyNumberFormat="1" applyFont="1" applyBorder="1" applyAlignment="1">
      <alignment horizontal="center" vertical="center"/>
    </xf>
    <xf numFmtId="2" fontId="12" fillId="0" borderId="37" xfId="1" applyNumberFormat="1" applyFont="1" applyBorder="1" applyAlignment="1">
      <alignment horizontal="center" vertical="center"/>
    </xf>
    <xf numFmtId="2" fontId="12" fillId="0" borderId="18" xfId="1" applyNumberFormat="1" applyFont="1" applyBorder="1" applyAlignment="1" applyProtection="1">
      <alignment horizontal="center" vertical="center"/>
      <protection locked="0"/>
    </xf>
    <xf numFmtId="164" fontId="12" fillId="0" borderId="35" xfId="1" applyFont="1" applyBorder="1" applyAlignment="1">
      <alignment vertical="center"/>
    </xf>
    <xf numFmtId="2" fontId="12" fillId="0" borderId="62" xfId="1" applyNumberFormat="1" applyFont="1" applyBorder="1" applyAlignment="1">
      <alignment horizontal="center" vertical="center"/>
    </xf>
    <xf numFmtId="2" fontId="12" fillId="0" borderId="31" xfId="1" applyNumberFormat="1" applyFont="1" applyBorder="1" applyAlignment="1">
      <alignment horizontal="center" vertical="center"/>
    </xf>
    <xf numFmtId="2" fontId="12" fillId="0" borderId="63" xfId="1" applyNumberFormat="1" applyFont="1" applyBorder="1" applyAlignment="1">
      <alignment horizontal="center" vertical="center"/>
    </xf>
    <xf numFmtId="169" fontId="25" fillId="0" borderId="35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/>
    </xf>
    <xf numFmtId="2" fontId="12" fillId="0" borderId="2" xfId="1" applyNumberFormat="1" applyFont="1" applyBorder="1" applyAlignment="1">
      <alignment horizontal="center" vertical="center"/>
    </xf>
    <xf numFmtId="169" fontId="28" fillId="0" borderId="4" xfId="1" applyNumberFormat="1" applyFont="1" applyBorder="1" applyAlignment="1">
      <alignment horizontal="center" vertical="center"/>
    </xf>
    <xf numFmtId="169" fontId="28" fillId="0" borderId="40" xfId="1" applyNumberFormat="1" applyFont="1" applyBorder="1" applyAlignment="1">
      <alignment horizontal="center" vertical="center"/>
    </xf>
    <xf numFmtId="169" fontId="28" fillId="0" borderId="61" xfId="1" applyNumberFormat="1" applyFont="1" applyBorder="1" applyAlignment="1">
      <alignment horizontal="center" vertical="center"/>
    </xf>
    <xf numFmtId="164" fontId="12" fillId="0" borderId="62" xfId="1" applyFont="1" applyBorder="1" applyAlignment="1">
      <alignment horizontal="right" vertical="center"/>
    </xf>
    <xf numFmtId="169" fontId="1" fillId="0" borderId="64" xfId="1" applyNumberFormat="1" applyBorder="1" applyAlignment="1">
      <alignment horizontal="center"/>
    </xf>
    <xf numFmtId="164" fontId="16" fillId="0" borderId="49" xfId="1" applyFont="1" applyBorder="1" applyAlignment="1">
      <alignment vertical="center"/>
    </xf>
    <xf numFmtId="2" fontId="29" fillId="0" borderId="2" xfId="1" applyNumberFormat="1" applyFont="1" applyBorder="1" applyAlignment="1">
      <alignment horizontal="center" vertical="center"/>
    </xf>
    <xf numFmtId="2" fontId="29" fillId="0" borderId="4" xfId="1" applyNumberFormat="1" applyFont="1" applyBorder="1" applyAlignment="1">
      <alignment horizontal="center" vertical="center"/>
    </xf>
    <xf numFmtId="2" fontId="29" fillId="0" borderId="25" xfId="1" applyNumberFormat="1" applyFont="1" applyBorder="1" applyAlignment="1">
      <alignment horizontal="center" vertical="center"/>
    </xf>
    <xf numFmtId="2" fontId="29" fillId="0" borderId="60" xfId="1" applyNumberFormat="1" applyFont="1" applyBorder="1" applyAlignment="1">
      <alignment horizontal="center" vertical="center"/>
    </xf>
    <xf numFmtId="164" fontId="1" fillId="0" borderId="65" xfId="1" applyBorder="1" applyAlignment="1">
      <alignment horizontal="center"/>
    </xf>
    <xf numFmtId="2" fontId="29" fillId="0" borderId="6" xfId="1" applyNumberFormat="1" applyFont="1" applyBorder="1" applyAlignment="1">
      <alignment horizontal="center" vertical="center"/>
    </xf>
    <xf numFmtId="2" fontId="29" fillId="0" borderId="40" xfId="1" applyNumberFormat="1" applyFont="1" applyBorder="1" applyAlignment="1">
      <alignment horizontal="center" vertical="center"/>
    </xf>
    <xf numFmtId="2" fontId="29" fillId="0" borderId="8" xfId="1" applyNumberFormat="1" applyFont="1" applyBorder="1" applyAlignment="1">
      <alignment horizontal="center" vertical="center"/>
    </xf>
    <xf numFmtId="2" fontId="29" fillId="0" borderId="10" xfId="1" applyNumberFormat="1" applyFont="1" applyBorder="1" applyAlignment="1">
      <alignment horizontal="center" vertical="center"/>
    </xf>
    <xf numFmtId="164" fontId="12" fillId="13" borderId="6" xfId="1" applyFont="1" applyFill="1" applyBorder="1" applyAlignment="1">
      <alignment vertical="center"/>
    </xf>
    <xf numFmtId="1" fontId="1" fillId="13" borderId="6" xfId="1" applyNumberFormat="1" applyFill="1" applyBorder="1"/>
    <xf numFmtId="20" fontId="30" fillId="13" borderId="6" xfId="1" applyNumberFormat="1" applyFont="1" applyFill="1" applyBorder="1" applyAlignment="1">
      <alignment horizontal="center"/>
    </xf>
    <xf numFmtId="164" fontId="1" fillId="0" borderId="0" xfId="1" applyAlignment="1">
      <alignment horizontal="left"/>
    </xf>
    <xf numFmtId="164" fontId="31" fillId="15" borderId="0" xfId="1" applyFont="1" applyFill="1"/>
    <xf numFmtId="164" fontId="1" fillId="16" borderId="0" xfId="1" applyFill="1" applyProtection="1">
      <protection locked="0"/>
    </xf>
    <xf numFmtId="164" fontId="16" fillId="0" borderId="0" xfId="1" applyFont="1" applyAlignment="1">
      <alignment vertical="top" wrapText="1"/>
    </xf>
    <xf numFmtId="20" fontId="12" fillId="0" borderId="37" xfId="1" applyNumberFormat="1" applyFont="1" applyBorder="1" applyAlignment="1">
      <alignment vertical="center"/>
    </xf>
    <xf numFmtId="167" fontId="12" fillId="0" borderId="66" xfId="1" applyNumberFormat="1" applyFont="1" applyBorder="1" applyAlignment="1">
      <alignment vertical="center"/>
    </xf>
    <xf numFmtId="167" fontId="12" fillId="0" borderId="37" xfId="1" applyNumberFormat="1" applyFont="1" applyBorder="1" applyAlignment="1">
      <alignment vertical="center"/>
    </xf>
    <xf numFmtId="167" fontId="12" fillId="0" borderId="19" xfId="1" applyNumberFormat="1" applyFont="1" applyBorder="1" applyAlignment="1">
      <alignment vertical="center"/>
    </xf>
    <xf numFmtId="1" fontId="1" fillId="0" borderId="0" xfId="1" applyNumberFormat="1" applyAlignment="1">
      <alignment horizontal="center"/>
    </xf>
    <xf numFmtId="165" fontId="1" fillId="16" borderId="0" xfId="1" applyNumberFormat="1" applyFill="1" applyProtection="1">
      <protection locked="0"/>
    </xf>
    <xf numFmtId="164" fontId="1" fillId="0" borderId="6" xfId="1" applyBorder="1"/>
    <xf numFmtId="166" fontId="1" fillId="0" borderId="6" xfId="1" applyNumberFormat="1" applyBorder="1" applyAlignment="1">
      <alignment horizontal="center"/>
    </xf>
    <xf numFmtId="2" fontId="1" fillId="0" borderId="6" xfId="1" applyNumberFormat="1" applyBorder="1" applyAlignment="1">
      <alignment horizontal="center"/>
    </xf>
    <xf numFmtId="164" fontId="0" fillId="0" borderId="58" xfId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12" fillId="0" borderId="49" xfId="1" applyFont="1" applyBorder="1" applyAlignment="1">
      <alignment horizontal="right" vertical="center" indent="1"/>
    </xf>
    <xf numFmtId="164" fontId="12" fillId="0" borderId="51" xfId="1" applyFont="1" applyBorder="1" applyAlignment="1">
      <alignment horizontal="right" vertical="center" indent="1"/>
    </xf>
    <xf numFmtId="169" fontId="1" fillId="0" borderId="58" xfId="1" applyNumberFormat="1" applyBorder="1" applyAlignment="1">
      <alignment horizontal="center"/>
    </xf>
    <xf numFmtId="0" fontId="0" fillId="0" borderId="6" xfId="0" applyBorder="1"/>
    <xf numFmtId="9" fontId="0" fillId="0" borderId="0" xfId="0" applyNumberFormat="1"/>
    <xf numFmtId="0" fontId="2" fillId="0" borderId="6" xfId="0" applyFont="1" applyBorder="1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0" fillId="0" borderId="45" xfId="0" applyBorder="1"/>
    <xf numFmtId="0" fontId="2" fillId="0" borderId="45" xfId="0" applyFont="1" applyBorder="1" applyAlignment="1">
      <alignment horizontal="right"/>
    </xf>
    <xf numFmtId="0" fontId="33" fillId="0" borderId="6" xfId="0" applyFont="1" applyBorder="1"/>
    <xf numFmtId="0" fontId="0" fillId="0" borderId="0" xfId="0" applyAlignment="1">
      <alignment horizontal="center"/>
    </xf>
    <xf numFmtId="20" fontId="0" fillId="0" borderId="0" xfId="0" applyNumberFormat="1"/>
    <xf numFmtId="164" fontId="16" fillId="0" borderId="51" xfId="1" applyFont="1" applyBorder="1" applyAlignment="1">
      <alignment horizontal="right" vertical="center" indent="1"/>
    </xf>
    <xf numFmtId="2" fontId="34" fillId="0" borderId="25" xfId="1" applyNumberFormat="1" applyFont="1" applyBorder="1" applyAlignment="1">
      <alignment horizontal="center" vertical="center"/>
    </xf>
    <xf numFmtId="2" fontId="34" fillId="0" borderId="6" xfId="1" applyNumberFormat="1" applyFont="1" applyBorder="1" applyAlignment="1">
      <alignment horizontal="center" vertical="center"/>
    </xf>
    <xf numFmtId="2" fontId="34" fillId="0" borderId="8" xfId="1" applyNumberFormat="1" applyFont="1" applyBorder="1" applyAlignment="1">
      <alignment horizontal="center" vertical="center"/>
    </xf>
    <xf numFmtId="2" fontId="35" fillId="0" borderId="25" xfId="1" applyNumberFormat="1" applyFont="1" applyBorder="1" applyAlignment="1">
      <alignment horizontal="center" vertical="center"/>
    </xf>
    <xf numFmtId="2" fontId="35" fillId="0" borderId="6" xfId="1" applyNumberFormat="1" applyFont="1" applyBorder="1" applyAlignment="1">
      <alignment horizontal="center" vertical="center"/>
    </xf>
    <xf numFmtId="2" fontId="35" fillId="0" borderId="8" xfId="1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9" fillId="0" borderId="0" xfId="0" applyFont="1"/>
    <xf numFmtId="0" fontId="4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0" fontId="18" fillId="9" borderId="0" xfId="0" applyFont="1" applyFill="1"/>
    <xf numFmtId="0" fontId="9" fillId="9" borderId="0" xfId="0" applyFont="1" applyFill="1"/>
    <xf numFmtId="0" fontId="9" fillId="0" borderId="0" xfId="0" applyFont="1"/>
    <xf numFmtId="0" fontId="2" fillId="0" borderId="6" xfId="0" applyFont="1" applyBorder="1" applyAlignment="1">
      <alignment horizontal="center"/>
    </xf>
    <xf numFmtId="0" fontId="41" fillId="0" borderId="67" xfId="0" applyFon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9" borderId="6" xfId="0" applyNumberFormat="1" applyFill="1" applyBorder="1" applyAlignment="1">
      <alignment horizontal="center"/>
    </xf>
    <xf numFmtId="0" fontId="43" fillId="0" borderId="6" xfId="0" applyFont="1" applyBorder="1" applyAlignment="1">
      <alignment horizontal="left"/>
    </xf>
    <xf numFmtId="0" fontId="43" fillId="0" borderId="6" xfId="0" applyFont="1" applyBorder="1" applyAlignment="1">
      <alignment horizontal="center"/>
    </xf>
    <xf numFmtId="0" fontId="43" fillId="0" borderId="6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37" xfId="0" applyFont="1" applyBorder="1" applyAlignment="1">
      <alignment horizontal="center"/>
    </xf>
    <xf numFmtId="166" fontId="0" fillId="9" borderId="6" xfId="0" applyNumberFormat="1" applyFill="1" applyBorder="1" applyAlignment="1">
      <alignment horizontal="center" vertical="center" wrapText="1"/>
    </xf>
    <xf numFmtId="2" fontId="0" fillId="0" borderId="0" xfId="0" applyNumberFormat="1"/>
    <xf numFmtId="166" fontId="42" fillId="0" borderId="6" xfId="0" applyNumberFormat="1" applyFont="1" applyBorder="1" applyAlignment="1">
      <alignment horizontal="center"/>
    </xf>
    <xf numFmtId="0" fontId="42" fillId="0" borderId="6" xfId="0" applyFont="1" applyBorder="1" applyAlignment="1">
      <alignment horizontal="center" vertical="center" wrapText="1"/>
    </xf>
    <xf numFmtId="166" fontId="42" fillId="0" borderId="6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2" fillId="0" borderId="6" xfId="0" applyNumberFormat="1" applyFont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0" fillId="9" borderId="0" xfId="0" applyFill="1"/>
    <xf numFmtId="2" fontId="12" fillId="0" borderId="57" xfId="1" applyNumberFormat="1" applyFont="1" applyBorder="1" applyAlignment="1" applyProtection="1">
      <alignment horizontal="center"/>
      <protection locked="0"/>
    </xf>
    <xf numFmtId="0" fontId="12" fillId="0" borderId="0" xfId="1" applyNumberFormat="1" applyFont="1" applyAlignment="1">
      <alignment vertical="center"/>
    </xf>
    <xf numFmtId="0" fontId="1" fillId="0" borderId="0" xfId="1" applyNumberFormat="1" applyAlignment="1">
      <alignment horizontal="center"/>
    </xf>
    <xf numFmtId="164" fontId="2" fillId="0" borderId="0" xfId="1" applyFont="1" applyAlignment="1">
      <alignment horizontal="center"/>
    </xf>
    <xf numFmtId="165" fontId="44" fillId="0" borderId="0" xfId="1" applyNumberFormat="1" applyFont="1"/>
    <xf numFmtId="166" fontId="12" fillId="0" borderId="25" xfId="1" applyNumberFormat="1" applyFont="1" applyBorder="1" applyAlignment="1" applyProtection="1">
      <alignment horizontal="left" vertical="center"/>
      <protection locked="0"/>
    </xf>
    <xf numFmtId="0" fontId="1" fillId="0" borderId="0" xfId="1" applyNumberFormat="1"/>
    <xf numFmtId="166" fontId="1" fillId="0" borderId="0" xfId="1" applyNumberFormat="1"/>
    <xf numFmtId="20" fontId="1" fillId="0" borderId="11" xfId="1" applyNumberFormat="1" applyBorder="1"/>
    <xf numFmtId="164" fontId="0" fillId="0" borderId="0" xfId="1" applyFont="1"/>
    <xf numFmtId="164" fontId="1" fillId="0" borderId="58" xfId="1" applyBorder="1"/>
    <xf numFmtId="166" fontId="12" fillId="12" borderId="6" xfId="1" applyNumberFormat="1" applyFont="1" applyFill="1" applyBorder="1" applyAlignment="1" applyProtection="1">
      <alignment horizontal="center" vertical="center"/>
      <protection locked="0"/>
    </xf>
    <xf numFmtId="164" fontId="30" fillId="0" borderId="58" xfId="1" applyFont="1" applyBorder="1" applyAlignment="1">
      <alignment horizontal="center"/>
    </xf>
    <xf numFmtId="165" fontId="14" fillId="0" borderId="0" xfId="1" applyNumberFormat="1" applyFont="1" applyAlignment="1">
      <alignment horizontal="center"/>
    </xf>
    <xf numFmtId="165" fontId="14" fillId="17" borderId="6" xfId="1" applyNumberFormat="1" applyFont="1" applyFill="1" applyBorder="1" applyAlignment="1">
      <alignment horizontal="center"/>
    </xf>
    <xf numFmtId="165" fontId="14" fillId="17" borderId="6" xfId="1" applyNumberFormat="1" applyFont="1" applyFill="1" applyBorder="1"/>
    <xf numFmtId="1" fontId="14" fillId="17" borderId="6" xfId="1" applyNumberFormat="1" applyFont="1" applyFill="1" applyBorder="1" applyAlignment="1">
      <alignment horizontal="center"/>
    </xf>
    <xf numFmtId="164" fontId="1" fillId="17" borderId="6" xfId="1" applyFill="1" applyBorder="1"/>
    <xf numFmtId="164" fontId="27" fillId="17" borderId="6" xfId="1" applyFont="1" applyFill="1" applyBorder="1"/>
    <xf numFmtId="165" fontId="14" fillId="0" borderId="6" xfId="1" applyNumberFormat="1" applyFont="1" applyBorder="1"/>
    <xf numFmtId="1" fontId="14" fillId="0" borderId="6" xfId="1" applyNumberFormat="1" applyFont="1" applyBorder="1"/>
    <xf numFmtId="1" fontId="1" fillId="0" borderId="6" xfId="1" applyNumberFormat="1" applyBorder="1"/>
    <xf numFmtId="1" fontId="14" fillId="13" borderId="6" xfId="1" applyNumberFormat="1" applyFont="1" applyFill="1" applyBorder="1" applyAlignment="1">
      <alignment horizontal="center"/>
    </xf>
    <xf numFmtId="165" fontId="14" fillId="13" borderId="6" xfId="1" applyNumberFormat="1" applyFont="1" applyFill="1" applyBorder="1" applyAlignment="1">
      <alignment horizontal="center"/>
    </xf>
    <xf numFmtId="164" fontId="1" fillId="13" borderId="6" xfId="1" applyFill="1" applyBorder="1"/>
    <xf numFmtId="1" fontId="0" fillId="0" borderId="6" xfId="0" applyNumberFormat="1" applyBorder="1"/>
    <xf numFmtId="166" fontId="0" fillId="0" borderId="6" xfId="0" applyNumberFormat="1" applyBorder="1" applyAlignment="1">
      <alignment horizontal="center" vertical="center"/>
    </xf>
    <xf numFmtId="167" fontId="12" fillId="9" borderId="19" xfId="1" applyNumberFormat="1" applyFont="1" applyFill="1" applyBorder="1" applyAlignment="1">
      <alignment vertical="center"/>
    </xf>
    <xf numFmtId="165" fontId="14" fillId="9" borderId="0" xfId="1" applyNumberFormat="1" applyFont="1" applyFill="1"/>
    <xf numFmtId="0" fontId="12" fillId="9" borderId="0" xfId="1" applyNumberFormat="1" applyFont="1" applyFill="1" applyAlignment="1">
      <alignment vertical="center"/>
    </xf>
    <xf numFmtId="0" fontId="1" fillId="9" borderId="0" xfId="1" applyNumberFormat="1" applyFill="1" applyAlignment="1">
      <alignment horizontal="center"/>
    </xf>
    <xf numFmtId="166" fontId="16" fillId="12" borderId="46" xfId="1" applyNumberFormat="1" applyFont="1" applyFill="1" applyBorder="1" applyAlignment="1">
      <alignment horizontal="center" vertical="center"/>
    </xf>
    <xf numFmtId="166" fontId="16" fillId="12" borderId="47" xfId="1" applyNumberFormat="1" applyFont="1" applyFill="1" applyBorder="1" applyAlignment="1">
      <alignment horizontal="center" vertical="center"/>
    </xf>
    <xf numFmtId="164" fontId="31" fillId="14" borderId="0" xfId="1" applyFont="1" applyFill="1" applyAlignment="1">
      <alignment horizontal="center"/>
    </xf>
    <xf numFmtId="167" fontId="12" fillId="0" borderId="19" xfId="1" applyNumberFormat="1" applyFont="1" applyBorder="1" applyAlignment="1">
      <alignment horizontal="center" vertical="center"/>
    </xf>
    <xf numFmtId="167" fontId="12" fillId="0" borderId="22" xfId="1" applyNumberFormat="1" applyFont="1" applyBorder="1" applyAlignment="1">
      <alignment horizontal="center" vertical="center"/>
    </xf>
    <xf numFmtId="168" fontId="24" fillId="8" borderId="20" xfId="1" applyNumberFormat="1" applyFont="1" applyFill="1" applyBorder="1" applyAlignment="1">
      <alignment horizontal="center" vertical="center" wrapText="1"/>
    </xf>
    <xf numFmtId="168" fontId="24" fillId="8" borderId="23" xfId="1" applyNumberFormat="1" applyFont="1" applyFill="1" applyBorder="1" applyAlignment="1">
      <alignment horizontal="center" vertical="center" wrapText="1"/>
    </xf>
    <xf numFmtId="167" fontId="12" fillId="7" borderId="19" xfId="1" applyNumberFormat="1" applyFont="1" applyFill="1" applyBorder="1" applyAlignment="1">
      <alignment horizontal="center" vertical="center"/>
    </xf>
    <xf numFmtId="167" fontId="12" fillId="7" borderId="22" xfId="1" applyNumberFormat="1" applyFont="1" applyFill="1" applyBorder="1" applyAlignment="1">
      <alignment horizontal="center" vertical="center"/>
    </xf>
    <xf numFmtId="167" fontId="12" fillId="0" borderId="18" xfId="1" applyNumberFormat="1" applyFont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4" fontId="16" fillId="0" borderId="17" xfId="1" applyFont="1" applyBorder="1" applyAlignment="1">
      <alignment horizontal="left" vertical="top" wrapText="1"/>
    </xf>
    <xf numFmtId="164" fontId="16" fillId="0" borderId="21" xfId="1" applyFont="1" applyBorder="1" applyAlignment="1">
      <alignment horizontal="left" vertical="top" wrapText="1"/>
    </xf>
    <xf numFmtId="164" fontId="15" fillId="4" borderId="11" xfId="1" applyFont="1" applyFill="1" applyBorder="1" applyAlignment="1">
      <alignment horizontal="left" vertical="center"/>
    </xf>
    <xf numFmtId="164" fontId="15" fillId="4" borderId="11" xfId="1" applyFont="1" applyFill="1" applyBorder="1" applyAlignment="1">
      <alignment horizontal="center" vertical="center"/>
    </xf>
    <xf numFmtId="2" fontId="22" fillId="0" borderId="13" xfId="1" applyNumberFormat="1" applyFont="1" applyBorder="1" applyAlignment="1">
      <alignment horizontal="center" vertical="center"/>
    </xf>
    <xf numFmtId="2" fontId="22" fillId="0" borderId="14" xfId="1" applyNumberFormat="1" applyFont="1" applyBorder="1" applyAlignment="1">
      <alignment horizontal="center" vertical="center"/>
    </xf>
    <xf numFmtId="2" fontId="22" fillId="0" borderId="15" xfId="1" applyNumberFormat="1" applyFont="1" applyBorder="1" applyAlignment="1">
      <alignment horizontal="center" vertical="center"/>
    </xf>
    <xf numFmtId="164" fontId="4" fillId="0" borderId="0" xfId="1" applyFont="1" applyAlignment="1">
      <alignment horizontal="center" vertical="center" wrapText="1"/>
    </xf>
    <xf numFmtId="164" fontId="5" fillId="2" borderId="0" xfId="1" applyFont="1" applyFill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165" fontId="14" fillId="17" borderId="37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42" fillId="0" borderId="37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0" fontId="42" fillId="0" borderId="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right"/>
    </xf>
    <xf numFmtId="0" fontId="2" fillId="0" borderId="68" xfId="0" applyFont="1" applyBorder="1" applyAlignment="1">
      <alignment horizontal="right"/>
    </xf>
    <xf numFmtId="0" fontId="2" fillId="0" borderId="65" xfId="0" applyFont="1" applyBorder="1" applyAlignment="1">
      <alignment horizontal="right"/>
    </xf>
    <xf numFmtId="0" fontId="0" fillId="9" borderId="6" xfId="0" applyFill="1" applyBorder="1" applyAlignment="1">
      <alignment horizontal="center" vertical="center" wrapText="1"/>
    </xf>
    <xf numFmtId="0" fontId="42" fillId="0" borderId="6" xfId="0" applyFont="1" applyBorder="1"/>
    <xf numFmtId="166" fontId="42" fillId="0" borderId="37" xfId="0" applyNumberFormat="1" applyFont="1" applyBorder="1" applyAlignment="1">
      <alignment horizontal="center" vertical="center" wrapText="1"/>
    </xf>
    <xf numFmtId="166" fontId="42" fillId="0" borderId="2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7" fontId="12" fillId="7" borderId="18" xfId="1" applyNumberFormat="1" applyFont="1" applyFill="1" applyBorder="1" applyAlignment="1">
      <alignment horizontal="center" vertical="center"/>
    </xf>
  </cellXfs>
  <cellStyles count="3">
    <cellStyle name="Comma 2" xfId="2" xr:uid="{642D5685-8EF1-4C79-8202-1B9999E0DF09}"/>
    <cellStyle name="Normal" xfId="0" builtinId="0"/>
    <cellStyle name="Normal 2" xfId="1" xr:uid="{ECE62FCF-10BF-4865-9E6E-574E37C04DE3}"/>
  </cellStyles>
  <dxfs count="4816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03-4D57-AF21-E028A36CDE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03-4D57-AF21-E028A36CDE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03-4D57-AF21-E028A36CDE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03-4D57-AF21-E028A36CDE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03-4D57-AF21-E028A36CDE0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A03-4D57-AF21-E028A36CDE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AC-48BB-81D0-77782F71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E7-4369-9776-74F17FF812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E7-4369-9776-74F17FF812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E7-4369-9776-74F17FF812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E7-4369-9776-74F17FF812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E7-4369-9776-74F17FF812B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6E7-4369-9776-74F17FF812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40-43F8-83B9-3CFA21DDA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87-4F5A-9322-3E63665D39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87-4F5A-9322-3E63665D39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87-4F5A-9322-3E63665D39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87-4F5A-9322-3E63665D39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87-4F5A-9322-3E63665D396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387-4F5A-9322-3E63665D39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42-45E4-821E-A1423D587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79-434B-8BE9-578DF44A03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79-434B-8BE9-578DF44A03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79-434B-8BE9-578DF44A03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79-434B-8BE9-578DF44A03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79-434B-8BE9-578DF44A03F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D79-434B-8BE9-578DF44A03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ED-4B2F-B0E9-889A5B994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20-47E1-B6A4-6D59BBA028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20-47E1-B6A4-6D59BBA028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20-47E1-B6A4-6D59BBA028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20-47E1-B6A4-6D59BBA028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20-47E1-B6A4-6D59BBA0284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620-47E1-B6A4-6D59BBA028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1E-4E27-AE90-E635320ED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67-452E-B347-405D4C245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67-452E-B347-405D4C245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E67-452E-B347-405D4C245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E67-452E-B347-405D4C245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E67-452E-B347-405D4C24522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E67-452E-B347-405D4C2452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48-4960-BC69-F05BECE7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ED-4D71-92BE-06F1669FCD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ED-4D71-92BE-06F1669FCD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ED-4D71-92BE-06F1669FCD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ED-4D71-92BE-06F1669FCD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ED-4D71-92BE-06F1669FCDE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3ED-4D71-92BE-06F1669FCDE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3B-41BD-89C5-291EF2436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0C-48F8-A0FF-E2FA9435BB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0C-48F8-A0FF-E2FA9435BB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0C-48F8-A0FF-E2FA9435BB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0C-48F8-A0FF-E2FA9435BB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0C-48F8-A0FF-E2FA9435BB1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10C-48F8-A0FF-E2FA9435BB1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3E-4E79-9F11-EED66C725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4A-4213-A519-B5668D90F8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4A-4213-A519-B5668D90F8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4A-4213-A519-B5668D90F8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4A-4213-A519-B5668D90F8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4A-4213-A519-B5668D90F81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54A-4213-A519-B5668D90F8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2A-4E12-BBAA-96692CCD1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MRS-SYU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'8'!$B$125:$AF$125</c:f>
              <c:numCache>
                <c:formatCode>0.0</c:formatCode>
                <c:ptCount val="31"/>
                <c:pt idx="0">
                  <c:v>66.3</c:v>
                </c:pt>
                <c:pt idx="1">
                  <c:v>74.5</c:v>
                </c:pt>
                <c:pt idx="2">
                  <c:v>73.7</c:v>
                </c:pt>
                <c:pt idx="3">
                  <c:v>78</c:v>
                </c:pt>
                <c:pt idx="4">
                  <c:v>78</c:v>
                </c:pt>
                <c:pt idx="5">
                  <c:v>62.1</c:v>
                </c:pt>
                <c:pt idx="6">
                  <c:v>62.2</c:v>
                </c:pt>
                <c:pt idx="7">
                  <c:v>27.6</c:v>
                </c:pt>
                <c:pt idx="8">
                  <c:v>-16.3</c:v>
                </c:pt>
                <c:pt idx="9">
                  <c:v>-36.6</c:v>
                </c:pt>
                <c:pt idx="10">
                  <c:v>-31.2</c:v>
                </c:pt>
                <c:pt idx="11">
                  <c:v>-31</c:v>
                </c:pt>
                <c:pt idx="12">
                  <c:v>30.4</c:v>
                </c:pt>
                <c:pt idx="13">
                  <c:v>-27.3</c:v>
                </c:pt>
                <c:pt idx="14">
                  <c:v>5.5</c:v>
                </c:pt>
                <c:pt idx="15">
                  <c:v>11.4</c:v>
                </c:pt>
                <c:pt idx="16">
                  <c:v>15.1</c:v>
                </c:pt>
                <c:pt idx="17">
                  <c:v>25.7</c:v>
                </c:pt>
                <c:pt idx="18">
                  <c:v>31.9</c:v>
                </c:pt>
                <c:pt idx="19">
                  <c:v>34</c:v>
                </c:pt>
                <c:pt idx="20">
                  <c:v>1.4</c:v>
                </c:pt>
                <c:pt idx="21">
                  <c:v>13.2</c:v>
                </c:pt>
                <c:pt idx="22">
                  <c:v>5</c:v>
                </c:pt>
                <c:pt idx="23">
                  <c:v>-33</c:v>
                </c:pt>
                <c:pt idx="24">
                  <c:v>-30</c:v>
                </c:pt>
                <c:pt idx="25">
                  <c:v>-27</c:v>
                </c:pt>
                <c:pt idx="26">
                  <c:v>-29</c:v>
                </c:pt>
                <c:pt idx="27">
                  <c:v>-20</c:v>
                </c:pt>
                <c:pt idx="28">
                  <c:v>-13</c:v>
                </c:pt>
                <c:pt idx="29">
                  <c:v>16</c:v>
                </c:pt>
                <c:pt idx="3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1-4640-86E1-9E886072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986383"/>
        <c:axId val="1751214751"/>
      </c:lineChart>
      <c:catAx>
        <c:axId val="1806986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14751"/>
        <c:crosses val="autoZero"/>
        <c:auto val="1"/>
        <c:lblAlgn val="ctr"/>
        <c:lblOffset val="100"/>
        <c:noMultiLvlLbl val="0"/>
      </c:catAx>
      <c:valAx>
        <c:axId val="175121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8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57-4B79-A1EF-60A8D98010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57-4B79-A1EF-60A8D98010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57-4B79-A1EF-60A8D98010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457-4B79-A1EF-60A8D98010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457-4B79-A1EF-60A8D980103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457-4B79-A1EF-60A8D98010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76-456F-BCA4-A0E2F38E0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8E-41DF-936D-A5A4A8C59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8E-41DF-936D-A5A4A8C59B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8E-41DF-936D-A5A4A8C59B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98E-41DF-936D-A5A4A8C59B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98E-41DF-936D-A5A4A8C59B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98E-41DF-936D-A5A4A8C59B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'10'!$AM$16:$BJ$16</c:f>
              <c:numCache>
                <c:formatCode>General</c:formatCode>
                <c:ptCount val="24"/>
                <c:pt idx="0">
                  <c:v>474.75</c:v>
                </c:pt>
                <c:pt idx="1">
                  <c:v>474.75</c:v>
                </c:pt>
                <c:pt idx="2">
                  <c:v>474.75</c:v>
                </c:pt>
                <c:pt idx="3">
                  <c:v>474.95</c:v>
                </c:pt>
                <c:pt idx="4">
                  <c:v>474.95</c:v>
                </c:pt>
                <c:pt idx="5">
                  <c:v>474.95</c:v>
                </c:pt>
                <c:pt idx="6">
                  <c:v>474.95</c:v>
                </c:pt>
                <c:pt idx="7">
                  <c:v>474.95</c:v>
                </c:pt>
                <c:pt idx="8">
                  <c:v>476.05</c:v>
                </c:pt>
                <c:pt idx="9">
                  <c:v>472.25</c:v>
                </c:pt>
                <c:pt idx="10">
                  <c:v>472.25</c:v>
                </c:pt>
                <c:pt idx="11">
                  <c:v>472.25</c:v>
                </c:pt>
                <c:pt idx="12">
                  <c:v>470.75</c:v>
                </c:pt>
                <c:pt idx="13">
                  <c:v>470.75</c:v>
                </c:pt>
                <c:pt idx="14">
                  <c:v>470.75</c:v>
                </c:pt>
                <c:pt idx="15">
                  <c:v>470.75</c:v>
                </c:pt>
                <c:pt idx="16">
                  <c:v>470.75</c:v>
                </c:pt>
                <c:pt idx="17">
                  <c:v>470.75</c:v>
                </c:pt>
                <c:pt idx="18">
                  <c:v>470.75</c:v>
                </c:pt>
                <c:pt idx="19">
                  <c:v>470.75</c:v>
                </c:pt>
                <c:pt idx="20">
                  <c:v>468.65000000000003</c:v>
                </c:pt>
                <c:pt idx="21">
                  <c:v>468.65000000000003</c:v>
                </c:pt>
                <c:pt idx="22">
                  <c:v>468.65000000000003</c:v>
                </c:pt>
                <c:pt idx="23">
                  <c:v>476.35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0-47FC-92C7-3CE786CBC050}"/>
            </c:ext>
          </c:extLst>
        </c:ser>
        <c:ser>
          <c:idx val="2"/>
          <c:order val="1"/>
          <c:tx>
            <c:strRef>
              <c:f>'10'!$AL$17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'10'!$AM$17:$BJ$17</c:f>
              <c:numCache>
                <c:formatCode>General</c:formatCode>
                <c:ptCount val="24"/>
                <c:pt idx="0">
                  <c:v>35.1</c:v>
                </c:pt>
                <c:pt idx="1">
                  <c:v>35.1</c:v>
                </c:pt>
                <c:pt idx="2">
                  <c:v>35.1</c:v>
                </c:pt>
                <c:pt idx="3">
                  <c:v>35.1</c:v>
                </c:pt>
                <c:pt idx="4">
                  <c:v>35.1</c:v>
                </c:pt>
                <c:pt idx="5">
                  <c:v>35.1</c:v>
                </c:pt>
                <c:pt idx="6">
                  <c:v>95.1</c:v>
                </c:pt>
                <c:pt idx="7">
                  <c:v>255.1</c:v>
                </c:pt>
                <c:pt idx="8">
                  <c:v>410.5</c:v>
                </c:pt>
                <c:pt idx="9">
                  <c:v>214.3</c:v>
                </c:pt>
                <c:pt idx="10">
                  <c:v>164.2</c:v>
                </c:pt>
                <c:pt idx="11">
                  <c:v>74.2</c:v>
                </c:pt>
                <c:pt idx="12">
                  <c:v>74.2</c:v>
                </c:pt>
                <c:pt idx="13">
                  <c:v>49.2</c:v>
                </c:pt>
                <c:pt idx="14">
                  <c:v>49.2</c:v>
                </c:pt>
                <c:pt idx="15">
                  <c:v>49.2</c:v>
                </c:pt>
                <c:pt idx="16">
                  <c:v>49.2</c:v>
                </c:pt>
                <c:pt idx="17">
                  <c:v>49.2</c:v>
                </c:pt>
                <c:pt idx="18">
                  <c:v>116.5</c:v>
                </c:pt>
                <c:pt idx="19">
                  <c:v>350.5</c:v>
                </c:pt>
                <c:pt idx="20">
                  <c:v>190.4</c:v>
                </c:pt>
                <c:pt idx="21">
                  <c:v>80</c:v>
                </c:pt>
                <c:pt idx="22">
                  <c:v>40</c:v>
                </c:pt>
                <c:pt idx="2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0-47FC-92C7-3CE786CBC050}"/>
            </c:ext>
          </c:extLst>
        </c:ser>
        <c:ser>
          <c:idx val="3"/>
          <c:order val="2"/>
          <c:tx>
            <c:strRef>
              <c:f>'10'!$AL$18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'10'!$AM$18:$BJ$18</c:f>
              <c:numCache>
                <c:formatCode>General</c:formatCode>
                <c:ptCount val="24"/>
                <c:pt idx="0">
                  <c:v>89.940000000000012</c:v>
                </c:pt>
                <c:pt idx="1">
                  <c:v>79.940000000000012</c:v>
                </c:pt>
                <c:pt idx="2">
                  <c:v>79.940000000000012</c:v>
                </c:pt>
                <c:pt idx="3">
                  <c:v>80.440000000000012</c:v>
                </c:pt>
                <c:pt idx="4">
                  <c:v>97.440000000000012</c:v>
                </c:pt>
                <c:pt idx="5">
                  <c:v>97.440000000000012</c:v>
                </c:pt>
                <c:pt idx="6">
                  <c:v>197.94</c:v>
                </c:pt>
                <c:pt idx="7">
                  <c:v>276.64</c:v>
                </c:pt>
                <c:pt idx="8">
                  <c:v>310.14</c:v>
                </c:pt>
                <c:pt idx="9">
                  <c:v>259.04000000000002</c:v>
                </c:pt>
                <c:pt idx="10">
                  <c:v>213.24</c:v>
                </c:pt>
                <c:pt idx="11">
                  <c:v>209.24</c:v>
                </c:pt>
                <c:pt idx="12">
                  <c:v>263.74</c:v>
                </c:pt>
                <c:pt idx="13">
                  <c:v>282.54000000000002</c:v>
                </c:pt>
                <c:pt idx="14">
                  <c:v>264.24000000000007</c:v>
                </c:pt>
                <c:pt idx="15">
                  <c:v>255.74</c:v>
                </c:pt>
                <c:pt idx="16">
                  <c:v>252.84000000000003</c:v>
                </c:pt>
                <c:pt idx="17">
                  <c:v>167.04</c:v>
                </c:pt>
                <c:pt idx="18">
                  <c:v>216.54</c:v>
                </c:pt>
                <c:pt idx="19">
                  <c:v>276.94</c:v>
                </c:pt>
                <c:pt idx="20">
                  <c:v>263.04000000000002</c:v>
                </c:pt>
                <c:pt idx="21">
                  <c:v>181.44</c:v>
                </c:pt>
                <c:pt idx="22">
                  <c:v>161.54</c:v>
                </c:pt>
                <c:pt idx="23">
                  <c:v>135.64000000000001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A0-47FC-92C7-3CE786CBC050}"/>
            </c:ext>
          </c:extLst>
        </c:ser>
        <c:ser>
          <c:idx val="0"/>
          <c:order val="3"/>
          <c:tx>
            <c:strRef>
              <c:f>'10'!$AL$19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'10'!$AM$19:$BJ$19</c:f>
              <c:numCache>
                <c:formatCode>General</c:formatCode>
                <c:ptCount val="24"/>
                <c:pt idx="0">
                  <c:v>535.5</c:v>
                </c:pt>
                <c:pt idx="1">
                  <c:v>520</c:v>
                </c:pt>
                <c:pt idx="2">
                  <c:v>545.6</c:v>
                </c:pt>
                <c:pt idx="3">
                  <c:v>568.29999999999995</c:v>
                </c:pt>
                <c:pt idx="4">
                  <c:v>553.4</c:v>
                </c:pt>
                <c:pt idx="5">
                  <c:v>613.19999999999993</c:v>
                </c:pt>
                <c:pt idx="6">
                  <c:v>578.70000000000005</c:v>
                </c:pt>
                <c:pt idx="7">
                  <c:v>469.5</c:v>
                </c:pt>
                <c:pt idx="8">
                  <c:v>265.2</c:v>
                </c:pt>
                <c:pt idx="9">
                  <c:v>423.8</c:v>
                </c:pt>
                <c:pt idx="10">
                  <c:v>449.40000000000003</c:v>
                </c:pt>
                <c:pt idx="11">
                  <c:v>498.6</c:v>
                </c:pt>
                <c:pt idx="12">
                  <c:v>672.9</c:v>
                </c:pt>
                <c:pt idx="13">
                  <c:v>698.1</c:v>
                </c:pt>
                <c:pt idx="14">
                  <c:v>678</c:v>
                </c:pt>
                <c:pt idx="15">
                  <c:v>735.30000000000007</c:v>
                </c:pt>
                <c:pt idx="16">
                  <c:v>720.8</c:v>
                </c:pt>
                <c:pt idx="17">
                  <c:v>522.20000000000005</c:v>
                </c:pt>
                <c:pt idx="18">
                  <c:v>481.99999999999994</c:v>
                </c:pt>
                <c:pt idx="19">
                  <c:v>372.29999999999995</c:v>
                </c:pt>
                <c:pt idx="20">
                  <c:v>461.70000000000005</c:v>
                </c:pt>
                <c:pt idx="21">
                  <c:v>652.29999999999995</c:v>
                </c:pt>
                <c:pt idx="22">
                  <c:v>601</c:v>
                </c:pt>
                <c:pt idx="23">
                  <c:v>533.19999999999993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A0-47FC-92C7-3CE786CBC050}"/>
            </c:ext>
          </c:extLst>
        </c:ser>
        <c:ser>
          <c:idx val="4"/>
          <c:order val="4"/>
          <c:tx>
            <c:strRef>
              <c:f>'10'!$AL$20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A0-47FC-92C7-3CE786CBC050}"/>
            </c:ext>
          </c:extLst>
        </c:ser>
        <c:ser>
          <c:idx val="5"/>
          <c:order val="5"/>
          <c:tx>
            <c:strRef>
              <c:f>'10'!$AL$21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330</c:v>
                </c:pt>
                <c:pt idx="19">
                  <c:v>280</c:v>
                </c:pt>
                <c:pt idx="20">
                  <c:v>150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A0-47FC-92C7-3CE786CBC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A0-47FC-92C7-3CE786CBC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'10'!$AM$22:$BJ$22</c:f>
              <c:numCache>
                <c:formatCode>General</c:formatCode>
                <c:ptCount val="24"/>
                <c:pt idx="0">
                  <c:v>1135.29</c:v>
                </c:pt>
                <c:pt idx="1">
                  <c:v>1109.79</c:v>
                </c:pt>
                <c:pt idx="2">
                  <c:v>1135.3900000000001</c:v>
                </c:pt>
                <c:pt idx="3">
                  <c:v>1158.79</c:v>
                </c:pt>
                <c:pt idx="4">
                  <c:v>1160.8899999999999</c:v>
                </c:pt>
                <c:pt idx="5">
                  <c:v>1220.69</c:v>
                </c:pt>
                <c:pt idx="6">
                  <c:v>1346.69</c:v>
                </c:pt>
                <c:pt idx="7">
                  <c:v>1476.19</c:v>
                </c:pt>
                <c:pt idx="8">
                  <c:v>1661.89</c:v>
                </c:pt>
                <c:pt idx="9">
                  <c:v>1569.3899999999999</c:v>
                </c:pt>
                <c:pt idx="10">
                  <c:v>1499.0900000000001</c:v>
                </c:pt>
                <c:pt idx="11">
                  <c:v>1434.29</c:v>
                </c:pt>
                <c:pt idx="12">
                  <c:v>1481.5900000000001</c:v>
                </c:pt>
                <c:pt idx="13">
                  <c:v>1500.5900000000001</c:v>
                </c:pt>
                <c:pt idx="14">
                  <c:v>1462.19</c:v>
                </c:pt>
                <c:pt idx="15">
                  <c:v>1510.9900000000002</c:v>
                </c:pt>
                <c:pt idx="16">
                  <c:v>1493.5900000000001</c:v>
                </c:pt>
                <c:pt idx="17">
                  <c:v>1209.19</c:v>
                </c:pt>
                <c:pt idx="18">
                  <c:v>1615.79</c:v>
                </c:pt>
                <c:pt idx="19">
                  <c:v>1750.49</c:v>
                </c:pt>
                <c:pt idx="20">
                  <c:v>1533.7900000000002</c:v>
                </c:pt>
                <c:pt idx="21">
                  <c:v>1432.39</c:v>
                </c:pt>
                <c:pt idx="22">
                  <c:v>1271.19</c:v>
                </c:pt>
                <c:pt idx="23">
                  <c:v>1182.19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C4A0-47FC-92C7-3CE786CBC050}"/>
            </c:ext>
          </c:extLst>
        </c:ser>
        <c:ser>
          <c:idx val="8"/>
          <c:order val="8"/>
          <c:tx>
            <c:strRef>
              <c:f>'10'!$AL$24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'10'!$AM$24:$BJ$24</c:f>
              <c:numCache>
                <c:formatCode>General</c:formatCode>
                <c:ptCount val="24"/>
                <c:pt idx="0">
                  <c:v>1135.29</c:v>
                </c:pt>
                <c:pt idx="1">
                  <c:v>1109.79</c:v>
                </c:pt>
                <c:pt idx="2">
                  <c:v>1135.3900000000001</c:v>
                </c:pt>
                <c:pt idx="3">
                  <c:v>1158.79</c:v>
                </c:pt>
                <c:pt idx="4">
                  <c:v>1160.8899999999999</c:v>
                </c:pt>
                <c:pt idx="5">
                  <c:v>1220.69</c:v>
                </c:pt>
                <c:pt idx="6">
                  <c:v>1346.69</c:v>
                </c:pt>
                <c:pt idx="7">
                  <c:v>1476.19</c:v>
                </c:pt>
                <c:pt idx="8">
                  <c:v>1661.89</c:v>
                </c:pt>
                <c:pt idx="9">
                  <c:v>1569.3899999999999</c:v>
                </c:pt>
                <c:pt idx="10">
                  <c:v>1499.0900000000001</c:v>
                </c:pt>
                <c:pt idx="11">
                  <c:v>1434.29</c:v>
                </c:pt>
                <c:pt idx="12">
                  <c:v>1481.5900000000001</c:v>
                </c:pt>
                <c:pt idx="13">
                  <c:v>1500.5900000000001</c:v>
                </c:pt>
                <c:pt idx="14">
                  <c:v>1462.19</c:v>
                </c:pt>
                <c:pt idx="15">
                  <c:v>1510.9900000000002</c:v>
                </c:pt>
                <c:pt idx="16">
                  <c:v>1493.5900000000001</c:v>
                </c:pt>
                <c:pt idx="17">
                  <c:v>1209.19</c:v>
                </c:pt>
                <c:pt idx="18">
                  <c:v>1615.79</c:v>
                </c:pt>
                <c:pt idx="19">
                  <c:v>1750.49</c:v>
                </c:pt>
                <c:pt idx="20">
                  <c:v>1533.7900000000002</c:v>
                </c:pt>
                <c:pt idx="21">
                  <c:v>1432.39</c:v>
                </c:pt>
                <c:pt idx="22">
                  <c:v>1271.19</c:v>
                </c:pt>
                <c:pt idx="23">
                  <c:v>1182.19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A0-47FC-92C7-3CE786CBC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BA-44DA-B56E-D1128EFB1E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BA-44DA-B56E-D1128EFB1E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BA-44DA-B56E-D1128EFB1E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BA-44DA-B56E-D1128EFB1E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BA-44DA-B56E-D1128EFB1E6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EBA-44DA-B56E-D1128EFB1E6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'11'!$CL$16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'11'!$CM$16:$DJ$16</c:f>
              <c:numCache>
                <c:formatCode>General</c:formatCode>
                <c:ptCount val="24"/>
                <c:pt idx="0">
                  <c:v>476.35</c:v>
                </c:pt>
                <c:pt idx="1">
                  <c:v>467.55</c:v>
                </c:pt>
                <c:pt idx="2">
                  <c:v>478.55</c:v>
                </c:pt>
                <c:pt idx="3">
                  <c:v>482.75</c:v>
                </c:pt>
                <c:pt idx="4">
                  <c:v>482.75</c:v>
                </c:pt>
                <c:pt idx="5">
                  <c:v>482.75</c:v>
                </c:pt>
                <c:pt idx="6">
                  <c:v>477.75</c:v>
                </c:pt>
                <c:pt idx="7">
                  <c:v>477.15</c:v>
                </c:pt>
                <c:pt idx="8">
                  <c:v>480.05</c:v>
                </c:pt>
                <c:pt idx="9">
                  <c:v>479.34999999999997</c:v>
                </c:pt>
                <c:pt idx="10">
                  <c:v>454.45</c:v>
                </c:pt>
                <c:pt idx="11">
                  <c:v>476.45</c:v>
                </c:pt>
                <c:pt idx="12">
                  <c:v>477.04</c:v>
                </c:pt>
                <c:pt idx="13">
                  <c:v>481.15</c:v>
                </c:pt>
                <c:pt idx="14">
                  <c:v>481.15</c:v>
                </c:pt>
                <c:pt idx="15">
                  <c:v>481.15</c:v>
                </c:pt>
                <c:pt idx="16">
                  <c:v>481.15</c:v>
                </c:pt>
                <c:pt idx="17">
                  <c:v>481.15</c:v>
                </c:pt>
                <c:pt idx="18">
                  <c:v>481.55</c:v>
                </c:pt>
                <c:pt idx="19">
                  <c:v>477.34999999999997</c:v>
                </c:pt>
                <c:pt idx="20">
                  <c:v>477.34999999999997</c:v>
                </c:pt>
                <c:pt idx="21">
                  <c:v>477.34999999999997</c:v>
                </c:pt>
                <c:pt idx="22">
                  <c:v>477.34999999999997</c:v>
                </c:pt>
                <c:pt idx="23">
                  <c:v>477.34999999999997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5-4A84-8392-467BAD6DF625}"/>
            </c:ext>
          </c:extLst>
        </c:ser>
        <c:ser>
          <c:idx val="2"/>
          <c:order val="1"/>
          <c:tx>
            <c:strRef>
              <c:f>'11'!$CL$17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'11'!$CM$17:$DJ$17</c:f>
              <c:numCache>
                <c:formatCode>General</c:formatCode>
                <c:ptCount val="24"/>
                <c:pt idx="0">
                  <c:v>36</c:v>
                </c:pt>
                <c:pt idx="1">
                  <c:v>37.1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51</c:v>
                </c:pt>
                <c:pt idx="7">
                  <c:v>186</c:v>
                </c:pt>
                <c:pt idx="8">
                  <c:v>291.10000000000002</c:v>
                </c:pt>
                <c:pt idx="9">
                  <c:v>125.2</c:v>
                </c:pt>
                <c:pt idx="10">
                  <c:v>65.3</c:v>
                </c:pt>
                <c:pt idx="11">
                  <c:v>70.3</c:v>
                </c:pt>
                <c:pt idx="12">
                  <c:v>50.2</c:v>
                </c:pt>
                <c:pt idx="13">
                  <c:v>35.200000000000003</c:v>
                </c:pt>
                <c:pt idx="14">
                  <c:v>35.200000000000003</c:v>
                </c:pt>
                <c:pt idx="15">
                  <c:v>35.200000000000003</c:v>
                </c:pt>
                <c:pt idx="16">
                  <c:v>35.200000000000003</c:v>
                </c:pt>
                <c:pt idx="17">
                  <c:v>35.200000000000003</c:v>
                </c:pt>
                <c:pt idx="18">
                  <c:v>75.2</c:v>
                </c:pt>
                <c:pt idx="19">
                  <c:v>382.2</c:v>
                </c:pt>
                <c:pt idx="20">
                  <c:v>192.2</c:v>
                </c:pt>
                <c:pt idx="21">
                  <c:v>152.19999999999999</c:v>
                </c:pt>
                <c:pt idx="22">
                  <c:v>92.2</c:v>
                </c:pt>
                <c:pt idx="23">
                  <c:v>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5-4A84-8392-467BAD6DF625}"/>
            </c:ext>
          </c:extLst>
        </c:ser>
        <c:ser>
          <c:idx val="3"/>
          <c:order val="2"/>
          <c:tx>
            <c:strRef>
              <c:f>'11'!$CL$18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'11'!$CM$18:$DJ$18</c:f>
              <c:numCache>
                <c:formatCode>General</c:formatCode>
                <c:ptCount val="24"/>
                <c:pt idx="0">
                  <c:v>151.33999999999997</c:v>
                </c:pt>
                <c:pt idx="1">
                  <c:v>134.73999999999998</c:v>
                </c:pt>
                <c:pt idx="2">
                  <c:v>124.24000000000001</c:v>
                </c:pt>
                <c:pt idx="3">
                  <c:v>78.14</c:v>
                </c:pt>
                <c:pt idx="4">
                  <c:v>78.14</c:v>
                </c:pt>
                <c:pt idx="5">
                  <c:v>140.13999999999999</c:v>
                </c:pt>
                <c:pt idx="6">
                  <c:v>254.64</c:v>
                </c:pt>
                <c:pt idx="7">
                  <c:v>321.04000000000008</c:v>
                </c:pt>
                <c:pt idx="8">
                  <c:v>326.24000000000007</c:v>
                </c:pt>
                <c:pt idx="9">
                  <c:v>267.04000000000002</c:v>
                </c:pt>
                <c:pt idx="10">
                  <c:v>238.03999999999996</c:v>
                </c:pt>
                <c:pt idx="11">
                  <c:v>266.64</c:v>
                </c:pt>
                <c:pt idx="12">
                  <c:v>251.33999999999997</c:v>
                </c:pt>
                <c:pt idx="13">
                  <c:v>252.54</c:v>
                </c:pt>
                <c:pt idx="14">
                  <c:v>247.54</c:v>
                </c:pt>
                <c:pt idx="15">
                  <c:v>233.54</c:v>
                </c:pt>
                <c:pt idx="16">
                  <c:v>205.23999999999998</c:v>
                </c:pt>
                <c:pt idx="17">
                  <c:v>201.23999999999998</c:v>
                </c:pt>
                <c:pt idx="18">
                  <c:v>214.53999999999996</c:v>
                </c:pt>
                <c:pt idx="19">
                  <c:v>352.6</c:v>
                </c:pt>
                <c:pt idx="20">
                  <c:v>259.94</c:v>
                </c:pt>
                <c:pt idx="21">
                  <c:v>245.03999999999996</c:v>
                </c:pt>
                <c:pt idx="22">
                  <c:v>272.34000000000003</c:v>
                </c:pt>
                <c:pt idx="23">
                  <c:v>194.63999999999996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5-4A84-8392-467BAD6DF625}"/>
            </c:ext>
          </c:extLst>
        </c:ser>
        <c:ser>
          <c:idx val="0"/>
          <c:order val="3"/>
          <c:tx>
            <c:strRef>
              <c:f>'11'!$CL$19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'11'!$CM$19:$DJ$19</c:f>
              <c:numCache>
                <c:formatCode>General</c:formatCode>
                <c:ptCount val="24"/>
                <c:pt idx="0">
                  <c:v>518.4</c:v>
                </c:pt>
                <c:pt idx="1">
                  <c:v>525.9</c:v>
                </c:pt>
                <c:pt idx="2">
                  <c:v>515</c:v>
                </c:pt>
                <c:pt idx="3">
                  <c:v>536.1</c:v>
                </c:pt>
                <c:pt idx="4">
                  <c:v>550.6</c:v>
                </c:pt>
                <c:pt idx="5">
                  <c:v>581</c:v>
                </c:pt>
                <c:pt idx="6">
                  <c:v>556.20000000000005</c:v>
                </c:pt>
                <c:pt idx="7">
                  <c:v>523.29999999999995</c:v>
                </c:pt>
                <c:pt idx="8">
                  <c:v>217.8</c:v>
                </c:pt>
                <c:pt idx="9">
                  <c:v>369.79999999999995</c:v>
                </c:pt>
                <c:pt idx="10">
                  <c:v>520.4</c:v>
                </c:pt>
                <c:pt idx="11">
                  <c:v>591.9</c:v>
                </c:pt>
                <c:pt idx="12">
                  <c:v>667.7</c:v>
                </c:pt>
                <c:pt idx="13">
                  <c:v>666.80000000000007</c:v>
                </c:pt>
                <c:pt idx="14">
                  <c:v>667</c:v>
                </c:pt>
                <c:pt idx="15">
                  <c:v>709</c:v>
                </c:pt>
                <c:pt idx="16">
                  <c:v>663.5</c:v>
                </c:pt>
                <c:pt idx="17">
                  <c:v>662.5</c:v>
                </c:pt>
                <c:pt idx="18">
                  <c:v>508.40000000000003</c:v>
                </c:pt>
                <c:pt idx="19">
                  <c:v>253.29999999999998</c:v>
                </c:pt>
                <c:pt idx="20">
                  <c:v>425.6</c:v>
                </c:pt>
                <c:pt idx="21">
                  <c:v>480.4</c:v>
                </c:pt>
                <c:pt idx="22">
                  <c:v>536.70000000000005</c:v>
                </c:pt>
                <c:pt idx="23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5-4A84-8392-467BAD6DF625}"/>
            </c:ext>
          </c:extLst>
        </c:ser>
        <c:ser>
          <c:idx val="4"/>
          <c:order val="4"/>
          <c:tx>
            <c:strRef>
              <c:f>'11'!$CL$20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'11'!$CM$20:$DJ$20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5-4A84-8392-467BAD6DF625}"/>
            </c:ext>
          </c:extLst>
        </c:ser>
        <c:ser>
          <c:idx val="5"/>
          <c:order val="5"/>
          <c:tx>
            <c:strRef>
              <c:f>'11'!$CL$21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'11'!$CM$21:$DJ$21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280</c:v>
                </c:pt>
                <c:pt idx="9">
                  <c:v>230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280</c:v>
                </c:pt>
                <c:pt idx="19">
                  <c:v>280</c:v>
                </c:pt>
                <c:pt idx="20">
                  <c:v>250</c:v>
                </c:pt>
                <c:pt idx="21">
                  <c:v>100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5-4A84-8392-467BAD6D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'11'!$CL$23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'11'!$CM$23:$DJ$23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-2</c:v>
                </c:pt>
                <c:pt idx="17">
                  <c:v>-3</c:v>
                </c:pt>
                <c:pt idx="18">
                  <c:v>-5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5-4A84-8392-467BAD6D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'11'!$CL$22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'11'!$CM$22:$DJ$22</c:f>
              <c:numCache>
                <c:formatCode>General</c:formatCode>
                <c:ptCount val="24"/>
                <c:pt idx="0">
                  <c:v>1182.0900000000001</c:v>
                </c:pt>
                <c:pt idx="1">
                  <c:v>1165.29</c:v>
                </c:pt>
                <c:pt idx="2">
                  <c:v>1153.79</c:v>
                </c:pt>
                <c:pt idx="3">
                  <c:v>1132.99</c:v>
                </c:pt>
                <c:pt idx="4">
                  <c:v>1147.49</c:v>
                </c:pt>
                <c:pt idx="5">
                  <c:v>1239.8899999999999</c:v>
                </c:pt>
                <c:pt idx="6">
                  <c:v>1339.5900000000001</c:v>
                </c:pt>
                <c:pt idx="7">
                  <c:v>1507.49</c:v>
                </c:pt>
                <c:pt idx="8">
                  <c:v>1595.19</c:v>
                </c:pt>
                <c:pt idx="9">
                  <c:v>1471.3899999999999</c:v>
                </c:pt>
                <c:pt idx="10">
                  <c:v>1378.19</c:v>
                </c:pt>
                <c:pt idx="11">
                  <c:v>1405.29</c:v>
                </c:pt>
                <c:pt idx="12">
                  <c:v>1446.28</c:v>
                </c:pt>
                <c:pt idx="13">
                  <c:v>1435.69</c:v>
                </c:pt>
                <c:pt idx="14">
                  <c:v>1430.8899999999999</c:v>
                </c:pt>
                <c:pt idx="15">
                  <c:v>1458.8899999999999</c:v>
                </c:pt>
                <c:pt idx="16">
                  <c:v>1385.0900000000001</c:v>
                </c:pt>
                <c:pt idx="17">
                  <c:v>1380.0900000000001</c:v>
                </c:pt>
                <c:pt idx="18">
                  <c:v>1559.69</c:v>
                </c:pt>
                <c:pt idx="19">
                  <c:v>1745.45</c:v>
                </c:pt>
                <c:pt idx="20">
                  <c:v>1605.0900000000001</c:v>
                </c:pt>
                <c:pt idx="21">
                  <c:v>1454.9899999999998</c:v>
                </c:pt>
                <c:pt idx="22">
                  <c:v>1378.5900000000001</c:v>
                </c:pt>
                <c:pt idx="23">
                  <c:v>1278.19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A65-4A84-8392-467BAD6DF625}"/>
            </c:ext>
          </c:extLst>
        </c:ser>
        <c:ser>
          <c:idx val="8"/>
          <c:order val="8"/>
          <c:tx>
            <c:strRef>
              <c:f>'11'!$CL$24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'11'!$CM$15:$DJ$15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'11'!$CM$24:$DJ$24</c:f>
              <c:numCache>
                <c:formatCode>General</c:formatCode>
                <c:ptCount val="24"/>
                <c:pt idx="0">
                  <c:v>1182.0900000000001</c:v>
                </c:pt>
                <c:pt idx="1">
                  <c:v>1165.29</c:v>
                </c:pt>
                <c:pt idx="2">
                  <c:v>1153.79</c:v>
                </c:pt>
                <c:pt idx="3">
                  <c:v>1132.99</c:v>
                </c:pt>
                <c:pt idx="4">
                  <c:v>1147.49</c:v>
                </c:pt>
                <c:pt idx="5">
                  <c:v>1239.8899999999999</c:v>
                </c:pt>
                <c:pt idx="6">
                  <c:v>1339.5900000000001</c:v>
                </c:pt>
                <c:pt idx="7">
                  <c:v>1507.49</c:v>
                </c:pt>
                <c:pt idx="8">
                  <c:v>1595.19</c:v>
                </c:pt>
                <c:pt idx="9">
                  <c:v>1471.3899999999999</c:v>
                </c:pt>
                <c:pt idx="10">
                  <c:v>1378.19</c:v>
                </c:pt>
                <c:pt idx="11">
                  <c:v>1405.29</c:v>
                </c:pt>
                <c:pt idx="12">
                  <c:v>1446.28</c:v>
                </c:pt>
                <c:pt idx="13">
                  <c:v>1435.69</c:v>
                </c:pt>
                <c:pt idx="14">
                  <c:v>1430.8899999999999</c:v>
                </c:pt>
                <c:pt idx="15">
                  <c:v>1457.8899999999999</c:v>
                </c:pt>
                <c:pt idx="16">
                  <c:v>1383.0900000000001</c:v>
                </c:pt>
                <c:pt idx="17">
                  <c:v>1377.0900000000001</c:v>
                </c:pt>
                <c:pt idx="18">
                  <c:v>1554.69</c:v>
                </c:pt>
                <c:pt idx="19">
                  <c:v>1745.45</c:v>
                </c:pt>
                <c:pt idx="20">
                  <c:v>1605.0900000000001</c:v>
                </c:pt>
                <c:pt idx="21">
                  <c:v>1454.9899999999998</c:v>
                </c:pt>
                <c:pt idx="22">
                  <c:v>1378.5900000000001</c:v>
                </c:pt>
                <c:pt idx="23">
                  <c:v>1278.19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65-4A84-8392-467BAD6D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6D-42C7-A8F2-1DF48656B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6D-42C7-A8F2-1DF48656B5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6D-42C7-A8F2-1DF48656B5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6D-42C7-A8F2-1DF48656B5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6D-42C7-A8F2-1DF48656B5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96D-42C7-A8F2-1DF48656B5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'12'!$AM$16:$BJ$16</c:f>
              <c:numCache>
                <c:formatCode>General</c:formatCode>
                <c:ptCount val="24"/>
                <c:pt idx="0">
                  <c:v>477.34999999999997</c:v>
                </c:pt>
                <c:pt idx="1">
                  <c:v>477.34999999999997</c:v>
                </c:pt>
                <c:pt idx="2">
                  <c:v>477.34999999999997</c:v>
                </c:pt>
                <c:pt idx="3">
                  <c:v>477.34999999999997</c:v>
                </c:pt>
                <c:pt idx="4">
                  <c:v>477.34999999999997</c:v>
                </c:pt>
                <c:pt idx="5">
                  <c:v>477.34999999999997</c:v>
                </c:pt>
                <c:pt idx="6">
                  <c:v>477.34999999999997</c:v>
                </c:pt>
                <c:pt idx="7">
                  <c:v>477.34999999999997</c:v>
                </c:pt>
                <c:pt idx="8">
                  <c:v>478.24999999999994</c:v>
                </c:pt>
                <c:pt idx="9">
                  <c:v>452.24999999999994</c:v>
                </c:pt>
                <c:pt idx="10">
                  <c:v>452.24999999999994</c:v>
                </c:pt>
                <c:pt idx="11">
                  <c:v>477.15</c:v>
                </c:pt>
                <c:pt idx="12">
                  <c:v>477.15</c:v>
                </c:pt>
                <c:pt idx="13">
                  <c:v>477.15</c:v>
                </c:pt>
                <c:pt idx="14">
                  <c:v>474.45</c:v>
                </c:pt>
                <c:pt idx="15">
                  <c:v>473.45</c:v>
                </c:pt>
                <c:pt idx="16">
                  <c:v>474.35</c:v>
                </c:pt>
                <c:pt idx="17">
                  <c:v>468.05</c:v>
                </c:pt>
                <c:pt idx="18">
                  <c:v>468.05</c:v>
                </c:pt>
                <c:pt idx="19">
                  <c:v>468.05</c:v>
                </c:pt>
                <c:pt idx="20">
                  <c:v>476.05</c:v>
                </c:pt>
                <c:pt idx="21">
                  <c:v>477.75000000000006</c:v>
                </c:pt>
                <c:pt idx="22">
                  <c:v>478.05000000000007</c:v>
                </c:pt>
                <c:pt idx="23">
                  <c:v>478.05000000000007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3-4761-9764-77CB38CF8CA5}"/>
            </c:ext>
          </c:extLst>
        </c:ser>
        <c:ser>
          <c:idx val="2"/>
          <c:order val="1"/>
          <c:tx>
            <c:strRef>
              <c:f>'12'!$AL$17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'12'!$AM$17:$BJ$17</c:f>
              <c:numCache>
                <c:formatCode>General</c:formatCode>
                <c:ptCount val="24"/>
                <c:pt idx="0">
                  <c:v>42.2</c:v>
                </c:pt>
                <c:pt idx="1">
                  <c:v>42.2</c:v>
                </c:pt>
                <c:pt idx="2">
                  <c:v>35.6</c:v>
                </c:pt>
                <c:pt idx="3">
                  <c:v>35.6</c:v>
                </c:pt>
                <c:pt idx="4">
                  <c:v>35.6</c:v>
                </c:pt>
                <c:pt idx="5">
                  <c:v>50.6</c:v>
                </c:pt>
                <c:pt idx="6">
                  <c:v>65.599999999999994</c:v>
                </c:pt>
                <c:pt idx="7">
                  <c:v>145.69999999999999</c:v>
                </c:pt>
                <c:pt idx="8">
                  <c:v>397.2</c:v>
                </c:pt>
                <c:pt idx="9">
                  <c:v>287.2</c:v>
                </c:pt>
                <c:pt idx="10">
                  <c:v>52.2</c:v>
                </c:pt>
                <c:pt idx="11">
                  <c:v>35.200000000000003</c:v>
                </c:pt>
                <c:pt idx="12">
                  <c:v>35.200000000000003</c:v>
                </c:pt>
                <c:pt idx="13">
                  <c:v>35.200000000000003</c:v>
                </c:pt>
                <c:pt idx="14">
                  <c:v>65.2</c:v>
                </c:pt>
                <c:pt idx="15">
                  <c:v>65.2</c:v>
                </c:pt>
                <c:pt idx="16">
                  <c:v>35.200000000000003</c:v>
                </c:pt>
                <c:pt idx="17">
                  <c:v>50.2</c:v>
                </c:pt>
                <c:pt idx="18">
                  <c:v>65.2</c:v>
                </c:pt>
                <c:pt idx="19">
                  <c:v>430.2</c:v>
                </c:pt>
                <c:pt idx="20">
                  <c:v>342.2</c:v>
                </c:pt>
                <c:pt idx="21">
                  <c:v>175.2</c:v>
                </c:pt>
                <c:pt idx="22">
                  <c:v>50.2</c:v>
                </c:pt>
                <c:pt idx="23">
                  <c:v>35.200000000000003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3-4761-9764-77CB38CF8CA5}"/>
            </c:ext>
          </c:extLst>
        </c:ser>
        <c:ser>
          <c:idx val="3"/>
          <c:order val="2"/>
          <c:tx>
            <c:strRef>
              <c:f>'12'!$AL$18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'12'!$AM$18:$BJ$18</c:f>
              <c:numCache>
                <c:formatCode>General</c:formatCode>
                <c:ptCount val="24"/>
                <c:pt idx="0">
                  <c:v>152.53999999999996</c:v>
                </c:pt>
                <c:pt idx="1">
                  <c:v>106.24000000000001</c:v>
                </c:pt>
                <c:pt idx="2">
                  <c:v>103.54</c:v>
                </c:pt>
                <c:pt idx="3">
                  <c:v>103.64000000000001</c:v>
                </c:pt>
                <c:pt idx="4">
                  <c:v>127.84000000000002</c:v>
                </c:pt>
                <c:pt idx="5">
                  <c:v>147.83999999999997</c:v>
                </c:pt>
                <c:pt idx="6">
                  <c:v>231.73999999999998</c:v>
                </c:pt>
                <c:pt idx="7">
                  <c:v>257.33999999999997</c:v>
                </c:pt>
                <c:pt idx="8">
                  <c:v>282.83999999999997</c:v>
                </c:pt>
                <c:pt idx="9">
                  <c:v>317.83999999999997</c:v>
                </c:pt>
                <c:pt idx="10">
                  <c:v>283.74000000000007</c:v>
                </c:pt>
                <c:pt idx="11">
                  <c:v>278.44</c:v>
                </c:pt>
                <c:pt idx="12">
                  <c:v>253.04</c:v>
                </c:pt>
                <c:pt idx="13">
                  <c:v>164.84</c:v>
                </c:pt>
                <c:pt idx="14">
                  <c:v>174.24</c:v>
                </c:pt>
                <c:pt idx="15">
                  <c:v>124.34000000000002</c:v>
                </c:pt>
                <c:pt idx="16">
                  <c:v>118.34000000000002</c:v>
                </c:pt>
                <c:pt idx="17">
                  <c:v>103.94000000000001</c:v>
                </c:pt>
                <c:pt idx="18">
                  <c:v>151.23999999999998</c:v>
                </c:pt>
                <c:pt idx="19">
                  <c:v>340.29999999999995</c:v>
                </c:pt>
                <c:pt idx="20">
                  <c:v>261.04000000000002</c:v>
                </c:pt>
                <c:pt idx="21">
                  <c:v>209.14000000000001</c:v>
                </c:pt>
                <c:pt idx="22">
                  <c:v>179.83999999999997</c:v>
                </c:pt>
                <c:pt idx="23">
                  <c:v>128.34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3-4761-9764-77CB38CF8CA5}"/>
            </c:ext>
          </c:extLst>
        </c:ser>
        <c:ser>
          <c:idx val="0"/>
          <c:order val="3"/>
          <c:tx>
            <c:strRef>
              <c:f>'12'!$AL$19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'12'!$AM$19:$BJ$19</c:f>
              <c:numCache>
                <c:formatCode>General</c:formatCode>
                <c:ptCount val="24"/>
                <c:pt idx="0">
                  <c:v>560</c:v>
                </c:pt>
                <c:pt idx="1">
                  <c:v>531.4</c:v>
                </c:pt>
                <c:pt idx="2">
                  <c:v>539.59999999999991</c:v>
                </c:pt>
                <c:pt idx="3">
                  <c:v>530.9</c:v>
                </c:pt>
                <c:pt idx="4">
                  <c:v>530.69999999999993</c:v>
                </c:pt>
                <c:pt idx="5">
                  <c:v>564</c:v>
                </c:pt>
                <c:pt idx="6">
                  <c:v>560.6</c:v>
                </c:pt>
                <c:pt idx="7">
                  <c:v>451.3</c:v>
                </c:pt>
                <c:pt idx="8">
                  <c:v>223</c:v>
                </c:pt>
                <c:pt idx="9">
                  <c:v>294.3</c:v>
                </c:pt>
                <c:pt idx="10">
                  <c:v>461.29999999999995</c:v>
                </c:pt>
                <c:pt idx="11">
                  <c:v>488.9</c:v>
                </c:pt>
                <c:pt idx="12">
                  <c:v>553</c:v>
                </c:pt>
                <c:pt idx="13">
                  <c:v>598.99999999999989</c:v>
                </c:pt>
                <c:pt idx="14">
                  <c:v>534.4</c:v>
                </c:pt>
                <c:pt idx="15">
                  <c:v>610</c:v>
                </c:pt>
                <c:pt idx="16">
                  <c:v>588.1</c:v>
                </c:pt>
                <c:pt idx="17">
                  <c:v>619.79999999999995</c:v>
                </c:pt>
                <c:pt idx="18">
                  <c:v>606</c:v>
                </c:pt>
                <c:pt idx="19">
                  <c:v>284.7</c:v>
                </c:pt>
                <c:pt idx="20">
                  <c:v>370.8</c:v>
                </c:pt>
                <c:pt idx="21">
                  <c:v>480.2</c:v>
                </c:pt>
                <c:pt idx="22">
                  <c:v>553.20000000000005</c:v>
                </c:pt>
                <c:pt idx="23">
                  <c:v>560.5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3-4761-9764-77CB38CF8CA5}"/>
            </c:ext>
          </c:extLst>
        </c:ser>
        <c:ser>
          <c:idx val="4"/>
          <c:order val="4"/>
          <c:tx>
            <c:strRef>
              <c:f>'12'!$AL$20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3-4761-9764-77CB38CF8CA5}"/>
            </c:ext>
          </c:extLst>
        </c:ser>
        <c:ser>
          <c:idx val="5"/>
          <c:order val="5"/>
          <c:tx>
            <c:strRef>
              <c:f>'12'!$AL$21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</c:v>
                </c:pt>
                <c:pt idx="8">
                  <c:v>300</c:v>
                </c:pt>
                <c:pt idx="9">
                  <c:v>320</c:v>
                </c:pt>
                <c:pt idx="10">
                  <c:v>250</c:v>
                </c:pt>
                <c:pt idx="11">
                  <c:v>150</c:v>
                </c:pt>
                <c:pt idx="12">
                  <c:v>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200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03-4761-9764-77CB38CF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03-4761-9764-77CB38CF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'12'!$AM$22:$BJ$22</c:f>
              <c:numCache>
                <c:formatCode>General</c:formatCode>
                <c:ptCount val="24"/>
                <c:pt idx="0">
                  <c:v>1232.0899999999999</c:v>
                </c:pt>
                <c:pt idx="1">
                  <c:v>1157.19</c:v>
                </c:pt>
                <c:pt idx="2">
                  <c:v>1156.0899999999997</c:v>
                </c:pt>
                <c:pt idx="3">
                  <c:v>1147.4899999999998</c:v>
                </c:pt>
                <c:pt idx="4">
                  <c:v>1171.4899999999998</c:v>
                </c:pt>
                <c:pt idx="5">
                  <c:v>1239.79</c:v>
                </c:pt>
                <c:pt idx="6">
                  <c:v>1335.29</c:v>
                </c:pt>
                <c:pt idx="7">
                  <c:v>1511.6899999999998</c:v>
                </c:pt>
                <c:pt idx="8">
                  <c:v>1681.29</c:v>
                </c:pt>
                <c:pt idx="9">
                  <c:v>1671.59</c:v>
                </c:pt>
                <c:pt idx="10">
                  <c:v>1499.49</c:v>
                </c:pt>
                <c:pt idx="11">
                  <c:v>1429.69</c:v>
                </c:pt>
                <c:pt idx="12">
                  <c:v>1318.3899999999999</c:v>
                </c:pt>
                <c:pt idx="13">
                  <c:v>1356.19</c:v>
                </c:pt>
                <c:pt idx="14">
                  <c:v>1328.29</c:v>
                </c:pt>
                <c:pt idx="15">
                  <c:v>1352.99</c:v>
                </c:pt>
                <c:pt idx="16">
                  <c:v>1295.99</c:v>
                </c:pt>
                <c:pt idx="17">
                  <c:v>1321.99</c:v>
                </c:pt>
                <c:pt idx="18">
                  <c:v>1490.49</c:v>
                </c:pt>
                <c:pt idx="19">
                  <c:v>1773.25</c:v>
                </c:pt>
                <c:pt idx="20">
                  <c:v>1700.09</c:v>
                </c:pt>
                <c:pt idx="21">
                  <c:v>1592.29</c:v>
                </c:pt>
                <c:pt idx="22">
                  <c:v>1261.2900000000002</c:v>
                </c:pt>
                <c:pt idx="23">
                  <c:v>1202.0900000000001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103-4761-9764-77CB38CF8CA5}"/>
            </c:ext>
          </c:extLst>
        </c:ser>
        <c:ser>
          <c:idx val="8"/>
          <c:order val="8"/>
          <c:tx>
            <c:strRef>
              <c:f>'12'!$AL$24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'12'!$AM$24:$BJ$24</c:f>
              <c:numCache>
                <c:formatCode>General</c:formatCode>
                <c:ptCount val="24"/>
                <c:pt idx="0">
                  <c:v>1232.0899999999999</c:v>
                </c:pt>
                <c:pt idx="1">
                  <c:v>1157.19</c:v>
                </c:pt>
                <c:pt idx="2">
                  <c:v>1156.0899999999997</c:v>
                </c:pt>
                <c:pt idx="3">
                  <c:v>1147.4899999999998</c:v>
                </c:pt>
                <c:pt idx="4">
                  <c:v>1171.4899999999998</c:v>
                </c:pt>
                <c:pt idx="5">
                  <c:v>1239.79</c:v>
                </c:pt>
                <c:pt idx="6">
                  <c:v>1335.29</c:v>
                </c:pt>
                <c:pt idx="7">
                  <c:v>1511.6899999999998</c:v>
                </c:pt>
                <c:pt idx="8">
                  <c:v>1681.29</c:v>
                </c:pt>
                <c:pt idx="9">
                  <c:v>1671.59</c:v>
                </c:pt>
                <c:pt idx="10">
                  <c:v>1499.49</c:v>
                </c:pt>
                <c:pt idx="11">
                  <c:v>1429.69</c:v>
                </c:pt>
                <c:pt idx="12">
                  <c:v>1317.3899999999999</c:v>
                </c:pt>
                <c:pt idx="13">
                  <c:v>1356.19</c:v>
                </c:pt>
                <c:pt idx="14">
                  <c:v>1328.29</c:v>
                </c:pt>
                <c:pt idx="15">
                  <c:v>1352.99</c:v>
                </c:pt>
                <c:pt idx="16">
                  <c:v>1295.99</c:v>
                </c:pt>
                <c:pt idx="17">
                  <c:v>1321.99</c:v>
                </c:pt>
                <c:pt idx="18">
                  <c:v>1490.49</c:v>
                </c:pt>
                <c:pt idx="19">
                  <c:v>1773.25</c:v>
                </c:pt>
                <c:pt idx="20">
                  <c:v>1700.09</c:v>
                </c:pt>
                <c:pt idx="21">
                  <c:v>1591.29</c:v>
                </c:pt>
                <c:pt idx="22">
                  <c:v>1259.2900000000002</c:v>
                </c:pt>
                <c:pt idx="23">
                  <c:v>1202.0900000000001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03-4761-9764-77CB38CF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36-474D-8729-538632FBA5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36-474D-8729-538632FBA5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36-474D-8729-538632FBA5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36-474D-8729-538632FBA5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36-474D-8729-538632FBA52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636-474D-8729-538632FBA5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'13'!$AM$16:$BJ$16</c:f>
              <c:numCache>
                <c:formatCode>General</c:formatCode>
                <c:ptCount val="24"/>
                <c:pt idx="0">
                  <c:v>480.35000000000008</c:v>
                </c:pt>
                <c:pt idx="1">
                  <c:v>480.35000000000008</c:v>
                </c:pt>
                <c:pt idx="2">
                  <c:v>480.35000000000008</c:v>
                </c:pt>
                <c:pt idx="3">
                  <c:v>479.65000000000003</c:v>
                </c:pt>
                <c:pt idx="4">
                  <c:v>477.75000000000006</c:v>
                </c:pt>
                <c:pt idx="5">
                  <c:v>478.35000000000008</c:v>
                </c:pt>
                <c:pt idx="6">
                  <c:v>477.75000000000006</c:v>
                </c:pt>
                <c:pt idx="7">
                  <c:v>477.75000000000006</c:v>
                </c:pt>
                <c:pt idx="8">
                  <c:v>477.75000000000006</c:v>
                </c:pt>
                <c:pt idx="9">
                  <c:v>477.75000000000006</c:v>
                </c:pt>
                <c:pt idx="10">
                  <c:v>477.75000000000006</c:v>
                </c:pt>
                <c:pt idx="11">
                  <c:v>477.75000000000006</c:v>
                </c:pt>
                <c:pt idx="12">
                  <c:v>477.75000000000006</c:v>
                </c:pt>
                <c:pt idx="13">
                  <c:v>477.75000000000006</c:v>
                </c:pt>
                <c:pt idx="14">
                  <c:v>477.75000000000006</c:v>
                </c:pt>
                <c:pt idx="15">
                  <c:v>477.75000000000006</c:v>
                </c:pt>
                <c:pt idx="16">
                  <c:v>477.85000000000008</c:v>
                </c:pt>
                <c:pt idx="17">
                  <c:v>477.85000000000008</c:v>
                </c:pt>
                <c:pt idx="18">
                  <c:v>477.85000000000008</c:v>
                </c:pt>
                <c:pt idx="19">
                  <c:v>477.85000000000008</c:v>
                </c:pt>
                <c:pt idx="20">
                  <c:v>477.85000000000008</c:v>
                </c:pt>
                <c:pt idx="21">
                  <c:v>477.85000000000008</c:v>
                </c:pt>
                <c:pt idx="22">
                  <c:v>477.85000000000008</c:v>
                </c:pt>
                <c:pt idx="23">
                  <c:v>477.85000000000008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C-4A73-AAA0-BDFFD90E1CB2}"/>
            </c:ext>
          </c:extLst>
        </c:ser>
        <c:ser>
          <c:idx val="2"/>
          <c:order val="1"/>
          <c:tx>
            <c:strRef>
              <c:f>'13'!$AL$17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'13'!$AM$17:$BJ$17</c:f>
              <c:numCache>
                <c:formatCode>General</c:formatCode>
                <c:ptCount val="24"/>
                <c:pt idx="0">
                  <c:v>35.1</c:v>
                </c:pt>
                <c:pt idx="1">
                  <c:v>35.1</c:v>
                </c:pt>
                <c:pt idx="2">
                  <c:v>35.1</c:v>
                </c:pt>
                <c:pt idx="3">
                  <c:v>35.1</c:v>
                </c:pt>
                <c:pt idx="4">
                  <c:v>35</c:v>
                </c:pt>
                <c:pt idx="5">
                  <c:v>35.200000000000003</c:v>
                </c:pt>
                <c:pt idx="6">
                  <c:v>35.1</c:v>
                </c:pt>
                <c:pt idx="7">
                  <c:v>96.2</c:v>
                </c:pt>
                <c:pt idx="8">
                  <c:v>306.2</c:v>
                </c:pt>
                <c:pt idx="9">
                  <c:v>286.2</c:v>
                </c:pt>
                <c:pt idx="10">
                  <c:v>51.2</c:v>
                </c:pt>
                <c:pt idx="11">
                  <c:v>51.2</c:v>
                </c:pt>
                <c:pt idx="12">
                  <c:v>86.2</c:v>
                </c:pt>
                <c:pt idx="13">
                  <c:v>112.2</c:v>
                </c:pt>
                <c:pt idx="14">
                  <c:v>90.1</c:v>
                </c:pt>
                <c:pt idx="15">
                  <c:v>75.2</c:v>
                </c:pt>
                <c:pt idx="16">
                  <c:v>110.1</c:v>
                </c:pt>
                <c:pt idx="17">
                  <c:v>122.1</c:v>
                </c:pt>
                <c:pt idx="18">
                  <c:v>181.2</c:v>
                </c:pt>
                <c:pt idx="19">
                  <c:v>191.1</c:v>
                </c:pt>
                <c:pt idx="20">
                  <c:v>171.1</c:v>
                </c:pt>
                <c:pt idx="21">
                  <c:v>115.1</c:v>
                </c:pt>
                <c:pt idx="22">
                  <c:v>75.099999999999994</c:v>
                </c:pt>
                <c:pt idx="23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5C-4A73-AAA0-BDFFD90E1CB2}"/>
            </c:ext>
          </c:extLst>
        </c:ser>
        <c:ser>
          <c:idx val="3"/>
          <c:order val="2"/>
          <c:tx>
            <c:strRef>
              <c:f>'13'!$AL$18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'13'!$AM$18:$BJ$18</c:f>
              <c:numCache>
                <c:formatCode>General</c:formatCode>
                <c:ptCount val="24"/>
                <c:pt idx="0">
                  <c:v>105.64000000000001</c:v>
                </c:pt>
                <c:pt idx="1">
                  <c:v>103.44000000000001</c:v>
                </c:pt>
                <c:pt idx="2">
                  <c:v>104.04000000000002</c:v>
                </c:pt>
                <c:pt idx="3">
                  <c:v>104.04000000000002</c:v>
                </c:pt>
                <c:pt idx="4">
                  <c:v>101.94000000000001</c:v>
                </c:pt>
                <c:pt idx="5">
                  <c:v>199.14</c:v>
                </c:pt>
                <c:pt idx="6">
                  <c:v>285.94</c:v>
                </c:pt>
                <c:pt idx="7">
                  <c:v>277.74</c:v>
                </c:pt>
                <c:pt idx="8">
                  <c:v>265.83999999999997</c:v>
                </c:pt>
                <c:pt idx="9">
                  <c:v>267.64</c:v>
                </c:pt>
                <c:pt idx="10">
                  <c:v>225.03999999999996</c:v>
                </c:pt>
                <c:pt idx="11">
                  <c:v>226.93999999999997</c:v>
                </c:pt>
                <c:pt idx="12">
                  <c:v>257.83999999999997</c:v>
                </c:pt>
                <c:pt idx="13">
                  <c:v>257.83999999999997</c:v>
                </c:pt>
                <c:pt idx="14">
                  <c:v>256.83999999999997</c:v>
                </c:pt>
                <c:pt idx="15">
                  <c:v>269.14</c:v>
                </c:pt>
                <c:pt idx="16">
                  <c:v>217.14</c:v>
                </c:pt>
                <c:pt idx="17">
                  <c:v>152.33999999999997</c:v>
                </c:pt>
                <c:pt idx="18">
                  <c:v>183.23999999999998</c:v>
                </c:pt>
                <c:pt idx="19">
                  <c:v>326.49999999999994</c:v>
                </c:pt>
                <c:pt idx="20">
                  <c:v>232.43999999999997</c:v>
                </c:pt>
                <c:pt idx="21">
                  <c:v>227.43999999999997</c:v>
                </c:pt>
                <c:pt idx="22">
                  <c:v>176.43999999999997</c:v>
                </c:pt>
                <c:pt idx="23">
                  <c:v>129.14000000000001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C-4A73-AAA0-BDFFD90E1CB2}"/>
            </c:ext>
          </c:extLst>
        </c:ser>
        <c:ser>
          <c:idx val="0"/>
          <c:order val="3"/>
          <c:tx>
            <c:strRef>
              <c:f>'13'!$AL$19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'13'!$AM$19:$BJ$19</c:f>
              <c:numCache>
                <c:formatCode>General</c:formatCode>
                <c:ptCount val="24"/>
                <c:pt idx="0">
                  <c:v>556.20000000000005</c:v>
                </c:pt>
                <c:pt idx="1">
                  <c:v>519.29999999999995</c:v>
                </c:pt>
                <c:pt idx="2">
                  <c:v>492.1</c:v>
                </c:pt>
                <c:pt idx="3">
                  <c:v>501.1</c:v>
                </c:pt>
                <c:pt idx="4">
                  <c:v>525.29999999999995</c:v>
                </c:pt>
                <c:pt idx="5">
                  <c:v>531.6</c:v>
                </c:pt>
                <c:pt idx="6">
                  <c:v>590</c:v>
                </c:pt>
                <c:pt idx="7">
                  <c:v>547.79999999999995</c:v>
                </c:pt>
                <c:pt idx="8">
                  <c:v>251.6</c:v>
                </c:pt>
                <c:pt idx="9">
                  <c:v>521.29999999999995</c:v>
                </c:pt>
                <c:pt idx="10">
                  <c:v>519.6</c:v>
                </c:pt>
                <c:pt idx="11">
                  <c:v>545.29999999999995</c:v>
                </c:pt>
                <c:pt idx="12">
                  <c:v>682.9</c:v>
                </c:pt>
                <c:pt idx="13">
                  <c:v>660.31999999999994</c:v>
                </c:pt>
                <c:pt idx="14">
                  <c:v>701.8</c:v>
                </c:pt>
                <c:pt idx="15">
                  <c:v>691.2</c:v>
                </c:pt>
                <c:pt idx="16">
                  <c:v>679.69999999999993</c:v>
                </c:pt>
                <c:pt idx="17">
                  <c:v>641.9</c:v>
                </c:pt>
                <c:pt idx="18">
                  <c:v>606.79999999999995</c:v>
                </c:pt>
                <c:pt idx="19">
                  <c:v>631.9</c:v>
                </c:pt>
                <c:pt idx="20">
                  <c:v>645.5</c:v>
                </c:pt>
                <c:pt idx="21">
                  <c:v>656.1</c:v>
                </c:pt>
                <c:pt idx="22">
                  <c:v>652</c:v>
                </c:pt>
                <c:pt idx="23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5C-4A73-AAA0-BDFFD90E1CB2}"/>
            </c:ext>
          </c:extLst>
        </c:ser>
        <c:ser>
          <c:idx val="4"/>
          <c:order val="4"/>
          <c:tx>
            <c:strRef>
              <c:f>'13'!$AL$20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20.900000000000002</c:v>
                </c:pt>
                <c:pt idx="16">
                  <c:v>16.899999999999999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5C-4A73-AAA0-BDFFD90E1CB2}"/>
            </c:ext>
          </c:extLst>
        </c:ser>
        <c:ser>
          <c:idx val="5"/>
          <c:order val="5"/>
          <c:tx>
            <c:strRef>
              <c:f>'13'!$AL$21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</c:v>
                </c:pt>
                <c:pt idx="8">
                  <c:v>280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250</c:v>
                </c:pt>
                <c:pt idx="19">
                  <c:v>250</c:v>
                </c:pt>
                <c:pt idx="20">
                  <c:v>200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5C-4A73-AAA0-BDFFD90E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</c:v>
                </c:pt>
                <c:pt idx="22">
                  <c:v>-3</c:v>
                </c:pt>
                <c:pt idx="23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C-4A73-AAA0-BDFFD90E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'13'!$AM$22:$BJ$22</c:f>
              <c:numCache>
                <c:formatCode>General</c:formatCode>
                <c:ptCount val="24"/>
                <c:pt idx="0">
                  <c:v>1177.29</c:v>
                </c:pt>
                <c:pt idx="1">
                  <c:v>1138.19</c:v>
                </c:pt>
                <c:pt idx="2">
                  <c:v>1111.5900000000001</c:v>
                </c:pt>
                <c:pt idx="3">
                  <c:v>1119.8899999999999</c:v>
                </c:pt>
                <c:pt idx="4">
                  <c:v>1139.99</c:v>
                </c:pt>
                <c:pt idx="5">
                  <c:v>1244.29</c:v>
                </c:pt>
                <c:pt idx="6">
                  <c:v>1388.79</c:v>
                </c:pt>
                <c:pt idx="7">
                  <c:v>1649.49</c:v>
                </c:pt>
                <c:pt idx="8">
                  <c:v>1581.3899999999999</c:v>
                </c:pt>
                <c:pt idx="9">
                  <c:v>1832.89</c:v>
                </c:pt>
                <c:pt idx="10">
                  <c:v>1553.5900000000001</c:v>
                </c:pt>
                <c:pt idx="11">
                  <c:v>1581.19</c:v>
                </c:pt>
                <c:pt idx="12">
                  <c:v>1504.69</c:v>
                </c:pt>
                <c:pt idx="13">
                  <c:v>1508.11</c:v>
                </c:pt>
                <c:pt idx="14">
                  <c:v>1526.49</c:v>
                </c:pt>
                <c:pt idx="15">
                  <c:v>1534.19</c:v>
                </c:pt>
                <c:pt idx="16">
                  <c:v>1501.69</c:v>
                </c:pt>
                <c:pt idx="17">
                  <c:v>1394.19</c:v>
                </c:pt>
                <c:pt idx="18">
                  <c:v>1699.0900000000001</c:v>
                </c:pt>
                <c:pt idx="19">
                  <c:v>1877.35</c:v>
                </c:pt>
                <c:pt idx="20">
                  <c:v>1726.8899999999999</c:v>
                </c:pt>
                <c:pt idx="21">
                  <c:v>1476.49</c:v>
                </c:pt>
                <c:pt idx="22">
                  <c:v>1381.3899999999999</c:v>
                </c:pt>
                <c:pt idx="23">
                  <c:v>1274.0900000000001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D5C-4A73-AAA0-BDFFD90E1CB2}"/>
            </c:ext>
          </c:extLst>
        </c:ser>
        <c:ser>
          <c:idx val="8"/>
          <c:order val="8"/>
          <c:tx>
            <c:strRef>
              <c:f>'13'!$AL$24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'13'!$AM$24:$BJ$24</c:f>
              <c:numCache>
                <c:formatCode>General</c:formatCode>
                <c:ptCount val="24"/>
                <c:pt idx="0">
                  <c:v>1177.29</c:v>
                </c:pt>
                <c:pt idx="1">
                  <c:v>1138.19</c:v>
                </c:pt>
                <c:pt idx="2">
                  <c:v>1111.5900000000001</c:v>
                </c:pt>
                <c:pt idx="3">
                  <c:v>1119.8899999999999</c:v>
                </c:pt>
                <c:pt idx="4">
                  <c:v>1139.99</c:v>
                </c:pt>
                <c:pt idx="5">
                  <c:v>1244.29</c:v>
                </c:pt>
                <c:pt idx="6">
                  <c:v>1388.79</c:v>
                </c:pt>
                <c:pt idx="7">
                  <c:v>1649.49</c:v>
                </c:pt>
                <c:pt idx="8">
                  <c:v>1581.3899999999999</c:v>
                </c:pt>
                <c:pt idx="9">
                  <c:v>1832.89</c:v>
                </c:pt>
                <c:pt idx="10">
                  <c:v>1553.5900000000001</c:v>
                </c:pt>
                <c:pt idx="11">
                  <c:v>1581.19</c:v>
                </c:pt>
                <c:pt idx="12">
                  <c:v>1504.69</c:v>
                </c:pt>
                <c:pt idx="13">
                  <c:v>1508.11</c:v>
                </c:pt>
                <c:pt idx="14">
                  <c:v>1526.49</c:v>
                </c:pt>
                <c:pt idx="15">
                  <c:v>1534.19</c:v>
                </c:pt>
                <c:pt idx="16">
                  <c:v>1501.69</c:v>
                </c:pt>
                <c:pt idx="17">
                  <c:v>1394.19</c:v>
                </c:pt>
                <c:pt idx="18">
                  <c:v>1699.0900000000001</c:v>
                </c:pt>
                <c:pt idx="19">
                  <c:v>1877.35</c:v>
                </c:pt>
                <c:pt idx="20">
                  <c:v>1726.8899999999999</c:v>
                </c:pt>
                <c:pt idx="21">
                  <c:v>1474.49</c:v>
                </c:pt>
                <c:pt idx="22">
                  <c:v>1378.3899999999999</c:v>
                </c:pt>
                <c:pt idx="23">
                  <c:v>1270.0900000000001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5C-4A73-AAA0-BDFFD90E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76-453B-9069-5309D7C401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76-453B-9069-5309D7C401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76-453B-9069-5309D7C401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76-453B-9069-5309D7C401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76-453B-9069-5309D7C401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B76-453B-9069-5309D7C401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'14'!$AM$16:$BJ$16</c:f>
              <c:numCache>
                <c:formatCode>General</c:formatCode>
                <c:ptCount val="24"/>
                <c:pt idx="0">
                  <c:v>477.85000000000008</c:v>
                </c:pt>
                <c:pt idx="1">
                  <c:v>477.85000000000008</c:v>
                </c:pt>
                <c:pt idx="2">
                  <c:v>477.85000000000008</c:v>
                </c:pt>
                <c:pt idx="3">
                  <c:v>477.85000000000008</c:v>
                </c:pt>
                <c:pt idx="4">
                  <c:v>477.85000000000008</c:v>
                </c:pt>
                <c:pt idx="5">
                  <c:v>477.85000000000008</c:v>
                </c:pt>
                <c:pt idx="6">
                  <c:v>477.85000000000008</c:v>
                </c:pt>
                <c:pt idx="7">
                  <c:v>477.85000000000008</c:v>
                </c:pt>
                <c:pt idx="8">
                  <c:v>477.85000000000008</c:v>
                </c:pt>
                <c:pt idx="9">
                  <c:v>477.85000000000008</c:v>
                </c:pt>
                <c:pt idx="10">
                  <c:v>477.85000000000008</c:v>
                </c:pt>
                <c:pt idx="11">
                  <c:v>477.85000000000008</c:v>
                </c:pt>
                <c:pt idx="12">
                  <c:v>477.85000000000008</c:v>
                </c:pt>
                <c:pt idx="13">
                  <c:v>477.85000000000008</c:v>
                </c:pt>
                <c:pt idx="14">
                  <c:v>477.85000000000008</c:v>
                </c:pt>
                <c:pt idx="15">
                  <c:v>477.85000000000008</c:v>
                </c:pt>
                <c:pt idx="16">
                  <c:v>477.85000000000008</c:v>
                </c:pt>
                <c:pt idx="17">
                  <c:v>477.85000000000008</c:v>
                </c:pt>
                <c:pt idx="18">
                  <c:v>477.85000000000008</c:v>
                </c:pt>
                <c:pt idx="19">
                  <c:v>477.85000000000008</c:v>
                </c:pt>
                <c:pt idx="20">
                  <c:v>478.55000000000007</c:v>
                </c:pt>
                <c:pt idx="21">
                  <c:v>478.55000000000007</c:v>
                </c:pt>
                <c:pt idx="22">
                  <c:v>478.55000000000007</c:v>
                </c:pt>
                <c:pt idx="23">
                  <c:v>478.55000000000007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3-4FCC-89BB-863F326A379F}"/>
            </c:ext>
          </c:extLst>
        </c:ser>
        <c:ser>
          <c:idx val="2"/>
          <c:order val="1"/>
          <c:tx>
            <c:strRef>
              <c:f>'14'!$AL$17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'14'!$AM$17:$BJ$17</c:f>
              <c:numCache>
                <c:formatCode>General</c:formatCode>
                <c:ptCount val="24"/>
                <c:pt idx="0">
                  <c:v>35.1</c:v>
                </c:pt>
                <c:pt idx="1">
                  <c:v>35.1</c:v>
                </c:pt>
                <c:pt idx="2">
                  <c:v>35.1</c:v>
                </c:pt>
                <c:pt idx="3">
                  <c:v>35.1</c:v>
                </c:pt>
                <c:pt idx="4">
                  <c:v>35.1</c:v>
                </c:pt>
                <c:pt idx="5">
                  <c:v>35.1</c:v>
                </c:pt>
                <c:pt idx="6">
                  <c:v>35.1</c:v>
                </c:pt>
                <c:pt idx="7">
                  <c:v>95.1</c:v>
                </c:pt>
                <c:pt idx="8">
                  <c:v>339.9</c:v>
                </c:pt>
                <c:pt idx="9">
                  <c:v>85.9</c:v>
                </c:pt>
                <c:pt idx="10">
                  <c:v>70.900000000000006</c:v>
                </c:pt>
                <c:pt idx="11">
                  <c:v>60.9</c:v>
                </c:pt>
                <c:pt idx="12">
                  <c:v>135.9</c:v>
                </c:pt>
                <c:pt idx="13">
                  <c:v>115.8</c:v>
                </c:pt>
                <c:pt idx="14">
                  <c:v>115.8</c:v>
                </c:pt>
                <c:pt idx="15">
                  <c:v>75.8</c:v>
                </c:pt>
                <c:pt idx="16">
                  <c:v>75.8</c:v>
                </c:pt>
                <c:pt idx="17">
                  <c:v>65.8</c:v>
                </c:pt>
                <c:pt idx="18">
                  <c:v>65.8</c:v>
                </c:pt>
                <c:pt idx="19">
                  <c:v>421.1</c:v>
                </c:pt>
                <c:pt idx="20">
                  <c:v>231.1</c:v>
                </c:pt>
                <c:pt idx="21">
                  <c:v>111.2</c:v>
                </c:pt>
                <c:pt idx="22">
                  <c:v>75.2</c:v>
                </c:pt>
                <c:pt idx="23">
                  <c:v>65.2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3-4FCC-89BB-863F326A379F}"/>
            </c:ext>
          </c:extLst>
        </c:ser>
        <c:ser>
          <c:idx val="3"/>
          <c:order val="2"/>
          <c:tx>
            <c:strRef>
              <c:f>'14'!$AL$18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'14'!$AM$18:$BJ$18</c:f>
              <c:numCache>
                <c:formatCode>General</c:formatCode>
                <c:ptCount val="24"/>
                <c:pt idx="0">
                  <c:v>97.140000000000015</c:v>
                </c:pt>
                <c:pt idx="1">
                  <c:v>97.140000000000015</c:v>
                </c:pt>
                <c:pt idx="2">
                  <c:v>97.140000000000015</c:v>
                </c:pt>
                <c:pt idx="3">
                  <c:v>97.140000000000015</c:v>
                </c:pt>
                <c:pt idx="4">
                  <c:v>107.14000000000001</c:v>
                </c:pt>
                <c:pt idx="5">
                  <c:v>107.14000000000001</c:v>
                </c:pt>
                <c:pt idx="6">
                  <c:v>107.14000000000001</c:v>
                </c:pt>
                <c:pt idx="7">
                  <c:v>272.74</c:v>
                </c:pt>
                <c:pt idx="8">
                  <c:v>308.33999999999997</c:v>
                </c:pt>
                <c:pt idx="9">
                  <c:v>261.64</c:v>
                </c:pt>
                <c:pt idx="10">
                  <c:v>223.83999999999997</c:v>
                </c:pt>
                <c:pt idx="11">
                  <c:v>225.73999999999998</c:v>
                </c:pt>
                <c:pt idx="12">
                  <c:v>258.44</c:v>
                </c:pt>
                <c:pt idx="13">
                  <c:v>260.44</c:v>
                </c:pt>
                <c:pt idx="14">
                  <c:v>238.23999999999998</c:v>
                </c:pt>
                <c:pt idx="15">
                  <c:v>236.53999999999996</c:v>
                </c:pt>
                <c:pt idx="16">
                  <c:v>228.44</c:v>
                </c:pt>
                <c:pt idx="17">
                  <c:v>205.43999999999997</c:v>
                </c:pt>
                <c:pt idx="18">
                  <c:v>267.34000000000003</c:v>
                </c:pt>
                <c:pt idx="19">
                  <c:v>351.64</c:v>
                </c:pt>
                <c:pt idx="20">
                  <c:v>253.43999999999997</c:v>
                </c:pt>
                <c:pt idx="21">
                  <c:v>208.93999999999997</c:v>
                </c:pt>
                <c:pt idx="22">
                  <c:v>141.83999999999997</c:v>
                </c:pt>
                <c:pt idx="23">
                  <c:v>104.14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B3-4FCC-89BB-863F326A379F}"/>
            </c:ext>
          </c:extLst>
        </c:ser>
        <c:ser>
          <c:idx val="0"/>
          <c:order val="3"/>
          <c:tx>
            <c:strRef>
              <c:f>'14'!$AL$19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'14'!$AM$19:$BJ$19</c:f>
              <c:numCache>
                <c:formatCode>General</c:formatCode>
                <c:ptCount val="24"/>
                <c:pt idx="0">
                  <c:v>611</c:v>
                </c:pt>
                <c:pt idx="1">
                  <c:v>576</c:v>
                </c:pt>
                <c:pt idx="2">
                  <c:v>596</c:v>
                </c:pt>
                <c:pt idx="3">
                  <c:v>601</c:v>
                </c:pt>
                <c:pt idx="4">
                  <c:v>594</c:v>
                </c:pt>
                <c:pt idx="5">
                  <c:v>672.4</c:v>
                </c:pt>
                <c:pt idx="6">
                  <c:v>669</c:v>
                </c:pt>
                <c:pt idx="7">
                  <c:v>611.6</c:v>
                </c:pt>
                <c:pt idx="8">
                  <c:v>243.2</c:v>
                </c:pt>
                <c:pt idx="9">
                  <c:v>449</c:v>
                </c:pt>
                <c:pt idx="10">
                  <c:v>552</c:v>
                </c:pt>
                <c:pt idx="11">
                  <c:v>616</c:v>
                </c:pt>
                <c:pt idx="12">
                  <c:v>675.5</c:v>
                </c:pt>
                <c:pt idx="13">
                  <c:v>702.8</c:v>
                </c:pt>
                <c:pt idx="14">
                  <c:v>636.79999999999995</c:v>
                </c:pt>
                <c:pt idx="15">
                  <c:v>719.19999999999993</c:v>
                </c:pt>
                <c:pt idx="16">
                  <c:v>740.9</c:v>
                </c:pt>
                <c:pt idx="17">
                  <c:v>587.50000000000011</c:v>
                </c:pt>
                <c:pt idx="18">
                  <c:v>627.1</c:v>
                </c:pt>
                <c:pt idx="19">
                  <c:v>326</c:v>
                </c:pt>
                <c:pt idx="20">
                  <c:v>457.1</c:v>
                </c:pt>
                <c:pt idx="21">
                  <c:v>674.3</c:v>
                </c:pt>
                <c:pt idx="22">
                  <c:v>697.7</c:v>
                </c:pt>
                <c:pt idx="23">
                  <c:v>632.9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B3-4FCC-89BB-863F326A379F}"/>
            </c:ext>
          </c:extLst>
        </c:ser>
        <c:ser>
          <c:idx val="4"/>
          <c:order val="4"/>
          <c:tx>
            <c:strRef>
              <c:f>'14'!$AL$20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3-4FCC-89BB-863F326A379F}"/>
            </c:ext>
          </c:extLst>
        </c:ser>
        <c:ser>
          <c:idx val="5"/>
          <c:order val="5"/>
          <c:tx>
            <c:strRef>
              <c:f>'14'!$AL$21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280</c:v>
                </c:pt>
                <c:pt idx="9">
                  <c:v>280</c:v>
                </c:pt>
                <c:pt idx="10">
                  <c:v>250</c:v>
                </c:pt>
                <c:pt idx="11">
                  <c:v>150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150</c:v>
                </c:pt>
                <c:pt idx="18">
                  <c:v>250</c:v>
                </c:pt>
                <c:pt idx="19">
                  <c:v>250</c:v>
                </c:pt>
                <c:pt idx="20">
                  <c:v>200</c:v>
                </c:pt>
                <c:pt idx="21">
                  <c:v>120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B3-4FCC-89BB-863F326A3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B3-4FCC-89BB-863F326A3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'14'!$AM$22:$BJ$22</c:f>
              <c:numCache>
                <c:formatCode>General</c:formatCode>
                <c:ptCount val="24"/>
                <c:pt idx="0">
                  <c:v>1221.0900000000001</c:v>
                </c:pt>
                <c:pt idx="1">
                  <c:v>1186.0900000000001</c:v>
                </c:pt>
                <c:pt idx="2">
                  <c:v>1206.0900000000001</c:v>
                </c:pt>
                <c:pt idx="3">
                  <c:v>1211.0900000000001</c:v>
                </c:pt>
                <c:pt idx="4">
                  <c:v>1214.0900000000001</c:v>
                </c:pt>
                <c:pt idx="5">
                  <c:v>1292.49</c:v>
                </c:pt>
                <c:pt idx="6">
                  <c:v>1289.0900000000001</c:v>
                </c:pt>
                <c:pt idx="7">
                  <c:v>1607.29</c:v>
                </c:pt>
                <c:pt idx="8">
                  <c:v>1649.29</c:v>
                </c:pt>
                <c:pt idx="9">
                  <c:v>1554.39</c:v>
                </c:pt>
                <c:pt idx="10">
                  <c:v>1574.5900000000001</c:v>
                </c:pt>
                <c:pt idx="11">
                  <c:v>1530.4900000000002</c:v>
                </c:pt>
                <c:pt idx="12">
                  <c:v>1547.69</c:v>
                </c:pt>
                <c:pt idx="13">
                  <c:v>1556.89</c:v>
                </c:pt>
                <c:pt idx="14">
                  <c:v>1468.69</c:v>
                </c:pt>
                <c:pt idx="15">
                  <c:v>1509.3899999999999</c:v>
                </c:pt>
                <c:pt idx="16">
                  <c:v>1522.9900000000002</c:v>
                </c:pt>
                <c:pt idx="17">
                  <c:v>1486.5900000000001</c:v>
                </c:pt>
                <c:pt idx="18">
                  <c:v>1688.0900000000001</c:v>
                </c:pt>
                <c:pt idx="19">
                  <c:v>1826.5900000000001</c:v>
                </c:pt>
                <c:pt idx="20">
                  <c:v>1620.19</c:v>
                </c:pt>
                <c:pt idx="21">
                  <c:v>1592.99</c:v>
                </c:pt>
                <c:pt idx="22">
                  <c:v>1393.2900000000002</c:v>
                </c:pt>
                <c:pt idx="23">
                  <c:v>1280.79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BB3-4FCC-89BB-863F326A379F}"/>
            </c:ext>
          </c:extLst>
        </c:ser>
        <c:ser>
          <c:idx val="8"/>
          <c:order val="8"/>
          <c:tx>
            <c:strRef>
              <c:f>'14'!$AL$24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'14'!$AM$24:$BJ$24</c:f>
              <c:numCache>
                <c:formatCode>General</c:formatCode>
                <c:ptCount val="24"/>
                <c:pt idx="0">
                  <c:v>1221.0900000000001</c:v>
                </c:pt>
                <c:pt idx="1">
                  <c:v>1186.0900000000001</c:v>
                </c:pt>
                <c:pt idx="2">
                  <c:v>1206.0900000000001</c:v>
                </c:pt>
                <c:pt idx="3">
                  <c:v>1211.0900000000001</c:v>
                </c:pt>
                <c:pt idx="4">
                  <c:v>1214.0900000000001</c:v>
                </c:pt>
                <c:pt idx="5">
                  <c:v>1292.49</c:v>
                </c:pt>
                <c:pt idx="6">
                  <c:v>1289.0900000000001</c:v>
                </c:pt>
                <c:pt idx="7">
                  <c:v>1607.29</c:v>
                </c:pt>
                <c:pt idx="8">
                  <c:v>1649.29</c:v>
                </c:pt>
                <c:pt idx="9">
                  <c:v>1554.39</c:v>
                </c:pt>
                <c:pt idx="10">
                  <c:v>1574.5900000000001</c:v>
                </c:pt>
                <c:pt idx="11">
                  <c:v>1530.4900000000002</c:v>
                </c:pt>
                <c:pt idx="12">
                  <c:v>1547.69</c:v>
                </c:pt>
                <c:pt idx="13">
                  <c:v>1556.89</c:v>
                </c:pt>
                <c:pt idx="14">
                  <c:v>1468.69</c:v>
                </c:pt>
                <c:pt idx="15">
                  <c:v>1509.3899999999999</c:v>
                </c:pt>
                <c:pt idx="16">
                  <c:v>1522.9900000000002</c:v>
                </c:pt>
                <c:pt idx="17">
                  <c:v>1486.5900000000001</c:v>
                </c:pt>
                <c:pt idx="18">
                  <c:v>1688.0900000000001</c:v>
                </c:pt>
                <c:pt idx="19">
                  <c:v>1826.5900000000001</c:v>
                </c:pt>
                <c:pt idx="20">
                  <c:v>1620.19</c:v>
                </c:pt>
                <c:pt idx="21">
                  <c:v>1592.99</c:v>
                </c:pt>
                <c:pt idx="22">
                  <c:v>1393.2900000000002</c:v>
                </c:pt>
                <c:pt idx="23">
                  <c:v>1280.79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B3-4FCC-89BB-863F326A3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54-4AD2-9EDF-5B3F8277D1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54-4AD2-9EDF-5B3F8277D1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54-4AD2-9EDF-5B3F8277D1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54-4AD2-9EDF-5B3F8277D1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54-4AD2-9EDF-5B3F8277D1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D54-4AD2-9EDF-5B3F8277D1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'15'!$AM$16:$BJ$16</c:f>
              <c:numCache>
                <c:formatCode>General</c:formatCode>
                <c:ptCount val="24"/>
                <c:pt idx="0">
                  <c:v>474.15000000000003</c:v>
                </c:pt>
                <c:pt idx="1">
                  <c:v>472.55000000000007</c:v>
                </c:pt>
                <c:pt idx="2">
                  <c:v>476.75000000000006</c:v>
                </c:pt>
                <c:pt idx="3">
                  <c:v>477.65000000000003</c:v>
                </c:pt>
                <c:pt idx="4">
                  <c:v>477.65000000000003</c:v>
                </c:pt>
                <c:pt idx="5">
                  <c:v>477.65000000000003</c:v>
                </c:pt>
                <c:pt idx="6">
                  <c:v>477.65000000000003</c:v>
                </c:pt>
                <c:pt idx="7">
                  <c:v>477.65000000000003</c:v>
                </c:pt>
                <c:pt idx="8">
                  <c:v>471.65000000000003</c:v>
                </c:pt>
                <c:pt idx="9">
                  <c:v>471.65000000000003</c:v>
                </c:pt>
                <c:pt idx="10">
                  <c:v>469.45</c:v>
                </c:pt>
                <c:pt idx="11">
                  <c:v>472.25</c:v>
                </c:pt>
                <c:pt idx="12">
                  <c:v>474.95</c:v>
                </c:pt>
                <c:pt idx="13">
                  <c:v>464.85</c:v>
                </c:pt>
                <c:pt idx="14">
                  <c:v>464.85</c:v>
                </c:pt>
                <c:pt idx="15">
                  <c:v>464.85</c:v>
                </c:pt>
                <c:pt idx="16">
                  <c:v>464.85</c:v>
                </c:pt>
                <c:pt idx="17">
                  <c:v>464.85</c:v>
                </c:pt>
                <c:pt idx="18">
                  <c:v>464.85</c:v>
                </c:pt>
                <c:pt idx="19">
                  <c:v>464.85</c:v>
                </c:pt>
                <c:pt idx="20">
                  <c:v>464.85</c:v>
                </c:pt>
                <c:pt idx="21">
                  <c:v>464.85</c:v>
                </c:pt>
                <c:pt idx="22">
                  <c:v>464.85</c:v>
                </c:pt>
                <c:pt idx="23">
                  <c:v>464.85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6-44CE-B34A-5A83E3AACA87}"/>
            </c:ext>
          </c:extLst>
        </c:ser>
        <c:ser>
          <c:idx val="2"/>
          <c:order val="1"/>
          <c:tx>
            <c:strRef>
              <c:f>'15'!$AL$17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'15'!$AM$17:$BJ$17</c:f>
              <c:numCache>
                <c:formatCode>General</c:formatCode>
                <c:ptCount val="24"/>
                <c:pt idx="0">
                  <c:v>35.299999999999997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  <c:pt idx="5">
                  <c:v>35.700000000000003</c:v>
                </c:pt>
                <c:pt idx="6">
                  <c:v>150.69999999999999</c:v>
                </c:pt>
                <c:pt idx="7">
                  <c:v>122.2</c:v>
                </c:pt>
                <c:pt idx="8">
                  <c:v>147.30000000000001</c:v>
                </c:pt>
                <c:pt idx="9">
                  <c:v>107.3</c:v>
                </c:pt>
                <c:pt idx="10">
                  <c:v>87.2</c:v>
                </c:pt>
                <c:pt idx="11">
                  <c:v>67.2</c:v>
                </c:pt>
                <c:pt idx="12">
                  <c:v>137.19999999999999</c:v>
                </c:pt>
                <c:pt idx="13">
                  <c:v>135.69999999999999</c:v>
                </c:pt>
                <c:pt idx="14">
                  <c:v>125.7</c:v>
                </c:pt>
                <c:pt idx="15">
                  <c:v>184.7</c:v>
                </c:pt>
                <c:pt idx="16">
                  <c:v>184.7</c:v>
                </c:pt>
                <c:pt idx="17">
                  <c:v>74.7</c:v>
                </c:pt>
                <c:pt idx="18">
                  <c:v>131.19999999999999</c:v>
                </c:pt>
                <c:pt idx="19">
                  <c:v>201.2</c:v>
                </c:pt>
                <c:pt idx="20">
                  <c:v>121.1</c:v>
                </c:pt>
                <c:pt idx="21">
                  <c:v>121.1</c:v>
                </c:pt>
                <c:pt idx="22">
                  <c:v>91.1</c:v>
                </c:pt>
                <c:pt idx="23">
                  <c:v>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6-44CE-B34A-5A83E3AACA87}"/>
            </c:ext>
          </c:extLst>
        </c:ser>
        <c:ser>
          <c:idx val="3"/>
          <c:order val="2"/>
          <c:tx>
            <c:strRef>
              <c:f>'15'!$AL$18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'15'!$AM$18:$BJ$18</c:f>
              <c:numCache>
                <c:formatCode>General</c:formatCode>
                <c:ptCount val="24"/>
                <c:pt idx="0">
                  <c:v>103.53999999999999</c:v>
                </c:pt>
                <c:pt idx="1">
                  <c:v>103.53999999999999</c:v>
                </c:pt>
                <c:pt idx="2">
                  <c:v>77.739999999999995</c:v>
                </c:pt>
                <c:pt idx="3">
                  <c:v>77.739999999999995</c:v>
                </c:pt>
                <c:pt idx="4">
                  <c:v>102.34</c:v>
                </c:pt>
                <c:pt idx="5">
                  <c:v>113.13999999999999</c:v>
                </c:pt>
                <c:pt idx="6">
                  <c:v>136.43999999999997</c:v>
                </c:pt>
                <c:pt idx="7">
                  <c:v>262.34000000000003</c:v>
                </c:pt>
                <c:pt idx="8">
                  <c:v>291.83999999999997</c:v>
                </c:pt>
                <c:pt idx="9">
                  <c:v>271.44000000000005</c:v>
                </c:pt>
                <c:pt idx="10">
                  <c:v>276.64000000000004</c:v>
                </c:pt>
                <c:pt idx="11">
                  <c:v>264.04000000000002</c:v>
                </c:pt>
                <c:pt idx="12">
                  <c:v>255.43999999999997</c:v>
                </c:pt>
                <c:pt idx="13">
                  <c:v>242.24</c:v>
                </c:pt>
                <c:pt idx="14">
                  <c:v>233.54000000000002</c:v>
                </c:pt>
                <c:pt idx="15">
                  <c:v>217.57999999999998</c:v>
                </c:pt>
                <c:pt idx="16">
                  <c:v>241.48000000000002</c:v>
                </c:pt>
                <c:pt idx="17">
                  <c:v>206.33999999999995</c:v>
                </c:pt>
                <c:pt idx="18">
                  <c:v>209.53999999999996</c:v>
                </c:pt>
                <c:pt idx="19">
                  <c:v>338.54</c:v>
                </c:pt>
                <c:pt idx="20">
                  <c:v>276.34000000000003</c:v>
                </c:pt>
                <c:pt idx="21">
                  <c:v>180.73999999999998</c:v>
                </c:pt>
                <c:pt idx="22">
                  <c:v>180.73999999999998</c:v>
                </c:pt>
                <c:pt idx="23">
                  <c:v>96.740000000000009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6-44CE-B34A-5A83E3AACA87}"/>
            </c:ext>
          </c:extLst>
        </c:ser>
        <c:ser>
          <c:idx val="0"/>
          <c:order val="3"/>
          <c:tx>
            <c:strRef>
              <c:f>'15'!$AL$19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'15'!$AM$19:$BJ$19</c:f>
              <c:numCache>
                <c:formatCode>General</c:formatCode>
                <c:ptCount val="24"/>
                <c:pt idx="0">
                  <c:v>620.5</c:v>
                </c:pt>
                <c:pt idx="1">
                  <c:v>623.9</c:v>
                </c:pt>
                <c:pt idx="2">
                  <c:v>639.30000000000007</c:v>
                </c:pt>
                <c:pt idx="3">
                  <c:v>624.4</c:v>
                </c:pt>
                <c:pt idx="4">
                  <c:v>626.29999999999995</c:v>
                </c:pt>
                <c:pt idx="5">
                  <c:v>649.80000000000007</c:v>
                </c:pt>
                <c:pt idx="6">
                  <c:v>668.59999999999991</c:v>
                </c:pt>
                <c:pt idx="7">
                  <c:v>627.1</c:v>
                </c:pt>
                <c:pt idx="8">
                  <c:v>558.9</c:v>
                </c:pt>
                <c:pt idx="9">
                  <c:v>556.9</c:v>
                </c:pt>
                <c:pt idx="10">
                  <c:v>558.29999999999995</c:v>
                </c:pt>
                <c:pt idx="11">
                  <c:v>590.9</c:v>
                </c:pt>
                <c:pt idx="12">
                  <c:v>676.6</c:v>
                </c:pt>
                <c:pt idx="13">
                  <c:v>680</c:v>
                </c:pt>
                <c:pt idx="14">
                  <c:v>727.9</c:v>
                </c:pt>
                <c:pt idx="15">
                  <c:v>691.30000000000007</c:v>
                </c:pt>
                <c:pt idx="16">
                  <c:v>684.7</c:v>
                </c:pt>
                <c:pt idx="17">
                  <c:v>604.29999999999995</c:v>
                </c:pt>
                <c:pt idx="18">
                  <c:v>601.4</c:v>
                </c:pt>
                <c:pt idx="19">
                  <c:v>597.70000000000005</c:v>
                </c:pt>
                <c:pt idx="20">
                  <c:v>580.79999999999995</c:v>
                </c:pt>
                <c:pt idx="21">
                  <c:v>674.2</c:v>
                </c:pt>
                <c:pt idx="22">
                  <c:v>738</c:v>
                </c:pt>
                <c:pt idx="23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6-44CE-B34A-5A83E3AACA87}"/>
            </c:ext>
          </c:extLst>
        </c:ser>
        <c:ser>
          <c:idx val="4"/>
          <c:order val="4"/>
          <c:tx>
            <c:strRef>
              <c:f>'15'!$AL$20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6-44CE-B34A-5A83E3AACA87}"/>
            </c:ext>
          </c:extLst>
        </c:ser>
        <c:ser>
          <c:idx val="5"/>
          <c:order val="5"/>
          <c:tx>
            <c:strRef>
              <c:f>'15'!$AL$21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86-44CE-B34A-5A83E3AAC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86-44CE-B34A-5A83E3AAC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'15'!$AM$22:$BJ$22</c:f>
              <c:numCache>
                <c:formatCode>General</c:formatCode>
                <c:ptCount val="24"/>
                <c:pt idx="0">
                  <c:v>1233.49</c:v>
                </c:pt>
                <c:pt idx="1">
                  <c:v>1235.69</c:v>
                </c:pt>
                <c:pt idx="2">
                  <c:v>1229.4900000000002</c:v>
                </c:pt>
                <c:pt idx="3">
                  <c:v>1215.49</c:v>
                </c:pt>
                <c:pt idx="4">
                  <c:v>1241.99</c:v>
                </c:pt>
                <c:pt idx="5">
                  <c:v>1276.29</c:v>
                </c:pt>
                <c:pt idx="6">
                  <c:v>1433.3899999999999</c:v>
                </c:pt>
                <c:pt idx="7">
                  <c:v>1639.29</c:v>
                </c:pt>
                <c:pt idx="8">
                  <c:v>1669.69</c:v>
                </c:pt>
                <c:pt idx="9">
                  <c:v>1607.29</c:v>
                </c:pt>
                <c:pt idx="10">
                  <c:v>1591.59</c:v>
                </c:pt>
                <c:pt idx="11">
                  <c:v>1494.3899999999999</c:v>
                </c:pt>
                <c:pt idx="12">
                  <c:v>1544.19</c:v>
                </c:pt>
                <c:pt idx="13">
                  <c:v>1522.79</c:v>
                </c:pt>
                <c:pt idx="14">
                  <c:v>1551.9900000000002</c:v>
                </c:pt>
                <c:pt idx="15">
                  <c:v>1558.4299999999998</c:v>
                </c:pt>
                <c:pt idx="16">
                  <c:v>1575.73</c:v>
                </c:pt>
                <c:pt idx="17">
                  <c:v>1550.19</c:v>
                </c:pt>
                <c:pt idx="18">
                  <c:v>1656.9899999999998</c:v>
                </c:pt>
                <c:pt idx="19">
                  <c:v>1852.29</c:v>
                </c:pt>
                <c:pt idx="20">
                  <c:v>1693.0900000000001</c:v>
                </c:pt>
                <c:pt idx="21">
                  <c:v>1440.89</c:v>
                </c:pt>
                <c:pt idx="22">
                  <c:v>1474.69</c:v>
                </c:pt>
                <c:pt idx="23">
                  <c:v>1307.69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286-44CE-B34A-5A83E3AACA87}"/>
            </c:ext>
          </c:extLst>
        </c:ser>
        <c:ser>
          <c:idx val="8"/>
          <c:order val="8"/>
          <c:tx>
            <c:strRef>
              <c:f>'15'!$AL$24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'15'!$AM$24:$BJ$24</c:f>
              <c:numCache>
                <c:formatCode>General</c:formatCode>
                <c:ptCount val="24"/>
                <c:pt idx="0">
                  <c:v>1233.49</c:v>
                </c:pt>
                <c:pt idx="1">
                  <c:v>1235.69</c:v>
                </c:pt>
                <c:pt idx="2">
                  <c:v>1229.4900000000002</c:v>
                </c:pt>
                <c:pt idx="3">
                  <c:v>1215.49</c:v>
                </c:pt>
                <c:pt idx="4">
                  <c:v>1241.99</c:v>
                </c:pt>
                <c:pt idx="5">
                  <c:v>1276.29</c:v>
                </c:pt>
                <c:pt idx="6">
                  <c:v>1433.3899999999999</c:v>
                </c:pt>
                <c:pt idx="7">
                  <c:v>1639.29</c:v>
                </c:pt>
                <c:pt idx="8">
                  <c:v>1669.69</c:v>
                </c:pt>
                <c:pt idx="9">
                  <c:v>1607.29</c:v>
                </c:pt>
                <c:pt idx="10">
                  <c:v>1591.59</c:v>
                </c:pt>
                <c:pt idx="11">
                  <c:v>1494.3899999999999</c:v>
                </c:pt>
                <c:pt idx="12">
                  <c:v>1544.19</c:v>
                </c:pt>
                <c:pt idx="13">
                  <c:v>1522.79</c:v>
                </c:pt>
                <c:pt idx="14">
                  <c:v>1551.9900000000002</c:v>
                </c:pt>
                <c:pt idx="15">
                  <c:v>1558.4299999999998</c:v>
                </c:pt>
                <c:pt idx="16">
                  <c:v>1575.73</c:v>
                </c:pt>
                <c:pt idx="17">
                  <c:v>1550.19</c:v>
                </c:pt>
                <c:pt idx="18">
                  <c:v>1656.9899999999998</c:v>
                </c:pt>
                <c:pt idx="19">
                  <c:v>1851.29</c:v>
                </c:pt>
                <c:pt idx="20">
                  <c:v>1693.0900000000001</c:v>
                </c:pt>
                <c:pt idx="21">
                  <c:v>1440.89</c:v>
                </c:pt>
                <c:pt idx="22">
                  <c:v>1474.69</c:v>
                </c:pt>
                <c:pt idx="23">
                  <c:v>1307.69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86-44CE-B34A-5A83E3AAC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99-4CA1-927A-4F429E6EF3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99-4CA1-927A-4F429E6EF3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99-4CA1-927A-4F429E6EF3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99-4CA1-927A-4F429E6EF3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99-4CA1-927A-4F429E6EF3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C99-4CA1-927A-4F429E6EF3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'16'!$AM$16:$CI$16</c:f>
              <c:numCache>
                <c:formatCode>General</c:formatCode>
                <c:ptCount val="49"/>
                <c:pt idx="0">
                  <c:v>464.85</c:v>
                </c:pt>
                <c:pt idx="1">
                  <c:v>464.85</c:v>
                </c:pt>
                <c:pt idx="2">
                  <c:v>464.85</c:v>
                </c:pt>
                <c:pt idx="3">
                  <c:v>462.95</c:v>
                </c:pt>
                <c:pt idx="4">
                  <c:v>462.95</c:v>
                </c:pt>
                <c:pt idx="5">
                  <c:v>462.95</c:v>
                </c:pt>
                <c:pt idx="6">
                  <c:v>461.65</c:v>
                </c:pt>
                <c:pt idx="7">
                  <c:v>461.65</c:v>
                </c:pt>
                <c:pt idx="8">
                  <c:v>459.34999999999997</c:v>
                </c:pt>
                <c:pt idx="9">
                  <c:v>459.34999999999997</c:v>
                </c:pt>
                <c:pt idx="10">
                  <c:v>459.34999999999997</c:v>
                </c:pt>
                <c:pt idx="11">
                  <c:v>459.05</c:v>
                </c:pt>
                <c:pt idx="37">
                  <c:v>459.05</c:v>
                </c:pt>
                <c:pt idx="38">
                  <c:v>459.25</c:v>
                </c:pt>
                <c:pt idx="39">
                  <c:v>459.25</c:v>
                </c:pt>
                <c:pt idx="40">
                  <c:v>459.25</c:v>
                </c:pt>
                <c:pt idx="41">
                  <c:v>459.25</c:v>
                </c:pt>
                <c:pt idx="42">
                  <c:v>459.25</c:v>
                </c:pt>
                <c:pt idx="43">
                  <c:v>459.25</c:v>
                </c:pt>
                <c:pt idx="44">
                  <c:v>459.25</c:v>
                </c:pt>
                <c:pt idx="45">
                  <c:v>459.25</c:v>
                </c:pt>
                <c:pt idx="46">
                  <c:v>473.15000000000003</c:v>
                </c:pt>
                <c:pt idx="47">
                  <c:v>473.15000000000003</c:v>
                </c:pt>
                <c:pt idx="48">
                  <c:v>468.05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8-4495-BDD0-EAD10776F620}"/>
            </c:ext>
          </c:extLst>
        </c:ser>
        <c:ser>
          <c:idx val="2"/>
          <c:order val="1"/>
          <c:tx>
            <c:strRef>
              <c:f>'16'!$AL$17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'16'!$AM$17:$CI$17</c:f>
              <c:numCache>
                <c:formatCode>General</c:formatCode>
                <c:ptCount val="49"/>
                <c:pt idx="0">
                  <c:v>35.299999999999997</c:v>
                </c:pt>
                <c:pt idx="1">
                  <c:v>35.299999999999997</c:v>
                </c:pt>
                <c:pt idx="2">
                  <c:v>35.299999999999997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91</c:v>
                </c:pt>
                <c:pt idx="7">
                  <c:v>271.3</c:v>
                </c:pt>
                <c:pt idx="8">
                  <c:v>416.5</c:v>
                </c:pt>
                <c:pt idx="9">
                  <c:v>111.6</c:v>
                </c:pt>
                <c:pt idx="10">
                  <c:v>51.6</c:v>
                </c:pt>
                <c:pt idx="11">
                  <c:v>111.5</c:v>
                </c:pt>
                <c:pt idx="37">
                  <c:v>106.5</c:v>
                </c:pt>
                <c:pt idx="38">
                  <c:v>86.6</c:v>
                </c:pt>
                <c:pt idx="39">
                  <c:v>96.6</c:v>
                </c:pt>
                <c:pt idx="40">
                  <c:v>96.6</c:v>
                </c:pt>
                <c:pt idx="41">
                  <c:v>96.6</c:v>
                </c:pt>
                <c:pt idx="42">
                  <c:v>96.6</c:v>
                </c:pt>
                <c:pt idx="43">
                  <c:v>51.6</c:v>
                </c:pt>
                <c:pt idx="44">
                  <c:v>201.6</c:v>
                </c:pt>
                <c:pt idx="45">
                  <c:v>101.6</c:v>
                </c:pt>
                <c:pt idx="46">
                  <c:v>100.5</c:v>
                </c:pt>
                <c:pt idx="47">
                  <c:v>100.5</c:v>
                </c:pt>
                <c:pt idx="48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8-4495-BDD0-EAD10776F620}"/>
            </c:ext>
          </c:extLst>
        </c:ser>
        <c:ser>
          <c:idx val="3"/>
          <c:order val="2"/>
          <c:tx>
            <c:strRef>
              <c:f>'16'!$AL$18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'16'!$AM$18:$CI$18</c:f>
              <c:numCache>
                <c:formatCode>General</c:formatCode>
                <c:ptCount val="49"/>
                <c:pt idx="0">
                  <c:v>103.53999999999999</c:v>
                </c:pt>
                <c:pt idx="1">
                  <c:v>103.53999999999999</c:v>
                </c:pt>
                <c:pt idx="2">
                  <c:v>103.53999999999999</c:v>
                </c:pt>
                <c:pt idx="3">
                  <c:v>101.04</c:v>
                </c:pt>
                <c:pt idx="4">
                  <c:v>101.04</c:v>
                </c:pt>
                <c:pt idx="5">
                  <c:v>101.04</c:v>
                </c:pt>
                <c:pt idx="6">
                  <c:v>163.04000000000002</c:v>
                </c:pt>
                <c:pt idx="7">
                  <c:v>306.74</c:v>
                </c:pt>
                <c:pt idx="8">
                  <c:v>330.74</c:v>
                </c:pt>
                <c:pt idx="9">
                  <c:v>228.64000000000004</c:v>
                </c:pt>
                <c:pt idx="10">
                  <c:v>232.24000000000004</c:v>
                </c:pt>
                <c:pt idx="11">
                  <c:v>245.74000000000004</c:v>
                </c:pt>
                <c:pt idx="37">
                  <c:v>264.04000000000002</c:v>
                </c:pt>
                <c:pt idx="38">
                  <c:v>251.34</c:v>
                </c:pt>
                <c:pt idx="39">
                  <c:v>241.57000000000002</c:v>
                </c:pt>
                <c:pt idx="40">
                  <c:v>224.83</c:v>
                </c:pt>
                <c:pt idx="41">
                  <c:v>224.32000000000002</c:v>
                </c:pt>
                <c:pt idx="42">
                  <c:v>237.85000000000005</c:v>
                </c:pt>
                <c:pt idx="43">
                  <c:v>184.14000000000001</c:v>
                </c:pt>
                <c:pt idx="44">
                  <c:v>339.50000000000006</c:v>
                </c:pt>
                <c:pt idx="45">
                  <c:v>249.44</c:v>
                </c:pt>
                <c:pt idx="46">
                  <c:v>175.94</c:v>
                </c:pt>
                <c:pt idx="47">
                  <c:v>175.94</c:v>
                </c:pt>
                <c:pt idx="48">
                  <c:v>132.23999999999998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78-4495-BDD0-EAD10776F620}"/>
            </c:ext>
          </c:extLst>
        </c:ser>
        <c:ser>
          <c:idx val="0"/>
          <c:order val="3"/>
          <c:tx>
            <c:strRef>
              <c:f>'16'!$AL$19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'16'!$AM$19:$CI$19</c:f>
              <c:numCache>
                <c:formatCode>General</c:formatCode>
                <c:ptCount val="49"/>
                <c:pt idx="0">
                  <c:v>609</c:v>
                </c:pt>
                <c:pt idx="1">
                  <c:v>609</c:v>
                </c:pt>
                <c:pt idx="2">
                  <c:v>624</c:v>
                </c:pt>
                <c:pt idx="3">
                  <c:v>596.4</c:v>
                </c:pt>
                <c:pt idx="4">
                  <c:v>592.5</c:v>
                </c:pt>
                <c:pt idx="5">
                  <c:v>671.1</c:v>
                </c:pt>
                <c:pt idx="6">
                  <c:v>618.80000000000007</c:v>
                </c:pt>
                <c:pt idx="7">
                  <c:v>458.6</c:v>
                </c:pt>
                <c:pt idx="8">
                  <c:v>291.89999999999998</c:v>
                </c:pt>
                <c:pt idx="9">
                  <c:v>544.09999999999991</c:v>
                </c:pt>
                <c:pt idx="10">
                  <c:v>570.20000000000005</c:v>
                </c:pt>
                <c:pt idx="11">
                  <c:v>614.1</c:v>
                </c:pt>
                <c:pt idx="37">
                  <c:v>640.90000000000009</c:v>
                </c:pt>
                <c:pt idx="38">
                  <c:v>685.89999999999986</c:v>
                </c:pt>
                <c:pt idx="39">
                  <c:v>700.30000000000007</c:v>
                </c:pt>
                <c:pt idx="40">
                  <c:v>705.7</c:v>
                </c:pt>
                <c:pt idx="41">
                  <c:v>722</c:v>
                </c:pt>
                <c:pt idx="42">
                  <c:v>622.29999999999995</c:v>
                </c:pt>
                <c:pt idx="43">
                  <c:v>602.59999999999991</c:v>
                </c:pt>
                <c:pt idx="44">
                  <c:v>590.6</c:v>
                </c:pt>
                <c:pt idx="45">
                  <c:v>568.6</c:v>
                </c:pt>
                <c:pt idx="46">
                  <c:v>656.6</c:v>
                </c:pt>
                <c:pt idx="47">
                  <c:v>668.6</c:v>
                </c:pt>
                <c:pt idx="48">
                  <c:v>670.9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78-4495-BDD0-EAD10776F620}"/>
            </c:ext>
          </c:extLst>
        </c:ser>
        <c:ser>
          <c:idx val="4"/>
          <c:order val="4"/>
          <c:tx>
            <c:strRef>
              <c:f>'16'!$AL$20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'16'!$AM$20:$CI$20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78-4495-BDD0-EAD10776F620}"/>
            </c:ext>
          </c:extLst>
        </c:ser>
        <c:ser>
          <c:idx val="5"/>
          <c:order val="5"/>
          <c:tx>
            <c:strRef>
              <c:f>'16'!$AL$21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'16'!$AM$21:$CI$21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180</c:v>
                </c:pt>
                <c:pt idx="10">
                  <c:v>170</c:v>
                </c:pt>
                <c:pt idx="11">
                  <c:v>150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78-4495-BDD0-EAD10776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'16'!$AM$23:$CI$23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</c:v>
                </c:pt>
                <c:pt idx="41">
                  <c:v>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78-4495-BDD0-EAD10776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'16'!$AM$22:$CI$22</c:f>
              <c:numCache>
                <c:formatCode>General</c:formatCode>
                <c:ptCount val="49"/>
                <c:pt idx="0">
                  <c:v>1212.69</c:v>
                </c:pt>
                <c:pt idx="1">
                  <c:v>1212.69</c:v>
                </c:pt>
                <c:pt idx="2">
                  <c:v>1227.69</c:v>
                </c:pt>
                <c:pt idx="3">
                  <c:v>1196.3899999999999</c:v>
                </c:pt>
                <c:pt idx="4">
                  <c:v>1192.49</c:v>
                </c:pt>
                <c:pt idx="5">
                  <c:v>1271.0900000000001</c:v>
                </c:pt>
                <c:pt idx="6">
                  <c:v>1334.4900000000002</c:v>
                </c:pt>
                <c:pt idx="7">
                  <c:v>1498.29</c:v>
                </c:pt>
                <c:pt idx="8">
                  <c:v>1698.4899999999998</c:v>
                </c:pt>
                <c:pt idx="9">
                  <c:v>1523.6899999999998</c:v>
                </c:pt>
                <c:pt idx="10">
                  <c:v>1483.39</c:v>
                </c:pt>
                <c:pt idx="11">
                  <c:v>1580.3899999999999</c:v>
                </c:pt>
                <c:pt idx="37">
                  <c:v>1470.49</c:v>
                </c:pt>
                <c:pt idx="38">
                  <c:v>1483.09</c:v>
                </c:pt>
                <c:pt idx="39">
                  <c:v>1497.7200000000003</c:v>
                </c:pt>
                <c:pt idx="40">
                  <c:v>1486.38</c:v>
                </c:pt>
                <c:pt idx="41">
                  <c:v>1502.17</c:v>
                </c:pt>
                <c:pt idx="42">
                  <c:v>1466</c:v>
                </c:pt>
                <c:pt idx="43">
                  <c:v>1547.59</c:v>
                </c:pt>
                <c:pt idx="44">
                  <c:v>1840.9500000000003</c:v>
                </c:pt>
                <c:pt idx="45">
                  <c:v>1628.8899999999999</c:v>
                </c:pt>
                <c:pt idx="46">
                  <c:v>1656.19</c:v>
                </c:pt>
                <c:pt idx="47">
                  <c:v>1418.19</c:v>
                </c:pt>
                <c:pt idx="48">
                  <c:v>1306.69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C78-4495-BDD0-EAD10776F620}"/>
            </c:ext>
          </c:extLst>
        </c:ser>
        <c:ser>
          <c:idx val="8"/>
          <c:order val="8"/>
          <c:tx>
            <c:strRef>
              <c:f>'16'!$AL$24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'16'!$AM$15:$CI$15</c:f>
              <c:numCache>
                <c:formatCode>[hh]:mm</c:formatCode>
                <c:ptCount val="49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37">
                  <c:v>0.5</c:v>
                </c:pt>
                <c:pt idx="38">
                  <c:v>0.54166666666666696</c:v>
                </c:pt>
                <c:pt idx="39">
                  <c:v>0.58333333333333304</c:v>
                </c:pt>
                <c:pt idx="40">
                  <c:v>0.625</c:v>
                </c:pt>
                <c:pt idx="41">
                  <c:v>0.66666666666666696</c:v>
                </c:pt>
                <c:pt idx="42">
                  <c:v>0.70833333333333304</c:v>
                </c:pt>
                <c:pt idx="43">
                  <c:v>0.75</c:v>
                </c:pt>
                <c:pt idx="44">
                  <c:v>0.79166666666666663</c:v>
                </c:pt>
                <c:pt idx="45">
                  <c:v>0.83333333333333337</c:v>
                </c:pt>
                <c:pt idx="46">
                  <c:v>0.875</c:v>
                </c:pt>
                <c:pt idx="47">
                  <c:v>0.91666666666666696</c:v>
                </c:pt>
                <c:pt idx="48">
                  <c:v>0.95833333333333304</c:v>
                </c:pt>
              </c:numCache>
            </c:numRef>
          </c:cat>
          <c:val>
            <c:numRef>
              <c:f>'16'!$AM$24:$CI$24</c:f>
              <c:numCache>
                <c:formatCode>General</c:formatCode>
                <c:ptCount val="49"/>
                <c:pt idx="0">
                  <c:v>1212.69</c:v>
                </c:pt>
                <c:pt idx="1">
                  <c:v>1212.69</c:v>
                </c:pt>
                <c:pt idx="2">
                  <c:v>1227.69</c:v>
                </c:pt>
                <c:pt idx="3">
                  <c:v>1196.3899999999999</c:v>
                </c:pt>
                <c:pt idx="4">
                  <c:v>1192.49</c:v>
                </c:pt>
                <c:pt idx="5">
                  <c:v>1271.0900000000001</c:v>
                </c:pt>
                <c:pt idx="6">
                  <c:v>1334.4900000000002</c:v>
                </c:pt>
                <c:pt idx="7">
                  <c:v>1498.29</c:v>
                </c:pt>
                <c:pt idx="8">
                  <c:v>1698.4899999999998</c:v>
                </c:pt>
                <c:pt idx="9">
                  <c:v>1523.6899999999998</c:v>
                </c:pt>
                <c:pt idx="10">
                  <c:v>1483.39</c:v>
                </c:pt>
                <c:pt idx="11">
                  <c:v>1580.3899999999999</c:v>
                </c:pt>
                <c:pt idx="37">
                  <c:v>1470.49</c:v>
                </c:pt>
                <c:pt idx="38">
                  <c:v>1483.09</c:v>
                </c:pt>
                <c:pt idx="39">
                  <c:v>1497.7200000000003</c:v>
                </c:pt>
                <c:pt idx="40">
                  <c:v>1485.38</c:v>
                </c:pt>
                <c:pt idx="41">
                  <c:v>1500.17</c:v>
                </c:pt>
                <c:pt idx="42">
                  <c:v>1466</c:v>
                </c:pt>
                <c:pt idx="43">
                  <c:v>1547.59</c:v>
                </c:pt>
                <c:pt idx="44">
                  <c:v>1840.9500000000003</c:v>
                </c:pt>
                <c:pt idx="45">
                  <c:v>1628.8899999999999</c:v>
                </c:pt>
                <c:pt idx="46">
                  <c:v>1656.19</c:v>
                </c:pt>
                <c:pt idx="47">
                  <c:v>1418.19</c:v>
                </c:pt>
                <c:pt idx="48">
                  <c:v>1306.69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78-4495-BDD0-EAD10776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9F-4A2E-B7A3-7930D7E6A1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9F-4A2E-B7A3-7930D7E6A1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9F-4A2E-B7A3-7930D7E6A1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9F-4A2E-B7A3-7930D7E6A1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9F-4A2E-B7A3-7930D7E6A1A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D9F-4A2E-B7A3-7930D7E6A1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'17'!$AM$16:$BJ$16</c:f>
              <c:numCache>
                <c:formatCode>General</c:formatCode>
                <c:ptCount val="24"/>
                <c:pt idx="0">
                  <c:v>470.35</c:v>
                </c:pt>
                <c:pt idx="1">
                  <c:v>468.65000000000003</c:v>
                </c:pt>
                <c:pt idx="2">
                  <c:v>468.95000000000005</c:v>
                </c:pt>
                <c:pt idx="3">
                  <c:v>468.95000000000005</c:v>
                </c:pt>
                <c:pt idx="4">
                  <c:v>468.95000000000005</c:v>
                </c:pt>
                <c:pt idx="5">
                  <c:v>468.95000000000005</c:v>
                </c:pt>
                <c:pt idx="6">
                  <c:v>468.95000000000005</c:v>
                </c:pt>
                <c:pt idx="7">
                  <c:v>468.95000000000005</c:v>
                </c:pt>
                <c:pt idx="8">
                  <c:v>468.95000000000005</c:v>
                </c:pt>
                <c:pt idx="9">
                  <c:v>468.95000000000005</c:v>
                </c:pt>
                <c:pt idx="10">
                  <c:v>468.95000000000005</c:v>
                </c:pt>
                <c:pt idx="11">
                  <c:v>468.95000000000005</c:v>
                </c:pt>
                <c:pt idx="12">
                  <c:v>468.95000000000005</c:v>
                </c:pt>
                <c:pt idx="13">
                  <c:v>468.95000000000005</c:v>
                </c:pt>
                <c:pt idx="14">
                  <c:v>468.95000000000005</c:v>
                </c:pt>
                <c:pt idx="15">
                  <c:v>468.95000000000005</c:v>
                </c:pt>
                <c:pt idx="16">
                  <c:v>468.95000000000005</c:v>
                </c:pt>
                <c:pt idx="17">
                  <c:v>468.95000000000005</c:v>
                </c:pt>
                <c:pt idx="18">
                  <c:v>468.95000000000005</c:v>
                </c:pt>
                <c:pt idx="19">
                  <c:v>468.95000000000005</c:v>
                </c:pt>
                <c:pt idx="20">
                  <c:v>468.65000000000003</c:v>
                </c:pt>
                <c:pt idx="21">
                  <c:v>471.75</c:v>
                </c:pt>
                <c:pt idx="22">
                  <c:v>474.15000000000003</c:v>
                </c:pt>
                <c:pt idx="23">
                  <c:v>474.15000000000003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4-4F04-A818-969E2E76A3A7}"/>
            </c:ext>
          </c:extLst>
        </c:ser>
        <c:ser>
          <c:idx val="2"/>
          <c:order val="1"/>
          <c:tx>
            <c:strRef>
              <c:f>'17'!$AL$17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'17'!$AM$17:$BJ$17</c:f>
              <c:numCache>
                <c:formatCode>General</c:formatCode>
                <c:ptCount val="24"/>
                <c:pt idx="0">
                  <c:v>35.4</c:v>
                </c:pt>
                <c:pt idx="1">
                  <c:v>35.5</c:v>
                </c:pt>
                <c:pt idx="2">
                  <c:v>35.6</c:v>
                </c:pt>
                <c:pt idx="3">
                  <c:v>35.6</c:v>
                </c:pt>
                <c:pt idx="4">
                  <c:v>35.6</c:v>
                </c:pt>
                <c:pt idx="5">
                  <c:v>35.6</c:v>
                </c:pt>
                <c:pt idx="6">
                  <c:v>65.599999999999994</c:v>
                </c:pt>
                <c:pt idx="7">
                  <c:v>386.5</c:v>
                </c:pt>
                <c:pt idx="8">
                  <c:v>316.5</c:v>
                </c:pt>
                <c:pt idx="9">
                  <c:v>156.5</c:v>
                </c:pt>
                <c:pt idx="10">
                  <c:v>56.5</c:v>
                </c:pt>
                <c:pt idx="11">
                  <c:v>81.5</c:v>
                </c:pt>
                <c:pt idx="12">
                  <c:v>111.5</c:v>
                </c:pt>
                <c:pt idx="13">
                  <c:v>86.6</c:v>
                </c:pt>
                <c:pt idx="14">
                  <c:v>51.6</c:v>
                </c:pt>
                <c:pt idx="15">
                  <c:v>86.6</c:v>
                </c:pt>
                <c:pt idx="16">
                  <c:v>112.6</c:v>
                </c:pt>
                <c:pt idx="17">
                  <c:v>112.6</c:v>
                </c:pt>
                <c:pt idx="18">
                  <c:v>146.6</c:v>
                </c:pt>
                <c:pt idx="19">
                  <c:v>346.6</c:v>
                </c:pt>
                <c:pt idx="20">
                  <c:v>91.1</c:v>
                </c:pt>
                <c:pt idx="21">
                  <c:v>85.6</c:v>
                </c:pt>
                <c:pt idx="22">
                  <c:v>105.2</c:v>
                </c:pt>
                <c:pt idx="23">
                  <c:v>35.200000000000003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4-4F04-A818-969E2E76A3A7}"/>
            </c:ext>
          </c:extLst>
        </c:ser>
        <c:ser>
          <c:idx val="3"/>
          <c:order val="2"/>
          <c:tx>
            <c:strRef>
              <c:f>'17'!$AL$18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'17'!$AM$18:$BJ$18</c:f>
              <c:numCache>
                <c:formatCode>General</c:formatCode>
                <c:ptCount val="24"/>
                <c:pt idx="0">
                  <c:v>105.54</c:v>
                </c:pt>
                <c:pt idx="1">
                  <c:v>105.24</c:v>
                </c:pt>
                <c:pt idx="2">
                  <c:v>78.34</c:v>
                </c:pt>
                <c:pt idx="3">
                  <c:v>78.34</c:v>
                </c:pt>
                <c:pt idx="4">
                  <c:v>89.04</c:v>
                </c:pt>
                <c:pt idx="5">
                  <c:v>123.84</c:v>
                </c:pt>
                <c:pt idx="6">
                  <c:v>226.64</c:v>
                </c:pt>
                <c:pt idx="7">
                  <c:v>318.04000000000002</c:v>
                </c:pt>
                <c:pt idx="8">
                  <c:v>330.84</c:v>
                </c:pt>
                <c:pt idx="9">
                  <c:v>247.13999999999996</c:v>
                </c:pt>
                <c:pt idx="10">
                  <c:v>238.93999999999997</c:v>
                </c:pt>
                <c:pt idx="11">
                  <c:v>243.47999999999996</c:v>
                </c:pt>
                <c:pt idx="12">
                  <c:v>256.73999999999995</c:v>
                </c:pt>
                <c:pt idx="13">
                  <c:v>219.13999999999996</c:v>
                </c:pt>
                <c:pt idx="14">
                  <c:v>217.13999999999996</c:v>
                </c:pt>
                <c:pt idx="15">
                  <c:v>196.23999999999998</c:v>
                </c:pt>
                <c:pt idx="16">
                  <c:v>193.73999999999998</c:v>
                </c:pt>
                <c:pt idx="17">
                  <c:v>190.14</c:v>
                </c:pt>
                <c:pt idx="18">
                  <c:v>158.43999999999997</c:v>
                </c:pt>
                <c:pt idx="19">
                  <c:v>336.3</c:v>
                </c:pt>
                <c:pt idx="20">
                  <c:v>216.23999999999995</c:v>
                </c:pt>
                <c:pt idx="21">
                  <c:v>172.53999999999996</c:v>
                </c:pt>
                <c:pt idx="22">
                  <c:v>127.54</c:v>
                </c:pt>
                <c:pt idx="23">
                  <c:v>114.53999999999999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4-4F04-A818-969E2E76A3A7}"/>
            </c:ext>
          </c:extLst>
        </c:ser>
        <c:ser>
          <c:idx val="0"/>
          <c:order val="3"/>
          <c:tx>
            <c:strRef>
              <c:f>'17'!$AL$19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'17'!$AM$19:$BJ$19</c:f>
              <c:numCache>
                <c:formatCode>General</c:formatCode>
                <c:ptCount val="24"/>
                <c:pt idx="0">
                  <c:v>621.70000000000005</c:v>
                </c:pt>
                <c:pt idx="1">
                  <c:v>645.9</c:v>
                </c:pt>
                <c:pt idx="2">
                  <c:v>632.1</c:v>
                </c:pt>
                <c:pt idx="3">
                  <c:v>638.5</c:v>
                </c:pt>
                <c:pt idx="4">
                  <c:v>648.4</c:v>
                </c:pt>
                <c:pt idx="5">
                  <c:v>635.6</c:v>
                </c:pt>
                <c:pt idx="6">
                  <c:v>523.79999999999995</c:v>
                </c:pt>
                <c:pt idx="7">
                  <c:v>346.20000000000005</c:v>
                </c:pt>
                <c:pt idx="8">
                  <c:v>321.89999999999998</c:v>
                </c:pt>
                <c:pt idx="9">
                  <c:v>470.4</c:v>
                </c:pt>
                <c:pt idx="10">
                  <c:v>565.6</c:v>
                </c:pt>
                <c:pt idx="11">
                  <c:v>707</c:v>
                </c:pt>
                <c:pt idx="12">
                  <c:v>629.40000000000009</c:v>
                </c:pt>
                <c:pt idx="13">
                  <c:v>731</c:v>
                </c:pt>
                <c:pt idx="14">
                  <c:v>780.50000000000011</c:v>
                </c:pt>
                <c:pt idx="15">
                  <c:v>778.60000000000014</c:v>
                </c:pt>
                <c:pt idx="16">
                  <c:v>748.8</c:v>
                </c:pt>
                <c:pt idx="17">
                  <c:v>632.5</c:v>
                </c:pt>
                <c:pt idx="18">
                  <c:v>644.70000000000005</c:v>
                </c:pt>
                <c:pt idx="19">
                  <c:v>368.6</c:v>
                </c:pt>
                <c:pt idx="20">
                  <c:v>640.10000000000014</c:v>
                </c:pt>
                <c:pt idx="21">
                  <c:v>677.30000000000007</c:v>
                </c:pt>
                <c:pt idx="22">
                  <c:v>686.6</c:v>
                </c:pt>
                <c:pt idx="23">
                  <c:v>687.9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4-4F04-A818-969E2E76A3A7}"/>
            </c:ext>
          </c:extLst>
        </c:ser>
        <c:ser>
          <c:idx val="4"/>
          <c:order val="4"/>
          <c:tx>
            <c:strRef>
              <c:f>'17'!$AL$20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64-4F04-A818-969E2E76A3A7}"/>
            </c:ext>
          </c:extLst>
        </c:ser>
        <c:ser>
          <c:idx val="5"/>
          <c:order val="5"/>
          <c:tx>
            <c:strRef>
              <c:f>'17'!$AL$21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250</c:v>
                </c:pt>
                <c:pt idx="9">
                  <c:v>200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64-4F04-A818-969E2E76A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64-4F04-A818-969E2E76A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'17'!$AM$22:$BJ$22</c:f>
              <c:numCache>
                <c:formatCode>General</c:formatCode>
                <c:ptCount val="24"/>
                <c:pt idx="0">
                  <c:v>1232.99</c:v>
                </c:pt>
                <c:pt idx="1">
                  <c:v>1255.29</c:v>
                </c:pt>
                <c:pt idx="2">
                  <c:v>1214.9900000000002</c:v>
                </c:pt>
                <c:pt idx="3">
                  <c:v>1221.3900000000001</c:v>
                </c:pt>
                <c:pt idx="4">
                  <c:v>1241.99</c:v>
                </c:pt>
                <c:pt idx="5">
                  <c:v>1263.9900000000002</c:v>
                </c:pt>
                <c:pt idx="6">
                  <c:v>1284.99</c:v>
                </c:pt>
                <c:pt idx="7">
                  <c:v>1619.69</c:v>
                </c:pt>
                <c:pt idx="8">
                  <c:v>1688.19</c:v>
                </c:pt>
                <c:pt idx="9">
                  <c:v>1542.99</c:v>
                </c:pt>
                <c:pt idx="10">
                  <c:v>1529.99</c:v>
                </c:pt>
                <c:pt idx="11">
                  <c:v>1500.93</c:v>
                </c:pt>
                <c:pt idx="12">
                  <c:v>1466.5900000000001</c:v>
                </c:pt>
                <c:pt idx="13">
                  <c:v>1505.69</c:v>
                </c:pt>
                <c:pt idx="14">
                  <c:v>1518.19</c:v>
                </c:pt>
                <c:pt idx="15">
                  <c:v>1530.3900000000003</c:v>
                </c:pt>
                <c:pt idx="16">
                  <c:v>1524.0900000000001</c:v>
                </c:pt>
                <c:pt idx="17">
                  <c:v>1404.19</c:v>
                </c:pt>
                <c:pt idx="18">
                  <c:v>1668.69</c:v>
                </c:pt>
                <c:pt idx="19">
                  <c:v>1770.4500000000003</c:v>
                </c:pt>
                <c:pt idx="20">
                  <c:v>1666.0900000000001</c:v>
                </c:pt>
                <c:pt idx="21">
                  <c:v>1607.19</c:v>
                </c:pt>
                <c:pt idx="22">
                  <c:v>1393.49</c:v>
                </c:pt>
                <c:pt idx="23">
                  <c:v>1311.79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B64-4F04-A818-969E2E76A3A7}"/>
            </c:ext>
          </c:extLst>
        </c:ser>
        <c:ser>
          <c:idx val="8"/>
          <c:order val="8"/>
          <c:tx>
            <c:strRef>
              <c:f>'17'!$AL$24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'17'!$AM$24:$BJ$24</c:f>
              <c:numCache>
                <c:formatCode>General</c:formatCode>
                <c:ptCount val="24"/>
                <c:pt idx="0">
                  <c:v>1232.99</c:v>
                </c:pt>
                <c:pt idx="1">
                  <c:v>1255.29</c:v>
                </c:pt>
                <c:pt idx="2">
                  <c:v>1214.9900000000002</c:v>
                </c:pt>
                <c:pt idx="3">
                  <c:v>1221.3900000000001</c:v>
                </c:pt>
                <c:pt idx="4">
                  <c:v>1241.99</c:v>
                </c:pt>
                <c:pt idx="5">
                  <c:v>1263.9900000000002</c:v>
                </c:pt>
                <c:pt idx="6">
                  <c:v>1284.99</c:v>
                </c:pt>
                <c:pt idx="7">
                  <c:v>1618.69</c:v>
                </c:pt>
                <c:pt idx="8">
                  <c:v>1688.19</c:v>
                </c:pt>
                <c:pt idx="9">
                  <c:v>1542.99</c:v>
                </c:pt>
                <c:pt idx="10">
                  <c:v>1529.99</c:v>
                </c:pt>
                <c:pt idx="11">
                  <c:v>1500.93</c:v>
                </c:pt>
                <c:pt idx="12">
                  <c:v>1466.5900000000001</c:v>
                </c:pt>
                <c:pt idx="13">
                  <c:v>1505.69</c:v>
                </c:pt>
                <c:pt idx="14">
                  <c:v>1518.19</c:v>
                </c:pt>
                <c:pt idx="15">
                  <c:v>1530.3900000000003</c:v>
                </c:pt>
                <c:pt idx="16">
                  <c:v>1524.0900000000001</c:v>
                </c:pt>
                <c:pt idx="17">
                  <c:v>1404.19</c:v>
                </c:pt>
                <c:pt idx="18">
                  <c:v>1668.69</c:v>
                </c:pt>
                <c:pt idx="19">
                  <c:v>1770.4500000000003</c:v>
                </c:pt>
                <c:pt idx="20">
                  <c:v>1666.0900000000001</c:v>
                </c:pt>
                <c:pt idx="21">
                  <c:v>1607.19</c:v>
                </c:pt>
                <c:pt idx="22">
                  <c:v>1393.49</c:v>
                </c:pt>
                <c:pt idx="23">
                  <c:v>1311.79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64-4F04-A818-969E2E76A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F8-4E3D-81AE-70895E805C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F8-4E3D-81AE-70895E805C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F8-4E3D-81AE-70895E805C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F8-4E3D-81AE-70895E805C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F8-4E3D-81AE-70895E805CC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6F8-4E3D-81AE-70895E805C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'18'!$AM$16:$BJ$16</c:f>
              <c:numCache>
                <c:formatCode>General</c:formatCode>
                <c:ptCount val="24"/>
                <c:pt idx="0">
                  <c:v>473.75</c:v>
                </c:pt>
                <c:pt idx="1">
                  <c:v>473.75</c:v>
                </c:pt>
                <c:pt idx="2">
                  <c:v>473.75</c:v>
                </c:pt>
                <c:pt idx="3">
                  <c:v>472.75</c:v>
                </c:pt>
                <c:pt idx="4">
                  <c:v>472.75</c:v>
                </c:pt>
                <c:pt idx="5">
                  <c:v>472.75</c:v>
                </c:pt>
                <c:pt idx="6">
                  <c:v>472.75</c:v>
                </c:pt>
                <c:pt idx="7">
                  <c:v>472.75</c:v>
                </c:pt>
                <c:pt idx="8">
                  <c:v>472.75</c:v>
                </c:pt>
                <c:pt idx="9">
                  <c:v>472.75</c:v>
                </c:pt>
                <c:pt idx="10">
                  <c:v>472.75</c:v>
                </c:pt>
                <c:pt idx="11">
                  <c:v>472.75</c:v>
                </c:pt>
                <c:pt idx="12">
                  <c:v>472.75</c:v>
                </c:pt>
                <c:pt idx="13">
                  <c:v>472.75</c:v>
                </c:pt>
                <c:pt idx="14">
                  <c:v>472.75</c:v>
                </c:pt>
                <c:pt idx="15">
                  <c:v>472.75</c:v>
                </c:pt>
                <c:pt idx="16">
                  <c:v>430.55</c:v>
                </c:pt>
                <c:pt idx="17">
                  <c:v>472.75</c:v>
                </c:pt>
                <c:pt idx="18">
                  <c:v>472.75</c:v>
                </c:pt>
                <c:pt idx="19">
                  <c:v>472.75</c:v>
                </c:pt>
                <c:pt idx="20">
                  <c:v>472.75</c:v>
                </c:pt>
                <c:pt idx="21">
                  <c:v>472.75</c:v>
                </c:pt>
                <c:pt idx="22">
                  <c:v>472.75</c:v>
                </c:pt>
                <c:pt idx="23">
                  <c:v>472.75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1-4E6C-A13B-B13FA8295668}"/>
            </c:ext>
          </c:extLst>
        </c:ser>
        <c:ser>
          <c:idx val="2"/>
          <c:order val="1"/>
          <c:tx>
            <c:strRef>
              <c:f>'18'!$AL$17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'18'!$AM$17:$BJ$17</c:f>
              <c:numCache>
                <c:formatCode>General</c:formatCode>
                <c:ptCount val="24"/>
                <c:pt idx="0">
                  <c:v>35.200000000000003</c:v>
                </c:pt>
                <c:pt idx="1">
                  <c:v>35.200000000000003</c:v>
                </c:pt>
                <c:pt idx="2">
                  <c:v>36.200000000000003</c:v>
                </c:pt>
                <c:pt idx="3">
                  <c:v>36.200000000000003</c:v>
                </c:pt>
                <c:pt idx="4">
                  <c:v>36.200000000000003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276.2</c:v>
                </c:pt>
                <c:pt idx="8">
                  <c:v>441.2</c:v>
                </c:pt>
                <c:pt idx="9">
                  <c:v>301.2</c:v>
                </c:pt>
                <c:pt idx="10">
                  <c:v>51.2</c:v>
                </c:pt>
                <c:pt idx="11">
                  <c:v>106.2</c:v>
                </c:pt>
                <c:pt idx="12">
                  <c:v>112.2</c:v>
                </c:pt>
                <c:pt idx="13">
                  <c:v>112.2</c:v>
                </c:pt>
                <c:pt idx="14">
                  <c:v>36.299999999999997</c:v>
                </c:pt>
                <c:pt idx="15">
                  <c:v>36.200000000000003</c:v>
                </c:pt>
                <c:pt idx="16">
                  <c:v>85.3</c:v>
                </c:pt>
                <c:pt idx="17">
                  <c:v>95.3</c:v>
                </c:pt>
                <c:pt idx="18">
                  <c:v>135.30000000000001</c:v>
                </c:pt>
                <c:pt idx="19">
                  <c:v>188.2</c:v>
                </c:pt>
                <c:pt idx="20">
                  <c:v>93.1</c:v>
                </c:pt>
                <c:pt idx="21">
                  <c:v>63.1</c:v>
                </c:pt>
                <c:pt idx="22">
                  <c:v>43.1</c:v>
                </c:pt>
                <c:pt idx="23">
                  <c:v>43.1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1-4E6C-A13B-B13FA8295668}"/>
            </c:ext>
          </c:extLst>
        </c:ser>
        <c:ser>
          <c:idx val="3"/>
          <c:order val="2"/>
          <c:tx>
            <c:strRef>
              <c:f>'18'!$AL$18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'18'!$AM$18:$BJ$18</c:f>
              <c:numCache>
                <c:formatCode>General</c:formatCode>
                <c:ptCount val="24"/>
                <c:pt idx="0">
                  <c:v>102.34</c:v>
                </c:pt>
                <c:pt idx="1">
                  <c:v>114.53999999999999</c:v>
                </c:pt>
                <c:pt idx="2">
                  <c:v>111.14</c:v>
                </c:pt>
                <c:pt idx="3">
                  <c:v>111.14</c:v>
                </c:pt>
                <c:pt idx="4">
                  <c:v>111.14</c:v>
                </c:pt>
                <c:pt idx="5">
                  <c:v>132.04</c:v>
                </c:pt>
                <c:pt idx="6">
                  <c:v>269.74</c:v>
                </c:pt>
                <c:pt idx="7">
                  <c:v>326.04000000000002</c:v>
                </c:pt>
                <c:pt idx="8">
                  <c:v>282.24</c:v>
                </c:pt>
                <c:pt idx="9">
                  <c:v>259.04000000000002</c:v>
                </c:pt>
                <c:pt idx="10">
                  <c:v>228.44</c:v>
                </c:pt>
                <c:pt idx="11">
                  <c:v>225.74</c:v>
                </c:pt>
                <c:pt idx="12">
                  <c:v>239.84</c:v>
                </c:pt>
                <c:pt idx="13">
                  <c:v>239.84</c:v>
                </c:pt>
                <c:pt idx="14">
                  <c:v>208.63999999999996</c:v>
                </c:pt>
                <c:pt idx="15">
                  <c:v>182.24</c:v>
                </c:pt>
                <c:pt idx="16">
                  <c:v>179.24</c:v>
                </c:pt>
                <c:pt idx="17">
                  <c:v>144.84</c:v>
                </c:pt>
                <c:pt idx="18">
                  <c:v>203.24</c:v>
                </c:pt>
                <c:pt idx="19">
                  <c:v>280.5</c:v>
                </c:pt>
                <c:pt idx="20">
                  <c:v>211.34</c:v>
                </c:pt>
                <c:pt idx="21">
                  <c:v>176.54</c:v>
                </c:pt>
                <c:pt idx="22">
                  <c:v>139.04</c:v>
                </c:pt>
                <c:pt idx="23">
                  <c:v>106.04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1-4E6C-A13B-B13FA8295668}"/>
            </c:ext>
          </c:extLst>
        </c:ser>
        <c:ser>
          <c:idx val="0"/>
          <c:order val="3"/>
          <c:tx>
            <c:strRef>
              <c:f>'18'!$AL$19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'18'!$AM$19:$BJ$19</c:f>
              <c:numCache>
                <c:formatCode>General</c:formatCode>
                <c:ptCount val="24"/>
                <c:pt idx="0">
                  <c:v>649</c:v>
                </c:pt>
                <c:pt idx="1">
                  <c:v>634.1</c:v>
                </c:pt>
                <c:pt idx="2">
                  <c:v>599.9</c:v>
                </c:pt>
                <c:pt idx="3">
                  <c:v>591</c:v>
                </c:pt>
                <c:pt idx="4">
                  <c:v>590</c:v>
                </c:pt>
                <c:pt idx="5">
                  <c:v>609</c:v>
                </c:pt>
                <c:pt idx="6">
                  <c:v>471</c:v>
                </c:pt>
                <c:pt idx="7">
                  <c:v>340.5</c:v>
                </c:pt>
                <c:pt idx="8">
                  <c:v>236.8</c:v>
                </c:pt>
                <c:pt idx="9">
                  <c:v>309</c:v>
                </c:pt>
                <c:pt idx="10">
                  <c:v>520.70000000000005</c:v>
                </c:pt>
                <c:pt idx="11">
                  <c:v>655.9</c:v>
                </c:pt>
                <c:pt idx="12">
                  <c:v>689.30000000000007</c:v>
                </c:pt>
                <c:pt idx="13">
                  <c:v>784.4</c:v>
                </c:pt>
                <c:pt idx="14">
                  <c:v>778.3</c:v>
                </c:pt>
                <c:pt idx="15">
                  <c:v>837.80000000000007</c:v>
                </c:pt>
                <c:pt idx="16">
                  <c:v>848.6</c:v>
                </c:pt>
                <c:pt idx="17">
                  <c:v>583.90000000000009</c:v>
                </c:pt>
                <c:pt idx="18">
                  <c:v>595.5</c:v>
                </c:pt>
                <c:pt idx="19">
                  <c:v>585.59999999999991</c:v>
                </c:pt>
                <c:pt idx="20">
                  <c:v>608.44000000000005</c:v>
                </c:pt>
                <c:pt idx="21">
                  <c:v>676</c:v>
                </c:pt>
                <c:pt idx="22">
                  <c:v>687.5</c:v>
                </c:pt>
                <c:pt idx="23">
                  <c:v>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1-4E6C-A13B-B13FA8295668}"/>
            </c:ext>
          </c:extLst>
        </c:ser>
        <c:ser>
          <c:idx val="4"/>
          <c:order val="4"/>
          <c:tx>
            <c:strRef>
              <c:f>'18'!$AL$20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1-4E6C-A13B-B13FA8295668}"/>
            </c:ext>
          </c:extLst>
        </c:ser>
        <c:ser>
          <c:idx val="5"/>
          <c:order val="5"/>
          <c:tx>
            <c:strRef>
              <c:f>'18'!$AL$21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200</c:v>
                </c:pt>
                <c:pt idx="8">
                  <c:v>250</c:v>
                </c:pt>
                <c:pt idx="9">
                  <c:v>250</c:v>
                </c:pt>
                <c:pt idx="10">
                  <c:v>230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200</c:v>
                </c:pt>
                <c:pt idx="18">
                  <c:v>280</c:v>
                </c:pt>
                <c:pt idx="19">
                  <c:v>290</c:v>
                </c:pt>
                <c:pt idx="20">
                  <c:v>250</c:v>
                </c:pt>
                <c:pt idx="21">
                  <c:v>221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A1-4E6C-A13B-B13FA8295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1-4E6C-A13B-B13FA8295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'18'!$AM$22:$BJ$22</c:f>
              <c:numCache>
                <c:formatCode>General</c:formatCode>
                <c:ptCount val="24"/>
                <c:pt idx="0">
                  <c:v>1260.29</c:v>
                </c:pt>
                <c:pt idx="1">
                  <c:v>1257.5900000000001</c:v>
                </c:pt>
                <c:pt idx="2">
                  <c:v>1220.99</c:v>
                </c:pt>
                <c:pt idx="3">
                  <c:v>1211.0900000000001</c:v>
                </c:pt>
                <c:pt idx="4">
                  <c:v>1210.0900000000001</c:v>
                </c:pt>
                <c:pt idx="5">
                  <c:v>1249.99</c:v>
                </c:pt>
                <c:pt idx="6">
                  <c:v>1249.69</c:v>
                </c:pt>
                <c:pt idx="7">
                  <c:v>1615.49</c:v>
                </c:pt>
                <c:pt idx="8">
                  <c:v>1682.99</c:v>
                </c:pt>
                <c:pt idx="9">
                  <c:v>1591.99</c:v>
                </c:pt>
                <c:pt idx="10">
                  <c:v>1503.0900000000001</c:v>
                </c:pt>
                <c:pt idx="11">
                  <c:v>1460.5900000000001</c:v>
                </c:pt>
                <c:pt idx="12">
                  <c:v>1514.0900000000001</c:v>
                </c:pt>
                <c:pt idx="13">
                  <c:v>1609.19</c:v>
                </c:pt>
                <c:pt idx="14">
                  <c:v>1495.9899999999998</c:v>
                </c:pt>
                <c:pt idx="15">
                  <c:v>1528.9900000000002</c:v>
                </c:pt>
                <c:pt idx="16">
                  <c:v>1543.69</c:v>
                </c:pt>
                <c:pt idx="17">
                  <c:v>1496.79</c:v>
                </c:pt>
                <c:pt idx="18">
                  <c:v>1686.79</c:v>
                </c:pt>
                <c:pt idx="19">
                  <c:v>1817.05</c:v>
                </c:pt>
                <c:pt idx="20">
                  <c:v>1635.63</c:v>
                </c:pt>
                <c:pt idx="21">
                  <c:v>1609.3899999999999</c:v>
                </c:pt>
                <c:pt idx="22">
                  <c:v>1342.3899999999999</c:v>
                </c:pt>
                <c:pt idx="23">
                  <c:v>1304.8899999999999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CA1-4E6C-A13B-B13FA8295668}"/>
            </c:ext>
          </c:extLst>
        </c:ser>
        <c:ser>
          <c:idx val="8"/>
          <c:order val="8"/>
          <c:tx>
            <c:strRef>
              <c:f>'18'!$AL$24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'18'!$AM$24:$BJ$24</c:f>
              <c:numCache>
                <c:formatCode>General</c:formatCode>
                <c:ptCount val="24"/>
                <c:pt idx="0">
                  <c:v>1260.29</c:v>
                </c:pt>
                <c:pt idx="1">
                  <c:v>1257.5900000000001</c:v>
                </c:pt>
                <c:pt idx="2">
                  <c:v>1220.99</c:v>
                </c:pt>
                <c:pt idx="3">
                  <c:v>1211.0900000000001</c:v>
                </c:pt>
                <c:pt idx="4">
                  <c:v>1210.0900000000001</c:v>
                </c:pt>
                <c:pt idx="5">
                  <c:v>1249.99</c:v>
                </c:pt>
                <c:pt idx="6">
                  <c:v>1249.69</c:v>
                </c:pt>
                <c:pt idx="7">
                  <c:v>1615.49</c:v>
                </c:pt>
                <c:pt idx="8">
                  <c:v>1682.99</c:v>
                </c:pt>
                <c:pt idx="9">
                  <c:v>1591.99</c:v>
                </c:pt>
                <c:pt idx="10">
                  <c:v>1503.0900000000001</c:v>
                </c:pt>
                <c:pt idx="11">
                  <c:v>1460.5900000000001</c:v>
                </c:pt>
                <c:pt idx="12">
                  <c:v>1514.0900000000001</c:v>
                </c:pt>
                <c:pt idx="13">
                  <c:v>1609.19</c:v>
                </c:pt>
                <c:pt idx="14">
                  <c:v>1495.9899999999998</c:v>
                </c:pt>
                <c:pt idx="15">
                  <c:v>1528.9900000000002</c:v>
                </c:pt>
                <c:pt idx="16">
                  <c:v>1543.69</c:v>
                </c:pt>
                <c:pt idx="17">
                  <c:v>1496.79</c:v>
                </c:pt>
                <c:pt idx="18">
                  <c:v>1686.79</c:v>
                </c:pt>
                <c:pt idx="19">
                  <c:v>1817.05</c:v>
                </c:pt>
                <c:pt idx="20">
                  <c:v>1635.63</c:v>
                </c:pt>
                <c:pt idx="21">
                  <c:v>1609.3899999999999</c:v>
                </c:pt>
                <c:pt idx="22">
                  <c:v>1342.3899999999999</c:v>
                </c:pt>
                <c:pt idx="23">
                  <c:v>1303.8899999999999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A1-4E6C-A13B-B13FA8295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58-4413-920C-8553576191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58-4413-920C-8553576191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58-4413-920C-8553576191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58-4413-920C-8553576191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58-4413-920C-8553576191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758-4413-920C-8553576191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'19'!$AM$16:$BJ$16</c:f>
              <c:numCache>
                <c:formatCode>General</c:formatCode>
                <c:ptCount val="24"/>
                <c:pt idx="0">
                  <c:v>472.75</c:v>
                </c:pt>
                <c:pt idx="1">
                  <c:v>472.75</c:v>
                </c:pt>
                <c:pt idx="2">
                  <c:v>472.75</c:v>
                </c:pt>
                <c:pt idx="3">
                  <c:v>472.75</c:v>
                </c:pt>
                <c:pt idx="4">
                  <c:v>472.75</c:v>
                </c:pt>
                <c:pt idx="5">
                  <c:v>472.75</c:v>
                </c:pt>
                <c:pt idx="6">
                  <c:v>472.75</c:v>
                </c:pt>
                <c:pt idx="7">
                  <c:v>472.75</c:v>
                </c:pt>
                <c:pt idx="8">
                  <c:v>468.45</c:v>
                </c:pt>
                <c:pt idx="9">
                  <c:v>468.75</c:v>
                </c:pt>
                <c:pt idx="10">
                  <c:v>468.75</c:v>
                </c:pt>
                <c:pt idx="11">
                  <c:v>467.35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E-49DD-B2D2-91416A830CCF}"/>
            </c:ext>
          </c:extLst>
        </c:ser>
        <c:ser>
          <c:idx val="2"/>
          <c:order val="1"/>
          <c:tx>
            <c:strRef>
              <c:f>'19'!$AL$17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'19'!$AM$17:$BJ$17</c:f>
              <c:numCache>
                <c:formatCode>General</c:formatCode>
                <c:ptCount val="24"/>
                <c:pt idx="0">
                  <c:v>37.299999999999997</c:v>
                </c:pt>
                <c:pt idx="1">
                  <c:v>37.299999999999997</c:v>
                </c:pt>
                <c:pt idx="2">
                  <c:v>37.299999999999997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37.299999999999997</c:v>
                </c:pt>
                <c:pt idx="6">
                  <c:v>52.3</c:v>
                </c:pt>
                <c:pt idx="7">
                  <c:v>287.3</c:v>
                </c:pt>
                <c:pt idx="8">
                  <c:v>477.3</c:v>
                </c:pt>
                <c:pt idx="9">
                  <c:v>327.2</c:v>
                </c:pt>
                <c:pt idx="10">
                  <c:v>57.2</c:v>
                </c:pt>
                <c:pt idx="11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E-49DD-B2D2-91416A830CCF}"/>
            </c:ext>
          </c:extLst>
        </c:ser>
        <c:ser>
          <c:idx val="3"/>
          <c:order val="2"/>
          <c:tx>
            <c:strRef>
              <c:f>'19'!$AL$18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'19'!$AM$18:$BJ$18</c:f>
              <c:numCache>
                <c:formatCode>General</c:formatCode>
                <c:ptCount val="24"/>
                <c:pt idx="0">
                  <c:v>96.04</c:v>
                </c:pt>
                <c:pt idx="1">
                  <c:v>96.04</c:v>
                </c:pt>
                <c:pt idx="2">
                  <c:v>96.04</c:v>
                </c:pt>
                <c:pt idx="3">
                  <c:v>73.540000000000006</c:v>
                </c:pt>
                <c:pt idx="4">
                  <c:v>98.140000000000015</c:v>
                </c:pt>
                <c:pt idx="5">
                  <c:v>114.44000000000001</c:v>
                </c:pt>
                <c:pt idx="6">
                  <c:v>204.23999999999998</c:v>
                </c:pt>
                <c:pt idx="7">
                  <c:v>208.84</c:v>
                </c:pt>
                <c:pt idx="8">
                  <c:v>269.14</c:v>
                </c:pt>
                <c:pt idx="9">
                  <c:v>297.94000000000005</c:v>
                </c:pt>
                <c:pt idx="10">
                  <c:v>302.74</c:v>
                </c:pt>
                <c:pt idx="11">
                  <c:v>265.44000000000005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E-49DD-B2D2-91416A830CCF}"/>
            </c:ext>
          </c:extLst>
        </c:ser>
        <c:ser>
          <c:idx val="0"/>
          <c:order val="3"/>
          <c:tx>
            <c:strRef>
              <c:f>'19'!$AL$19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'19'!$AM$19:$BJ$19</c:f>
              <c:numCache>
                <c:formatCode>General</c:formatCode>
                <c:ptCount val="24"/>
                <c:pt idx="0">
                  <c:v>620</c:v>
                </c:pt>
                <c:pt idx="1">
                  <c:v>603.4</c:v>
                </c:pt>
                <c:pt idx="2">
                  <c:v>602.4</c:v>
                </c:pt>
                <c:pt idx="3">
                  <c:v>577</c:v>
                </c:pt>
                <c:pt idx="4">
                  <c:v>603.79999999999995</c:v>
                </c:pt>
                <c:pt idx="5">
                  <c:v>606.70000000000005</c:v>
                </c:pt>
                <c:pt idx="6">
                  <c:v>584.70000000000005</c:v>
                </c:pt>
                <c:pt idx="7">
                  <c:v>347.9</c:v>
                </c:pt>
                <c:pt idx="8">
                  <c:v>168.1</c:v>
                </c:pt>
                <c:pt idx="9">
                  <c:v>261.09999999999997</c:v>
                </c:pt>
                <c:pt idx="10">
                  <c:v>472.9</c:v>
                </c:pt>
                <c:pt idx="11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E-49DD-B2D2-91416A830CCF}"/>
            </c:ext>
          </c:extLst>
        </c:ser>
        <c:ser>
          <c:idx val="4"/>
          <c:order val="4"/>
          <c:tx>
            <c:strRef>
              <c:f>'19'!$AL$20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E-49DD-B2D2-91416A830CCF}"/>
            </c:ext>
          </c:extLst>
        </c:ser>
        <c:ser>
          <c:idx val="5"/>
          <c:order val="5"/>
          <c:tx>
            <c:strRef>
              <c:f>'19'!$AL$21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200</c:v>
                </c:pt>
                <c:pt idx="10">
                  <c:v>140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3E-49DD-B2D2-91416A830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3E-49DD-B2D2-91416A830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'19'!$AM$22:$BJ$22</c:f>
              <c:numCache>
                <c:formatCode>General</c:formatCode>
                <c:ptCount val="24"/>
                <c:pt idx="0">
                  <c:v>1226.0900000000001</c:v>
                </c:pt>
                <c:pt idx="1">
                  <c:v>1209.49</c:v>
                </c:pt>
                <c:pt idx="2">
                  <c:v>1208.49</c:v>
                </c:pt>
                <c:pt idx="3">
                  <c:v>1160.5900000000001</c:v>
                </c:pt>
                <c:pt idx="4">
                  <c:v>1211.99</c:v>
                </c:pt>
                <c:pt idx="5">
                  <c:v>1231.19</c:v>
                </c:pt>
                <c:pt idx="6">
                  <c:v>1313.99</c:v>
                </c:pt>
                <c:pt idx="7">
                  <c:v>1316.79</c:v>
                </c:pt>
                <c:pt idx="8">
                  <c:v>1582.9899999999998</c:v>
                </c:pt>
                <c:pt idx="9">
                  <c:v>1554.99</c:v>
                </c:pt>
                <c:pt idx="10">
                  <c:v>1441.5900000000001</c:v>
                </c:pt>
                <c:pt idx="11">
                  <c:v>1416.99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53E-49DD-B2D2-91416A830CCF}"/>
            </c:ext>
          </c:extLst>
        </c:ser>
        <c:ser>
          <c:idx val="8"/>
          <c:order val="8"/>
          <c:tx>
            <c:strRef>
              <c:f>'19'!$AL$24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'19'!$AM$24:$BJ$24</c:f>
              <c:numCache>
                <c:formatCode>General</c:formatCode>
                <c:ptCount val="24"/>
                <c:pt idx="0">
                  <c:v>1226.0900000000001</c:v>
                </c:pt>
                <c:pt idx="1">
                  <c:v>1209.49</c:v>
                </c:pt>
                <c:pt idx="2">
                  <c:v>1208.49</c:v>
                </c:pt>
                <c:pt idx="3">
                  <c:v>1160.5900000000001</c:v>
                </c:pt>
                <c:pt idx="4">
                  <c:v>1211.99</c:v>
                </c:pt>
                <c:pt idx="5">
                  <c:v>1231.19</c:v>
                </c:pt>
                <c:pt idx="6">
                  <c:v>1313.99</c:v>
                </c:pt>
                <c:pt idx="7">
                  <c:v>1316.79</c:v>
                </c:pt>
                <c:pt idx="8">
                  <c:v>1582.9899999999998</c:v>
                </c:pt>
                <c:pt idx="9">
                  <c:v>1554.99</c:v>
                </c:pt>
                <c:pt idx="10">
                  <c:v>1441.5900000000001</c:v>
                </c:pt>
                <c:pt idx="11">
                  <c:v>1416.99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3E-49DD-B2D2-91416A830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43-4B6F-B000-16DE2AC70F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43-4B6F-B000-16DE2AC70F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43-4B6F-B000-16DE2AC70F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43-4B6F-B000-16DE2AC70F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43-4B6F-B000-16DE2AC70FA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243-4B6F-B000-16DE2AC70FA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'20'!$AM$16:$BJ$16</c:f>
              <c:numCache>
                <c:formatCode>General</c:formatCode>
                <c:ptCount val="24"/>
                <c:pt idx="0">
                  <c:v>474.85</c:v>
                </c:pt>
                <c:pt idx="1">
                  <c:v>474.85</c:v>
                </c:pt>
                <c:pt idx="2">
                  <c:v>474.85</c:v>
                </c:pt>
                <c:pt idx="3">
                  <c:v>474.85</c:v>
                </c:pt>
                <c:pt idx="4">
                  <c:v>468.85</c:v>
                </c:pt>
                <c:pt idx="5">
                  <c:v>469.65</c:v>
                </c:pt>
                <c:pt idx="6">
                  <c:v>471.75</c:v>
                </c:pt>
                <c:pt idx="7">
                  <c:v>472.05</c:v>
                </c:pt>
                <c:pt idx="8">
                  <c:v>473.45</c:v>
                </c:pt>
                <c:pt idx="9">
                  <c:v>473.65</c:v>
                </c:pt>
                <c:pt idx="10">
                  <c:v>472.25</c:v>
                </c:pt>
                <c:pt idx="11">
                  <c:v>472.25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B-481F-BEF4-F483D8DFEC3A}"/>
            </c:ext>
          </c:extLst>
        </c:ser>
        <c:ser>
          <c:idx val="2"/>
          <c:order val="1"/>
          <c:tx>
            <c:strRef>
              <c:f>'20'!$AL$17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'20'!$AM$17:$BJ$17</c:f>
              <c:numCache>
                <c:formatCode>General</c:formatCode>
                <c:ptCount val="24"/>
                <c:pt idx="0">
                  <c:v>36.700000000000003</c:v>
                </c:pt>
                <c:pt idx="1">
                  <c:v>36.700000000000003</c:v>
                </c:pt>
                <c:pt idx="2">
                  <c:v>36.700000000000003</c:v>
                </c:pt>
                <c:pt idx="3">
                  <c:v>37.200000000000003</c:v>
                </c:pt>
                <c:pt idx="4">
                  <c:v>37.200000000000003</c:v>
                </c:pt>
                <c:pt idx="5">
                  <c:v>37.200000000000003</c:v>
                </c:pt>
                <c:pt idx="6">
                  <c:v>67.2</c:v>
                </c:pt>
                <c:pt idx="7">
                  <c:v>337.2</c:v>
                </c:pt>
                <c:pt idx="8">
                  <c:v>493.2</c:v>
                </c:pt>
                <c:pt idx="9">
                  <c:v>337.2</c:v>
                </c:pt>
                <c:pt idx="10">
                  <c:v>52.2</c:v>
                </c:pt>
                <c:pt idx="11">
                  <c:v>113.2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B-481F-BEF4-F483D8DFEC3A}"/>
            </c:ext>
          </c:extLst>
        </c:ser>
        <c:ser>
          <c:idx val="3"/>
          <c:order val="2"/>
          <c:tx>
            <c:strRef>
              <c:f>'20'!$AL$18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'20'!$AM$18:$BJ$18</c:f>
              <c:numCache>
                <c:formatCode>General</c:formatCode>
                <c:ptCount val="24"/>
                <c:pt idx="0">
                  <c:v>100.64</c:v>
                </c:pt>
                <c:pt idx="1">
                  <c:v>75.64</c:v>
                </c:pt>
                <c:pt idx="2">
                  <c:v>100.64</c:v>
                </c:pt>
                <c:pt idx="3">
                  <c:v>110.74000000000001</c:v>
                </c:pt>
                <c:pt idx="4">
                  <c:v>110.74</c:v>
                </c:pt>
                <c:pt idx="5">
                  <c:v>111.64</c:v>
                </c:pt>
                <c:pt idx="6">
                  <c:v>196.23999999999998</c:v>
                </c:pt>
                <c:pt idx="7">
                  <c:v>229.54</c:v>
                </c:pt>
                <c:pt idx="8">
                  <c:v>312.94000000000005</c:v>
                </c:pt>
                <c:pt idx="9">
                  <c:v>293.34000000000003</c:v>
                </c:pt>
                <c:pt idx="10">
                  <c:v>270.04000000000002</c:v>
                </c:pt>
                <c:pt idx="11">
                  <c:v>285.34000000000009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CB-481F-BEF4-F483D8DFEC3A}"/>
            </c:ext>
          </c:extLst>
        </c:ser>
        <c:ser>
          <c:idx val="0"/>
          <c:order val="3"/>
          <c:tx>
            <c:strRef>
              <c:f>'20'!$AL$19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'20'!$AM$19:$BJ$19</c:f>
              <c:numCache>
                <c:formatCode>General</c:formatCode>
                <c:ptCount val="24"/>
                <c:pt idx="0">
                  <c:v>547</c:v>
                </c:pt>
                <c:pt idx="1">
                  <c:v>600.5</c:v>
                </c:pt>
                <c:pt idx="2">
                  <c:v>498.90000000000003</c:v>
                </c:pt>
                <c:pt idx="3">
                  <c:v>475.1</c:v>
                </c:pt>
                <c:pt idx="4">
                  <c:v>490.8</c:v>
                </c:pt>
                <c:pt idx="5">
                  <c:v>536.6</c:v>
                </c:pt>
                <c:pt idx="6">
                  <c:v>540.1</c:v>
                </c:pt>
                <c:pt idx="7">
                  <c:v>358.4</c:v>
                </c:pt>
                <c:pt idx="8">
                  <c:v>126.49999999999999</c:v>
                </c:pt>
                <c:pt idx="9">
                  <c:v>224</c:v>
                </c:pt>
                <c:pt idx="10">
                  <c:v>481.1</c:v>
                </c:pt>
                <c:pt idx="11">
                  <c:v>556.5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CB-481F-BEF4-F483D8DFEC3A}"/>
            </c:ext>
          </c:extLst>
        </c:ser>
        <c:ser>
          <c:idx val="4"/>
          <c:order val="4"/>
          <c:tx>
            <c:strRef>
              <c:f>'20'!$AL$20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CB-481F-BEF4-F483D8DFEC3A}"/>
            </c:ext>
          </c:extLst>
        </c:ser>
        <c:ser>
          <c:idx val="5"/>
          <c:order val="5"/>
          <c:tx>
            <c:strRef>
              <c:f>'20'!$AL$21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180</c:v>
                </c:pt>
                <c:pt idx="10">
                  <c:v>140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CB-481F-BEF4-F483D8DFE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CB-481F-BEF4-F483D8DFE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'20'!$AM$22:$BJ$22</c:f>
              <c:numCache>
                <c:formatCode>General</c:formatCode>
                <c:ptCount val="24"/>
                <c:pt idx="0">
                  <c:v>1159.19</c:v>
                </c:pt>
                <c:pt idx="1">
                  <c:v>1187.69</c:v>
                </c:pt>
                <c:pt idx="2">
                  <c:v>1111.0900000000001</c:v>
                </c:pt>
                <c:pt idx="3">
                  <c:v>1097.8900000000001</c:v>
                </c:pt>
                <c:pt idx="4">
                  <c:v>1107.5899999999999</c:v>
                </c:pt>
                <c:pt idx="5">
                  <c:v>1155.0900000000001</c:v>
                </c:pt>
                <c:pt idx="6">
                  <c:v>1275.29</c:v>
                </c:pt>
                <c:pt idx="7">
                  <c:v>1397.19</c:v>
                </c:pt>
                <c:pt idx="8">
                  <c:v>1586.0900000000001</c:v>
                </c:pt>
                <c:pt idx="9">
                  <c:v>1508.19</c:v>
                </c:pt>
                <c:pt idx="10">
                  <c:v>1415.5900000000001</c:v>
                </c:pt>
                <c:pt idx="11">
                  <c:v>1547.2900000000002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9CB-481F-BEF4-F483D8DFEC3A}"/>
            </c:ext>
          </c:extLst>
        </c:ser>
        <c:ser>
          <c:idx val="8"/>
          <c:order val="8"/>
          <c:tx>
            <c:strRef>
              <c:f>'20'!$AL$24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'20'!$AM$24:$BJ$24</c:f>
              <c:numCache>
                <c:formatCode>General</c:formatCode>
                <c:ptCount val="24"/>
                <c:pt idx="0">
                  <c:v>1159.19</c:v>
                </c:pt>
                <c:pt idx="1">
                  <c:v>1187.69</c:v>
                </c:pt>
                <c:pt idx="2">
                  <c:v>1111.0900000000001</c:v>
                </c:pt>
                <c:pt idx="3">
                  <c:v>1097.8900000000001</c:v>
                </c:pt>
                <c:pt idx="4">
                  <c:v>1107.5899999999999</c:v>
                </c:pt>
                <c:pt idx="5">
                  <c:v>1155.0900000000001</c:v>
                </c:pt>
                <c:pt idx="6">
                  <c:v>1275.29</c:v>
                </c:pt>
                <c:pt idx="7">
                  <c:v>1397.19</c:v>
                </c:pt>
                <c:pt idx="8">
                  <c:v>1586.0900000000001</c:v>
                </c:pt>
                <c:pt idx="9">
                  <c:v>1508.19</c:v>
                </c:pt>
                <c:pt idx="10">
                  <c:v>1415.5900000000001</c:v>
                </c:pt>
                <c:pt idx="11">
                  <c:v>1547.2900000000002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CB-481F-BEF4-F483D8DFE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19-48F8-AA08-03B083B51D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19-48F8-AA08-03B083B51D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19-48F8-AA08-03B083B51D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19-48F8-AA08-03B083B51D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19-48F8-AA08-03B083B51D4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719-48F8-AA08-03B083B51D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'21'!$AM$16:$BJ$16</c:f>
              <c:numCache>
                <c:formatCode>General</c:formatCode>
                <c:ptCount val="24"/>
                <c:pt idx="0">
                  <c:v>447.8</c:v>
                </c:pt>
                <c:pt idx="1">
                  <c:v>488.25</c:v>
                </c:pt>
                <c:pt idx="2">
                  <c:v>488.25</c:v>
                </c:pt>
                <c:pt idx="3">
                  <c:v>488.25</c:v>
                </c:pt>
                <c:pt idx="4">
                  <c:v>488.25</c:v>
                </c:pt>
                <c:pt idx="5">
                  <c:v>488.25</c:v>
                </c:pt>
                <c:pt idx="6">
                  <c:v>488.25</c:v>
                </c:pt>
                <c:pt idx="7">
                  <c:v>488.25</c:v>
                </c:pt>
                <c:pt idx="8">
                  <c:v>488.95</c:v>
                </c:pt>
                <c:pt idx="9">
                  <c:v>488.85</c:v>
                </c:pt>
                <c:pt idx="10">
                  <c:v>487.65</c:v>
                </c:pt>
                <c:pt idx="11">
                  <c:v>487.65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6-4C3C-98B8-928A9661ACB4}"/>
            </c:ext>
          </c:extLst>
        </c:ser>
        <c:ser>
          <c:idx val="2"/>
          <c:order val="1"/>
          <c:tx>
            <c:strRef>
              <c:f>'21'!$AL$17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'21'!$AM$17:$BJ$17</c:f>
              <c:numCache>
                <c:formatCode>General</c:formatCode>
                <c:ptCount val="24"/>
                <c:pt idx="0">
                  <c:v>34.1</c:v>
                </c:pt>
                <c:pt idx="1">
                  <c:v>34.1</c:v>
                </c:pt>
                <c:pt idx="2">
                  <c:v>34.1</c:v>
                </c:pt>
                <c:pt idx="3">
                  <c:v>34.1</c:v>
                </c:pt>
                <c:pt idx="4">
                  <c:v>34.1</c:v>
                </c:pt>
                <c:pt idx="5">
                  <c:v>49.1</c:v>
                </c:pt>
                <c:pt idx="6">
                  <c:v>84.1</c:v>
                </c:pt>
                <c:pt idx="7">
                  <c:v>304.2</c:v>
                </c:pt>
                <c:pt idx="8">
                  <c:v>490.1</c:v>
                </c:pt>
                <c:pt idx="9">
                  <c:v>304.10000000000002</c:v>
                </c:pt>
                <c:pt idx="10">
                  <c:v>64.099999999999994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6-4C3C-98B8-928A9661ACB4}"/>
            </c:ext>
          </c:extLst>
        </c:ser>
        <c:ser>
          <c:idx val="3"/>
          <c:order val="2"/>
          <c:tx>
            <c:strRef>
              <c:f>'21'!$AL$18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'21'!$AM$18:$BJ$18</c:f>
              <c:numCache>
                <c:formatCode>General</c:formatCode>
                <c:ptCount val="24"/>
                <c:pt idx="0">
                  <c:v>142.23999999999998</c:v>
                </c:pt>
                <c:pt idx="1">
                  <c:v>119.04</c:v>
                </c:pt>
                <c:pt idx="2">
                  <c:v>118.04</c:v>
                </c:pt>
                <c:pt idx="3">
                  <c:v>118.04</c:v>
                </c:pt>
                <c:pt idx="4">
                  <c:v>132.04</c:v>
                </c:pt>
                <c:pt idx="5">
                  <c:v>144.04</c:v>
                </c:pt>
                <c:pt idx="6">
                  <c:v>213.44</c:v>
                </c:pt>
                <c:pt idx="7">
                  <c:v>301.64000000000004</c:v>
                </c:pt>
                <c:pt idx="8">
                  <c:v>259.08000000000004</c:v>
                </c:pt>
                <c:pt idx="9">
                  <c:v>238.14000000000001</c:v>
                </c:pt>
                <c:pt idx="10">
                  <c:v>205.23999999999998</c:v>
                </c:pt>
                <c:pt idx="11">
                  <c:v>210.44000000000003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16-4C3C-98B8-928A9661ACB4}"/>
            </c:ext>
          </c:extLst>
        </c:ser>
        <c:ser>
          <c:idx val="0"/>
          <c:order val="3"/>
          <c:tx>
            <c:strRef>
              <c:f>'21'!$AL$19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'21'!$AM$19:$BJ$19</c:f>
              <c:numCache>
                <c:formatCode>General</c:formatCode>
                <c:ptCount val="24"/>
                <c:pt idx="0">
                  <c:v>487</c:v>
                </c:pt>
                <c:pt idx="1">
                  <c:v>522.90000000000009</c:v>
                </c:pt>
                <c:pt idx="2">
                  <c:v>504.70000000000005</c:v>
                </c:pt>
                <c:pt idx="3">
                  <c:v>513.70000000000005</c:v>
                </c:pt>
                <c:pt idx="4">
                  <c:v>528</c:v>
                </c:pt>
                <c:pt idx="5">
                  <c:v>549.29999999999995</c:v>
                </c:pt>
                <c:pt idx="6">
                  <c:v>561.6</c:v>
                </c:pt>
                <c:pt idx="7">
                  <c:v>280.60000000000002</c:v>
                </c:pt>
                <c:pt idx="8">
                  <c:v>140.6</c:v>
                </c:pt>
                <c:pt idx="9">
                  <c:v>286.20000000000005</c:v>
                </c:pt>
                <c:pt idx="10">
                  <c:v>520.20000000000005</c:v>
                </c:pt>
                <c:pt idx="11">
                  <c:v>516.29999999999995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16-4C3C-98B8-928A9661ACB4}"/>
            </c:ext>
          </c:extLst>
        </c:ser>
        <c:ser>
          <c:idx val="4"/>
          <c:order val="4"/>
          <c:tx>
            <c:strRef>
              <c:f>'21'!$AL$20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16-4C3C-98B8-928A9661ACB4}"/>
            </c:ext>
          </c:extLst>
        </c:ser>
        <c:ser>
          <c:idx val="5"/>
          <c:order val="5"/>
          <c:tx>
            <c:strRef>
              <c:f>'21'!$AL$21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250</c:v>
                </c:pt>
                <c:pt idx="9">
                  <c:v>250</c:v>
                </c:pt>
                <c:pt idx="10">
                  <c:v>200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16-4C3C-98B8-928A9661A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16-4C3C-98B8-928A9661A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'21'!$AM$22:$BJ$22</c:f>
              <c:numCache>
                <c:formatCode>General</c:formatCode>
                <c:ptCount val="24"/>
                <c:pt idx="0">
                  <c:v>1111.1399999999999</c:v>
                </c:pt>
                <c:pt idx="1">
                  <c:v>1164.29</c:v>
                </c:pt>
                <c:pt idx="2">
                  <c:v>1145.0900000000001</c:v>
                </c:pt>
                <c:pt idx="3">
                  <c:v>1154.0900000000001</c:v>
                </c:pt>
                <c:pt idx="4">
                  <c:v>1182.3899999999999</c:v>
                </c:pt>
                <c:pt idx="5">
                  <c:v>1230.69</c:v>
                </c:pt>
                <c:pt idx="6">
                  <c:v>1347.3899999999999</c:v>
                </c:pt>
                <c:pt idx="7">
                  <c:v>1474.69</c:v>
                </c:pt>
                <c:pt idx="8">
                  <c:v>1628.73</c:v>
                </c:pt>
                <c:pt idx="9">
                  <c:v>1567.2900000000002</c:v>
                </c:pt>
                <c:pt idx="10">
                  <c:v>1477.19</c:v>
                </c:pt>
                <c:pt idx="11">
                  <c:v>1428.3899999999999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C16-4C3C-98B8-928A9661ACB4}"/>
            </c:ext>
          </c:extLst>
        </c:ser>
        <c:ser>
          <c:idx val="8"/>
          <c:order val="8"/>
          <c:tx>
            <c:strRef>
              <c:f>'21'!$AL$24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'21'!$AM$24:$BJ$24</c:f>
              <c:numCache>
                <c:formatCode>General</c:formatCode>
                <c:ptCount val="24"/>
                <c:pt idx="0">
                  <c:v>1111.1399999999999</c:v>
                </c:pt>
                <c:pt idx="1">
                  <c:v>1164.29</c:v>
                </c:pt>
                <c:pt idx="2">
                  <c:v>1145.0900000000001</c:v>
                </c:pt>
                <c:pt idx="3">
                  <c:v>1154.0900000000001</c:v>
                </c:pt>
                <c:pt idx="4">
                  <c:v>1182.3899999999999</c:v>
                </c:pt>
                <c:pt idx="5">
                  <c:v>1230.69</c:v>
                </c:pt>
                <c:pt idx="6">
                  <c:v>1347.3899999999999</c:v>
                </c:pt>
                <c:pt idx="7">
                  <c:v>1474.69</c:v>
                </c:pt>
                <c:pt idx="8">
                  <c:v>1628.73</c:v>
                </c:pt>
                <c:pt idx="9">
                  <c:v>1567.2900000000002</c:v>
                </c:pt>
                <c:pt idx="10">
                  <c:v>1477.19</c:v>
                </c:pt>
                <c:pt idx="11">
                  <c:v>1428.3899999999999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16-4C3C-98B8-928A9661A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AF-4016-8021-BDB5BF46DD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AF-4016-8021-BDB5BF46DD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AF-4016-8021-BDB5BF46DD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AF-4016-8021-BDB5BF46DD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AF-4016-8021-BDB5BF46DD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AAF-4016-8021-BDB5BF46DD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'22'!$AM$16:$BJ$16</c:f>
              <c:numCache>
                <c:formatCode>General</c:formatCode>
                <c:ptCount val="24"/>
                <c:pt idx="0">
                  <c:v>464.05000000000007</c:v>
                </c:pt>
                <c:pt idx="1">
                  <c:v>464.05000000000007</c:v>
                </c:pt>
                <c:pt idx="2">
                  <c:v>464.05000000000007</c:v>
                </c:pt>
                <c:pt idx="3">
                  <c:v>464.05000000000007</c:v>
                </c:pt>
                <c:pt idx="4">
                  <c:v>464.05000000000007</c:v>
                </c:pt>
                <c:pt idx="5">
                  <c:v>464.05000000000007</c:v>
                </c:pt>
                <c:pt idx="6">
                  <c:v>464.05000000000007</c:v>
                </c:pt>
                <c:pt idx="7">
                  <c:v>464.05000000000007</c:v>
                </c:pt>
                <c:pt idx="8">
                  <c:v>463.25000000000006</c:v>
                </c:pt>
                <c:pt idx="9">
                  <c:v>463.35</c:v>
                </c:pt>
                <c:pt idx="10">
                  <c:v>463.25000000000006</c:v>
                </c:pt>
                <c:pt idx="11">
                  <c:v>461.05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4-4BA1-B516-CA4D96CC704C}"/>
            </c:ext>
          </c:extLst>
        </c:ser>
        <c:ser>
          <c:idx val="2"/>
          <c:order val="1"/>
          <c:tx>
            <c:strRef>
              <c:f>'22'!$AL$17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'22'!$AM$17:$BJ$17</c:f>
              <c:numCache>
                <c:formatCode>General</c:formatCode>
                <c:ptCount val="24"/>
                <c:pt idx="0">
                  <c:v>41.2</c:v>
                </c:pt>
                <c:pt idx="1">
                  <c:v>41.2</c:v>
                </c:pt>
                <c:pt idx="2">
                  <c:v>41.2</c:v>
                </c:pt>
                <c:pt idx="3">
                  <c:v>41.1</c:v>
                </c:pt>
                <c:pt idx="4">
                  <c:v>38.200000000000003</c:v>
                </c:pt>
                <c:pt idx="5">
                  <c:v>38.1</c:v>
                </c:pt>
                <c:pt idx="6">
                  <c:v>38.200000000000003</c:v>
                </c:pt>
                <c:pt idx="7">
                  <c:v>143.19999999999999</c:v>
                </c:pt>
                <c:pt idx="8">
                  <c:v>443.2</c:v>
                </c:pt>
                <c:pt idx="9">
                  <c:v>432.2</c:v>
                </c:pt>
                <c:pt idx="10">
                  <c:v>37.200000000000003</c:v>
                </c:pt>
                <c:pt idx="11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4-4BA1-B516-CA4D96CC704C}"/>
            </c:ext>
          </c:extLst>
        </c:ser>
        <c:ser>
          <c:idx val="3"/>
          <c:order val="2"/>
          <c:tx>
            <c:strRef>
              <c:f>'22'!$AL$18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'22'!$AM$18:$BJ$18</c:f>
              <c:numCache>
                <c:formatCode>General</c:formatCode>
                <c:ptCount val="24"/>
                <c:pt idx="0">
                  <c:v>110.94</c:v>
                </c:pt>
                <c:pt idx="1">
                  <c:v>110.94</c:v>
                </c:pt>
                <c:pt idx="2">
                  <c:v>111.74000000000001</c:v>
                </c:pt>
                <c:pt idx="3">
                  <c:v>106.14000000000001</c:v>
                </c:pt>
                <c:pt idx="4">
                  <c:v>115.84</c:v>
                </c:pt>
                <c:pt idx="5">
                  <c:v>197.43999999999997</c:v>
                </c:pt>
                <c:pt idx="6">
                  <c:v>278.54000000000002</c:v>
                </c:pt>
                <c:pt idx="7">
                  <c:v>297.74</c:v>
                </c:pt>
                <c:pt idx="8">
                  <c:v>334.94000000000005</c:v>
                </c:pt>
                <c:pt idx="9">
                  <c:v>253.83999999999997</c:v>
                </c:pt>
                <c:pt idx="10">
                  <c:v>227.93999999999997</c:v>
                </c:pt>
                <c:pt idx="11">
                  <c:v>211.63999999999996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B4-4BA1-B516-CA4D96CC704C}"/>
            </c:ext>
          </c:extLst>
        </c:ser>
        <c:ser>
          <c:idx val="0"/>
          <c:order val="3"/>
          <c:tx>
            <c:strRef>
              <c:f>'22'!$AL$19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'22'!$AM$19:$BJ$19</c:f>
              <c:numCache>
                <c:formatCode>General</c:formatCode>
                <c:ptCount val="24"/>
                <c:pt idx="0">
                  <c:v>621.90000000000009</c:v>
                </c:pt>
                <c:pt idx="1">
                  <c:v>635.10000000000014</c:v>
                </c:pt>
                <c:pt idx="2">
                  <c:v>591.70000000000005</c:v>
                </c:pt>
                <c:pt idx="3">
                  <c:v>592.40000000000009</c:v>
                </c:pt>
                <c:pt idx="4">
                  <c:v>568</c:v>
                </c:pt>
                <c:pt idx="5">
                  <c:v>506.5</c:v>
                </c:pt>
                <c:pt idx="6">
                  <c:v>580.40000000000009</c:v>
                </c:pt>
                <c:pt idx="7">
                  <c:v>536.70000000000005</c:v>
                </c:pt>
                <c:pt idx="8">
                  <c:v>157.39999999999998</c:v>
                </c:pt>
                <c:pt idx="9">
                  <c:v>145.5</c:v>
                </c:pt>
                <c:pt idx="10">
                  <c:v>507.7</c:v>
                </c:pt>
                <c:pt idx="11">
                  <c:v>663.2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B4-4BA1-B516-CA4D96CC704C}"/>
            </c:ext>
          </c:extLst>
        </c:ser>
        <c:ser>
          <c:idx val="4"/>
          <c:order val="4"/>
          <c:tx>
            <c:strRef>
              <c:f>'22'!$AL$20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B4-4BA1-B516-CA4D96CC704C}"/>
            </c:ext>
          </c:extLst>
        </c:ser>
        <c:ser>
          <c:idx val="5"/>
          <c:order val="5"/>
          <c:tx>
            <c:strRef>
              <c:f>'22'!$AL$21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250</c:v>
                </c:pt>
                <c:pt idx="9">
                  <c:v>250</c:v>
                </c:pt>
                <c:pt idx="10">
                  <c:v>200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B4-4BA1-B516-CA4D96CC7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B4-4BA1-B516-CA4D96CC7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'22'!$AM$22:$BJ$22</c:f>
              <c:numCache>
                <c:formatCode>General</c:formatCode>
                <c:ptCount val="24"/>
                <c:pt idx="0">
                  <c:v>1238.0900000000001</c:v>
                </c:pt>
                <c:pt idx="1">
                  <c:v>1251.2900000000002</c:v>
                </c:pt>
                <c:pt idx="2">
                  <c:v>1208.69</c:v>
                </c:pt>
                <c:pt idx="3">
                  <c:v>1203.69</c:v>
                </c:pt>
                <c:pt idx="4">
                  <c:v>1186.0900000000001</c:v>
                </c:pt>
                <c:pt idx="5">
                  <c:v>1206.0900000000001</c:v>
                </c:pt>
                <c:pt idx="6">
                  <c:v>1361.19</c:v>
                </c:pt>
                <c:pt idx="7">
                  <c:v>1591.69</c:v>
                </c:pt>
                <c:pt idx="8">
                  <c:v>1648.79</c:v>
                </c:pt>
                <c:pt idx="9">
                  <c:v>1544.8899999999999</c:v>
                </c:pt>
                <c:pt idx="10">
                  <c:v>1436.09</c:v>
                </c:pt>
                <c:pt idx="11">
                  <c:v>1373.0900000000001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DB4-4BA1-B516-CA4D96CC704C}"/>
            </c:ext>
          </c:extLst>
        </c:ser>
        <c:ser>
          <c:idx val="8"/>
          <c:order val="8"/>
          <c:tx>
            <c:strRef>
              <c:f>'22'!$AL$24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'22'!$AM$24:$BJ$24</c:f>
              <c:numCache>
                <c:formatCode>General</c:formatCode>
                <c:ptCount val="24"/>
                <c:pt idx="0">
                  <c:v>1238.0900000000001</c:v>
                </c:pt>
                <c:pt idx="1">
                  <c:v>1251.2900000000002</c:v>
                </c:pt>
                <c:pt idx="2">
                  <c:v>1208.69</c:v>
                </c:pt>
                <c:pt idx="3">
                  <c:v>1203.69</c:v>
                </c:pt>
                <c:pt idx="4">
                  <c:v>1186.0900000000001</c:v>
                </c:pt>
                <c:pt idx="5">
                  <c:v>1206.0900000000001</c:v>
                </c:pt>
                <c:pt idx="6">
                  <c:v>1361.19</c:v>
                </c:pt>
                <c:pt idx="7">
                  <c:v>1591.69</c:v>
                </c:pt>
                <c:pt idx="8">
                  <c:v>1648.79</c:v>
                </c:pt>
                <c:pt idx="9">
                  <c:v>1544.8899999999999</c:v>
                </c:pt>
                <c:pt idx="10">
                  <c:v>1436.09</c:v>
                </c:pt>
                <c:pt idx="11">
                  <c:v>1373.0900000000001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B4-4BA1-B516-CA4D96CC7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2D-4D95-9B44-A53B9FFB5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2D-4D95-9B44-A53B9FFB5A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2D-4D95-9B44-A53B9FFB5A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2D-4D95-9B44-A53B9FFB5A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E2D-4D95-9B44-A53B9FFB5A4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E2D-4D95-9B44-A53B9FFB5A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'23'!$AM$16:$BJ$16</c:f>
              <c:numCache>
                <c:formatCode>General</c:formatCode>
                <c:ptCount val="24"/>
                <c:pt idx="0">
                  <c:v>461.85</c:v>
                </c:pt>
                <c:pt idx="1">
                  <c:v>461.85</c:v>
                </c:pt>
                <c:pt idx="2">
                  <c:v>461.85</c:v>
                </c:pt>
                <c:pt idx="3">
                  <c:v>460.65000000000003</c:v>
                </c:pt>
                <c:pt idx="4">
                  <c:v>460.65000000000003</c:v>
                </c:pt>
                <c:pt idx="5">
                  <c:v>460.65000000000003</c:v>
                </c:pt>
                <c:pt idx="6">
                  <c:v>461.05</c:v>
                </c:pt>
                <c:pt idx="7">
                  <c:v>461.05</c:v>
                </c:pt>
                <c:pt idx="8">
                  <c:v>460.95000000000005</c:v>
                </c:pt>
                <c:pt idx="9">
                  <c:v>460.95000000000005</c:v>
                </c:pt>
                <c:pt idx="10">
                  <c:v>460.95000000000005</c:v>
                </c:pt>
                <c:pt idx="11">
                  <c:v>460.95000000000005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B-466E-8309-D4736EF0E9D4}"/>
            </c:ext>
          </c:extLst>
        </c:ser>
        <c:ser>
          <c:idx val="2"/>
          <c:order val="1"/>
          <c:tx>
            <c:strRef>
              <c:f>'23'!$AL$17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'23'!$AM$17:$BJ$17</c:f>
              <c:numCache>
                <c:formatCode>General</c:formatCode>
                <c:ptCount val="24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38.4</c:v>
                </c:pt>
                <c:pt idx="5">
                  <c:v>38.4</c:v>
                </c:pt>
                <c:pt idx="6">
                  <c:v>39.799999999999997</c:v>
                </c:pt>
                <c:pt idx="7">
                  <c:v>394.8</c:v>
                </c:pt>
                <c:pt idx="8">
                  <c:v>459.8</c:v>
                </c:pt>
                <c:pt idx="9">
                  <c:v>239.8</c:v>
                </c:pt>
                <c:pt idx="10">
                  <c:v>139.80000000000001</c:v>
                </c:pt>
                <c:pt idx="11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B-466E-8309-D4736EF0E9D4}"/>
            </c:ext>
          </c:extLst>
        </c:ser>
        <c:ser>
          <c:idx val="3"/>
          <c:order val="2"/>
          <c:tx>
            <c:strRef>
              <c:f>'23'!$AL$18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'23'!$AM$18:$BJ$18</c:f>
              <c:numCache>
                <c:formatCode>General</c:formatCode>
                <c:ptCount val="24"/>
                <c:pt idx="0">
                  <c:v>107.44000000000001</c:v>
                </c:pt>
                <c:pt idx="1">
                  <c:v>117.64000000000001</c:v>
                </c:pt>
                <c:pt idx="2">
                  <c:v>82.640000000000015</c:v>
                </c:pt>
                <c:pt idx="3">
                  <c:v>82.640000000000015</c:v>
                </c:pt>
                <c:pt idx="4">
                  <c:v>82.640000000000015</c:v>
                </c:pt>
                <c:pt idx="5">
                  <c:v>139.63999999999999</c:v>
                </c:pt>
                <c:pt idx="6">
                  <c:v>237.64</c:v>
                </c:pt>
                <c:pt idx="7">
                  <c:v>360.14000000000004</c:v>
                </c:pt>
                <c:pt idx="8">
                  <c:v>316.03999999999991</c:v>
                </c:pt>
                <c:pt idx="9">
                  <c:v>327.53999999999996</c:v>
                </c:pt>
                <c:pt idx="10">
                  <c:v>219.33999999999997</c:v>
                </c:pt>
                <c:pt idx="11">
                  <c:v>211.33999999999997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B-466E-8309-D4736EF0E9D4}"/>
            </c:ext>
          </c:extLst>
        </c:ser>
        <c:ser>
          <c:idx val="0"/>
          <c:order val="3"/>
          <c:tx>
            <c:strRef>
              <c:f>'23'!$AL$19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'23'!$AM$19:$BJ$19</c:f>
              <c:numCache>
                <c:formatCode>General</c:formatCode>
                <c:ptCount val="24"/>
                <c:pt idx="0">
                  <c:v>678.39999999999986</c:v>
                </c:pt>
                <c:pt idx="1">
                  <c:v>624.90000000000009</c:v>
                </c:pt>
                <c:pt idx="2">
                  <c:v>650.79999999999995</c:v>
                </c:pt>
                <c:pt idx="3">
                  <c:v>643.9</c:v>
                </c:pt>
                <c:pt idx="4">
                  <c:v>578.79999999999995</c:v>
                </c:pt>
                <c:pt idx="5">
                  <c:v>590</c:v>
                </c:pt>
                <c:pt idx="6">
                  <c:v>620</c:v>
                </c:pt>
                <c:pt idx="7">
                  <c:v>238</c:v>
                </c:pt>
                <c:pt idx="8">
                  <c:v>163.5</c:v>
                </c:pt>
                <c:pt idx="9">
                  <c:v>259.60000000000002</c:v>
                </c:pt>
                <c:pt idx="10">
                  <c:v>572.59999999999991</c:v>
                </c:pt>
                <c:pt idx="11">
                  <c:v>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B-466E-8309-D4736EF0E9D4}"/>
            </c:ext>
          </c:extLst>
        </c:ser>
        <c:ser>
          <c:idx val="4"/>
          <c:order val="4"/>
          <c:tx>
            <c:strRef>
              <c:f>'23'!$AL$20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8B-466E-8309-D4736EF0E9D4}"/>
            </c:ext>
          </c:extLst>
        </c:ser>
        <c:ser>
          <c:idx val="5"/>
          <c:order val="5"/>
          <c:tx>
            <c:strRef>
              <c:f>'23'!$AL$21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8B-466E-8309-D4736EF0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8B-466E-8309-D4736EF0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'23'!$AM$22:$BJ$22</c:f>
              <c:numCache>
                <c:formatCode>General</c:formatCode>
                <c:ptCount val="24"/>
                <c:pt idx="0">
                  <c:v>1284.19</c:v>
                </c:pt>
                <c:pt idx="1">
                  <c:v>1240.8900000000001</c:v>
                </c:pt>
                <c:pt idx="2">
                  <c:v>1231.79</c:v>
                </c:pt>
                <c:pt idx="3">
                  <c:v>1223.69</c:v>
                </c:pt>
                <c:pt idx="4">
                  <c:v>1160.49</c:v>
                </c:pt>
                <c:pt idx="5">
                  <c:v>1228.69</c:v>
                </c:pt>
                <c:pt idx="6">
                  <c:v>1358.49</c:v>
                </c:pt>
                <c:pt idx="7">
                  <c:v>1453.99</c:v>
                </c:pt>
                <c:pt idx="8">
                  <c:v>1400.29</c:v>
                </c:pt>
                <c:pt idx="9">
                  <c:v>1287.8899999999999</c:v>
                </c:pt>
                <c:pt idx="10">
                  <c:v>1392.6899999999998</c:v>
                </c:pt>
                <c:pt idx="11">
                  <c:v>1436.59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8B-466E-8309-D4736EF0E9D4}"/>
            </c:ext>
          </c:extLst>
        </c:ser>
        <c:ser>
          <c:idx val="8"/>
          <c:order val="8"/>
          <c:tx>
            <c:strRef>
              <c:f>'23'!$AL$24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'23'!$AM$24:$BJ$24</c:f>
              <c:numCache>
                <c:formatCode>General</c:formatCode>
                <c:ptCount val="24"/>
                <c:pt idx="0">
                  <c:v>1284.19</c:v>
                </c:pt>
                <c:pt idx="1">
                  <c:v>1240.8900000000001</c:v>
                </c:pt>
                <c:pt idx="2">
                  <c:v>1231.79</c:v>
                </c:pt>
                <c:pt idx="3">
                  <c:v>1223.69</c:v>
                </c:pt>
                <c:pt idx="4">
                  <c:v>1160.49</c:v>
                </c:pt>
                <c:pt idx="5">
                  <c:v>1228.69</c:v>
                </c:pt>
                <c:pt idx="6">
                  <c:v>1358.49</c:v>
                </c:pt>
                <c:pt idx="7">
                  <c:v>1453.99</c:v>
                </c:pt>
                <c:pt idx="8">
                  <c:v>1400.29</c:v>
                </c:pt>
                <c:pt idx="9">
                  <c:v>1287.8899999999999</c:v>
                </c:pt>
                <c:pt idx="10">
                  <c:v>1392.6899999999998</c:v>
                </c:pt>
                <c:pt idx="11">
                  <c:v>1436.59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8B-466E-8309-D4736EF0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0D-4B69-A80B-535105775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0D-4B69-A80B-535105775D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0D-4B69-A80B-535105775D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0D-4B69-A80B-535105775D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0D-4B69-A80B-535105775D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D0D-4B69-A80B-535105775D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'24'!$AM$16:$BJ$16</c:f>
              <c:numCache>
                <c:formatCode>General</c:formatCode>
                <c:ptCount val="24"/>
                <c:pt idx="0">
                  <c:v>458.95000000000005</c:v>
                </c:pt>
                <c:pt idx="1">
                  <c:v>458.95000000000005</c:v>
                </c:pt>
                <c:pt idx="2">
                  <c:v>458.95000000000005</c:v>
                </c:pt>
                <c:pt idx="3">
                  <c:v>458.95000000000005</c:v>
                </c:pt>
                <c:pt idx="4">
                  <c:v>458.95000000000005</c:v>
                </c:pt>
                <c:pt idx="5">
                  <c:v>458.95000000000005</c:v>
                </c:pt>
                <c:pt idx="6">
                  <c:v>458.95000000000005</c:v>
                </c:pt>
                <c:pt idx="7">
                  <c:v>458.95000000000005</c:v>
                </c:pt>
                <c:pt idx="8">
                  <c:v>458.95000000000005</c:v>
                </c:pt>
                <c:pt idx="9">
                  <c:v>458.95000000000005</c:v>
                </c:pt>
                <c:pt idx="10">
                  <c:v>458.95000000000005</c:v>
                </c:pt>
                <c:pt idx="11">
                  <c:v>458.95000000000005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7-4401-84C4-3F4FFB7DAF2B}"/>
            </c:ext>
          </c:extLst>
        </c:ser>
        <c:ser>
          <c:idx val="2"/>
          <c:order val="1"/>
          <c:tx>
            <c:strRef>
              <c:f>'24'!$AL$17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'24'!$AM$17:$BJ$17</c:f>
              <c:numCache>
                <c:formatCode>General</c:formatCode>
                <c:ptCount val="24"/>
                <c:pt idx="0">
                  <c:v>38.1</c:v>
                </c:pt>
                <c:pt idx="1">
                  <c:v>38.1</c:v>
                </c:pt>
                <c:pt idx="2">
                  <c:v>38.1</c:v>
                </c:pt>
                <c:pt idx="3">
                  <c:v>38.1</c:v>
                </c:pt>
                <c:pt idx="4">
                  <c:v>38.1</c:v>
                </c:pt>
                <c:pt idx="5">
                  <c:v>38.1</c:v>
                </c:pt>
                <c:pt idx="6">
                  <c:v>108.1</c:v>
                </c:pt>
                <c:pt idx="7">
                  <c:v>408.1</c:v>
                </c:pt>
                <c:pt idx="8">
                  <c:v>437</c:v>
                </c:pt>
                <c:pt idx="9">
                  <c:v>107</c:v>
                </c:pt>
                <c:pt idx="10">
                  <c:v>52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7-4401-84C4-3F4FFB7DAF2B}"/>
            </c:ext>
          </c:extLst>
        </c:ser>
        <c:ser>
          <c:idx val="3"/>
          <c:order val="2"/>
          <c:tx>
            <c:strRef>
              <c:f>'24'!$AL$18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'24'!$AM$18:$BJ$18</c:f>
              <c:numCache>
                <c:formatCode>General</c:formatCode>
                <c:ptCount val="24"/>
                <c:pt idx="0">
                  <c:v>142.04</c:v>
                </c:pt>
                <c:pt idx="1">
                  <c:v>142.04</c:v>
                </c:pt>
                <c:pt idx="2">
                  <c:v>142.04</c:v>
                </c:pt>
                <c:pt idx="3">
                  <c:v>126.54</c:v>
                </c:pt>
                <c:pt idx="4">
                  <c:v>126.54</c:v>
                </c:pt>
                <c:pt idx="5">
                  <c:v>157.54</c:v>
                </c:pt>
                <c:pt idx="6">
                  <c:v>212.04</c:v>
                </c:pt>
                <c:pt idx="7">
                  <c:v>305.39</c:v>
                </c:pt>
                <c:pt idx="8">
                  <c:v>337.74</c:v>
                </c:pt>
                <c:pt idx="9">
                  <c:v>271.44</c:v>
                </c:pt>
                <c:pt idx="10">
                  <c:v>207.44</c:v>
                </c:pt>
                <c:pt idx="11">
                  <c:v>212.54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7-4401-84C4-3F4FFB7DAF2B}"/>
            </c:ext>
          </c:extLst>
        </c:ser>
        <c:ser>
          <c:idx val="0"/>
          <c:order val="3"/>
          <c:tx>
            <c:strRef>
              <c:f>'24'!$AL$19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'24'!$AM$19:$BJ$19</c:f>
              <c:numCache>
                <c:formatCode>General</c:formatCode>
                <c:ptCount val="24"/>
                <c:pt idx="0">
                  <c:v>602.9</c:v>
                </c:pt>
                <c:pt idx="1">
                  <c:v>572.9</c:v>
                </c:pt>
                <c:pt idx="2">
                  <c:v>601.29999999999995</c:v>
                </c:pt>
                <c:pt idx="3">
                  <c:v>593.6</c:v>
                </c:pt>
                <c:pt idx="4">
                  <c:v>582.79999999999995</c:v>
                </c:pt>
                <c:pt idx="5">
                  <c:v>599.70000000000005</c:v>
                </c:pt>
                <c:pt idx="6">
                  <c:v>670.5</c:v>
                </c:pt>
                <c:pt idx="7">
                  <c:v>291.70000000000005</c:v>
                </c:pt>
                <c:pt idx="8">
                  <c:v>138.1</c:v>
                </c:pt>
                <c:pt idx="9">
                  <c:v>436.6</c:v>
                </c:pt>
                <c:pt idx="10">
                  <c:v>611.30000000000007</c:v>
                </c:pt>
                <c:pt idx="11">
                  <c:v>677.3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E7-4401-84C4-3F4FFB7DAF2B}"/>
            </c:ext>
          </c:extLst>
        </c:ser>
        <c:ser>
          <c:idx val="4"/>
          <c:order val="4"/>
          <c:tx>
            <c:strRef>
              <c:f>'24'!$AL$20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E7-4401-84C4-3F4FFB7DAF2B}"/>
            </c:ext>
          </c:extLst>
        </c:ser>
        <c:ser>
          <c:idx val="5"/>
          <c:order val="5"/>
          <c:tx>
            <c:strRef>
              <c:f>'24'!$AL$21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E7-4401-84C4-3F4FFB7D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E7-4401-84C4-3F4FFB7D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'24'!$AM$22:$BJ$22</c:f>
              <c:numCache>
                <c:formatCode>General</c:formatCode>
                <c:ptCount val="24"/>
                <c:pt idx="0">
                  <c:v>1241.99</c:v>
                </c:pt>
                <c:pt idx="1">
                  <c:v>1211.99</c:v>
                </c:pt>
                <c:pt idx="2">
                  <c:v>1240.3899999999999</c:v>
                </c:pt>
                <c:pt idx="3">
                  <c:v>1217.19</c:v>
                </c:pt>
                <c:pt idx="4">
                  <c:v>1206.3899999999999</c:v>
                </c:pt>
                <c:pt idx="5">
                  <c:v>1254.29</c:v>
                </c:pt>
                <c:pt idx="6">
                  <c:v>1449.5900000000001</c:v>
                </c:pt>
                <c:pt idx="7">
                  <c:v>1464.14</c:v>
                </c:pt>
                <c:pt idx="8">
                  <c:v>1571.79</c:v>
                </c:pt>
                <c:pt idx="9">
                  <c:v>1473.9900000000002</c:v>
                </c:pt>
                <c:pt idx="10">
                  <c:v>1529.69</c:v>
                </c:pt>
                <c:pt idx="11">
                  <c:v>1536.79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6E7-4401-84C4-3F4FFB7DAF2B}"/>
            </c:ext>
          </c:extLst>
        </c:ser>
        <c:ser>
          <c:idx val="8"/>
          <c:order val="8"/>
          <c:tx>
            <c:strRef>
              <c:f>'24'!$AL$24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'24'!$AM$24:$BJ$24</c:f>
              <c:numCache>
                <c:formatCode>General</c:formatCode>
                <c:ptCount val="24"/>
                <c:pt idx="0">
                  <c:v>1241.99</c:v>
                </c:pt>
                <c:pt idx="1">
                  <c:v>1211.99</c:v>
                </c:pt>
                <c:pt idx="2">
                  <c:v>1240.3899999999999</c:v>
                </c:pt>
                <c:pt idx="3">
                  <c:v>1217.19</c:v>
                </c:pt>
                <c:pt idx="4">
                  <c:v>1206.3899999999999</c:v>
                </c:pt>
                <c:pt idx="5">
                  <c:v>1254.29</c:v>
                </c:pt>
                <c:pt idx="6">
                  <c:v>1449.5900000000001</c:v>
                </c:pt>
                <c:pt idx="7">
                  <c:v>1464.14</c:v>
                </c:pt>
                <c:pt idx="8">
                  <c:v>1571.79</c:v>
                </c:pt>
                <c:pt idx="9">
                  <c:v>1473.9900000000002</c:v>
                </c:pt>
                <c:pt idx="10">
                  <c:v>1529.69</c:v>
                </c:pt>
                <c:pt idx="11">
                  <c:v>1536.79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E7-4401-84C4-3F4FFB7D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FE-44F2-BCAA-297F5DA587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FE-44F2-BCAA-297F5DA587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FE-44F2-BCAA-297F5DA587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FE-44F2-BCAA-297F5DA587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FE-44F2-BCAA-297F5DA587F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DFE-44F2-BCAA-297F5DA587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'25'!$AM$16:$BJ$16</c:f>
              <c:numCache>
                <c:formatCode>General</c:formatCode>
                <c:ptCount val="24"/>
                <c:pt idx="0">
                  <c:v>463.55000000000007</c:v>
                </c:pt>
                <c:pt idx="1">
                  <c:v>463.55000000000007</c:v>
                </c:pt>
                <c:pt idx="2">
                  <c:v>463.55000000000007</c:v>
                </c:pt>
                <c:pt idx="3">
                  <c:v>463.55000000000007</c:v>
                </c:pt>
                <c:pt idx="4">
                  <c:v>463.55000000000007</c:v>
                </c:pt>
                <c:pt idx="5">
                  <c:v>463.55000000000007</c:v>
                </c:pt>
                <c:pt idx="6">
                  <c:v>463.55000000000007</c:v>
                </c:pt>
                <c:pt idx="7">
                  <c:v>463.55000000000007</c:v>
                </c:pt>
                <c:pt idx="8">
                  <c:v>463.55000000000007</c:v>
                </c:pt>
                <c:pt idx="9">
                  <c:v>461.55</c:v>
                </c:pt>
                <c:pt idx="10">
                  <c:v>431.85</c:v>
                </c:pt>
                <c:pt idx="11">
                  <c:v>404.35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2-4924-AAB5-4CE8BCF5D718}"/>
            </c:ext>
          </c:extLst>
        </c:ser>
        <c:ser>
          <c:idx val="2"/>
          <c:order val="1"/>
          <c:tx>
            <c:strRef>
              <c:f>'25'!$AL$17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'25'!$AM$17:$BJ$17</c:f>
              <c:numCache>
                <c:formatCode>General</c:formatCode>
                <c:ptCount val="24"/>
                <c:pt idx="0">
                  <c:v>35.200000000000003</c:v>
                </c:pt>
                <c:pt idx="1">
                  <c:v>35.200000000000003</c:v>
                </c:pt>
                <c:pt idx="2">
                  <c:v>35.200000000000003</c:v>
                </c:pt>
                <c:pt idx="3">
                  <c:v>35.200000000000003</c:v>
                </c:pt>
                <c:pt idx="4">
                  <c:v>35.200000000000003</c:v>
                </c:pt>
                <c:pt idx="5">
                  <c:v>50.2</c:v>
                </c:pt>
                <c:pt idx="6">
                  <c:v>141</c:v>
                </c:pt>
                <c:pt idx="7">
                  <c:v>416</c:v>
                </c:pt>
                <c:pt idx="8">
                  <c:v>481</c:v>
                </c:pt>
                <c:pt idx="9">
                  <c:v>101</c:v>
                </c:pt>
                <c:pt idx="10">
                  <c:v>36</c:v>
                </c:pt>
                <c:pt idx="1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2-4924-AAB5-4CE8BCF5D718}"/>
            </c:ext>
          </c:extLst>
        </c:ser>
        <c:ser>
          <c:idx val="3"/>
          <c:order val="2"/>
          <c:tx>
            <c:strRef>
              <c:f>'25'!$AL$18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'25'!$AM$18:$BJ$18</c:f>
              <c:numCache>
                <c:formatCode>General</c:formatCode>
                <c:ptCount val="24"/>
                <c:pt idx="0">
                  <c:v>75.540000000000006</c:v>
                </c:pt>
                <c:pt idx="1">
                  <c:v>75.540000000000006</c:v>
                </c:pt>
                <c:pt idx="2">
                  <c:v>75.540000000000006</c:v>
                </c:pt>
                <c:pt idx="3">
                  <c:v>75.540000000000006</c:v>
                </c:pt>
                <c:pt idx="4">
                  <c:v>100.54</c:v>
                </c:pt>
                <c:pt idx="5">
                  <c:v>98.440000000000012</c:v>
                </c:pt>
                <c:pt idx="6">
                  <c:v>233.63999999999996</c:v>
                </c:pt>
                <c:pt idx="7">
                  <c:v>284.74</c:v>
                </c:pt>
                <c:pt idx="8">
                  <c:v>324.83999999999997</c:v>
                </c:pt>
                <c:pt idx="9">
                  <c:v>369.34000000000003</c:v>
                </c:pt>
                <c:pt idx="10">
                  <c:v>300.14</c:v>
                </c:pt>
                <c:pt idx="11">
                  <c:v>261.34000000000003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2-4924-AAB5-4CE8BCF5D718}"/>
            </c:ext>
          </c:extLst>
        </c:ser>
        <c:ser>
          <c:idx val="0"/>
          <c:order val="3"/>
          <c:tx>
            <c:strRef>
              <c:f>'25'!$AL$19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'25'!$AM$19:$BJ$19</c:f>
              <c:numCache>
                <c:formatCode>General</c:formatCode>
                <c:ptCount val="24"/>
                <c:pt idx="0">
                  <c:v>684</c:v>
                </c:pt>
                <c:pt idx="1">
                  <c:v>646.70000000000005</c:v>
                </c:pt>
                <c:pt idx="2">
                  <c:v>664.8</c:v>
                </c:pt>
                <c:pt idx="3">
                  <c:v>654.4</c:v>
                </c:pt>
                <c:pt idx="4">
                  <c:v>622.9</c:v>
                </c:pt>
                <c:pt idx="5">
                  <c:v>650.4</c:v>
                </c:pt>
                <c:pt idx="6">
                  <c:v>620</c:v>
                </c:pt>
                <c:pt idx="7">
                  <c:v>273</c:v>
                </c:pt>
                <c:pt idx="8">
                  <c:v>155</c:v>
                </c:pt>
                <c:pt idx="9">
                  <c:v>297.39999999999998</c:v>
                </c:pt>
                <c:pt idx="10">
                  <c:v>536.79999999999995</c:v>
                </c:pt>
                <c:pt idx="11">
                  <c:v>590.79999999999995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E2-4924-AAB5-4CE8BCF5D718}"/>
            </c:ext>
          </c:extLst>
        </c:ser>
        <c:ser>
          <c:idx val="4"/>
          <c:order val="4"/>
          <c:tx>
            <c:strRef>
              <c:f>'25'!$AL$20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72.100000000000009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E2-4924-AAB5-4CE8BCF5D718}"/>
            </c:ext>
          </c:extLst>
        </c:ser>
        <c:ser>
          <c:idx val="5"/>
          <c:order val="5"/>
          <c:tx>
            <c:strRef>
              <c:f>'25'!$AL$21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260</c:v>
                </c:pt>
                <c:pt idx="9">
                  <c:v>260</c:v>
                </c:pt>
                <c:pt idx="10">
                  <c:v>260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E2-4924-AAB5-4CE8BCF5D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E2-4924-AAB5-4CE8BCF5D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'25'!$AM$22:$BJ$22</c:f>
              <c:numCache>
                <c:formatCode>General</c:formatCode>
                <c:ptCount val="24"/>
                <c:pt idx="0">
                  <c:v>1258.29</c:v>
                </c:pt>
                <c:pt idx="1">
                  <c:v>1220.9900000000002</c:v>
                </c:pt>
                <c:pt idx="2">
                  <c:v>1239.0900000000001</c:v>
                </c:pt>
                <c:pt idx="3">
                  <c:v>1228.69</c:v>
                </c:pt>
                <c:pt idx="4">
                  <c:v>1222.19</c:v>
                </c:pt>
                <c:pt idx="5">
                  <c:v>1262.5900000000001</c:v>
                </c:pt>
                <c:pt idx="6">
                  <c:v>1458.19</c:v>
                </c:pt>
                <c:pt idx="7">
                  <c:v>1587.29</c:v>
                </c:pt>
                <c:pt idx="8">
                  <c:v>1684.39</c:v>
                </c:pt>
                <c:pt idx="9">
                  <c:v>1561.3899999999999</c:v>
                </c:pt>
                <c:pt idx="10">
                  <c:v>1564.79</c:v>
                </c:pt>
                <c:pt idx="11">
                  <c:v>1342.49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8E2-4924-AAB5-4CE8BCF5D718}"/>
            </c:ext>
          </c:extLst>
        </c:ser>
        <c:ser>
          <c:idx val="8"/>
          <c:order val="8"/>
          <c:tx>
            <c:strRef>
              <c:f>'25'!$AL$24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'25'!$AM$24:$BJ$24</c:f>
              <c:numCache>
                <c:formatCode>General</c:formatCode>
                <c:ptCount val="24"/>
                <c:pt idx="0">
                  <c:v>1258.29</c:v>
                </c:pt>
                <c:pt idx="1">
                  <c:v>1220.9900000000002</c:v>
                </c:pt>
                <c:pt idx="2">
                  <c:v>1239.0900000000001</c:v>
                </c:pt>
                <c:pt idx="3">
                  <c:v>1228.69</c:v>
                </c:pt>
                <c:pt idx="4">
                  <c:v>1222.19</c:v>
                </c:pt>
                <c:pt idx="5">
                  <c:v>1262.5900000000001</c:v>
                </c:pt>
                <c:pt idx="6">
                  <c:v>1458.19</c:v>
                </c:pt>
                <c:pt idx="7">
                  <c:v>1587.29</c:v>
                </c:pt>
                <c:pt idx="8">
                  <c:v>1684.39</c:v>
                </c:pt>
                <c:pt idx="9">
                  <c:v>1561.3899999999999</c:v>
                </c:pt>
                <c:pt idx="10">
                  <c:v>1564.79</c:v>
                </c:pt>
                <c:pt idx="11">
                  <c:v>1342.49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E2-4924-AAB5-4CE8BCF5D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10-401D-AAE6-00A552ACFF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10-401D-AAE6-00A552ACFF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10-401D-AAE6-00A552ACFF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10-401D-AAE6-00A552ACFF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10-401D-AAE6-00A552ACFF1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A10-401D-AAE6-00A552ACFF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'26'!$AM$16:$BJ$16</c:f>
              <c:numCache>
                <c:formatCode>General</c:formatCode>
                <c:ptCount val="24"/>
                <c:pt idx="0">
                  <c:v>447.34999999999997</c:v>
                </c:pt>
                <c:pt idx="1">
                  <c:v>447.34999999999997</c:v>
                </c:pt>
                <c:pt idx="2">
                  <c:v>447.34999999999997</c:v>
                </c:pt>
                <c:pt idx="3">
                  <c:v>447.34999999999997</c:v>
                </c:pt>
                <c:pt idx="4">
                  <c:v>447.34999999999997</c:v>
                </c:pt>
                <c:pt idx="5">
                  <c:v>447.34999999999997</c:v>
                </c:pt>
                <c:pt idx="6">
                  <c:v>447.34999999999997</c:v>
                </c:pt>
                <c:pt idx="7">
                  <c:v>447.34999999999997</c:v>
                </c:pt>
                <c:pt idx="8">
                  <c:v>450.34999999999997</c:v>
                </c:pt>
                <c:pt idx="9">
                  <c:v>447.95</c:v>
                </c:pt>
                <c:pt idx="10">
                  <c:v>450.75</c:v>
                </c:pt>
                <c:pt idx="11">
                  <c:v>448.55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6-44DB-938A-CEDCE007D4B7}"/>
            </c:ext>
          </c:extLst>
        </c:ser>
        <c:ser>
          <c:idx val="2"/>
          <c:order val="1"/>
          <c:tx>
            <c:strRef>
              <c:f>'26'!$AL$17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'26'!$AM$17:$BJ$17</c:f>
              <c:numCache>
                <c:formatCode>General</c:formatCode>
                <c:ptCount val="24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158</c:v>
                </c:pt>
                <c:pt idx="8">
                  <c:v>376.5</c:v>
                </c:pt>
                <c:pt idx="9">
                  <c:v>86.5</c:v>
                </c:pt>
                <c:pt idx="10">
                  <c:v>51.5</c:v>
                </c:pt>
                <c:pt idx="11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6-44DB-938A-CEDCE007D4B7}"/>
            </c:ext>
          </c:extLst>
        </c:ser>
        <c:ser>
          <c:idx val="3"/>
          <c:order val="2"/>
          <c:tx>
            <c:strRef>
              <c:f>'26'!$AL$18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'26'!$AM$18:$BJ$18</c:f>
              <c:numCache>
                <c:formatCode>General</c:formatCode>
                <c:ptCount val="24"/>
                <c:pt idx="0">
                  <c:v>68.040000000000006</c:v>
                </c:pt>
                <c:pt idx="1">
                  <c:v>68.040000000000006</c:v>
                </c:pt>
                <c:pt idx="2">
                  <c:v>68.040000000000006</c:v>
                </c:pt>
                <c:pt idx="3">
                  <c:v>70.54000000000002</c:v>
                </c:pt>
                <c:pt idx="4">
                  <c:v>70.54000000000002</c:v>
                </c:pt>
                <c:pt idx="5">
                  <c:v>70.54000000000002</c:v>
                </c:pt>
                <c:pt idx="6">
                  <c:v>187.83999999999997</c:v>
                </c:pt>
                <c:pt idx="7">
                  <c:v>273.74</c:v>
                </c:pt>
                <c:pt idx="8">
                  <c:v>294.04000000000002</c:v>
                </c:pt>
                <c:pt idx="9">
                  <c:v>290.44000000000005</c:v>
                </c:pt>
                <c:pt idx="10">
                  <c:v>189.13999999999996</c:v>
                </c:pt>
                <c:pt idx="11">
                  <c:v>207.23999999999995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6-44DB-938A-CEDCE007D4B7}"/>
            </c:ext>
          </c:extLst>
        </c:ser>
        <c:ser>
          <c:idx val="0"/>
          <c:order val="3"/>
          <c:tx>
            <c:strRef>
              <c:f>'26'!$AL$19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'26'!$AM$19:$BJ$19</c:f>
              <c:numCache>
                <c:formatCode>General</c:formatCode>
                <c:ptCount val="24"/>
                <c:pt idx="0">
                  <c:v>654</c:v>
                </c:pt>
                <c:pt idx="1">
                  <c:v>614.4</c:v>
                </c:pt>
                <c:pt idx="2">
                  <c:v>608.9</c:v>
                </c:pt>
                <c:pt idx="3">
                  <c:v>626.70000000000005</c:v>
                </c:pt>
                <c:pt idx="4">
                  <c:v>601.29999999999995</c:v>
                </c:pt>
                <c:pt idx="5">
                  <c:v>662.30000000000007</c:v>
                </c:pt>
                <c:pt idx="6">
                  <c:v>649.29999999999995</c:v>
                </c:pt>
                <c:pt idx="7">
                  <c:v>488.9</c:v>
                </c:pt>
                <c:pt idx="8">
                  <c:v>104.1</c:v>
                </c:pt>
                <c:pt idx="9">
                  <c:v>397</c:v>
                </c:pt>
                <c:pt idx="10">
                  <c:v>456.2</c:v>
                </c:pt>
                <c:pt idx="11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B6-44DB-938A-CEDCE007D4B7}"/>
            </c:ext>
          </c:extLst>
        </c:ser>
        <c:ser>
          <c:idx val="4"/>
          <c:order val="4"/>
          <c:tx>
            <c:strRef>
              <c:f>'26'!$AL$20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B6-44DB-938A-CEDCE007D4B7}"/>
            </c:ext>
          </c:extLst>
        </c:ser>
        <c:ser>
          <c:idx val="5"/>
          <c:order val="5"/>
          <c:tx>
            <c:strRef>
              <c:f>'26'!$AL$21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250</c:v>
                </c:pt>
                <c:pt idx="9">
                  <c:v>280</c:v>
                </c:pt>
                <c:pt idx="10">
                  <c:v>250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6-44DB-938A-CEDCE007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B6-44DB-938A-CEDCE007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'26'!$AM$22:$BJ$22</c:f>
              <c:numCache>
                <c:formatCode>General</c:formatCode>
                <c:ptCount val="24"/>
                <c:pt idx="0">
                  <c:v>1205.3899999999999</c:v>
                </c:pt>
                <c:pt idx="1">
                  <c:v>1165.79</c:v>
                </c:pt>
                <c:pt idx="2">
                  <c:v>1160.29</c:v>
                </c:pt>
                <c:pt idx="3">
                  <c:v>1180.5900000000001</c:v>
                </c:pt>
                <c:pt idx="4">
                  <c:v>1155.19</c:v>
                </c:pt>
                <c:pt idx="5">
                  <c:v>1216.19</c:v>
                </c:pt>
                <c:pt idx="6">
                  <c:v>1320.4899999999998</c:v>
                </c:pt>
                <c:pt idx="7">
                  <c:v>1467.9899999999998</c:v>
                </c:pt>
                <c:pt idx="8">
                  <c:v>1474.9899999999998</c:v>
                </c:pt>
                <c:pt idx="9">
                  <c:v>1501.89</c:v>
                </c:pt>
                <c:pt idx="10">
                  <c:v>1397.59</c:v>
                </c:pt>
                <c:pt idx="11">
                  <c:v>1262.29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CB6-44DB-938A-CEDCE007D4B7}"/>
            </c:ext>
          </c:extLst>
        </c:ser>
        <c:ser>
          <c:idx val="8"/>
          <c:order val="8"/>
          <c:tx>
            <c:strRef>
              <c:f>'26'!$AL$24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'26'!$AM$24:$BJ$24</c:f>
              <c:numCache>
                <c:formatCode>General</c:formatCode>
                <c:ptCount val="24"/>
                <c:pt idx="0">
                  <c:v>1205.3899999999999</c:v>
                </c:pt>
                <c:pt idx="1">
                  <c:v>1165.79</c:v>
                </c:pt>
                <c:pt idx="2">
                  <c:v>1160.29</c:v>
                </c:pt>
                <c:pt idx="3">
                  <c:v>1180.5900000000001</c:v>
                </c:pt>
                <c:pt idx="4">
                  <c:v>1155.19</c:v>
                </c:pt>
                <c:pt idx="5">
                  <c:v>1216.19</c:v>
                </c:pt>
                <c:pt idx="6">
                  <c:v>1320.4899999999998</c:v>
                </c:pt>
                <c:pt idx="7">
                  <c:v>1467.9899999999998</c:v>
                </c:pt>
                <c:pt idx="8">
                  <c:v>1471.4899999999998</c:v>
                </c:pt>
                <c:pt idx="9">
                  <c:v>1501.89</c:v>
                </c:pt>
                <c:pt idx="10">
                  <c:v>1397.59</c:v>
                </c:pt>
                <c:pt idx="11">
                  <c:v>1262.29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B6-44DB-938A-CEDCE007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79-43DD-8BC7-9CB26886DB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79-43DD-8BC7-9CB26886DB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79-43DD-8BC7-9CB26886DB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79-43DD-8BC7-9CB26886DB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79-43DD-8BC7-9CB26886DB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479-43DD-8BC7-9CB26886DBE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'27'!$AM$16:$BJ$16</c:f>
              <c:numCache>
                <c:formatCode>General</c:formatCode>
                <c:ptCount val="24"/>
                <c:pt idx="0">
                  <c:v>467.35</c:v>
                </c:pt>
                <c:pt idx="1">
                  <c:v>467.75</c:v>
                </c:pt>
                <c:pt idx="2">
                  <c:v>467.75</c:v>
                </c:pt>
                <c:pt idx="3">
                  <c:v>467.75</c:v>
                </c:pt>
                <c:pt idx="4">
                  <c:v>467.75</c:v>
                </c:pt>
                <c:pt idx="5">
                  <c:v>467.75</c:v>
                </c:pt>
                <c:pt idx="6">
                  <c:v>467.75</c:v>
                </c:pt>
                <c:pt idx="7">
                  <c:v>467.75</c:v>
                </c:pt>
                <c:pt idx="8">
                  <c:v>466.65000000000003</c:v>
                </c:pt>
                <c:pt idx="9">
                  <c:v>465.65000000000003</c:v>
                </c:pt>
                <c:pt idx="10">
                  <c:v>463.45</c:v>
                </c:pt>
                <c:pt idx="11">
                  <c:v>463.45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A-43FA-A290-E55B3FD4B0BB}"/>
            </c:ext>
          </c:extLst>
        </c:ser>
        <c:ser>
          <c:idx val="2"/>
          <c:order val="1"/>
          <c:tx>
            <c:strRef>
              <c:f>'27'!$AL$17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'27'!$AM$17:$BJ$17</c:f>
              <c:numCache>
                <c:formatCode>General</c:formatCode>
                <c:ptCount val="24"/>
                <c:pt idx="0">
                  <c:v>52.5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33.6</c:v>
                </c:pt>
                <c:pt idx="6">
                  <c:v>33.6</c:v>
                </c:pt>
                <c:pt idx="7">
                  <c:v>95.6</c:v>
                </c:pt>
                <c:pt idx="8">
                  <c:v>277.2</c:v>
                </c:pt>
                <c:pt idx="9">
                  <c:v>236.2</c:v>
                </c:pt>
                <c:pt idx="10">
                  <c:v>166.2</c:v>
                </c:pt>
                <c:pt idx="11">
                  <c:v>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A-43FA-A290-E55B3FD4B0BB}"/>
            </c:ext>
          </c:extLst>
        </c:ser>
        <c:ser>
          <c:idx val="3"/>
          <c:order val="2"/>
          <c:tx>
            <c:strRef>
              <c:f>'27'!$AL$18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'27'!$AM$18:$BJ$18</c:f>
              <c:numCache>
                <c:formatCode>General</c:formatCode>
                <c:ptCount val="24"/>
                <c:pt idx="0">
                  <c:v>70.34</c:v>
                </c:pt>
                <c:pt idx="1">
                  <c:v>70.34</c:v>
                </c:pt>
                <c:pt idx="2">
                  <c:v>70.34</c:v>
                </c:pt>
                <c:pt idx="3">
                  <c:v>70.04000000000002</c:v>
                </c:pt>
                <c:pt idx="4">
                  <c:v>70.34</c:v>
                </c:pt>
                <c:pt idx="5">
                  <c:v>70.04000000000002</c:v>
                </c:pt>
                <c:pt idx="6">
                  <c:v>186.64</c:v>
                </c:pt>
                <c:pt idx="7">
                  <c:v>245.13999999999996</c:v>
                </c:pt>
                <c:pt idx="8">
                  <c:v>263.44</c:v>
                </c:pt>
                <c:pt idx="9">
                  <c:v>247.44</c:v>
                </c:pt>
                <c:pt idx="10">
                  <c:v>253.73999999999998</c:v>
                </c:pt>
                <c:pt idx="11">
                  <c:v>303.94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2A-43FA-A290-E55B3FD4B0BB}"/>
            </c:ext>
          </c:extLst>
        </c:ser>
        <c:ser>
          <c:idx val="0"/>
          <c:order val="3"/>
          <c:tx>
            <c:strRef>
              <c:f>'27'!$AL$19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'27'!$AM$19:$BJ$19</c:f>
              <c:numCache>
                <c:formatCode>General</c:formatCode>
                <c:ptCount val="24"/>
                <c:pt idx="0">
                  <c:v>617.6</c:v>
                </c:pt>
                <c:pt idx="1">
                  <c:v>606.5</c:v>
                </c:pt>
                <c:pt idx="2">
                  <c:v>578.70000000000005</c:v>
                </c:pt>
                <c:pt idx="3">
                  <c:v>564.20000000000005</c:v>
                </c:pt>
                <c:pt idx="4">
                  <c:v>579.6</c:v>
                </c:pt>
                <c:pt idx="5">
                  <c:v>615.4</c:v>
                </c:pt>
                <c:pt idx="6">
                  <c:v>649.4</c:v>
                </c:pt>
                <c:pt idx="7">
                  <c:v>512.1</c:v>
                </c:pt>
                <c:pt idx="8">
                  <c:v>428.70000000000005</c:v>
                </c:pt>
                <c:pt idx="9">
                  <c:v>417.8</c:v>
                </c:pt>
                <c:pt idx="10">
                  <c:v>471.4</c:v>
                </c:pt>
                <c:pt idx="11">
                  <c:v>646.9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2A-43FA-A290-E55B3FD4B0BB}"/>
            </c:ext>
          </c:extLst>
        </c:ser>
        <c:ser>
          <c:idx val="4"/>
          <c:order val="4"/>
          <c:tx>
            <c:strRef>
              <c:f>'27'!$AL$20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2A-43FA-A290-E55B3FD4B0BB}"/>
            </c:ext>
          </c:extLst>
        </c:ser>
        <c:ser>
          <c:idx val="5"/>
          <c:order val="5"/>
          <c:tx>
            <c:strRef>
              <c:f>'27'!$AL$21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180</c:v>
                </c:pt>
                <c:pt idx="8">
                  <c:v>240</c:v>
                </c:pt>
                <c:pt idx="9">
                  <c:v>230</c:v>
                </c:pt>
                <c:pt idx="10">
                  <c:v>200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2A-43FA-A290-E55B3FD4B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2A-43FA-A290-E55B3FD4B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'27'!$AM$22:$BJ$22</c:f>
              <c:numCache>
                <c:formatCode>General</c:formatCode>
                <c:ptCount val="24"/>
                <c:pt idx="0">
                  <c:v>1207.79</c:v>
                </c:pt>
                <c:pt idx="1">
                  <c:v>1182.0900000000001</c:v>
                </c:pt>
                <c:pt idx="2">
                  <c:v>1154.29</c:v>
                </c:pt>
                <c:pt idx="3">
                  <c:v>1139.49</c:v>
                </c:pt>
                <c:pt idx="4">
                  <c:v>1155.19</c:v>
                </c:pt>
                <c:pt idx="5">
                  <c:v>1186.79</c:v>
                </c:pt>
                <c:pt idx="6">
                  <c:v>1372.3899999999999</c:v>
                </c:pt>
                <c:pt idx="7">
                  <c:v>1500.5900000000001</c:v>
                </c:pt>
                <c:pt idx="8">
                  <c:v>1675.99</c:v>
                </c:pt>
                <c:pt idx="9">
                  <c:v>1597.09</c:v>
                </c:pt>
                <c:pt idx="10">
                  <c:v>1554.79</c:v>
                </c:pt>
                <c:pt idx="11">
                  <c:v>1500.5900000000001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E2A-43FA-A290-E55B3FD4B0BB}"/>
            </c:ext>
          </c:extLst>
        </c:ser>
        <c:ser>
          <c:idx val="8"/>
          <c:order val="8"/>
          <c:tx>
            <c:strRef>
              <c:f>'27'!$AL$24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'27'!$AM$24:$BJ$24</c:f>
              <c:numCache>
                <c:formatCode>General</c:formatCode>
                <c:ptCount val="24"/>
                <c:pt idx="0">
                  <c:v>1207.79</c:v>
                </c:pt>
                <c:pt idx="1">
                  <c:v>1182.0900000000001</c:v>
                </c:pt>
                <c:pt idx="2">
                  <c:v>1154.29</c:v>
                </c:pt>
                <c:pt idx="3">
                  <c:v>1139.49</c:v>
                </c:pt>
                <c:pt idx="4">
                  <c:v>1155.19</c:v>
                </c:pt>
                <c:pt idx="5">
                  <c:v>1186.79</c:v>
                </c:pt>
                <c:pt idx="6">
                  <c:v>1372.3899999999999</c:v>
                </c:pt>
                <c:pt idx="7">
                  <c:v>1500.5900000000001</c:v>
                </c:pt>
                <c:pt idx="8">
                  <c:v>1675.99</c:v>
                </c:pt>
                <c:pt idx="9">
                  <c:v>1597.09</c:v>
                </c:pt>
                <c:pt idx="10">
                  <c:v>1554.79</c:v>
                </c:pt>
                <c:pt idx="11">
                  <c:v>1500.5900000000001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2A-43FA-A290-E55B3FD4B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A3-4EDC-842F-58DC4CA52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A3-4EDC-842F-58DC4CA52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A3-4EDC-842F-58DC4CA523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A3-4EDC-842F-58DC4CA523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A3-4EDC-842F-58DC4CA523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AA3-4EDC-842F-58DC4CA523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'28'!$AM$16:$BJ$16</c:f>
              <c:numCache>
                <c:formatCode>General</c:formatCode>
                <c:ptCount val="24"/>
                <c:pt idx="0">
                  <c:v>466.15000000000003</c:v>
                </c:pt>
                <c:pt idx="1">
                  <c:v>466.15000000000003</c:v>
                </c:pt>
                <c:pt idx="2">
                  <c:v>466.15000000000003</c:v>
                </c:pt>
                <c:pt idx="3">
                  <c:v>466.15000000000003</c:v>
                </c:pt>
                <c:pt idx="4">
                  <c:v>466.15000000000003</c:v>
                </c:pt>
                <c:pt idx="5">
                  <c:v>466.15000000000003</c:v>
                </c:pt>
                <c:pt idx="6">
                  <c:v>466.15000000000003</c:v>
                </c:pt>
                <c:pt idx="7">
                  <c:v>466.15000000000003</c:v>
                </c:pt>
                <c:pt idx="8">
                  <c:v>466.15000000000003</c:v>
                </c:pt>
                <c:pt idx="9">
                  <c:v>466.15000000000003</c:v>
                </c:pt>
                <c:pt idx="10">
                  <c:v>466.15000000000003</c:v>
                </c:pt>
                <c:pt idx="11">
                  <c:v>466.15000000000003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7-4DE0-BE8E-198FB204EFFC}"/>
            </c:ext>
          </c:extLst>
        </c:ser>
        <c:ser>
          <c:idx val="2"/>
          <c:order val="1"/>
          <c:tx>
            <c:strRef>
              <c:f>'28'!$AL$17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'28'!$AM$17:$BJ$17</c:f>
              <c:numCache>
                <c:formatCode>General</c:formatCode>
                <c:ptCount val="24"/>
                <c:pt idx="0">
                  <c:v>38.200000000000003</c:v>
                </c:pt>
                <c:pt idx="1">
                  <c:v>38.200000000000003</c:v>
                </c:pt>
                <c:pt idx="2">
                  <c:v>38.200000000000003</c:v>
                </c:pt>
                <c:pt idx="3">
                  <c:v>38.200000000000003</c:v>
                </c:pt>
                <c:pt idx="4">
                  <c:v>38.200000000000003</c:v>
                </c:pt>
                <c:pt idx="5">
                  <c:v>38.200000000000003</c:v>
                </c:pt>
                <c:pt idx="6">
                  <c:v>53.2</c:v>
                </c:pt>
                <c:pt idx="7">
                  <c:v>218.2</c:v>
                </c:pt>
                <c:pt idx="8">
                  <c:v>438.2</c:v>
                </c:pt>
                <c:pt idx="9">
                  <c:v>268.2</c:v>
                </c:pt>
                <c:pt idx="10">
                  <c:v>138.19999999999999</c:v>
                </c:pt>
                <c:pt idx="11">
                  <c:v>148.19999999999999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7-4DE0-BE8E-198FB204EFFC}"/>
            </c:ext>
          </c:extLst>
        </c:ser>
        <c:ser>
          <c:idx val="3"/>
          <c:order val="2"/>
          <c:tx>
            <c:strRef>
              <c:f>'28'!$AL$18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'28'!$AM$18:$BJ$18</c:f>
              <c:numCache>
                <c:formatCode>General</c:formatCode>
                <c:ptCount val="24"/>
                <c:pt idx="0">
                  <c:v>110.44000000000001</c:v>
                </c:pt>
                <c:pt idx="1">
                  <c:v>110.44000000000001</c:v>
                </c:pt>
                <c:pt idx="2">
                  <c:v>110.44000000000001</c:v>
                </c:pt>
                <c:pt idx="3">
                  <c:v>76.440000000000012</c:v>
                </c:pt>
                <c:pt idx="4">
                  <c:v>102.24000000000001</c:v>
                </c:pt>
                <c:pt idx="5">
                  <c:v>90.84</c:v>
                </c:pt>
                <c:pt idx="6">
                  <c:v>198.34</c:v>
                </c:pt>
                <c:pt idx="7">
                  <c:v>291.53999999999996</c:v>
                </c:pt>
                <c:pt idx="8">
                  <c:v>364.84</c:v>
                </c:pt>
                <c:pt idx="9">
                  <c:v>313.33999999999997</c:v>
                </c:pt>
                <c:pt idx="10">
                  <c:v>221.33999999999997</c:v>
                </c:pt>
                <c:pt idx="11">
                  <c:v>241.54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7-4DE0-BE8E-198FB204EFFC}"/>
            </c:ext>
          </c:extLst>
        </c:ser>
        <c:ser>
          <c:idx val="0"/>
          <c:order val="3"/>
          <c:tx>
            <c:strRef>
              <c:f>'28'!$AL$19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'28'!$AM$19:$BJ$19</c:f>
              <c:numCache>
                <c:formatCode>General</c:formatCode>
                <c:ptCount val="24"/>
                <c:pt idx="0">
                  <c:v>597.1</c:v>
                </c:pt>
                <c:pt idx="1">
                  <c:v>581.54999999999995</c:v>
                </c:pt>
                <c:pt idx="2">
                  <c:v>579.18000000000006</c:v>
                </c:pt>
                <c:pt idx="3">
                  <c:v>600.16999999999996</c:v>
                </c:pt>
                <c:pt idx="4">
                  <c:v>593.20000000000005</c:v>
                </c:pt>
                <c:pt idx="5">
                  <c:v>610.5</c:v>
                </c:pt>
                <c:pt idx="6">
                  <c:v>650.79999999999995</c:v>
                </c:pt>
                <c:pt idx="7">
                  <c:v>433.1</c:v>
                </c:pt>
                <c:pt idx="8">
                  <c:v>120.8</c:v>
                </c:pt>
                <c:pt idx="9">
                  <c:v>190.5</c:v>
                </c:pt>
                <c:pt idx="10">
                  <c:v>467</c:v>
                </c:pt>
                <c:pt idx="11">
                  <c:v>532.20000000000005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C7-4DE0-BE8E-198FB204EFFC}"/>
            </c:ext>
          </c:extLst>
        </c:ser>
        <c:ser>
          <c:idx val="4"/>
          <c:order val="4"/>
          <c:tx>
            <c:strRef>
              <c:f>'28'!$AL$20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C7-4DE0-BE8E-198FB204EFFC}"/>
            </c:ext>
          </c:extLst>
        </c:ser>
        <c:ser>
          <c:idx val="5"/>
          <c:order val="5"/>
          <c:tx>
            <c:strRef>
              <c:f>'28'!$AL$21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300</c:v>
                </c:pt>
                <c:pt idx="9">
                  <c:v>300</c:v>
                </c:pt>
                <c:pt idx="10">
                  <c:v>280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C7-4DE0-BE8E-198FB204E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C7-4DE0-BE8E-198FB204E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'28'!$AM$22:$BJ$22</c:f>
              <c:numCache>
                <c:formatCode>General</c:formatCode>
                <c:ptCount val="24"/>
                <c:pt idx="0">
                  <c:v>1211.8900000000001</c:v>
                </c:pt>
                <c:pt idx="1">
                  <c:v>1196.3400000000001</c:v>
                </c:pt>
                <c:pt idx="2">
                  <c:v>1193.9700000000003</c:v>
                </c:pt>
                <c:pt idx="3">
                  <c:v>1180.96</c:v>
                </c:pt>
                <c:pt idx="4">
                  <c:v>1199.79</c:v>
                </c:pt>
                <c:pt idx="5">
                  <c:v>1205.69</c:v>
                </c:pt>
                <c:pt idx="6">
                  <c:v>1368.49</c:v>
                </c:pt>
                <c:pt idx="7">
                  <c:v>1558.99</c:v>
                </c:pt>
                <c:pt idx="8">
                  <c:v>1689.99</c:v>
                </c:pt>
                <c:pt idx="9">
                  <c:v>1538.19</c:v>
                </c:pt>
                <c:pt idx="10">
                  <c:v>1572.69</c:v>
                </c:pt>
                <c:pt idx="11">
                  <c:v>1638.0900000000001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4C7-4DE0-BE8E-198FB204EFFC}"/>
            </c:ext>
          </c:extLst>
        </c:ser>
        <c:ser>
          <c:idx val="8"/>
          <c:order val="8"/>
          <c:tx>
            <c:strRef>
              <c:f>'28'!$AL$24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'28'!$AM$24:$BJ$24</c:f>
              <c:numCache>
                <c:formatCode>General</c:formatCode>
                <c:ptCount val="24"/>
                <c:pt idx="0">
                  <c:v>1211.8900000000001</c:v>
                </c:pt>
                <c:pt idx="1">
                  <c:v>1196.3400000000001</c:v>
                </c:pt>
                <c:pt idx="2">
                  <c:v>1193.9700000000003</c:v>
                </c:pt>
                <c:pt idx="3">
                  <c:v>1180.96</c:v>
                </c:pt>
                <c:pt idx="4">
                  <c:v>1199.79</c:v>
                </c:pt>
                <c:pt idx="5">
                  <c:v>1205.69</c:v>
                </c:pt>
                <c:pt idx="6">
                  <c:v>1368.49</c:v>
                </c:pt>
                <c:pt idx="7">
                  <c:v>1558.99</c:v>
                </c:pt>
                <c:pt idx="8">
                  <c:v>1689.99</c:v>
                </c:pt>
                <c:pt idx="9">
                  <c:v>1538.19</c:v>
                </c:pt>
                <c:pt idx="10">
                  <c:v>1572.69</c:v>
                </c:pt>
                <c:pt idx="11">
                  <c:v>1638.0900000000001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C7-4DE0-BE8E-198FB204E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CA-4157-BF16-5587BB514B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CA-4157-BF16-5587BB514B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CA-4157-BF16-5587BB514B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CA-4157-BF16-5587BB514B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DCA-4157-BF16-5587BB514B4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DCA-4157-BF16-5587BB514B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'29'!$AM$16:$BJ$16</c:f>
              <c:numCache>
                <c:formatCode>General</c:formatCode>
                <c:ptCount val="24"/>
                <c:pt idx="0">
                  <c:v>466.15000000000003</c:v>
                </c:pt>
                <c:pt idx="1">
                  <c:v>466.15000000000003</c:v>
                </c:pt>
                <c:pt idx="2">
                  <c:v>466.15000000000003</c:v>
                </c:pt>
                <c:pt idx="3">
                  <c:v>466.15000000000003</c:v>
                </c:pt>
                <c:pt idx="4">
                  <c:v>466.15000000000003</c:v>
                </c:pt>
                <c:pt idx="5">
                  <c:v>466.15000000000003</c:v>
                </c:pt>
                <c:pt idx="6">
                  <c:v>466.15000000000003</c:v>
                </c:pt>
                <c:pt idx="7">
                  <c:v>466.15000000000003</c:v>
                </c:pt>
                <c:pt idx="8">
                  <c:v>463.45</c:v>
                </c:pt>
                <c:pt idx="9">
                  <c:v>463.45</c:v>
                </c:pt>
                <c:pt idx="10">
                  <c:v>463.45</c:v>
                </c:pt>
                <c:pt idx="11">
                  <c:v>463.45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D-4F2B-9466-7478783DD8E6}"/>
            </c:ext>
          </c:extLst>
        </c:ser>
        <c:ser>
          <c:idx val="2"/>
          <c:order val="1"/>
          <c:tx>
            <c:strRef>
              <c:f>'29'!$AL$17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'29'!$AM$17:$BJ$17</c:f>
              <c:numCache>
                <c:formatCode>General</c:formatCode>
                <c:ptCount val="24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42</c:v>
                </c:pt>
                <c:pt idx="4">
                  <c:v>42</c:v>
                </c:pt>
                <c:pt idx="5">
                  <c:v>38.200000000000003</c:v>
                </c:pt>
                <c:pt idx="6">
                  <c:v>53.2</c:v>
                </c:pt>
                <c:pt idx="7">
                  <c:v>198.1</c:v>
                </c:pt>
                <c:pt idx="8">
                  <c:v>473.2</c:v>
                </c:pt>
                <c:pt idx="9">
                  <c:v>473.2</c:v>
                </c:pt>
                <c:pt idx="10">
                  <c:v>58.2</c:v>
                </c:pt>
                <c:pt idx="11">
                  <c:v>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D-4F2B-9466-7478783DD8E6}"/>
            </c:ext>
          </c:extLst>
        </c:ser>
        <c:ser>
          <c:idx val="3"/>
          <c:order val="2"/>
          <c:tx>
            <c:strRef>
              <c:f>'29'!$AL$18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'29'!$AM$18:$BJ$18</c:f>
              <c:numCache>
                <c:formatCode>General</c:formatCode>
                <c:ptCount val="24"/>
                <c:pt idx="0">
                  <c:v>78.040000000000006</c:v>
                </c:pt>
                <c:pt idx="1">
                  <c:v>78.040000000000006</c:v>
                </c:pt>
                <c:pt idx="2">
                  <c:v>78.040000000000006</c:v>
                </c:pt>
                <c:pt idx="3">
                  <c:v>78.040000000000006</c:v>
                </c:pt>
                <c:pt idx="4">
                  <c:v>78.040000000000006</c:v>
                </c:pt>
                <c:pt idx="5">
                  <c:v>106.04</c:v>
                </c:pt>
                <c:pt idx="6">
                  <c:v>214.23999999999998</c:v>
                </c:pt>
                <c:pt idx="7">
                  <c:v>275.74</c:v>
                </c:pt>
                <c:pt idx="8">
                  <c:v>336.74000000000007</c:v>
                </c:pt>
                <c:pt idx="9">
                  <c:v>319.54000000000002</c:v>
                </c:pt>
                <c:pt idx="10">
                  <c:v>248.04</c:v>
                </c:pt>
                <c:pt idx="11">
                  <c:v>249.44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6D-4F2B-9466-7478783DD8E6}"/>
            </c:ext>
          </c:extLst>
        </c:ser>
        <c:ser>
          <c:idx val="0"/>
          <c:order val="3"/>
          <c:tx>
            <c:strRef>
              <c:f>'29'!$AL$19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'29'!$AM$19:$BJ$19</c:f>
              <c:numCache>
                <c:formatCode>General</c:formatCode>
                <c:ptCount val="24"/>
                <c:pt idx="0">
                  <c:v>637</c:v>
                </c:pt>
                <c:pt idx="1">
                  <c:v>658.7</c:v>
                </c:pt>
                <c:pt idx="2">
                  <c:v>638</c:v>
                </c:pt>
                <c:pt idx="3">
                  <c:v>599.70000000000005</c:v>
                </c:pt>
                <c:pt idx="4">
                  <c:v>619.1</c:v>
                </c:pt>
                <c:pt idx="5">
                  <c:v>612.6</c:v>
                </c:pt>
                <c:pt idx="6">
                  <c:v>631</c:v>
                </c:pt>
                <c:pt idx="7">
                  <c:v>537.1</c:v>
                </c:pt>
                <c:pt idx="8">
                  <c:v>122.8</c:v>
                </c:pt>
                <c:pt idx="9">
                  <c:v>277.8</c:v>
                </c:pt>
                <c:pt idx="10">
                  <c:v>526.9</c:v>
                </c:pt>
                <c:pt idx="11">
                  <c:v>629.5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6D-4F2B-9466-7478783DD8E6}"/>
            </c:ext>
          </c:extLst>
        </c:ser>
        <c:ser>
          <c:idx val="4"/>
          <c:order val="4"/>
          <c:tx>
            <c:strRef>
              <c:f>'29'!$AL$20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6D-4F2B-9466-7478783DD8E6}"/>
            </c:ext>
          </c:extLst>
        </c:ser>
        <c:ser>
          <c:idx val="5"/>
          <c:order val="5"/>
          <c:tx>
            <c:strRef>
              <c:f>'29'!$AL$21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6D-4F2B-9466-7478783DD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D-4F2B-9466-7478783DD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'29'!$AM$22:$BJ$22</c:f>
              <c:numCache>
                <c:formatCode>General</c:formatCode>
                <c:ptCount val="24"/>
                <c:pt idx="0">
                  <c:v>1222.19</c:v>
                </c:pt>
                <c:pt idx="1">
                  <c:v>1243.8900000000001</c:v>
                </c:pt>
                <c:pt idx="2">
                  <c:v>1223.19</c:v>
                </c:pt>
                <c:pt idx="3">
                  <c:v>1185.8900000000001</c:v>
                </c:pt>
                <c:pt idx="4">
                  <c:v>1205.29</c:v>
                </c:pt>
                <c:pt idx="5">
                  <c:v>1222.99</c:v>
                </c:pt>
                <c:pt idx="6">
                  <c:v>1364.5900000000001</c:v>
                </c:pt>
                <c:pt idx="7">
                  <c:v>1527.0900000000001</c:v>
                </c:pt>
                <c:pt idx="8">
                  <c:v>1646.19</c:v>
                </c:pt>
                <c:pt idx="9">
                  <c:v>1783.99</c:v>
                </c:pt>
                <c:pt idx="10">
                  <c:v>1546.59</c:v>
                </c:pt>
                <c:pt idx="11">
                  <c:v>1650.59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B6D-4F2B-9466-7478783DD8E6}"/>
            </c:ext>
          </c:extLst>
        </c:ser>
        <c:ser>
          <c:idx val="8"/>
          <c:order val="8"/>
          <c:tx>
            <c:strRef>
              <c:f>'29'!$AL$24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'29'!$AM$24:$BJ$24</c:f>
              <c:numCache>
                <c:formatCode>General</c:formatCode>
                <c:ptCount val="24"/>
                <c:pt idx="0">
                  <c:v>1222.19</c:v>
                </c:pt>
                <c:pt idx="1">
                  <c:v>1243.8900000000001</c:v>
                </c:pt>
                <c:pt idx="2">
                  <c:v>1223.19</c:v>
                </c:pt>
                <c:pt idx="3">
                  <c:v>1185.8900000000001</c:v>
                </c:pt>
                <c:pt idx="4">
                  <c:v>1205.29</c:v>
                </c:pt>
                <c:pt idx="5">
                  <c:v>1222.99</c:v>
                </c:pt>
                <c:pt idx="6">
                  <c:v>1364.5900000000001</c:v>
                </c:pt>
                <c:pt idx="7">
                  <c:v>1527.0900000000001</c:v>
                </c:pt>
                <c:pt idx="8">
                  <c:v>1646.19</c:v>
                </c:pt>
                <c:pt idx="9">
                  <c:v>1783.99</c:v>
                </c:pt>
                <c:pt idx="10">
                  <c:v>1546.59</c:v>
                </c:pt>
                <c:pt idx="11">
                  <c:v>1650.59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6D-4F2B-9466-7478783DD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E3-4300-9EAB-0BF212B6C0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E3-4300-9EAB-0BF212B6C0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E3-4300-9EAB-0BF212B6C0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E3-4300-9EAB-0BF212B6C0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E3-4300-9EAB-0BF212B6C04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FE3-4300-9EAB-0BF212B6C0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'30'!$AM$16:$BN$16</c:f>
              <c:numCache>
                <c:formatCode>General</c:formatCode>
                <c:ptCount val="24"/>
                <c:pt idx="0">
                  <c:v>459.45</c:v>
                </c:pt>
                <c:pt idx="1">
                  <c:v>459.45</c:v>
                </c:pt>
                <c:pt idx="2">
                  <c:v>464.74999999999994</c:v>
                </c:pt>
                <c:pt idx="3">
                  <c:v>464.74999999999994</c:v>
                </c:pt>
                <c:pt idx="4">
                  <c:v>464.74999999999994</c:v>
                </c:pt>
                <c:pt idx="5">
                  <c:v>464.74999999999994</c:v>
                </c:pt>
                <c:pt idx="6">
                  <c:v>462.95</c:v>
                </c:pt>
                <c:pt idx="7">
                  <c:v>458.95</c:v>
                </c:pt>
                <c:pt idx="8">
                  <c:v>459.45</c:v>
                </c:pt>
                <c:pt idx="9">
                  <c:v>459.45</c:v>
                </c:pt>
                <c:pt idx="10">
                  <c:v>458.84999999999997</c:v>
                </c:pt>
                <c:pt idx="11">
                  <c:v>458.95</c:v>
                </c:pt>
                <c:pt idx="12">
                  <c:v>458.95</c:v>
                </c:pt>
                <c:pt idx="13">
                  <c:v>458.95</c:v>
                </c:pt>
                <c:pt idx="14">
                  <c:v>458.95</c:v>
                </c:pt>
                <c:pt idx="15">
                  <c:v>458.95</c:v>
                </c:pt>
                <c:pt idx="16">
                  <c:v>458.95</c:v>
                </c:pt>
                <c:pt idx="17">
                  <c:v>458.95</c:v>
                </c:pt>
                <c:pt idx="18">
                  <c:v>458.95</c:v>
                </c:pt>
                <c:pt idx="19">
                  <c:v>458.95</c:v>
                </c:pt>
                <c:pt idx="20">
                  <c:v>461.34999999999997</c:v>
                </c:pt>
                <c:pt idx="21">
                  <c:v>461.34999999999997</c:v>
                </c:pt>
                <c:pt idx="22">
                  <c:v>461.34999999999997</c:v>
                </c:pt>
                <c:pt idx="23">
                  <c:v>461.34999999999997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F-4CC2-890A-57109B7089DF}"/>
            </c:ext>
          </c:extLst>
        </c:ser>
        <c:ser>
          <c:idx val="2"/>
          <c:order val="1"/>
          <c:tx>
            <c:strRef>
              <c:f>'30'!$AL$17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'30'!$AM$17:$BN$17</c:f>
              <c:numCache>
                <c:formatCode>General</c:formatCode>
                <c:ptCount val="24"/>
                <c:pt idx="0">
                  <c:v>36.200000000000003</c:v>
                </c:pt>
                <c:pt idx="1">
                  <c:v>36.200000000000003</c:v>
                </c:pt>
                <c:pt idx="2">
                  <c:v>36.200000000000003</c:v>
                </c:pt>
                <c:pt idx="3">
                  <c:v>36.200000000000003</c:v>
                </c:pt>
                <c:pt idx="4">
                  <c:v>36.200000000000003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96.2</c:v>
                </c:pt>
                <c:pt idx="8">
                  <c:v>341.2</c:v>
                </c:pt>
                <c:pt idx="9">
                  <c:v>66.2</c:v>
                </c:pt>
                <c:pt idx="10">
                  <c:v>73.099999999999994</c:v>
                </c:pt>
                <c:pt idx="11">
                  <c:v>91</c:v>
                </c:pt>
                <c:pt idx="12">
                  <c:v>91</c:v>
                </c:pt>
                <c:pt idx="13">
                  <c:v>96.1</c:v>
                </c:pt>
                <c:pt idx="14">
                  <c:v>76.099999999999994</c:v>
                </c:pt>
                <c:pt idx="15">
                  <c:v>91.1</c:v>
                </c:pt>
                <c:pt idx="16">
                  <c:v>76.099999999999994</c:v>
                </c:pt>
                <c:pt idx="17">
                  <c:v>86.1</c:v>
                </c:pt>
                <c:pt idx="18">
                  <c:v>66.099999999999994</c:v>
                </c:pt>
                <c:pt idx="19">
                  <c:v>377</c:v>
                </c:pt>
                <c:pt idx="20">
                  <c:v>37</c:v>
                </c:pt>
                <c:pt idx="21">
                  <c:v>37</c:v>
                </c:pt>
                <c:pt idx="22">
                  <c:v>97</c:v>
                </c:pt>
                <c:pt idx="2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F-4CC2-890A-57109B7089DF}"/>
            </c:ext>
          </c:extLst>
        </c:ser>
        <c:ser>
          <c:idx val="3"/>
          <c:order val="2"/>
          <c:tx>
            <c:strRef>
              <c:f>'30'!$AL$18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'30'!$AM$18:$BN$18</c:f>
              <c:numCache>
                <c:formatCode>General</c:formatCode>
                <c:ptCount val="24"/>
                <c:pt idx="0">
                  <c:v>72.84</c:v>
                </c:pt>
                <c:pt idx="1">
                  <c:v>72.84</c:v>
                </c:pt>
                <c:pt idx="2">
                  <c:v>79.239999999999995</c:v>
                </c:pt>
                <c:pt idx="3">
                  <c:v>79.239999999999995</c:v>
                </c:pt>
                <c:pt idx="4">
                  <c:v>79.239999999999995</c:v>
                </c:pt>
                <c:pt idx="5">
                  <c:v>79.239999999999995</c:v>
                </c:pt>
                <c:pt idx="6">
                  <c:v>233.23999999999998</c:v>
                </c:pt>
                <c:pt idx="7">
                  <c:v>248.73999999999998</c:v>
                </c:pt>
                <c:pt idx="8">
                  <c:v>284.53000000000009</c:v>
                </c:pt>
                <c:pt idx="9">
                  <c:v>272.73000000000008</c:v>
                </c:pt>
                <c:pt idx="10">
                  <c:v>266.73</c:v>
                </c:pt>
                <c:pt idx="11">
                  <c:v>268.73</c:v>
                </c:pt>
                <c:pt idx="12">
                  <c:v>243.52999999999994</c:v>
                </c:pt>
                <c:pt idx="13">
                  <c:v>201.24</c:v>
                </c:pt>
                <c:pt idx="14">
                  <c:v>200.64</c:v>
                </c:pt>
                <c:pt idx="15">
                  <c:v>195.23999999999995</c:v>
                </c:pt>
                <c:pt idx="16">
                  <c:v>225.23999999999995</c:v>
                </c:pt>
                <c:pt idx="17">
                  <c:v>171.44</c:v>
                </c:pt>
                <c:pt idx="18">
                  <c:v>254.84</c:v>
                </c:pt>
                <c:pt idx="19">
                  <c:v>347.44000000000005</c:v>
                </c:pt>
                <c:pt idx="20">
                  <c:v>310.94000000000005</c:v>
                </c:pt>
                <c:pt idx="21">
                  <c:v>186.24</c:v>
                </c:pt>
                <c:pt idx="22">
                  <c:v>114.74000000000001</c:v>
                </c:pt>
                <c:pt idx="23">
                  <c:v>128.34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F-4CC2-890A-57109B7089DF}"/>
            </c:ext>
          </c:extLst>
        </c:ser>
        <c:ser>
          <c:idx val="0"/>
          <c:order val="3"/>
          <c:tx>
            <c:strRef>
              <c:f>'30'!$AL$19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'30'!$AM$19:$BN$19</c:f>
              <c:numCache>
                <c:formatCode>General</c:formatCode>
                <c:ptCount val="24"/>
                <c:pt idx="0">
                  <c:v>671</c:v>
                </c:pt>
                <c:pt idx="1">
                  <c:v>684</c:v>
                </c:pt>
                <c:pt idx="2">
                  <c:v>640</c:v>
                </c:pt>
                <c:pt idx="3">
                  <c:v>631.4</c:v>
                </c:pt>
                <c:pt idx="4">
                  <c:v>650.69999999999993</c:v>
                </c:pt>
                <c:pt idx="5">
                  <c:v>668.4</c:v>
                </c:pt>
                <c:pt idx="6">
                  <c:v>672.80000000000007</c:v>
                </c:pt>
                <c:pt idx="7">
                  <c:v>633.79999999999995</c:v>
                </c:pt>
                <c:pt idx="8">
                  <c:v>261.5</c:v>
                </c:pt>
                <c:pt idx="9">
                  <c:v>541.5</c:v>
                </c:pt>
                <c:pt idx="10">
                  <c:v>539.20000000000005</c:v>
                </c:pt>
                <c:pt idx="11">
                  <c:v>565.70000000000005</c:v>
                </c:pt>
                <c:pt idx="12">
                  <c:v>681.8</c:v>
                </c:pt>
                <c:pt idx="13">
                  <c:v>736.8</c:v>
                </c:pt>
                <c:pt idx="14">
                  <c:v>751.5</c:v>
                </c:pt>
                <c:pt idx="15">
                  <c:v>780.49999999999989</c:v>
                </c:pt>
                <c:pt idx="16">
                  <c:v>763.4</c:v>
                </c:pt>
                <c:pt idx="17">
                  <c:v>732</c:v>
                </c:pt>
                <c:pt idx="18">
                  <c:v>582.70000000000005</c:v>
                </c:pt>
                <c:pt idx="19">
                  <c:v>349.4</c:v>
                </c:pt>
                <c:pt idx="20">
                  <c:v>379.3</c:v>
                </c:pt>
                <c:pt idx="21">
                  <c:v>529</c:v>
                </c:pt>
                <c:pt idx="22">
                  <c:v>663</c:v>
                </c:pt>
                <c:pt idx="23">
                  <c:v>598.29999999999995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F-4CC2-890A-57109B7089DF}"/>
            </c:ext>
          </c:extLst>
        </c:ser>
        <c:ser>
          <c:idx val="4"/>
          <c:order val="4"/>
          <c:tx>
            <c:strRef>
              <c:f>'30'!$AL$20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'30'!$AM$20:$BN$20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57</c:v>
                </c:pt>
                <c:pt idx="19">
                  <c:v>61.599999999999994</c:v>
                </c:pt>
                <c:pt idx="20">
                  <c:v>85.2</c:v>
                </c:pt>
                <c:pt idx="21">
                  <c:v>8.5</c:v>
                </c:pt>
                <c:pt idx="22">
                  <c:v>0</c:v>
                </c:pt>
                <c:pt idx="23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F-4CC2-890A-57109B7089DF}"/>
            </c:ext>
          </c:extLst>
        </c:ser>
        <c:ser>
          <c:idx val="5"/>
          <c:order val="5"/>
          <c:tx>
            <c:strRef>
              <c:f>'30'!$AL$21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'30'!$AM$21:$BN$21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</c:v>
                </c:pt>
                <c:pt idx="8">
                  <c:v>250</c:v>
                </c:pt>
                <c:pt idx="9">
                  <c:v>200</c:v>
                </c:pt>
                <c:pt idx="10">
                  <c:v>180</c:v>
                </c:pt>
                <c:pt idx="11">
                  <c:v>0</c:v>
                </c:pt>
                <c:pt idx="12">
                  <c:v>0</c:v>
                </c:pt>
                <c:pt idx="13">
                  <c:v>10</c:v>
                </c:pt>
                <c:pt idx="14">
                  <c:v>18</c:v>
                </c:pt>
                <c:pt idx="15">
                  <c:v>18</c:v>
                </c:pt>
                <c:pt idx="16">
                  <c:v>10</c:v>
                </c:pt>
                <c:pt idx="17">
                  <c:v>100</c:v>
                </c:pt>
                <c:pt idx="18">
                  <c:v>200</c:v>
                </c:pt>
                <c:pt idx="19">
                  <c:v>200</c:v>
                </c:pt>
                <c:pt idx="20">
                  <c:v>350</c:v>
                </c:pt>
                <c:pt idx="21">
                  <c:v>300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2F-4CC2-890A-57109B70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'30'!$AM$23:$BN$23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2F-4CC2-890A-57109B70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'30'!$AM$22:$BN$22</c:f>
              <c:numCache>
                <c:formatCode>General</c:formatCode>
                <c:ptCount val="24"/>
                <c:pt idx="0">
                  <c:v>1239.49</c:v>
                </c:pt>
                <c:pt idx="1">
                  <c:v>1252.49</c:v>
                </c:pt>
                <c:pt idx="2">
                  <c:v>1220.19</c:v>
                </c:pt>
                <c:pt idx="3">
                  <c:v>1211.5899999999999</c:v>
                </c:pt>
                <c:pt idx="4">
                  <c:v>1230.8899999999999</c:v>
                </c:pt>
                <c:pt idx="5">
                  <c:v>1248.5899999999999</c:v>
                </c:pt>
                <c:pt idx="6">
                  <c:v>1405.19</c:v>
                </c:pt>
                <c:pt idx="7">
                  <c:v>1487.69</c:v>
                </c:pt>
                <c:pt idx="8">
                  <c:v>1596.68</c:v>
                </c:pt>
                <c:pt idx="9">
                  <c:v>1539.88</c:v>
                </c:pt>
                <c:pt idx="10">
                  <c:v>1517.88</c:v>
                </c:pt>
                <c:pt idx="11">
                  <c:v>1384.38</c:v>
                </c:pt>
                <c:pt idx="12">
                  <c:v>1475.28</c:v>
                </c:pt>
                <c:pt idx="13">
                  <c:v>1503.09</c:v>
                </c:pt>
                <c:pt idx="14">
                  <c:v>1505.19</c:v>
                </c:pt>
                <c:pt idx="15">
                  <c:v>1543.79</c:v>
                </c:pt>
                <c:pt idx="16">
                  <c:v>1533.69</c:v>
                </c:pt>
                <c:pt idx="17">
                  <c:v>1548.49</c:v>
                </c:pt>
                <c:pt idx="18">
                  <c:v>1619.5900000000001</c:v>
                </c:pt>
                <c:pt idx="19">
                  <c:v>1794.3899999999999</c:v>
                </c:pt>
                <c:pt idx="20">
                  <c:v>1623.79</c:v>
                </c:pt>
                <c:pt idx="21">
                  <c:v>1522.09</c:v>
                </c:pt>
                <c:pt idx="22">
                  <c:v>1336.09</c:v>
                </c:pt>
                <c:pt idx="23">
                  <c:v>1271.6899999999998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12F-4CC2-890A-57109B7089DF}"/>
            </c:ext>
          </c:extLst>
        </c:ser>
        <c:ser>
          <c:idx val="8"/>
          <c:order val="8"/>
          <c:tx>
            <c:strRef>
              <c:f>'30'!$AL$24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'30'!$AM$15:$BN$15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0.499999999999999</c:v>
                </c:pt>
                <c:pt idx="13">
                  <c:v>0.54166666666666496</c:v>
                </c:pt>
                <c:pt idx="14">
                  <c:v>0.58333333333333104</c:v>
                </c:pt>
                <c:pt idx="15">
                  <c:v>0.624999999999997</c:v>
                </c:pt>
                <c:pt idx="16">
                  <c:v>0.66666666666666297</c:v>
                </c:pt>
                <c:pt idx="17">
                  <c:v>0.70833333333332904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'30'!$AM$24:$BN$24</c:f>
              <c:numCache>
                <c:formatCode>General</c:formatCode>
                <c:ptCount val="24"/>
                <c:pt idx="0">
                  <c:v>1239.49</c:v>
                </c:pt>
                <c:pt idx="1">
                  <c:v>1252.49</c:v>
                </c:pt>
                <c:pt idx="2">
                  <c:v>1220.19</c:v>
                </c:pt>
                <c:pt idx="3">
                  <c:v>1211.5899999999999</c:v>
                </c:pt>
                <c:pt idx="4">
                  <c:v>1230.8899999999999</c:v>
                </c:pt>
                <c:pt idx="5">
                  <c:v>1248.5899999999999</c:v>
                </c:pt>
                <c:pt idx="6">
                  <c:v>1405.19</c:v>
                </c:pt>
                <c:pt idx="7">
                  <c:v>1487.69</c:v>
                </c:pt>
                <c:pt idx="8">
                  <c:v>1596.68</c:v>
                </c:pt>
                <c:pt idx="9">
                  <c:v>1539.88</c:v>
                </c:pt>
                <c:pt idx="10">
                  <c:v>1517.88</c:v>
                </c:pt>
                <c:pt idx="11">
                  <c:v>1384.38</c:v>
                </c:pt>
                <c:pt idx="12">
                  <c:v>1475.28</c:v>
                </c:pt>
                <c:pt idx="13">
                  <c:v>1503.09</c:v>
                </c:pt>
                <c:pt idx="14">
                  <c:v>1505.19</c:v>
                </c:pt>
                <c:pt idx="15">
                  <c:v>1543.79</c:v>
                </c:pt>
                <c:pt idx="16">
                  <c:v>1533.69</c:v>
                </c:pt>
                <c:pt idx="17">
                  <c:v>1548.49</c:v>
                </c:pt>
                <c:pt idx="18">
                  <c:v>1619.5900000000001</c:v>
                </c:pt>
                <c:pt idx="19">
                  <c:v>1794.3899999999999</c:v>
                </c:pt>
                <c:pt idx="20">
                  <c:v>1623.79</c:v>
                </c:pt>
                <c:pt idx="21">
                  <c:v>1522.09</c:v>
                </c:pt>
                <c:pt idx="22">
                  <c:v>1336.09</c:v>
                </c:pt>
                <c:pt idx="23">
                  <c:v>1271.6899999999998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2F-4CC2-890A-57109B70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ED-49E4-8404-9AC0F62E50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ED-49E4-8404-9AC0F62E50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ED-49E4-8404-9AC0F62E50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ED-49E4-8404-9AC0F62E50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ED-49E4-8404-9AC0F62E50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DED-49E4-8404-9AC0F62E50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'31'!$AM$16:$BJ$16</c:f>
              <c:numCache>
                <c:formatCode>General</c:formatCode>
                <c:ptCount val="24"/>
                <c:pt idx="0">
                  <c:v>461.34999999999997</c:v>
                </c:pt>
                <c:pt idx="1">
                  <c:v>461.34999999999997</c:v>
                </c:pt>
                <c:pt idx="2">
                  <c:v>461.34999999999997</c:v>
                </c:pt>
                <c:pt idx="3">
                  <c:v>462.34999999999997</c:v>
                </c:pt>
                <c:pt idx="4">
                  <c:v>462.34999999999997</c:v>
                </c:pt>
                <c:pt idx="5">
                  <c:v>462.34999999999997</c:v>
                </c:pt>
                <c:pt idx="6">
                  <c:v>461.84999999999997</c:v>
                </c:pt>
                <c:pt idx="7">
                  <c:v>459.34999999999997</c:v>
                </c:pt>
                <c:pt idx="8">
                  <c:v>451.74999999999994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9-40FC-B6FC-9B94778B6416}"/>
            </c:ext>
          </c:extLst>
        </c:ser>
        <c:ser>
          <c:idx val="2"/>
          <c:order val="1"/>
          <c:tx>
            <c:strRef>
              <c:f>'31'!$AL$17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'31'!$AM$17:$BJ$17</c:f>
              <c:numCache>
                <c:formatCode>General</c:formatCode>
                <c:ptCount val="24"/>
                <c:pt idx="0">
                  <c:v>62.1</c:v>
                </c:pt>
                <c:pt idx="1">
                  <c:v>77.099999999999994</c:v>
                </c:pt>
                <c:pt idx="2">
                  <c:v>77.099999999999994</c:v>
                </c:pt>
                <c:pt idx="3">
                  <c:v>87.1</c:v>
                </c:pt>
                <c:pt idx="4">
                  <c:v>87.1</c:v>
                </c:pt>
                <c:pt idx="5">
                  <c:v>87.1</c:v>
                </c:pt>
                <c:pt idx="6">
                  <c:v>67.099999999999994</c:v>
                </c:pt>
                <c:pt idx="7">
                  <c:v>237.1</c:v>
                </c:pt>
                <c:pt idx="8">
                  <c:v>387.1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9-40FC-B6FC-9B94778B6416}"/>
            </c:ext>
          </c:extLst>
        </c:ser>
        <c:ser>
          <c:idx val="3"/>
          <c:order val="2"/>
          <c:tx>
            <c:strRef>
              <c:f>'31'!$AL$18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'31'!$AM$18:$BJ$18</c:f>
              <c:numCache>
                <c:formatCode>General</c:formatCode>
                <c:ptCount val="24"/>
                <c:pt idx="0">
                  <c:v>128.34</c:v>
                </c:pt>
                <c:pt idx="1">
                  <c:v>74.84</c:v>
                </c:pt>
                <c:pt idx="2">
                  <c:v>74.84</c:v>
                </c:pt>
                <c:pt idx="3">
                  <c:v>77.34</c:v>
                </c:pt>
                <c:pt idx="4">
                  <c:v>77.34</c:v>
                </c:pt>
                <c:pt idx="5">
                  <c:v>77.34</c:v>
                </c:pt>
                <c:pt idx="6">
                  <c:v>169.93999999999997</c:v>
                </c:pt>
                <c:pt idx="7">
                  <c:v>357.03999999999996</c:v>
                </c:pt>
                <c:pt idx="8">
                  <c:v>351.93999999999994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9-40FC-B6FC-9B94778B6416}"/>
            </c:ext>
          </c:extLst>
        </c:ser>
        <c:ser>
          <c:idx val="0"/>
          <c:order val="3"/>
          <c:tx>
            <c:strRef>
              <c:f>'31'!$AL$19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'31'!$AM$19:$BJ$19</c:f>
              <c:numCache>
                <c:formatCode>General</c:formatCode>
                <c:ptCount val="24"/>
                <c:pt idx="0">
                  <c:v>594</c:v>
                </c:pt>
                <c:pt idx="1">
                  <c:v>581</c:v>
                </c:pt>
                <c:pt idx="2">
                  <c:v>575</c:v>
                </c:pt>
                <c:pt idx="3">
                  <c:v>565.4</c:v>
                </c:pt>
                <c:pt idx="4">
                  <c:v>579.29999999999995</c:v>
                </c:pt>
                <c:pt idx="5">
                  <c:v>613.4</c:v>
                </c:pt>
                <c:pt idx="6">
                  <c:v>655.29999999999995</c:v>
                </c:pt>
                <c:pt idx="7">
                  <c:v>340.09999999999997</c:v>
                </c:pt>
                <c:pt idx="8">
                  <c:v>118.19999999999999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79-40FC-B6FC-9B94778B6416}"/>
            </c:ext>
          </c:extLst>
        </c:ser>
        <c:ser>
          <c:idx val="4"/>
          <c:order val="4"/>
          <c:tx>
            <c:strRef>
              <c:f>'31'!$AL$20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36.700000000000003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79-40FC-B6FC-9B94778B6416}"/>
            </c:ext>
          </c:extLst>
        </c:ser>
        <c:ser>
          <c:idx val="5"/>
          <c:order val="5"/>
          <c:tx>
            <c:strRef>
              <c:f>'31'!$AL$21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'31'!$AM$21:$BJ$21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250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79-40FC-B6FC-9B94778B6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79-40FC-B6FC-9B94778B6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'31'!$AM$22:$BJ$22</c:f>
              <c:numCache>
                <c:formatCode>General</c:formatCode>
                <c:ptCount val="24"/>
                <c:pt idx="0">
                  <c:v>1295.79</c:v>
                </c:pt>
                <c:pt idx="1">
                  <c:v>1244.29</c:v>
                </c:pt>
                <c:pt idx="2">
                  <c:v>1238.29</c:v>
                </c:pt>
                <c:pt idx="3">
                  <c:v>1242.19</c:v>
                </c:pt>
                <c:pt idx="4">
                  <c:v>1256.0899999999999</c:v>
                </c:pt>
                <c:pt idx="5">
                  <c:v>1290.19</c:v>
                </c:pt>
                <c:pt idx="6">
                  <c:v>1404.1899999999998</c:v>
                </c:pt>
                <c:pt idx="7">
                  <c:v>1443.5899999999997</c:v>
                </c:pt>
                <c:pt idx="8">
                  <c:v>1595.69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C79-40FC-B6FC-9B94778B6416}"/>
            </c:ext>
          </c:extLst>
        </c:ser>
        <c:ser>
          <c:idx val="8"/>
          <c:order val="8"/>
          <c:tx>
            <c:strRef>
              <c:f>'31'!$AL$24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'31'!$AM$24:$BJ$24</c:f>
              <c:numCache>
                <c:formatCode>General</c:formatCode>
                <c:ptCount val="24"/>
                <c:pt idx="0">
                  <c:v>1295.79</c:v>
                </c:pt>
                <c:pt idx="1">
                  <c:v>1244.29</c:v>
                </c:pt>
                <c:pt idx="2">
                  <c:v>1238.29</c:v>
                </c:pt>
                <c:pt idx="3">
                  <c:v>1242.19</c:v>
                </c:pt>
                <c:pt idx="4">
                  <c:v>1256.0899999999999</c:v>
                </c:pt>
                <c:pt idx="5">
                  <c:v>1290.19</c:v>
                </c:pt>
                <c:pt idx="6">
                  <c:v>1404.1899999999998</c:v>
                </c:pt>
                <c:pt idx="7">
                  <c:v>1443.5899999999997</c:v>
                </c:pt>
                <c:pt idx="8">
                  <c:v>1595.69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79-40FC-B6FC-9B94778B6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BC-4D5A-8B95-A33A348566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BC-4D5A-8B95-A33A348566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BC-4D5A-8B95-A33A348566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CBC-4D5A-8B95-A33A348566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CBC-4D5A-8B95-A33A348566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CBC-4D5A-8B95-A33A348566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NSample!$AL$16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NSample!$AM$16:$BJ$16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5-4978-BE44-2AD5CDAF381F}"/>
            </c:ext>
          </c:extLst>
        </c:ser>
        <c:ser>
          <c:idx val="2"/>
          <c:order val="1"/>
          <c:tx>
            <c:strRef>
              <c:f>NSample!$AL$17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5-4978-BE44-2AD5CDAF381F}"/>
            </c:ext>
          </c:extLst>
        </c:ser>
        <c:ser>
          <c:idx val="3"/>
          <c:order val="2"/>
          <c:tx>
            <c:strRef>
              <c:f>NSample!$AL$18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B5-4978-BE44-2AD5CDAF381F}"/>
            </c:ext>
          </c:extLst>
        </c:ser>
        <c:ser>
          <c:idx val="0"/>
          <c:order val="3"/>
          <c:tx>
            <c:strRef>
              <c:f>NSample!$AL$19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B5-4978-BE44-2AD5CDAF381F}"/>
            </c:ext>
          </c:extLst>
        </c:ser>
        <c:ser>
          <c:idx val="4"/>
          <c:order val="4"/>
          <c:tx>
            <c:strRef>
              <c:f>NSample!$AL$20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B5-4978-BE44-2AD5CDAF381F}"/>
            </c:ext>
          </c:extLst>
        </c:ser>
        <c:ser>
          <c:idx val="5"/>
          <c:order val="5"/>
          <c:tx>
            <c:strRef>
              <c:f>NSample!$AL$21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B5-4978-BE44-2AD5CDAF3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NSample!$AL$23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B5-4978-BE44-2AD5CDAF3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NSample!$AL$22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NSample!$AM$22:$BJ$22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7B5-4978-BE44-2AD5CDAF381F}"/>
            </c:ext>
          </c:extLst>
        </c:ser>
        <c:ser>
          <c:idx val="8"/>
          <c:order val="8"/>
          <c:tx>
            <c:strRef>
              <c:f>NSample!$AL$24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</c:numCache>
            </c:numRef>
          </c:cat>
          <c:val>
            <c:numRef>
              <c:f>NSample!$AM$24:$BJ$24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B5-4978-BE44-2AD5CDAF3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3A2BA-E1B7-4D6E-9B28-2A1B0D2B7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9AA61-5AC0-40B8-8A0B-94CB1C74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2306A-43A5-46AC-83FC-4F087A75F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3560F-25F2-425A-9EFE-4198A1D7E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B1762-0236-44AE-A87F-7B3F98377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FD0E36-96A0-4339-906C-D70E94F29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6BC48-4725-4A5B-8675-77D7AF8D9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3A43C-5203-4BE5-89AD-0FC9B6359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52E7B-BE78-44D2-9E84-F32D341F5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7CAE2-A7F9-4F11-A86D-39AE4F90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25C49-FC13-4E6D-A058-CB800FA51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B3D96-5B62-4D6C-9CC8-159E407FA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C2FD0-BDB1-4660-AEAF-91AFA6D07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3A224-8065-4999-A738-A6D5E0256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1AE95-CA22-4AF1-A6D0-C0D92A9B4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13FC98-75C1-4441-BA58-E6A6CBD3F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B231F-C161-4140-98D8-266E812E6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F1F79D-D217-41C6-9F9D-CEC18B144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290081</xdr:colOff>
      <xdr:row>120</xdr:row>
      <xdr:rowOff>65808</xdr:rowOff>
    </xdr:from>
    <xdr:to>
      <xdr:col>25</xdr:col>
      <xdr:colOff>316058</xdr:colOff>
      <xdr:row>134</xdr:row>
      <xdr:rowOff>116031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8A223-06F5-31BB-F67F-F841C3C1E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F5814-206E-4B40-BAFA-8F9D36341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261</xdr:row>
      <xdr:rowOff>133356</xdr:rowOff>
    </xdr:from>
    <xdr:to>
      <xdr:col>32</xdr:col>
      <xdr:colOff>9524</xdr:colOff>
      <xdr:row>279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172ABB-F2A7-4F70-BFC8-E99053261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E08E6-0DD2-4C98-92DA-5A8381789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350449</xdr:colOff>
      <xdr:row>25</xdr:row>
      <xdr:rowOff>0</xdr:rowOff>
    </xdr:from>
    <xdr:to>
      <xdr:col>62</xdr:col>
      <xdr:colOff>341463</xdr:colOff>
      <xdr:row>49</xdr:row>
      <xdr:rowOff>161746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DB771-2F5F-43BE-978F-F70892BF9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9B024-79C3-42F2-BEDA-9E8B0E517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89</xdr:col>
      <xdr:colOff>350448</xdr:colOff>
      <xdr:row>24</xdr:row>
      <xdr:rowOff>179716</xdr:rowOff>
    </xdr:from>
    <xdr:to>
      <xdr:col>114</xdr:col>
      <xdr:colOff>422335</xdr:colOff>
      <xdr:row>50</xdr:row>
      <xdr:rowOff>17971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D6221-6C28-40A5-8ACB-81E1370B7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51D6C-2ABB-4715-8E13-9BE077B99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350448</xdr:colOff>
      <xdr:row>24</xdr:row>
      <xdr:rowOff>179716</xdr:rowOff>
    </xdr:from>
    <xdr:to>
      <xdr:col>62</xdr:col>
      <xdr:colOff>422335</xdr:colOff>
      <xdr:row>50</xdr:row>
      <xdr:rowOff>17971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D52431-28E6-4646-BC46-D2933E5AE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3D66A-EC6F-4355-A69C-0BD50EE44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314504</xdr:colOff>
      <xdr:row>10</xdr:row>
      <xdr:rowOff>62899</xdr:rowOff>
    </xdr:from>
    <xdr:to>
      <xdr:col>63</xdr:col>
      <xdr:colOff>287547</xdr:colOff>
      <xdr:row>32</xdr:row>
      <xdr:rowOff>26957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41F4E9-FED1-402E-933F-E80578661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0.92875</cdr:x>
      <cdr:y>0.08015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0" y="125803"/>
          <a:ext cx="2102689" cy="25160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0.75042</cdr:x>
      <cdr:y>0.07949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8" y="113702"/>
          <a:ext cx="2102689" cy="26059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29F39-33A9-4CFC-BA82-E49B06F29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269575</xdr:colOff>
      <xdr:row>11</xdr:row>
      <xdr:rowOff>8985</xdr:rowOff>
    </xdr:from>
    <xdr:to>
      <xdr:col>63</xdr:col>
      <xdr:colOff>242618</xdr:colOff>
      <xdr:row>32</xdr:row>
      <xdr:rowOff>170731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24AA5-6910-4AFB-8294-C65901160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0.92875</cdr:x>
      <cdr:y>0.08015</cdr:y>
    </cdr:to>
    <cdr:sp macro="" textlink="'14'!$AR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0" y="125803"/>
          <a:ext cx="2102689" cy="25160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313F6046-B583-410B-9AE9-5446B8C0B2A3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1826.59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0.75042</cdr:x>
      <cdr:y>0.07949</cdr:y>
    </cdr:to>
    <cdr:sp macro="" textlink="'14'!$AR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8" y="113702"/>
          <a:ext cx="2102689" cy="26059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fld id="{0A3A351F-9E90-4FF2-95AB-74F433373B8B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1826.59 MW</a:t>
          </a:fld>
          <a:endParaRPr lang="en-US" sz="11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93E13-2B3A-403C-8B24-7F46C23B2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0134C-2562-4E2F-87EB-D666CE4FE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1851.29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1852.29 MW</a:t>
          </a:fld>
          <a:endParaRPr lang="en-US" sz="1100"/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707F9-EDF0-4EF2-93CC-FC7A968E3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88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7F78C0-D812-4987-82CE-318C7A576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1840.95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1840.95 MW</a:t>
          </a:fld>
          <a:endParaRPr lang="en-US" sz="11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2B068-4758-4848-9726-500033E34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DE7A0-1F9A-4252-88AB-02DFEB1A4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1770.45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1770.45 MW</a:t>
          </a:fld>
          <a:endParaRPr lang="en-US" sz="1100"/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52CFF-FB5D-49A1-999E-52DF797C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D545E9-607E-45C8-A84E-64E4ABBDA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1817.05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1817.05 MW</a:t>
          </a:fld>
          <a:endParaRPr lang="en-US" sz="1100"/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2183D-608E-4E2D-AB56-9C9BFF30F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48E9F-ADCB-44EA-B685-15735667D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1582.99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1582.99 MW</a:t>
          </a:fld>
          <a:endParaRPr lang="en-US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AE031-CDE2-4690-9052-22CB3EF8C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44620-0B0A-4EE6-92DD-2A670D09E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1586.09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1586.09 MW</a:t>
          </a:fld>
          <a:endParaRPr lang="en-US" sz="1100"/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9AD5A-5B0A-4A2B-94E8-844DB77F0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EFE4E4-EDFD-4F46-9F42-0DB29C551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1628.73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1628.73 MW</a:t>
          </a:fld>
          <a:endParaRPr lang="en-US" sz="1100"/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3D140-DE5A-490E-979B-0953F2BCD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912B0E-907D-4F82-80DC-DCD4EA458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1648.79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1648.79 MW</a:t>
          </a:fld>
          <a:endParaRPr lang="en-US" sz="1100"/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350F5-5ED0-4350-B546-FD2D4D0EB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663AA-871C-4031-9A8F-853CF2AAD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1453.99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1453.99 MW</a:t>
          </a:fld>
          <a:endParaRPr lang="en-US" sz="1100"/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B9960-B7B5-41E6-BD40-1A0F07EFE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169F2-822F-41EA-AF33-D3EAB71D9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1571.79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1571.79 MW</a:t>
          </a:fld>
          <a:endParaRPr lang="en-US" sz="1100"/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24CD9-941B-427C-9B5F-E7FFA34A3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9127B6-08C6-41A7-8483-095512DF9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1684.39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1684.39 MW</a:t>
          </a:fld>
          <a:endParaRPr lang="en-US" sz="1100"/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8FF95-8CB0-4449-BF1D-03B895845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35D86F-2548-43AC-88F9-54A912991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1501.89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1501.89 MW</a:t>
          </a:fld>
          <a:endParaRPr lang="en-US" sz="1100"/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35337-3E86-4B09-BD1D-F6603EBEA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548138</xdr:colOff>
      <xdr:row>10</xdr:row>
      <xdr:rowOff>107829</xdr:rowOff>
    </xdr:from>
    <xdr:to>
      <xdr:col>62</xdr:col>
      <xdr:colOff>521181</xdr:colOff>
      <xdr:row>32</xdr:row>
      <xdr:rowOff>71886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B2ABF2-8D71-4871-8549-FEFBF6F0E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1675.99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1675.99 MW</a:t>
          </a:fld>
          <a:endParaRPr lang="en-US" sz="1100"/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54FD9-8E82-4705-ACE1-F49FFEDFF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D742F8-43B8-4415-AE8F-53DD4C2CB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1689.99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1689.99 MW</a:t>
          </a:fld>
          <a:endParaRPr lang="en-US" sz="1100"/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75C04-9BF5-401B-99B7-DCB9C0F09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224896-B6FC-4DF3-A7B0-47390F47F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1783.99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1783.99 MW</a:t>
          </a:fld>
          <a:endParaRPr lang="en-US" sz="1100"/>
        </a:p>
      </cdr:txBody>
    </cdr:sp>
  </cdr:relSizeAnchor>
</c:userShapes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833F2-B191-45FD-9CFB-1536F96D8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419099</xdr:colOff>
      <xdr:row>26</xdr:row>
      <xdr:rowOff>184659</xdr:rowOff>
    </xdr:from>
    <xdr:to>
      <xdr:col>68</xdr:col>
      <xdr:colOff>462643</xdr:colOff>
      <xdr:row>60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FAB3F-5F92-401A-85E5-6D9408F56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1794.39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1794.39 MW</a:t>
          </a:fld>
          <a:endParaRPr lang="en-US" sz="1100"/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C514E-C981-4957-8204-4B477581C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782D8-036B-4E08-89F6-98CBC1323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1595.69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1595.69 MW</a:t>
          </a:fld>
          <a:endParaRPr lang="en-US" sz="1100"/>
        </a:p>
      </cdr:txBody>
    </cdr: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4F5A3-8FB2-4A2C-902B-AC60F2E1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413348</xdr:colOff>
      <xdr:row>11</xdr:row>
      <xdr:rowOff>35943</xdr:rowOff>
    </xdr:from>
    <xdr:to>
      <xdr:col>63</xdr:col>
      <xdr:colOff>386391</xdr:colOff>
      <xdr:row>33</xdr:row>
      <xdr:rowOff>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A7F83-DBAC-4FFC-A4AA-2C39B8B68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N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NATIONAL PEAK : 153.54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N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</a:rPr>
            <a:pPr/>
            <a:t>DAILY SYSTEM PEAK : 153.54 MW</a:t>
          </a:fld>
          <a:endParaRPr lang="en-US" sz="1100"/>
        </a:p>
      </cdr:txBody>
    </cdr:sp>
  </cdr:relSizeAnchor>
</c:userShapes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65</xdr:row>
      <xdr:rowOff>114300</xdr:rowOff>
    </xdr:from>
    <xdr:to>
      <xdr:col>15</xdr:col>
      <xdr:colOff>504825</xdr:colOff>
      <xdr:row>106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A171C-DFE2-FA8E-5D0B-FB538A5C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2687300"/>
          <a:ext cx="9239250" cy="771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3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3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3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36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3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4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4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4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4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4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5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5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A73B-ED87-4307-942C-1E9828832A4A}">
  <sheetPr codeName="Sheet35"/>
  <dimension ref="A1:CJ293"/>
  <sheetViews>
    <sheetView zoomScaleNormal="100" workbookViewId="0">
      <pane xSplit="1" ySplit="10" topLeftCell="B68" activePane="bottomRight" state="frozen"/>
      <selection activeCell="Z63" sqref="Z63"/>
      <selection pane="topRight" activeCell="Z63" sqref="Z63"/>
      <selection pane="bottomLeft" activeCell="Z63" sqref="Z63"/>
      <selection pane="bottomRight" activeCell="H126" sqref="H126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7.140625" style="1" customWidth="1"/>
    <col min="4" max="4" width="9.140625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2" width="6" style="1" bestFit="1" customWidth="1"/>
    <col min="13" max="13" width="7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8.85546875" style="1" customWidth="1"/>
    <col min="20" max="20" width="9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2080/10/0</v>
      </c>
      <c r="C4" s="272"/>
      <c r="D4" s="272"/>
      <c r="E4" s="273" t="str">
        <f ca="1">"2080/"&amp;"10/"&amp;INT(MID(CELL("filename",G6),FIND("]",CELL("filename",G6))+1,200))</f>
        <v>2080/10/0</v>
      </c>
      <c r="F4" s="273"/>
      <c r="G4" s="273"/>
      <c r="H4" s="273" t="str">
        <f ca="1">TEXT(E4,"dddd")</f>
        <v>2080/10/0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495.80000000000007</v>
      </c>
      <c r="C5" s="30">
        <f t="shared" si="0"/>
        <v>507.20000000000005</v>
      </c>
      <c r="D5" s="30">
        <f t="shared" si="0"/>
        <v>531.4</v>
      </c>
      <c r="E5" s="30">
        <f t="shared" si="0"/>
        <v>520.5</v>
      </c>
      <c r="F5" s="30">
        <f t="shared" si="0"/>
        <v>567.04</v>
      </c>
      <c r="G5" s="30">
        <f t="shared" si="0"/>
        <v>571.70000000000005</v>
      </c>
      <c r="H5" s="30">
        <f t="shared" si="0"/>
        <v>569.69999999999993</v>
      </c>
      <c r="I5" s="30">
        <f t="shared" si="0"/>
        <v>620.50000000000011</v>
      </c>
      <c r="J5" s="30">
        <f t="shared" si="0"/>
        <v>368.3</v>
      </c>
      <c r="K5" s="30">
        <f t="shared" si="0"/>
        <v>246.5</v>
      </c>
      <c r="L5" s="30">
        <f t="shared" si="0"/>
        <v>220.3</v>
      </c>
      <c r="M5" s="30">
        <f t="shared" si="0"/>
        <v>279.90000000000003</v>
      </c>
      <c r="N5" s="30">
        <f t="shared" si="0"/>
        <v>341.19999999999993</v>
      </c>
      <c r="O5" s="30">
        <f t="shared" si="0"/>
        <v>576.5</v>
      </c>
      <c r="P5" s="30">
        <f t="shared" si="0"/>
        <v>700.7</v>
      </c>
      <c r="Q5" s="30">
        <f t="shared" si="0"/>
        <v>643.9</v>
      </c>
      <c r="R5" s="30">
        <f t="shared" si="0"/>
        <v>714.29999999999984</v>
      </c>
      <c r="S5" s="30">
        <f t="shared" si="0"/>
        <v>763.6</v>
      </c>
      <c r="T5" s="30">
        <f t="shared" si="0"/>
        <v>612.4</v>
      </c>
      <c r="U5" s="30">
        <f t="shared" si="0"/>
        <v>542.70000000000005</v>
      </c>
      <c r="V5" s="30">
        <f t="shared" si="0"/>
        <v>475.3</v>
      </c>
      <c r="W5" s="30">
        <f t="shared" si="0"/>
        <v>363.1</v>
      </c>
      <c r="X5" s="30">
        <f t="shared" si="0"/>
        <v>295.70000000000005</v>
      </c>
      <c r="Y5" s="30">
        <f t="shared" si="0"/>
        <v>258.2</v>
      </c>
      <c r="Z5" s="30">
        <f t="shared" si="0"/>
        <v>238.4</v>
      </c>
      <c r="AA5" s="30">
        <f t="shared" si="0"/>
        <v>356.20000000000005</v>
      </c>
      <c r="AB5" s="30">
        <f t="shared" si="0"/>
        <v>489.4</v>
      </c>
      <c r="AC5" s="30">
        <f t="shared" si="0"/>
        <v>563</v>
      </c>
      <c r="AD5" s="30">
        <f t="shared" si="0"/>
        <v>611.90000000000009</v>
      </c>
      <c r="AE5" s="30">
        <f t="shared" si="0"/>
        <v>605.5</v>
      </c>
      <c r="AF5" s="30">
        <f>B92</f>
        <v>508.6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1769MW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Load=1137</v>
      </c>
      <c r="B7" s="35">
        <f>B100</f>
        <v>1163.1399999999999</v>
      </c>
      <c r="C7" s="35">
        <f t="shared" ref="C7:AF7" si="1">C100</f>
        <v>1148.2400000000002</v>
      </c>
      <c r="D7" s="35">
        <f t="shared" si="1"/>
        <v>1159.94</v>
      </c>
      <c r="E7" s="35">
        <f t="shared" si="1"/>
        <v>1149.1399999999999</v>
      </c>
      <c r="F7" s="35">
        <f t="shared" si="1"/>
        <v>1137.44</v>
      </c>
      <c r="G7" s="35">
        <f t="shared" si="1"/>
        <v>1224.48</v>
      </c>
      <c r="H7" s="35">
        <f t="shared" si="1"/>
        <v>1335.64</v>
      </c>
      <c r="I7" s="35">
        <f t="shared" si="1"/>
        <v>1422.34</v>
      </c>
      <c r="J7" s="35">
        <f t="shared" si="1"/>
        <v>1556.44</v>
      </c>
      <c r="K7" s="35">
        <f t="shared" si="1"/>
        <v>1710.44</v>
      </c>
      <c r="L7" s="35">
        <f t="shared" si="1"/>
        <v>1769.3400000000001</v>
      </c>
      <c r="M7" s="35">
        <f t="shared" si="1"/>
        <v>1765.84</v>
      </c>
      <c r="N7" s="35">
        <f t="shared" si="1"/>
        <v>1631.7400000000002</v>
      </c>
      <c r="O7" s="35">
        <f t="shared" si="1"/>
        <v>1554.2399999999998</v>
      </c>
      <c r="P7" s="35">
        <f t="shared" si="1"/>
        <v>1357.3400000000001</v>
      </c>
      <c r="Q7" s="35">
        <f t="shared" si="1"/>
        <v>1482.8400000000001</v>
      </c>
      <c r="R7" s="35">
        <f t="shared" si="1"/>
        <v>1395.2400000000002</v>
      </c>
      <c r="S7" s="35">
        <f t="shared" si="1"/>
        <v>1464.44</v>
      </c>
      <c r="T7" s="35">
        <f t="shared" si="1"/>
        <v>1464.04</v>
      </c>
      <c r="U7" s="35">
        <f t="shared" si="1"/>
        <v>1425.8400000000001</v>
      </c>
      <c r="V7" s="35">
        <f t="shared" si="1"/>
        <v>1295.2400000000002</v>
      </c>
      <c r="W7" s="35">
        <f t="shared" si="1"/>
        <v>1220.94</v>
      </c>
      <c r="X7" s="35">
        <f t="shared" si="1"/>
        <v>1393.1399999999999</v>
      </c>
      <c r="Y7" s="35">
        <f t="shared" si="1"/>
        <v>1849.8400000000001</v>
      </c>
      <c r="Z7" s="35">
        <f t="shared" si="1"/>
        <v>1781.54</v>
      </c>
      <c r="AA7" s="35">
        <f t="shared" si="1"/>
        <v>1722.94</v>
      </c>
      <c r="AB7" s="35">
        <f t="shared" si="1"/>
        <v>1706.19</v>
      </c>
      <c r="AC7" s="35">
        <f t="shared" si="1"/>
        <v>1727.8899999999999</v>
      </c>
      <c r="AD7" s="35">
        <f t="shared" si="1"/>
        <v>1690.29</v>
      </c>
      <c r="AE7" s="35">
        <f t="shared" si="1"/>
        <v>1359.19</v>
      </c>
      <c r="AF7" s="35">
        <f t="shared" si="1"/>
        <v>1223.79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27.6</v>
      </c>
      <c r="C11" s="45">
        <v>27.6</v>
      </c>
      <c r="D11" s="45">
        <v>27.6</v>
      </c>
      <c r="E11" s="45">
        <v>27.6</v>
      </c>
      <c r="F11" s="45">
        <v>27.6</v>
      </c>
      <c r="G11" s="45">
        <v>27.6</v>
      </c>
      <c r="H11" s="45">
        <v>27.6</v>
      </c>
      <c r="I11" s="45">
        <v>27.6</v>
      </c>
      <c r="J11" s="45">
        <v>27.6</v>
      </c>
      <c r="K11" s="45">
        <v>27.6</v>
      </c>
      <c r="L11" s="45">
        <v>27.6</v>
      </c>
      <c r="M11" s="45">
        <v>28.9</v>
      </c>
      <c r="N11" s="45">
        <v>27.2</v>
      </c>
      <c r="O11" s="45">
        <v>27.2</v>
      </c>
      <c r="P11" s="45">
        <v>26.9</v>
      </c>
      <c r="Q11" s="45">
        <v>27.2</v>
      </c>
      <c r="R11" s="45">
        <v>28.9</v>
      </c>
      <c r="S11" s="45">
        <v>28.9</v>
      </c>
      <c r="T11" s="45">
        <v>28.9</v>
      </c>
      <c r="U11" s="45">
        <v>28.9</v>
      </c>
      <c r="V11" s="45">
        <v>28.9</v>
      </c>
      <c r="W11" s="45">
        <v>28.9</v>
      </c>
      <c r="X11" s="45">
        <v>28.9</v>
      </c>
      <c r="Y11" s="45">
        <v>28.9</v>
      </c>
      <c r="Z11" s="45">
        <v>28.9</v>
      </c>
      <c r="AA11" s="45">
        <v>28.9</v>
      </c>
      <c r="AB11" s="45">
        <v>30.5</v>
      </c>
      <c r="AC11" s="45">
        <v>30.5</v>
      </c>
      <c r="AD11" s="45">
        <v>30.5</v>
      </c>
      <c r="AE11" s="45">
        <v>30.5</v>
      </c>
      <c r="AF11" s="45">
        <v>30.5</v>
      </c>
      <c r="AG11" s="46">
        <v>86</v>
      </c>
      <c r="AH11" s="47">
        <f t="shared" ref="AH11:AH84" si="2">MAX(B11:AF11)</f>
        <v>30.5</v>
      </c>
      <c r="AI11" s="48">
        <f t="shared" ref="AI11:AI84" si="3">MIN(B11:AF11)</f>
        <v>26.9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12</v>
      </c>
      <c r="E13" s="45">
        <v>12</v>
      </c>
      <c r="F13" s="45">
        <v>12</v>
      </c>
      <c r="G13" s="45">
        <v>12</v>
      </c>
      <c r="H13" s="45">
        <v>12</v>
      </c>
      <c r="I13" s="45">
        <v>12</v>
      </c>
      <c r="J13" s="45">
        <v>12</v>
      </c>
      <c r="K13" s="45">
        <v>12</v>
      </c>
      <c r="L13" s="45">
        <v>12</v>
      </c>
      <c r="M13" s="45">
        <v>12</v>
      </c>
      <c r="N13" s="45">
        <v>12</v>
      </c>
      <c r="O13" s="45">
        <v>12</v>
      </c>
      <c r="P13" s="45">
        <v>12</v>
      </c>
      <c r="Q13" s="45">
        <v>12</v>
      </c>
      <c r="R13" s="45">
        <v>10.3</v>
      </c>
      <c r="S13" s="45">
        <v>10.3</v>
      </c>
      <c r="T13" s="45">
        <v>10.3</v>
      </c>
      <c r="U13" s="45">
        <v>10.3</v>
      </c>
      <c r="V13" s="45">
        <v>10.3</v>
      </c>
      <c r="W13" s="45">
        <v>10.3</v>
      </c>
      <c r="X13" s="45">
        <v>10.3</v>
      </c>
      <c r="Y13" s="45">
        <v>10.3</v>
      </c>
      <c r="Z13" s="45">
        <v>10.3</v>
      </c>
      <c r="AA13" s="45">
        <v>10.3</v>
      </c>
      <c r="AB13" s="45">
        <v>10.3</v>
      </c>
      <c r="AC13" s="45">
        <v>10.3</v>
      </c>
      <c r="AD13" s="45">
        <v>10.3</v>
      </c>
      <c r="AE13" s="45">
        <v>10.3</v>
      </c>
      <c r="AF13" s="45">
        <v>10.3</v>
      </c>
      <c r="AG13" s="49">
        <v>54</v>
      </c>
      <c r="AH13" s="47">
        <f t="shared" si="2"/>
        <v>12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13.9</v>
      </c>
      <c r="C14" s="45">
        <v>13.9</v>
      </c>
      <c r="D14" s="45">
        <v>13.9</v>
      </c>
      <c r="E14" s="45">
        <v>13.9</v>
      </c>
      <c r="F14" s="45">
        <v>13.9</v>
      </c>
      <c r="G14" s="45">
        <v>13.9</v>
      </c>
      <c r="H14" s="45">
        <v>13.9</v>
      </c>
      <c r="I14" s="45">
        <v>13.9</v>
      </c>
      <c r="J14" s="45">
        <v>13.9</v>
      </c>
      <c r="K14" s="45">
        <v>13.9</v>
      </c>
      <c r="L14" s="45">
        <v>13.9</v>
      </c>
      <c r="M14" s="45">
        <v>12.5</v>
      </c>
      <c r="N14" s="45">
        <v>12.5</v>
      </c>
      <c r="O14" s="45">
        <v>12.5</v>
      </c>
      <c r="P14" s="45">
        <v>12.5</v>
      </c>
      <c r="Q14" s="45">
        <v>12.5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16.399999999999999</v>
      </c>
      <c r="AC14" s="45">
        <v>16.399999999999999</v>
      </c>
      <c r="AD14" s="45">
        <v>16.399999999999999</v>
      </c>
      <c r="AE14" s="45">
        <v>16.399999999999999</v>
      </c>
      <c r="AF14" s="45">
        <v>16.399999999999999</v>
      </c>
      <c r="AG14" s="46">
        <v>52.4</v>
      </c>
      <c r="AH14" s="47">
        <f t="shared" si="2"/>
        <v>16.399999999999999</v>
      </c>
      <c r="AI14" s="48">
        <f t="shared" si="3"/>
        <v>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29.8</v>
      </c>
      <c r="C15" s="45">
        <v>29.8</v>
      </c>
      <c r="D15" s="45">
        <v>29.8</v>
      </c>
      <c r="E15" s="45">
        <v>29.8</v>
      </c>
      <c r="F15" s="45">
        <v>29.8</v>
      </c>
      <c r="G15" s="45">
        <v>29.8</v>
      </c>
      <c r="H15" s="45">
        <v>29.8</v>
      </c>
      <c r="I15" s="45">
        <v>29.8</v>
      </c>
      <c r="J15" s="45">
        <v>29.8</v>
      </c>
      <c r="K15" s="45">
        <v>29.8</v>
      </c>
      <c r="L15" s="45">
        <v>29.8</v>
      </c>
      <c r="M15" s="45">
        <v>29.6</v>
      </c>
      <c r="N15" s="45">
        <v>29.6</v>
      </c>
      <c r="O15" s="45">
        <v>29.6</v>
      </c>
      <c r="P15" s="45">
        <v>29.6</v>
      </c>
      <c r="Q15" s="45">
        <v>29.6</v>
      </c>
      <c r="R15" s="45">
        <v>28.5</v>
      </c>
      <c r="S15" s="45">
        <v>28.5</v>
      </c>
      <c r="T15" s="45">
        <v>28.5</v>
      </c>
      <c r="U15" s="45">
        <v>28.5</v>
      </c>
      <c r="V15" s="45">
        <v>28.5</v>
      </c>
      <c r="W15" s="45">
        <v>28.5</v>
      </c>
      <c r="X15" s="45">
        <v>28.5</v>
      </c>
      <c r="Y15" s="51">
        <v>28.5</v>
      </c>
      <c r="Z15" s="51">
        <v>28.5</v>
      </c>
      <c r="AA15" s="51">
        <v>28.5</v>
      </c>
      <c r="AB15" s="45">
        <v>28.3</v>
      </c>
      <c r="AC15" s="45">
        <v>28.3</v>
      </c>
      <c r="AD15" s="45">
        <v>28.3</v>
      </c>
      <c r="AE15" s="45">
        <v>28.3</v>
      </c>
      <c r="AF15" s="45">
        <v>28.3</v>
      </c>
      <c r="AG15" s="49">
        <v>50</v>
      </c>
      <c r="AH15" s="47">
        <f t="shared" si="2"/>
        <v>29.8</v>
      </c>
      <c r="AI15" s="48">
        <f t="shared" si="3"/>
        <v>28.3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16.600000000000001</v>
      </c>
      <c r="C16" s="45">
        <v>16.600000000000001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15.2</v>
      </c>
      <c r="N16" s="45">
        <v>15.2</v>
      </c>
      <c r="O16" s="45">
        <v>15.2</v>
      </c>
      <c r="P16" s="45">
        <v>15.2</v>
      </c>
      <c r="Q16" s="45">
        <v>15.2</v>
      </c>
      <c r="R16" s="45">
        <v>14.7</v>
      </c>
      <c r="S16" s="45">
        <v>14.7</v>
      </c>
      <c r="T16" s="45">
        <v>14.7</v>
      </c>
      <c r="U16" s="45">
        <v>14.7</v>
      </c>
      <c r="V16" s="45">
        <v>14.7</v>
      </c>
      <c r="W16" s="45">
        <v>14.7</v>
      </c>
      <c r="X16" s="45">
        <v>14.7</v>
      </c>
      <c r="Y16" s="45">
        <v>14.7</v>
      </c>
      <c r="Z16" s="45">
        <v>14.7</v>
      </c>
      <c r="AA16" s="45">
        <v>14.7</v>
      </c>
      <c r="AB16" s="45">
        <v>17.2</v>
      </c>
      <c r="AC16" s="45">
        <v>17.2</v>
      </c>
      <c r="AD16" s="45">
        <v>17.2</v>
      </c>
      <c r="AE16" s="45">
        <v>17.2</v>
      </c>
      <c r="AF16" s="45">
        <v>17.2</v>
      </c>
      <c r="AG16" s="49">
        <v>45</v>
      </c>
      <c r="AH16" s="47">
        <f t="shared" si="2"/>
        <v>17.2</v>
      </c>
      <c r="AI16" s="48">
        <f t="shared" si="3"/>
        <v>14.7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8.5</v>
      </c>
      <c r="C18" s="45">
        <v>8.5</v>
      </c>
      <c r="D18" s="45">
        <v>8.5</v>
      </c>
      <c r="E18" s="45">
        <v>8.5</v>
      </c>
      <c r="F18" s="45">
        <v>8.5</v>
      </c>
      <c r="G18" s="45">
        <v>8.5</v>
      </c>
      <c r="H18" s="45">
        <v>8.5</v>
      </c>
      <c r="I18" s="45">
        <v>8.5</v>
      </c>
      <c r="J18" s="45">
        <v>8.5</v>
      </c>
      <c r="K18" s="45">
        <v>8.5</v>
      </c>
      <c r="L18" s="45">
        <v>8.5</v>
      </c>
      <c r="M18" s="45">
        <v>8.5</v>
      </c>
      <c r="N18" s="45">
        <v>8.5</v>
      </c>
      <c r="O18" s="45">
        <v>8.5</v>
      </c>
      <c r="P18" s="45">
        <v>8.5</v>
      </c>
      <c r="Q18" s="45">
        <v>8.5</v>
      </c>
      <c r="R18" s="45">
        <v>8.5</v>
      </c>
      <c r="S18" s="45">
        <v>8.5</v>
      </c>
      <c r="T18" s="45">
        <v>8.5</v>
      </c>
      <c r="U18" s="45">
        <v>8.5</v>
      </c>
      <c r="V18" s="45">
        <v>8.5</v>
      </c>
      <c r="W18" s="45">
        <v>8.5</v>
      </c>
      <c r="X18" s="45">
        <v>8.5</v>
      </c>
      <c r="Y18" s="45">
        <v>8.5</v>
      </c>
      <c r="Z18" s="45">
        <v>8.5</v>
      </c>
      <c r="AA18" s="45">
        <v>8.5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8.5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15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10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8.8000000000000007</v>
      </c>
      <c r="AC22" s="45">
        <v>8.8000000000000007</v>
      </c>
      <c r="AD22" s="45">
        <v>8.8000000000000007</v>
      </c>
      <c r="AE22" s="45">
        <v>8.8000000000000007</v>
      </c>
      <c r="AF22" s="45">
        <v>8.8000000000000007</v>
      </c>
      <c r="AG22" s="52">
        <v>30</v>
      </c>
      <c r="AH22" s="47">
        <f t="shared" si="2"/>
        <v>8.8000000000000007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2"/>
        <v>8.6</v>
      </c>
      <c r="AI24" s="48">
        <f t="shared" si="3"/>
        <v>7.2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7.4</v>
      </c>
      <c r="N25" s="45">
        <v>7.4</v>
      </c>
      <c r="O25" s="45">
        <v>7.4</v>
      </c>
      <c r="P25" s="45">
        <v>7.4</v>
      </c>
      <c r="Q25" s="45">
        <v>7.4</v>
      </c>
      <c r="R25" s="45">
        <v>6.7</v>
      </c>
      <c r="S25" s="45">
        <v>6.7</v>
      </c>
      <c r="T25" s="45">
        <v>6.7</v>
      </c>
      <c r="U25" s="45">
        <v>6.7</v>
      </c>
      <c r="V25" s="45">
        <v>6.7</v>
      </c>
      <c r="W25" s="45">
        <v>6.7</v>
      </c>
      <c r="X25" s="45">
        <v>6.7</v>
      </c>
      <c r="Y25" s="45">
        <v>6.7</v>
      </c>
      <c r="Z25" s="45">
        <v>6.7</v>
      </c>
      <c r="AA25" s="45">
        <v>6.7</v>
      </c>
      <c r="AB25" s="45">
        <v>6.7</v>
      </c>
      <c r="AC25" s="45">
        <v>6.7</v>
      </c>
      <c r="AD25" s="45">
        <v>6.7</v>
      </c>
      <c r="AE25" s="45">
        <v>6.7</v>
      </c>
      <c r="AF25" s="45">
        <v>6.7</v>
      </c>
      <c r="AG25" s="52">
        <v>30</v>
      </c>
      <c r="AH25" s="47">
        <f t="shared" si="2"/>
        <v>7.4</v>
      </c>
      <c r="AI25" s="48">
        <f t="shared" si="3"/>
        <v>6.7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8.9</v>
      </c>
      <c r="C26" s="45">
        <v>8.9</v>
      </c>
      <c r="D26" s="45">
        <v>8.9</v>
      </c>
      <c r="E26" s="45">
        <v>8.9</v>
      </c>
      <c r="F26" s="45">
        <v>8.9</v>
      </c>
      <c r="G26" s="45">
        <v>8.9</v>
      </c>
      <c r="H26" s="45">
        <v>8.9</v>
      </c>
      <c r="I26" s="45">
        <v>8.9</v>
      </c>
      <c r="J26" s="45">
        <v>8.9</v>
      </c>
      <c r="K26" s="45">
        <v>8.9</v>
      </c>
      <c r="L26" s="45">
        <v>8.9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8.1999999999999993</v>
      </c>
      <c r="S26" s="45">
        <v>8.1999999999999993</v>
      </c>
      <c r="T26" s="45">
        <v>8.1999999999999993</v>
      </c>
      <c r="U26" s="45">
        <v>8.1999999999999993</v>
      </c>
      <c r="V26" s="45">
        <v>8.1999999999999993</v>
      </c>
      <c r="W26" s="45">
        <v>8.1999999999999993</v>
      </c>
      <c r="X26" s="45">
        <v>8.1999999999999993</v>
      </c>
      <c r="Y26" s="45">
        <v>8.1999999999999993</v>
      </c>
      <c r="Z26" s="45">
        <v>8.1999999999999993</v>
      </c>
      <c r="AA26" s="45">
        <v>8.1999999999999993</v>
      </c>
      <c r="AB26" s="45">
        <v>8.1999999999999993</v>
      </c>
      <c r="AC26" s="45">
        <v>8.1999999999999993</v>
      </c>
      <c r="AD26" s="45">
        <v>8.1999999999999993</v>
      </c>
      <c r="AE26" s="45">
        <v>8.1999999999999993</v>
      </c>
      <c r="AF26" s="45">
        <v>8.1999999999999993</v>
      </c>
      <c r="AG26" s="49">
        <v>25</v>
      </c>
      <c r="AH26" s="47">
        <f t="shared" si="2"/>
        <v>8.9</v>
      </c>
      <c r="AI26" s="48">
        <f t="shared" si="3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</v>
      </c>
      <c r="C29" s="45">
        <v>8.1</v>
      </c>
      <c r="D29" s="45">
        <v>8.1</v>
      </c>
      <c r="E29" s="45">
        <v>8.1</v>
      </c>
      <c r="F29" s="45">
        <v>8.1</v>
      </c>
      <c r="G29" s="45">
        <v>8.1</v>
      </c>
      <c r="H29" s="45">
        <v>8.1</v>
      </c>
      <c r="I29" s="45">
        <v>8.1</v>
      </c>
      <c r="J29" s="45">
        <v>8.1</v>
      </c>
      <c r="K29" s="45">
        <v>8.1</v>
      </c>
      <c r="L29" s="45">
        <v>8.1</v>
      </c>
      <c r="M29" s="45">
        <v>7.6</v>
      </c>
      <c r="N29" s="45">
        <v>7.6</v>
      </c>
      <c r="O29" s="45">
        <v>7.6</v>
      </c>
      <c r="P29" s="45">
        <v>7.6</v>
      </c>
      <c r="Q29" s="45">
        <v>7.6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7.4</v>
      </c>
      <c r="AF29" s="45">
        <v>7.4</v>
      </c>
      <c r="AG29" s="49">
        <v>25</v>
      </c>
      <c r="AH29" s="47">
        <f t="shared" si="2"/>
        <v>8.1</v>
      </c>
      <c r="AI29" s="48">
        <f t="shared" si="3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8.1</v>
      </c>
      <c r="C30" s="45">
        <v>8.1</v>
      </c>
      <c r="D30" s="45">
        <v>8.1</v>
      </c>
      <c r="E30" s="45">
        <v>8.1</v>
      </c>
      <c r="F30" s="45">
        <v>8.1</v>
      </c>
      <c r="G30" s="45">
        <v>8.1</v>
      </c>
      <c r="H30" s="45">
        <v>8.1</v>
      </c>
      <c r="I30" s="45">
        <v>8.1</v>
      </c>
      <c r="J30" s="45">
        <v>8.1</v>
      </c>
      <c r="K30" s="45">
        <v>8.1</v>
      </c>
      <c r="L30" s="45">
        <v>8.1</v>
      </c>
      <c r="M30" s="45">
        <v>7.1</v>
      </c>
      <c r="N30" s="45">
        <v>7.1</v>
      </c>
      <c r="O30" s="45">
        <v>7.1</v>
      </c>
      <c r="P30" s="45">
        <v>7.1</v>
      </c>
      <c r="Q30" s="45">
        <v>7.1</v>
      </c>
      <c r="R30" s="45">
        <v>7.2</v>
      </c>
      <c r="S30" s="45">
        <v>7.2</v>
      </c>
      <c r="T30" s="45">
        <v>7.2</v>
      </c>
      <c r="U30" s="45">
        <v>7.2</v>
      </c>
      <c r="V30" s="45">
        <v>7.2</v>
      </c>
      <c r="W30" s="45">
        <v>7.2</v>
      </c>
      <c r="X30" s="45">
        <v>7.2</v>
      </c>
      <c r="Y30" s="45">
        <v>7.2</v>
      </c>
      <c r="Z30" s="45">
        <v>7.2</v>
      </c>
      <c r="AA30" s="45">
        <v>7.2</v>
      </c>
      <c r="AB30" s="45">
        <v>7.2</v>
      </c>
      <c r="AC30" s="45">
        <v>7.2</v>
      </c>
      <c r="AD30" s="45">
        <v>7.2</v>
      </c>
      <c r="AE30" s="45">
        <v>7.2</v>
      </c>
      <c r="AF30" s="45">
        <v>7.2</v>
      </c>
      <c r="AG30" s="49">
        <v>23.5</v>
      </c>
      <c r="AH30" s="47">
        <f t="shared" si="2"/>
        <v>8.1</v>
      </c>
      <c r="AI30" s="48">
        <f t="shared" si="3"/>
        <v>7.1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11.5</v>
      </c>
      <c r="C34" s="45">
        <v>11.5</v>
      </c>
      <c r="D34" s="45">
        <v>11.5</v>
      </c>
      <c r="E34" s="45">
        <v>11.5</v>
      </c>
      <c r="F34" s="45">
        <v>11.5</v>
      </c>
      <c r="G34" s="45">
        <v>11.5</v>
      </c>
      <c r="H34" s="45">
        <v>11.5</v>
      </c>
      <c r="I34" s="45">
        <v>11.5</v>
      </c>
      <c r="J34" s="45">
        <v>11.5</v>
      </c>
      <c r="K34" s="45">
        <v>11.5</v>
      </c>
      <c r="L34" s="45">
        <v>11.5</v>
      </c>
      <c r="M34" s="45">
        <v>8.1999999999999993</v>
      </c>
      <c r="N34" s="45">
        <v>8.1999999999999993</v>
      </c>
      <c r="O34" s="45">
        <v>8.1999999999999993</v>
      </c>
      <c r="P34" s="45">
        <v>8.1999999999999993</v>
      </c>
      <c r="Q34" s="45">
        <v>8.1999999999999993</v>
      </c>
      <c r="R34" s="45">
        <v>6.3</v>
      </c>
      <c r="S34" s="45">
        <v>6.3</v>
      </c>
      <c r="T34" s="45">
        <v>6.3</v>
      </c>
      <c r="U34" s="45">
        <v>6.3</v>
      </c>
      <c r="V34" s="45">
        <v>6.3</v>
      </c>
      <c r="W34" s="45">
        <v>6.3</v>
      </c>
      <c r="X34" s="45">
        <v>6.3</v>
      </c>
      <c r="Y34" s="45">
        <v>6.3</v>
      </c>
      <c r="Z34" s="45">
        <v>6.3</v>
      </c>
      <c r="AA34" s="45">
        <v>6.3</v>
      </c>
      <c r="AB34" s="45">
        <v>6.3</v>
      </c>
      <c r="AC34" s="45">
        <v>6.3</v>
      </c>
      <c r="AD34" s="45">
        <v>6.3</v>
      </c>
      <c r="AE34" s="45">
        <v>6.3</v>
      </c>
      <c r="AF34" s="45">
        <v>6.3</v>
      </c>
      <c r="AG34" s="49">
        <v>22</v>
      </c>
      <c r="AH34" s="47">
        <f t="shared" si="2"/>
        <v>11.5</v>
      </c>
      <c r="AI34" s="48">
        <f t="shared" si="3"/>
        <v>6.3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5.5</v>
      </c>
      <c r="C37" s="45">
        <v>5.5</v>
      </c>
      <c r="D37" s="45">
        <v>5.5</v>
      </c>
      <c r="E37" s="45">
        <v>5.5</v>
      </c>
      <c r="F37" s="45">
        <v>5.5</v>
      </c>
      <c r="G37" s="45">
        <v>5.5</v>
      </c>
      <c r="H37" s="45">
        <v>5.5</v>
      </c>
      <c r="I37" s="45">
        <v>5.5</v>
      </c>
      <c r="J37" s="45">
        <v>5.5</v>
      </c>
      <c r="K37" s="45">
        <v>5.5</v>
      </c>
      <c r="L37" s="45">
        <v>5.5</v>
      </c>
      <c r="M37" s="45">
        <v>5.5</v>
      </c>
      <c r="N37" s="45">
        <v>5.5</v>
      </c>
      <c r="O37" s="45">
        <v>5.5</v>
      </c>
      <c r="P37" s="45">
        <v>5.5</v>
      </c>
      <c r="Q37" s="45">
        <v>5.5</v>
      </c>
      <c r="R37" s="45">
        <v>5.5</v>
      </c>
      <c r="S37" s="45">
        <v>5.5</v>
      </c>
      <c r="T37" s="45">
        <v>5.5</v>
      </c>
      <c r="U37" s="45">
        <v>5.5</v>
      </c>
      <c r="V37" s="45">
        <v>5.5</v>
      </c>
      <c r="W37" s="45">
        <v>5.5</v>
      </c>
      <c r="X37" s="45">
        <v>5.5</v>
      </c>
      <c r="Y37" s="45">
        <v>5.5</v>
      </c>
      <c r="Z37" s="45">
        <v>5.5</v>
      </c>
      <c r="AA37" s="45">
        <v>5.5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3.3</v>
      </c>
      <c r="C50" s="45">
        <v>3.3</v>
      </c>
      <c r="D50" s="45">
        <v>3.3</v>
      </c>
      <c r="E50" s="45">
        <v>3.3</v>
      </c>
      <c r="F50" s="45">
        <v>3.3</v>
      </c>
      <c r="G50" s="45">
        <v>3.3</v>
      </c>
      <c r="H50" s="45">
        <v>3.3</v>
      </c>
      <c r="I50" s="45">
        <v>3.3</v>
      </c>
      <c r="J50" s="45">
        <v>3.3</v>
      </c>
      <c r="K50" s="45">
        <v>3.3</v>
      </c>
      <c r="L50" s="45">
        <v>3.3</v>
      </c>
      <c r="M50" s="45">
        <v>3.3</v>
      </c>
      <c r="N50" s="45">
        <v>3.3</v>
      </c>
      <c r="O50" s="45">
        <v>3.3</v>
      </c>
      <c r="P50" s="45">
        <v>3.3</v>
      </c>
      <c r="Q50" s="45">
        <v>3.3</v>
      </c>
      <c r="R50" s="45">
        <v>3.3</v>
      </c>
      <c r="S50" s="45">
        <v>3.3</v>
      </c>
      <c r="T50" s="45">
        <v>3.3</v>
      </c>
      <c r="U50" s="45">
        <v>3.3</v>
      </c>
      <c r="V50" s="45">
        <v>3.3</v>
      </c>
      <c r="W50" s="45">
        <v>3.3</v>
      </c>
      <c r="X50" s="45">
        <v>3.3</v>
      </c>
      <c r="Y50" s="45">
        <v>3.3</v>
      </c>
      <c r="Z50" s="45">
        <v>3.3</v>
      </c>
      <c r="AA50" s="45">
        <v>3.3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3.3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25</v>
      </c>
      <c r="C57" s="57">
        <v>25</v>
      </c>
      <c r="D57" s="57">
        <v>25</v>
      </c>
      <c r="E57" s="57">
        <v>25</v>
      </c>
      <c r="F57" s="57">
        <v>25</v>
      </c>
      <c r="G57" s="57">
        <v>25</v>
      </c>
      <c r="H57" s="57">
        <v>25</v>
      </c>
      <c r="I57" s="57">
        <v>25</v>
      </c>
      <c r="J57" s="57">
        <v>25</v>
      </c>
      <c r="K57" s="57">
        <v>25</v>
      </c>
      <c r="L57" s="57">
        <v>25</v>
      </c>
      <c r="M57" s="57">
        <f>2.8+11.7</f>
        <v>14.5</v>
      </c>
      <c r="N57" s="51">
        <f>13.8+3.8</f>
        <v>17.600000000000001</v>
      </c>
      <c r="O57" s="51">
        <f>14+4.1</f>
        <v>18.100000000000001</v>
      </c>
      <c r="P57" s="51">
        <f>13.8+4</f>
        <v>17.8</v>
      </c>
      <c r="Q57" s="51">
        <f>14.4+4.6</f>
        <v>19</v>
      </c>
      <c r="R57" s="51">
        <f>3.9+12.7</f>
        <v>16.599999999999998</v>
      </c>
      <c r="S57" s="51">
        <v>21.6</v>
      </c>
      <c r="T57" s="51">
        <v>21.6</v>
      </c>
      <c r="U57" s="51">
        <v>21.6</v>
      </c>
      <c r="V57" s="51">
        <v>21.6</v>
      </c>
      <c r="W57" s="51">
        <v>21.6</v>
      </c>
      <c r="X57" s="51">
        <v>21.6</v>
      </c>
      <c r="Y57" s="57">
        <v>21.6</v>
      </c>
      <c r="Z57" s="57">
        <v>21.6</v>
      </c>
      <c r="AA57" s="57">
        <v>21.6</v>
      </c>
      <c r="AB57" s="57">
        <v>18.100000000000001</v>
      </c>
      <c r="AC57" s="57">
        <v>18.100000000000001</v>
      </c>
      <c r="AD57" s="57">
        <v>18.100000000000001</v>
      </c>
      <c r="AE57" s="57">
        <v>18.100000000000001</v>
      </c>
      <c r="AF57" s="57">
        <v>18.100000000000001</v>
      </c>
      <c r="AG57" s="55">
        <v>240</v>
      </c>
      <c r="AH57" s="47">
        <f t="shared" si="2"/>
        <v>25</v>
      </c>
      <c r="AI57" s="48">
        <f t="shared" si="3"/>
        <v>14.5</v>
      </c>
      <c r="AK57" s="50"/>
    </row>
    <row r="58" spans="1:88" ht="15.75" thickBot="1" x14ac:dyDescent="0.3">
      <c r="A58" s="59" t="s">
        <v>58</v>
      </c>
      <c r="B58" s="60">
        <f>SUM(B11:B56)</f>
        <v>496.90000000000003</v>
      </c>
      <c r="C58" s="60">
        <f>SUM(C11:C56)</f>
        <v>496.90000000000003</v>
      </c>
      <c r="D58" s="60">
        <f t="shared" ref="D58:AF58" si="4">SUM(D11:D56)</f>
        <v>496.90000000000003</v>
      </c>
      <c r="E58" s="60">
        <f t="shared" si="4"/>
        <v>496.90000000000003</v>
      </c>
      <c r="F58" s="60">
        <f t="shared" si="4"/>
        <v>496.90000000000003</v>
      </c>
      <c r="G58" s="60">
        <f t="shared" si="4"/>
        <v>496.90000000000003</v>
      </c>
      <c r="H58" s="60">
        <f t="shared" si="4"/>
        <v>496.90000000000003</v>
      </c>
      <c r="I58" s="60">
        <f t="shared" si="4"/>
        <v>496.90000000000003</v>
      </c>
      <c r="J58" s="60">
        <f t="shared" si="4"/>
        <v>496.90000000000003</v>
      </c>
      <c r="K58" s="60">
        <f t="shared" si="4"/>
        <v>496.90000000000003</v>
      </c>
      <c r="L58" s="60">
        <f t="shared" si="4"/>
        <v>496.90000000000003</v>
      </c>
      <c r="M58" s="60">
        <f t="shared" ref="M58" si="5">SUM(M11:M56)</f>
        <v>489.20000000000005</v>
      </c>
      <c r="N58" s="60">
        <f t="shared" si="4"/>
        <v>487.50000000000006</v>
      </c>
      <c r="O58" s="60">
        <f t="shared" si="4"/>
        <v>487.50000000000006</v>
      </c>
      <c r="P58" s="60">
        <f t="shared" si="4"/>
        <v>487.20000000000005</v>
      </c>
      <c r="Q58" s="60">
        <f t="shared" si="4"/>
        <v>487.50000000000006</v>
      </c>
      <c r="R58" s="60">
        <f t="shared" ref="R58:S58" si="6">SUM(R11:R56)</f>
        <v>478.6</v>
      </c>
      <c r="S58" s="60">
        <f t="shared" si="6"/>
        <v>478.6</v>
      </c>
      <c r="T58" s="60">
        <f t="shared" ref="T58:U58" si="7">SUM(T11:T56)</f>
        <v>478.6</v>
      </c>
      <c r="U58" s="60">
        <f t="shared" si="7"/>
        <v>478.6</v>
      </c>
      <c r="V58" s="60">
        <f t="shared" ref="V58:W58" si="8">SUM(V11:V56)</f>
        <v>478.6</v>
      </c>
      <c r="W58" s="60">
        <f t="shared" si="8"/>
        <v>478.6</v>
      </c>
      <c r="X58" s="60">
        <f t="shared" ref="X58:Y58" si="9">SUM(X11:X56)</f>
        <v>478.6</v>
      </c>
      <c r="Y58" s="60">
        <f t="shared" si="9"/>
        <v>478.6</v>
      </c>
      <c r="Z58" s="60">
        <f t="shared" ref="Z58" si="10">SUM(Z11:Z56)</f>
        <v>478.6</v>
      </c>
      <c r="AA58" s="60">
        <f t="shared" si="4"/>
        <v>478.6</v>
      </c>
      <c r="AB58" s="60">
        <f t="shared" si="4"/>
        <v>484.24999999999994</v>
      </c>
      <c r="AC58" s="60">
        <f t="shared" si="4"/>
        <v>484.24999999999994</v>
      </c>
      <c r="AD58" s="60">
        <f t="shared" si="4"/>
        <v>484.24999999999994</v>
      </c>
      <c r="AE58" s="60">
        <f t="shared" si="4"/>
        <v>484.24999999999994</v>
      </c>
      <c r="AF58" s="60">
        <f t="shared" si="4"/>
        <v>484.24999999999994</v>
      </c>
      <c r="AG58" s="61">
        <f>SUM(AG14:AG56)</f>
        <v>1042.4000000000001</v>
      </c>
      <c r="AH58" s="47">
        <f t="shared" si="2"/>
        <v>496.90000000000003</v>
      </c>
      <c r="AI58" s="48">
        <f t="shared" si="3"/>
        <v>478.6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60</v>
      </c>
      <c r="I59" s="45">
        <v>75</v>
      </c>
      <c r="J59" s="45">
        <v>120</v>
      </c>
      <c r="K59" s="45">
        <v>260</v>
      </c>
      <c r="L59" s="45">
        <v>420</v>
      </c>
      <c r="M59" s="45">
        <v>405</v>
      </c>
      <c r="N59" s="63">
        <v>225</v>
      </c>
      <c r="O59" s="63">
        <v>125</v>
      </c>
      <c r="P59" s="63">
        <v>15</v>
      </c>
      <c r="Q59" s="63">
        <v>15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30</v>
      </c>
      <c r="X59" s="63">
        <v>210</v>
      </c>
      <c r="Y59" s="45">
        <v>345</v>
      </c>
      <c r="Z59" s="45">
        <v>340</v>
      </c>
      <c r="AA59" s="45">
        <v>350</v>
      </c>
      <c r="AB59" s="45">
        <v>235</v>
      </c>
      <c r="AC59" s="45">
        <v>200</v>
      </c>
      <c r="AD59" s="45">
        <v>100</v>
      </c>
      <c r="AE59" s="45">
        <v>0</v>
      </c>
      <c r="AF59" s="45">
        <v>0</v>
      </c>
      <c r="AG59" s="52">
        <v>456</v>
      </c>
      <c r="AH59" s="47">
        <f t="shared" si="2"/>
        <v>420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16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</v>
      </c>
      <c r="AE61" s="67">
        <v>10</v>
      </c>
      <c r="AF61" s="67">
        <v>10</v>
      </c>
      <c r="AG61" s="68">
        <v>22.1</v>
      </c>
      <c r="AH61" s="47">
        <f t="shared" si="2"/>
        <v>16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AG62" si="11">SUM(B59:B61)</f>
        <v>40.200000000000003</v>
      </c>
      <c r="C62" s="60">
        <f t="shared" si="11"/>
        <v>40.200000000000003</v>
      </c>
      <c r="D62" s="60">
        <f t="shared" si="11"/>
        <v>40.200000000000003</v>
      </c>
      <c r="E62" s="60">
        <f t="shared" si="11"/>
        <v>40.200000000000003</v>
      </c>
      <c r="F62" s="60">
        <f t="shared" si="11"/>
        <v>40.200000000000003</v>
      </c>
      <c r="G62" s="60">
        <f t="shared" si="11"/>
        <v>40.200000000000003</v>
      </c>
      <c r="H62" s="60">
        <f t="shared" si="11"/>
        <v>100.2</v>
      </c>
      <c r="I62" s="60">
        <f t="shared" si="11"/>
        <v>115.2</v>
      </c>
      <c r="J62" s="60">
        <f t="shared" si="11"/>
        <v>160.19999999999999</v>
      </c>
      <c r="K62" s="60">
        <f t="shared" si="11"/>
        <v>300.2</v>
      </c>
      <c r="L62" s="60">
        <f t="shared" si="11"/>
        <v>460.2</v>
      </c>
      <c r="M62" s="60">
        <f t="shared" ref="M62" si="12">SUM(M59:M61)</f>
        <v>445.2</v>
      </c>
      <c r="N62" s="60">
        <f t="shared" si="11"/>
        <v>265.2</v>
      </c>
      <c r="O62" s="60">
        <f t="shared" si="11"/>
        <v>165.2</v>
      </c>
      <c r="P62" s="60">
        <f t="shared" si="11"/>
        <v>55.2</v>
      </c>
      <c r="Q62" s="60">
        <f t="shared" si="11"/>
        <v>55.2</v>
      </c>
      <c r="R62" s="60">
        <f t="shared" ref="R62:S62" si="13">SUM(R59:R61)</f>
        <v>40.200000000000003</v>
      </c>
      <c r="S62" s="60">
        <f t="shared" si="13"/>
        <v>40.200000000000003</v>
      </c>
      <c r="T62" s="60">
        <f t="shared" ref="T62:U62" si="14">SUM(T59:T61)</f>
        <v>40.200000000000003</v>
      </c>
      <c r="U62" s="60">
        <f t="shared" si="14"/>
        <v>40.200000000000003</v>
      </c>
      <c r="V62" s="60">
        <f t="shared" ref="V62:W62" si="15">SUM(V59:V61)</f>
        <v>40.200000000000003</v>
      </c>
      <c r="W62" s="60">
        <f t="shared" si="15"/>
        <v>70.2</v>
      </c>
      <c r="X62" s="60">
        <f t="shared" ref="X62:Y62" si="16">SUM(X59:X61)</f>
        <v>250.2</v>
      </c>
      <c r="Y62" s="60">
        <f t="shared" si="16"/>
        <v>391</v>
      </c>
      <c r="Z62" s="60">
        <f t="shared" ref="Z62" si="17">SUM(Z59:Z61)</f>
        <v>380.2</v>
      </c>
      <c r="AA62" s="60">
        <f t="shared" si="11"/>
        <v>390.2</v>
      </c>
      <c r="AB62" s="60">
        <f t="shared" si="11"/>
        <v>275.2</v>
      </c>
      <c r="AC62" s="60">
        <f t="shared" si="11"/>
        <v>240.2</v>
      </c>
      <c r="AD62" s="60">
        <f t="shared" si="11"/>
        <v>140</v>
      </c>
      <c r="AE62" s="60">
        <f t="shared" si="11"/>
        <v>40</v>
      </c>
      <c r="AF62" s="60">
        <f t="shared" si="11"/>
        <v>40</v>
      </c>
      <c r="AG62" s="61">
        <f t="shared" si="11"/>
        <v>538.1</v>
      </c>
      <c r="AH62" s="47">
        <f t="shared" si="2"/>
        <v>460.2</v>
      </c>
      <c r="AI62" s="48">
        <f t="shared" si="3"/>
        <v>40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30.5</v>
      </c>
      <c r="H63" s="45">
        <v>47</v>
      </c>
      <c r="I63" s="45">
        <v>96.7</v>
      </c>
      <c r="J63" s="45">
        <v>97.7</v>
      </c>
      <c r="K63" s="45">
        <v>83.2</v>
      </c>
      <c r="L63" s="45">
        <v>81.5</v>
      </c>
      <c r="M63" s="45">
        <v>97.7</v>
      </c>
      <c r="N63" s="45">
        <v>81.7</v>
      </c>
      <c r="O63" s="45">
        <v>65.2</v>
      </c>
      <c r="P63" s="45">
        <v>61.5</v>
      </c>
      <c r="Q63" s="45">
        <v>61.5</v>
      </c>
      <c r="R63" s="45">
        <v>61.2</v>
      </c>
      <c r="S63" s="45">
        <v>61.2</v>
      </c>
      <c r="T63" s="45">
        <v>60.2</v>
      </c>
      <c r="U63" s="45">
        <v>132.6</v>
      </c>
      <c r="V63" s="45">
        <v>91.7</v>
      </c>
      <c r="W63" s="45">
        <v>61.2</v>
      </c>
      <c r="X63" s="45">
        <v>105.8</v>
      </c>
      <c r="Y63" s="45">
        <v>143.9</v>
      </c>
      <c r="Z63" s="45">
        <v>143.9</v>
      </c>
      <c r="AA63" s="45">
        <v>143</v>
      </c>
      <c r="AB63" s="45">
        <v>136.19999999999999</v>
      </c>
      <c r="AC63" s="45">
        <v>98</v>
      </c>
      <c r="AD63" s="45">
        <v>97</v>
      </c>
      <c r="AE63" s="45">
        <v>77</v>
      </c>
      <c r="AF63" s="45">
        <v>0</v>
      </c>
      <c r="AG63" s="52">
        <v>144</v>
      </c>
      <c r="AH63" s="47">
        <f t="shared" si="2"/>
        <v>143.9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35</v>
      </c>
      <c r="J64" s="65">
        <v>35</v>
      </c>
      <c r="K64" s="65">
        <v>35</v>
      </c>
      <c r="L64" s="65">
        <v>50</v>
      </c>
      <c r="M64" s="65">
        <v>60</v>
      </c>
      <c r="N64" s="65">
        <v>60</v>
      </c>
      <c r="O64" s="65">
        <v>60</v>
      </c>
      <c r="P64" s="65">
        <v>43</v>
      </c>
      <c r="Q64" s="65">
        <v>43</v>
      </c>
      <c r="R64" s="65">
        <v>43</v>
      </c>
      <c r="S64" s="65">
        <v>45</v>
      </c>
      <c r="T64" s="65">
        <v>0</v>
      </c>
      <c r="U64" s="65">
        <v>25</v>
      </c>
      <c r="V64" s="65">
        <v>25</v>
      </c>
      <c r="W64" s="65">
        <v>25</v>
      </c>
      <c r="X64" s="65">
        <v>45</v>
      </c>
      <c r="Y64" s="45">
        <v>69</v>
      </c>
      <c r="Z64" s="45">
        <v>69</v>
      </c>
      <c r="AA64" s="45">
        <v>50</v>
      </c>
      <c r="AB64" s="45">
        <v>50</v>
      </c>
      <c r="AC64" s="45">
        <v>35</v>
      </c>
      <c r="AD64" s="45">
        <v>35</v>
      </c>
      <c r="AE64" s="45">
        <v>35</v>
      </c>
      <c r="AF64" s="45">
        <v>0</v>
      </c>
      <c r="AG64" s="55">
        <v>70</v>
      </c>
      <c r="AH64" s="47">
        <f t="shared" si="2"/>
        <v>69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34.5</v>
      </c>
      <c r="C65" s="65">
        <v>34.700000000000003</v>
      </c>
      <c r="D65" s="65">
        <v>34.799999999999997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43.3</v>
      </c>
      <c r="K65" s="65">
        <v>45.4</v>
      </c>
      <c r="L65" s="65">
        <v>45.9</v>
      </c>
      <c r="M65" s="65">
        <v>61.9</v>
      </c>
      <c r="N65" s="65">
        <v>61.5</v>
      </c>
      <c r="O65" s="65">
        <v>61.1</v>
      </c>
      <c r="P65" s="65">
        <v>37.299999999999997</v>
      </c>
      <c r="Q65" s="65">
        <v>36.9</v>
      </c>
      <c r="R65" s="65">
        <v>36.6</v>
      </c>
      <c r="S65" s="65">
        <v>36.6</v>
      </c>
      <c r="T65" s="65">
        <v>36.700000000000003</v>
      </c>
      <c r="U65" s="65">
        <v>54.8</v>
      </c>
      <c r="V65" s="65">
        <v>40.4</v>
      </c>
      <c r="W65" s="65">
        <v>35.299999999999997</v>
      </c>
      <c r="X65" s="65">
        <v>52.1</v>
      </c>
      <c r="Y65" s="45">
        <v>67.3</v>
      </c>
      <c r="Z65" s="45">
        <v>67.3</v>
      </c>
      <c r="AA65" s="45">
        <v>67.7</v>
      </c>
      <c r="AB65" s="45">
        <v>67.3</v>
      </c>
      <c r="AC65" s="45">
        <v>44</v>
      </c>
      <c r="AD65" s="45">
        <v>34</v>
      </c>
      <c r="AE65" s="45">
        <v>34</v>
      </c>
      <c r="AF65" s="45">
        <v>17</v>
      </c>
      <c r="AG65" s="55">
        <v>69</v>
      </c>
      <c r="AH65" s="47">
        <f t="shared" si="2"/>
        <v>67.7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42.1</v>
      </c>
      <c r="C66" s="65">
        <v>39.799999999999997</v>
      </c>
      <c r="D66" s="65">
        <v>40</v>
      </c>
      <c r="E66" s="65">
        <v>39.799999999999997</v>
      </c>
      <c r="F66" s="65">
        <v>39</v>
      </c>
      <c r="G66" s="65">
        <v>39</v>
      </c>
      <c r="H66" s="65">
        <v>39</v>
      </c>
      <c r="I66" s="65">
        <v>39</v>
      </c>
      <c r="J66" s="65">
        <v>39</v>
      </c>
      <c r="K66" s="57">
        <v>37.299999999999997</v>
      </c>
      <c r="L66" s="57">
        <v>37.299999999999997</v>
      </c>
      <c r="M66" s="65">
        <v>37.6</v>
      </c>
      <c r="N66" s="65">
        <v>39.299999999999997</v>
      </c>
      <c r="O66" s="65">
        <v>40.299999999999997</v>
      </c>
      <c r="P66" s="65">
        <v>40</v>
      </c>
      <c r="Q66" s="65">
        <v>40</v>
      </c>
      <c r="R66" s="65">
        <v>36.299999999999997</v>
      </c>
      <c r="S66" s="65">
        <v>36.299999999999997</v>
      </c>
      <c r="T66" s="65">
        <v>36.299999999999997</v>
      </c>
      <c r="U66" s="65">
        <v>36.299999999999997</v>
      </c>
      <c r="V66" s="65">
        <v>36.299999999999997</v>
      </c>
      <c r="W66" s="65">
        <v>36.299999999999997</v>
      </c>
      <c r="X66" s="65">
        <v>36.299999999999997</v>
      </c>
      <c r="Y66" s="45">
        <v>36.299999999999997</v>
      </c>
      <c r="Z66" s="45">
        <v>36.299999999999997</v>
      </c>
      <c r="AA66" s="45">
        <v>38</v>
      </c>
      <c r="AB66" s="45">
        <v>38</v>
      </c>
      <c r="AC66" s="45">
        <v>38</v>
      </c>
      <c r="AD66" s="45">
        <v>38</v>
      </c>
      <c r="AE66" s="45">
        <v>38</v>
      </c>
      <c r="AF66" s="45">
        <v>38</v>
      </c>
      <c r="AG66" s="55">
        <v>60</v>
      </c>
      <c r="AH66" s="47">
        <f t="shared" si="2"/>
        <v>42.1</v>
      </c>
      <c r="AI66" s="48">
        <f t="shared" si="3"/>
        <v>36.299999999999997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29</v>
      </c>
      <c r="J67" s="65">
        <v>23</v>
      </c>
      <c r="K67" s="57">
        <v>23</v>
      </c>
      <c r="L67" s="57">
        <v>29</v>
      </c>
      <c r="M67" s="65">
        <v>29</v>
      </c>
      <c r="N67" s="65">
        <v>27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23</v>
      </c>
      <c r="Y67" s="45">
        <v>29</v>
      </c>
      <c r="Z67" s="45">
        <v>29</v>
      </c>
      <c r="AA67" s="45">
        <v>28</v>
      </c>
      <c r="AB67" s="45">
        <v>10</v>
      </c>
      <c r="AC67" s="45">
        <v>10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0.3</v>
      </c>
      <c r="L68" s="65">
        <v>1.2</v>
      </c>
      <c r="M68" s="65">
        <v>4.5999999999999996</v>
      </c>
      <c r="N68" s="65">
        <v>9.3000000000000007</v>
      </c>
      <c r="O68" s="65">
        <v>13.4</v>
      </c>
      <c r="P68" s="65">
        <v>16.3</v>
      </c>
      <c r="Q68" s="65">
        <v>17.7</v>
      </c>
      <c r="R68" s="65">
        <v>16.399999999999999</v>
      </c>
      <c r="S68" s="65">
        <v>13.2</v>
      </c>
      <c r="T68" s="65">
        <v>9.4</v>
      </c>
      <c r="U68" s="65">
        <v>6.9</v>
      </c>
      <c r="V68" s="65">
        <v>1.3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17.7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9.3000000000000007</v>
      </c>
      <c r="C71" s="65">
        <v>9.3000000000000007</v>
      </c>
      <c r="D71" s="65">
        <v>9.3000000000000007</v>
      </c>
      <c r="E71" s="65">
        <v>9.3000000000000007</v>
      </c>
      <c r="F71" s="65">
        <v>9.3000000000000007</v>
      </c>
      <c r="G71" s="65">
        <v>9.3000000000000007</v>
      </c>
      <c r="H71" s="65">
        <v>9.3000000000000007</v>
      </c>
      <c r="I71" s="65">
        <v>9.3000000000000007</v>
      </c>
      <c r="J71" s="65">
        <v>9.3000000000000007</v>
      </c>
      <c r="K71" s="65">
        <v>9.3000000000000007</v>
      </c>
      <c r="L71" s="65">
        <v>9.3000000000000007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8.4</v>
      </c>
      <c r="S71" s="65">
        <v>8.4</v>
      </c>
      <c r="T71" s="65">
        <v>8.4</v>
      </c>
      <c r="U71" s="65">
        <v>8.4</v>
      </c>
      <c r="V71" s="65">
        <v>8.4</v>
      </c>
      <c r="W71" s="65">
        <v>8.4</v>
      </c>
      <c r="X71" s="65">
        <v>8.4</v>
      </c>
      <c r="Y71" s="65">
        <v>8.4</v>
      </c>
      <c r="Z71" s="65">
        <v>8.4</v>
      </c>
      <c r="AA71" s="65">
        <v>8.4</v>
      </c>
      <c r="AB71" s="65">
        <v>8.4</v>
      </c>
      <c r="AC71" s="65">
        <v>8.4</v>
      </c>
      <c r="AD71" s="65">
        <v>8.4</v>
      </c>
      <c r="AE71" s="65">
        <v>8.4</v>
      </c>
      <c r="AF71" s="65">
        <v>8.4</v>
      </c>
      <c r="AG71" s="55">
        <v>14.1</v>
      </c>
      <c r="AH71" s="47">
        <f t="shared" si="2"/>
        <v>9.9</v>
      </c>
      <c r="AI71" s="48">
        <f t="shared" si="3"/>
        <v>8.4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4.5</v>
      </c>
      <c r="C72" s="65">
        <v>4.5</v>
      </c>
      <c r="D72" s="65">
        <v>4.5</v>
      </c>
      <c r="E72" s="65">
        <v>4.5</v>
      </c>
      <c r="F72" s="65">
        <v>4.5</v>
      </c>
      <c r="G72" s="65">
        <v>4.5</v>
      </c>
      <c r="H72" s="65">
        <v>4.5</v>
      </c>
      <c r="I72" s="65">
        <v>4.5</v>
      </c>
      <c r="J72" s="65">
        <v>4.5</v>
      </c>
      <c r="K72" s="65">
        <v>4.5</v>
      </c>
      <c r="L72" s="65">
        <v>4.5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3.6</v>
      </c>
      <c r="S72" s="65">
        <v>3.6</v>
      </c>
      <c r="T72" s="65">
        <v>3.6</v>
      </c>
      <c r="U72" s="65">
        <v>3.6</v>
      </c>
      <c r="V72" s="65">
        <v>3.6</v>
      </c>
      <c r="W72" s="65">
        <v>3.6</v>
      </c>
      <c r="X72" s="65">
        <v>3.6</v>
      </c>
      <c r="Y72" s="65">
        <v>3.6</v>
      </c>
      <c r="Z72" s="65">
        <v>3.6</v>
      </c>
      <c r="AA72" s="65">
        <v>3.6</v>
      </c>
      <c r="AB72" s="65">
        <v>3.6</v>
      </c>
      <c r="AC72" s="65">
        <v>3.6</v>
      </c>
      <c r="AD72" s="65">
        <v>3.6</v>
      </c>
      <c r="AE72" s="65">
        <v>3.6</v>
      </c>
      <c r="AF72" s="65">
        <v>3.6</v>
      </c>
      <c r="AG72" s="55">
        <v>14</v>
      </c>
      <c r="AH72" s="47">
        <f t="shared" si="2"/>
        <v>4.5</v>
      </c>
      <c r="AI72" s="48">
        <f t="shared" si="3"/>
        <v>3.4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18">SUM(B63:B75)</f>
        <v>117.44</v>
      </c>
      <c r="C76" s="60">
        <f t="shared" si="18"/>
        <v>115.34</v>
      </c>
      <c r="D76" s="60">
        <f t="shared" si="18"/>
        <v>115.64</v>
      </c>
      <c r="E76" s="60">
        <f t="shared" si="18"/>
        <v>80.64</v>
      </c>
      <c r="F76" s="60">
        <f t="shared" si="18"/>
        <v>79.84</v>
      </c>
      <c r="G76" s="60">
        <f t="shared" si="18"/>
        <v>120.34</v>
      </c>
      <c r="H76" s="60">
        <f t="shared" si="18"/>
        <v>166.84</v>
      </c>
      <c r="I76" s="60">
        <f t="shared" si="18"/>
        <v>240.54</v>
      </c>
      <c r="J76" s="60">
        <f t="shared" si="18"/>
        <v>278.84000000000003</v>
      </c>
      <c r="K76" s="60">
        <f t="shared" si="18"/>
        <v>265.04000000000002</v>
      </c>
      <c r="L76" s="60">
        <f t="shared" si="18"/>
        <v>285.74</v>
      </c>
      <c r="M76" s="60">
        <f t="shared" ref="M76" si="19">SUM(M63:M75)</f>
        <v>331.14</v>
      </c>
      <c r="N76" s="60">
        <f t="shared" si="18"/>
        <v>319.14</v>
      </c>
      <c r="O76" s="60">
        <f t="shared" si="18"/>
        <v>280.33999999999997</v>
      </c>
      <c r="P76" s="60">
        <f t="shared" si="18"/>
        <v>238.44000000000003</v>
      </c>
      <c r="Q76" s="60">
        <f t="shared" si="18"/>
        <v>239.44</v>
      </c>
      <c r="R76" s="60">
        <f t="shared" ref="R76:S76" si="20">SUM(R63:R75)</f>
        <v>232.54000000000002</v>
      </c>
      <c r="S76" s="60">
        <f t="shared" si="20"/>
        <v>231.34</v>
      </c>
      <c r="T76" s="60">
        <f t="shared" ref="T76:U76" si="21">SUM(T63:T75)</f>
        <v>181.64</v>
      </c>
      <c r="U76" s="60">
        <f t="shared" si="21"/>
        <v>294.64000000000004</v>
      </c>
      <c r="V76" s="60">
        <f t="shared" ref="V76:W76" si="22">SUM(V63:V75)</f>
        <v>233.73999999999998</v>
      </c>
      <c r="W76" s="60">
        <f t="shared" si="22"/>
        <v>196.84</v>
      </c>
      <c r="X76" s="60">
        <f t="shared" ref="X76:Y76" si="23">SUM(X63:X75)</f>
        <v>301.24</v>
      </c>
      <c r="Y76" s="60">
        <f t="shared" si="23"/>
        <v>384.54</v>
      </c>
      <c r="Z76" s="60">
        <f t="shared" ref="Z76" si="24">SUM(Z63:Z75)</f>
        <v>384.54</v>
      </c>
      <c r="AA76" s="60">
        <f t="shared" si="18"/>
        <v>365.74</v>
      </c>
      <c r="AB76" s="60">
        <f t="shared" si="18"/>
        <v>340.54</v>
      </c>
      <c r="AC76" s="60">
        <f t="shared" si="18"/>
        <v>264.04000000000002</v>
      </c>
      <c r="AD76" s="60">
        <f t="shared" si="18"/>
        <v>253.04</v>
      </c>
      <c r="AE76" s="60">
        <f t="shared" si="18"/>
        <v>223.04</v>
      </c>
      <c r="AF76" s="60">
        <f t="shared" si="18"/>
        <v>94.04</v>
      </c>
      <c r="AG76" s="61">
        <f t="shared" si="18"/>
        <v>489.91</v>
      </c>
      <c r="AH76" s="47">
        <f t="shared" si="2"/>
        <v>384.54</v>
      </c>
      <c r="AI76" s="48">
        <f t="shared" si="3"/>
        <v>79.84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5">B77+B78+B79</f>
        <v>0</v>
      </c>
      <c r="C80" s="60">
        <f t="shared" si="25"/>
        <v>0</v>
      </c>
      <c r="D80" s="60">
        <f t="shared" si="25"/>
        <v>0</v>
      </c>
      <c r="E80" s="60">
        <f t="shared" si="25"/>
        <v>0</v>
      </c>
      <c r="F80" s="60">
        <f t="shared" si="25"/>
        <v>0</v>
      </c>
      <c r="G80" s="60">
        <f t="shared" si="25"/>
        <v>0</v>
      </c>
      <c r="H80" s="60">
        <f t="shared" si="25"/>
        <v>0</v>
      </c>
      <c r="I80" s="60">
        <f t="shared" si="25"/>
        <v>0</v>
      </c>
      <c r="J80" s="60">
        <f t="shared" si="25"/>
        <v>0</v>
      </c>
      <c r="K80" s="60">
        <f t="shared" si="25"/>
        <v>0</v>
      </c>
      <c r="L80" s="60">
        <f t="shared" si="25"/>
        <v>0</v>
      </c>
      <c r="M80" s="60">
        <f t="shared" ref="M80" si="26">M77+M78+M79</f>
        <v>0</v>
      </c>
      <c r="N80" s="60">
        <f t="shared" si="25"/>
        <v>0</v>
      </c>
      <c r="O80" s="60">
        <f t="shared" si="25"/>
        <v>0</v>
      </c>
      <c r="P80" s="60">
        <f t="shared" si="25"/>
        <v>0</v>
      </c>
      <c r="Q80" s="60">
        <f t="shared" si="25"/>
        <v>0</v>
      </c>
      <c r="R80" s="60">
        <f t="shared" ref="R80:S80" si="27">R77+R78+R79</f>
        <v>0</v>
      </c>
      <c r="S80" s="60">
        <f t="shared" si="27"/>
        <v>0</v>
      </c>
      <c r="T80" s="60">
        <f t="shared" ref="T80:U80" si="28">T77+T78+T79</f>
        <v>0</v>
      </c>
      <c r="U80" s="60">
        <f t="shared" si="28"/>
        <v>0</v>
      </c>
      <c r="V80" s="60">
        <f t="shared" ref="V80:W80" si="29">V77+V78+V79</f>
        <v>0</v>
      </c>
      <c r="W80" s="60">
        <f t="shared" si="29"/>
        <v>0</v>
      </c>
      <c r="X80" s="60">
        <f t="shared" ref="X80:Y80" si="30">X77+X78+X79</f>
        <v>0</v>
      </c>
      <c r="Y80" s="60">
        <f t="shared" si="30"/>
        <v>0</v>
      </c>
      <c r="Z80" s="60">
        <f t="shared" ref="Z80" si="31">Z77+Z78+Z79</f>
        <v>0</v>
      </c>
      <c r="AA80" s="60">
        <f t="shared" si="25"/>
        <v>0</v>
      </c>
      <c r="AB80" s="60">
        <f t="shared" si="25"/>
        <v>0</v>
      </c>
      <c r="AC80" s="60">
        <f t="shared" si="25"/>
        <v>0</v>
      </c>
      <c r="AD80" s="60">
        <f t="shared" si="25"/>
        <v>0</v>
      </c>
      <c r="AE80" s="60">
        <f t="shared" si="25"/>
        <v>0</v>
      </c>
      <c r="AF80" s="60">
        <f t="shared" si="25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71</v>
      </c>
      <c r="C81" s="45">
        <v>68.099999999999994</v>
      </c>
      <c r="D81" s="45">
        <v>63.8</v>
      </c>
      <c r="E81" s="45">
        <v>60.5</v>
      </c>
      <c r="F81" s="45">
        <v>64.8</v>
      </c>
      <c r="G81" s="45">
        <v>64.900000000000006</v>
      </c>
      <c r="H81" s="45">
        <v>75</v>
      </c>
      <c r="I81" s="45">
        <v>76.8</v>
      </c>
      <c r="J81" s="45">
        <v>65.400000000000006</v>
      </c>
      <c r="K81" s="45">
        <v>71</v>
      </c>
      <c r="L81" s="45">
        <v>61.5</v>
      </c>
      <c r="M81" s="45">
        <v>49.3</v>
      </c>
      <c r="N81" s="45">
        <v>39.700000000000003</v>
      </c>
      <c r="O81" s="45">
        <v>46.4</v>
      </c>
      <c r="P81" s="45">
        <v>55.6</v>
      </c>
      <c r="Q81" s="45">
        <v>57</v>
      </c>
      <c r="R81" s="45">
        <v>58.9</v>
      </c>
      <c r="S81" s="45">
        <v>65.400000000000006</v>
      </c>
      <c r="T81" s="45">
        <v>68.8</v>
      </c>
      <c r="U81" s="45">
        <v>63.7</v>
      </c>
      <c r="V81" s="45">
        <v>68.400000000000006</v>
      </c>
      <c r="W81" s="45">
        <v>63.9</v>
      </c>
      <c r="X81" s="45">
        <v>55.5</v>
      </c>
      <c r="Y81" s="45">
        <v>64.400000000000006</v>
      </c>
      <c r="Z81" s="45">
        <v>47.7</v>
      </c>
      <c r="AA81" s="45">
        <v>34.299999999999997</v>
      </c>
      <c r="AB81" s="45">
        <v>49.1</v>
      </c>
      <c r="AC81" s="45">
        <v>56.2</v>
      </c>
      <c r="AD81" s="45">
        <v>59</v>
      </c>
      <c r="AE81" s="45">
        <v>59.7</v>
      </c>
      <c r="AF81" s="45">
        <v>54.5</v>
      </c>
      <c r="AG81" s="52"/>
      <c r="AH81" s="47">
        <f t="shared" si="2"/>
        <v>76.8</v>
      </c>
      <c r="AI81" s="48">
        <f t="shared" si="3"/>
        <v>34.299999999999997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404</v>
      </c>
      <c r="C83" s="65">
        <v>391.1</v>
      </c>
      <c r="D83" s="65">
        <v>405.8</v>
      </c>
      <c r="E83" s="65">
        <v>434</v>
      </c>
      <c r="F83" s="65">
        <v>417.6</v>
      </c>
      <c r="G83" s="65">
        <v>430</v>
      </c>
      <c r="H83" s="65">
        <v>425.6</v>
      </c>
      <c r="I83" s="65">
        <v>415.3</v>
      </c>
      <c r="J83" s="65">
        <v>405</v>
      </c>
      <c r="K83" s="65">
        <v>173.9</v>
      </c>
      <c r="L83" s="65">
        <v>64.3</v>
      </c>
      <c r="M83" s="65">
        <v>52.6</v>
      </c>
      <c r="N83" s="65">
        <v>143.4</v>
      </c>
      <c r="O83" s="65">
        <v>203.2</v>
      </c>
      <c r="P83" s="65">
        <v>410.9</v>
      </c>
      <c r="Q83" s="65">
        <v>430.2</v>
      </c>
      <c r="R83" s="65">
        <v>402.8</v>
      </c>
      <c r="S83" s="65">
        <v>417</v>
      </c>
      <c r="T83" s="65">
        <v>456.4</v>
      </c>
      <c r="U83" s="65">
        <v>425.9</v>
      </c>
      <c r="V83" s="65">
        <v>387</v>
      </c>
      <c r="W83" s="65">
        <v>339</v>
      </c>
      <c r="X83" s="65">
        <v>231</v>
      </c>
      <c r="Y83" s="65">
        <v>145.5</v>
      </c>
      <c r="Z83" s="65">
        <v>127.1</v>
      </c>
      <c r="AA83" s="65">
        <v>121.5</v>
      </c>
      <c r="AB83" s="65">
        <v>215</v>
      </c>
      <c r="AC83" s="65">
        <v>338</v>
      </c>
      <c r="AD83" s="65">
        <v>397</v>
      </c>
      <c r="AE83" s="65">
        <v>421</v>
      </c>
      <c r="AF83" s="65">
        <v>427</v>
      </c>
      <c r="AG83" s="75"/>
      <c r="AH83" s="47">
        <f t="shared" si="2"/>
        <v>456.4</v>
      </c>
      <c r="AI83" s="48">
        <f t="shared" si="3"/>
        <v>52.6</v>
      </c>
      <c r="AK83" s="50"/>
    </row>
    <row r="84" spans="1:40" x14ac:dyDescent="0.25">
      <c r="A84" s="54" t="s">
        <v>84</v>
      </c>
      <c r="B84" s="65">
        <v>15.6</v>
      </c>
      <c r="C84" s="65">
        <v>15.6</v>
      </c>
      <c r="D84" s="65">
        <v>16</v>
      </c>
      <c r="E84" s="76">
        <v>15.5</v>
      </c>
      <c r="F84" s="76">
        <v>16.5</v>
      </c>
      <c r="G84" s="76">
        <v>49.74</v>
      </c>
      <c r="H84" s="76">
        <v>49.5</v>
      </c>
      <c r="I84" s="76">
        <v>54.8</v>
      </c>
      <c r="J84" s="76">
        <v>52.7</v>
      </c>
      <c r="K84" s="76">
        <v>21</v>
      </c>
      <c r="L84" s="76">
        <v>17.600000000000001</v>
      </c>
      <c r="M84" s="76">
        <v>17.100000000000001</v>
      </c>
      <c r="N84" s="76">
        <v>16.3</v>
      </c>
      <c r="O84" s="76">
        <v>16.3</v>
      </c>
      <c r="P84" s="76">
        <v>31.4</v>
      </c>
      <c r="Q84" s="76">
        <v>45</v>
      </c>
      <c r="R84" s="76">
        <v>47</v>
      </c>
      <c r="S84" s="76">
        <v>51.8</v>
      </c>
      <c r="T84" s="76">
        <v>48.2</v>
      </c>
      <c r="U84" s="76">
        <v>43.8</v>
      </c>
      <c r="V84" s="76">
        <v>20.6</v>
      </c>
      <c r="W84" s="76">
        <v>11.6</v>
      </c>
      <c r="X84" s="76">
        <v>11.5</v>
      </c>
      <c r="Y84" s="76">
        <v>13.3</v>
      </c>
      <c r="Z84" s="76">
        <v>13.1</v>
      </c>
      <c r="AA84" s="76">
        <v>16</v>
      </c>
      <c r="AB84" s="76">
        <v>23.1</v>
      </c>
      <c r="AC84" s="76">
        <v>27.8</v>
      </c>
      <c r="AD84" s="65">
        <v>38</v>
      </c>
      <c r="AE84" s="76">
        <v>54</v>
      </c>
      <c r="AF84" s="76">
        <v>42</v>
      </c>
      <c r="AG84" s="75"/>
      <c r="AH84" s="47">
        <f t="shared" si="2"/>
        <v>54.8</v>
      </c>
      <c r="AI84" s="48">
        <f t="shared" si="3"/>
        <v>11.5</v>
      </c>
      <c r="AK84" s="50"/>
    </row>
    <row r="85" spans="1:40" x14ac:dyDescent="0.25">
      <c r="A85" s="54" t="s">
        <v>85</v>
      </c>
      <c r="B85" s="45">
        <v>18</v>
      </c>
      <c r="C85" s="45">
        <v>21</v>
      </c>
      <c r="D85" s="45">
        <v>21.6</v>
      </c>
      <c r="E85" s="45">
        <v>21.4</v>
      </c>
      <c r="F85" s="45">
        <v>21.6</v>
      </c>
      <c r="G85" s="45">
        <v>22.4</v>
      </c>
      <c r="H85" s="45">
        <v>21.6</v>
      </c>
      <c r="I85" s="45">
        <v>22.8</v>
      </c>
      <c r="J85" s="45">
        <v>23.2</v>
      </c>
      <c r="K85" s="45">
        <v>23.6</v>
      </c>
      <c r="L85" s="45">
        <v>25</v>
      </c>
      <c r="M85" s="45">
        <v>26.8</v>
      </c>
      <c r="N85" s="45">
        <v>10.8</v>
      </c>
      <c r="O85" s="45">
        <v>11.4</v>
      </c>
      <c r="P85" s="45">
        <v>12.4</v>
      </c>
      <c r="Q85" s="45">
        <v>98</v>
      </c>
      <c r="R85" s="45">
        <v>58.3</v>
      </c>
      <c r="S85" s="45">
        <f>55.9*2</f>
        <v>111.8</v>
      </c>
      <c r="T85" s="45">
        <f>56.5*2</f>
        <v>113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16</v>
      </c>
      <c r="AG85" s="75"/>
      <c r="AH85" s="47">
        <f t="shared" ref="AH85:AH130" si="32">MAX(B85:AF85)</f>
        <v>113</v>
      </c>
      <c r="AI85" s="48">
        <f t="shared" ref="AI85:AI130" si="33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2"/>
        <v>0</v>
      </c>
      <c r="AI86" s="48">
        <f t="shared" si="33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2"/>
        <v>0</v>
      </c>
      <c r="AI87" s="48">
        <f t="shared" si="33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2"/>
        <v>0</v>
      </c>
      <c r="AI88" s="48">
        <f t="shared" si="33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2"/>
        <v>0</v>
      </c>
      <c r="AI89" s="48">
        <f t="shared" si="33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2"/>
        <v>0</v>
      </c>
      <c r="AI90" s="48">
        <f t="shared" si="33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74.2</v>
      </c>
      <c r="K91" s="77">
        <v>78.8</v>
      </c>
      <c r="L91" s="77">
        <v>78.099999999999994</v>
      </c>
      <c r="M91" s="77">
        <v>74.5</v>
      </c>
      <c r="N91" s="77">
        <v>69.7</v>
      </c>
      <c r="O91" s="77">
        <v>63.9</v>
      </c>
      <c r="P91" s="77">
        <v>66.2</v>
      </c>
      <c r="Q91" s="77">
        <v>70.5</v>
      </c>
      <c r="R91" s="77">
        <v>76.900000000000006</v>
      </c>
      <c r="S91" s="77">
        <v>68.3</v>
      </c>
      <c r="T91" s="77">
        <v>77.2</v>
      </c>
      <c r="U91" s="77">
        <v>79</v>
      </c>
      <c r="V91" s="77">
        <v>66.7</v>
      </c>
      <c r="W91" s="77">
        <v>60.8</v>
      </c>
      <c r="X91" s="77">
        <v>65.099999999999994</v>
      </c>
      <c r="Y91" s="77">
        <v>72.5</v>
      </c>
      <c r="Z91" s="77">
        <v>70.3</v>
      </c>
      <c r="AA91" s="77">
        <v>66.599999999999994</v>
      </c>
      <c r="AB91" s="77">
        <v>69</v>
      </c>
      <c r="AC91" s="77">
        <v>67.400000000000006</v>
      </c>
      <c r="AD91" s="77">
        <v>69</v>
      </c>
      <c r="AE91" s="77">
        <v>77.2</v>
      </c>
      <c r="AF91" s="77">
        <v>66</v>
      </c>
      <c r="AG91" s="85"/>
      <c r="AH91" s="47">
        <f t="shared" si="32"/>
        <v>79</v>
      </c>
      <c r="AI91" s="48">
        <f t="shared" si="33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AF92" si="34">SUMIF(B81:B91,"&gt;0")</f>
        <v>508.6</v>
      </c>
      <c r="C92" s="60">
        <f t="shared" si="34"/>
        <v>495.80000000000007</v>
      </c>
      <c r="D92" s="60">
        <f t="shared" si="34"/>
        <v>507.20000000000005</v>
      </c>
      <c r="E92" s="60">
        <f t="shared" si="34"/>
        <v>531.4</v>
      </c>
      <c r="F92" s="60">
        <f t="shared" si="34"/>
        <v>520.5</v>
      </c>
      <c r="G92" s="60">
        <f t="shared" si="34"/>
        <v>567.04</v>
      </c>
      <c r="H92" s="60">
        <f t="shared" si="34"/>
        <v>571.70000000000005</v>
      </c>
      <c r="I92" s="60">
        <f t="shared" si="34"/>
        <v>569.69999999999993</v>
      </c>
      <c r="J92" s="60">
        <f t="shared" si="34"/>
        <v>620.50000000000011</v>
      </c>
      <c r="K92" s="60">
        <f t="shared" si="34"/>
        <v>368.3</v>
      </c>
      <c r="L92" s="60">
        <f t="shared" si="34"/>
        <v>246.5</v>
      </c>
      <c r="M92" s="60">
        <f t="shared" si="34"/>
        <v>220.3</v>
      </c>
      <c r="N92" s="60">
        <f t="shared" si="34"/>
        <v>279.90000000000003</v>
      </c>
      <c r="O92" s="60">
        <f t="shared" si="34"/>
        <v>341.19999999999993</v>
      </c>
      <c r="P92" s="60">
        <f t="shared" si="34"/>
        <v>576.5</v>
      </c>
      <c r="Q92" s="60">
        <f t="shared" si="34"/>
        <v>700.7</v>
      </c>
      <c r="R92" s="60">
        <f t="shared" si="34"/>
        <v>643.9</v>
      </c>
      <c r="S92" s="60">
        <f t="shared" ref="S92:T92" si="35">SUMIF(S81:S91,"&gt;0")</f>
        <v>714.29999999999984</v>
      </c>
      <c r="T92" s="60">
        <f t="shared" si="35"/>
        <v>763.6</v>
      </c>
      <c r="U92" s="60">
        <f t="shared" ref="U92:V92" si="36">SUMIF(U81:U91,"&gt;0")</f>
        <v>612.4</v>
      </c>
      <c r="V92" s="60">
        <f t="shared" si="36"/>
        <v>542.70000000000005</v>
      </c>
      <c r="W92" s="60">
        <f t="shared" ref="W92:Y92" si="37">SUMIF(W81:W91,"&gt;0")</f>
        <v>475.3</v>
      </c>
      <c r="X92" s="60">
        <f t="shared" si="37"/>
        <v>363.1</v>
      </c>
      <c r="Y92" s="60">
        <f t="shared" si="37"/>
        <v>295.70000000000005</v>
      </c>
      <c r="Z92" s="60">
        <f t="shared" ref="Z92" si="38">SUMIF(Z81:Z91,"&gt;0")</f>
        <v>258.2</v>
      </c>
      <c r="AA92" s="60">
        <f t="shared" si="34"/>
        <v>238.4</v>
      </c>
      <c r="AB92" s="60">
        <f t="shared" si="34"/>
        <v>356.20000000000005</v>
      </c>
      <c r="AC92" s="60">
        <f t="shared" si="34"/>
        <v>489.4</v>
      </c>
      <c r="AD92" s="60">
        <f t="shared" si="34"/>
        <v>563</v>
      </c>
      <c r="AE92" s="60">
        <f t="shared" si="34"/>
        <v>611.90000000000009</v>
      </c>
      <c r="AF92" s="60">
        <f t="shared" si="34"/>
        <v>605.5</v>
      </c>
      <c r="AG92" s="88">
        <f>SUM(AG81:AG91)</f>
        <v>0</v>
      </c>
      <c r="AH92" s="47">
        <f t="shared" si="32"/>
        <v>763.6</v>
      </c>
      <c r="AI92" s="48">
        <f t="shared" si="33"/>
        <v>220.3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2"/>
        <v>0</v>
      </c>
      <c r="AI93" s="48">
        <f t="shared" si="33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2"/>
        <v>0</v>
      </c>
      <c r="AI94" s="48">
        <f t="shared" si="33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2"/>
        <v>0</v>
      </c>
      <c r="AI95" s="48">
        <f t="shared" si="33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2"/>
        <v>0</v>
      </c>
      <c r="AI96" s="48">
        <f t="shared" si="33"/>
        <v>0</v>
      </c>
    </row>
    <row r="97" spans="1:37" ht="15.75" thickBot="1" x14ac:dyDescent="0.3">
      <c r="A97" s="74" t="s">
        <v>99</v>
      </c>
      <c r="B97" s="95">
        <f t="shared" ref="B97:AG97" si="39">B58+B62+B80+B76+B92+B96</f>
        <v>1163.1399999999999</v>
      </c>
      <c r="C97" s="95">
        <f t="shared" si="39"/>
        <v>1148.2400000000002</v>
      </c>
      <c r="D97" s="95">
        <f t="shared" si="39"/>
        <v>1159.94</v>
      </c>
      <c r="E97" s="95">
        <f t="shared" si="39"/>
        <v>1149.1399999999999</v>
      </c>
      <c r="F97" s="95">
        <f t="shared" si="39"/>
        <v>1137.44</v>
      </c>
      <c r="G97" s="95">
        <f t="shared" si="39"/>
        <v>1224.48</v>
      </c>
      <c r="H97" s="95">
        <f t="shared" si="39"/>
        <v>1335.64</v>
      </c>
      <c r="I97" s="95">
        <f t="shared" si="39"/>
        <v>1422.34</v>
      </c>
      <c r="J97" s="95">
        <f t="shared" si="39"/>
        <v>1556.44</v>
      </c>
      <c r="K97" s="95">
        <f t="shared" si="39"/>
        <v>1430.44</v>
      </c>
      <c r="L97" s="95">
        <f t="shared" si="39"/>
        <v>1489.3400000000001</v>
      </c>
      <c r="M97" s="95">
        <f t="shared" si="39"/>
        <v>1485.84</v>
      </c>
      <c r="N97" s="95">
        <f t="shared" si="39"/>
        <v>1351.7400000000002</v>
      </c>
      <c r="O97" s="95">
        <f t="shared" si="39"/>
        <v>1274.2399999999998</v>
      </c>
      <c r="P97" s="95">
        <f t="shared" si="39"/>
        <v>1357.3400000000001</v>
      </c>
      <c r="Q97" s="95">
        <f t="shared" si="39"/>
        <v>1482.8400000000001</v>
      </c>
      <c r="R97" s="95">
        <f t="shared" si="39"/>
        <v>1395.2400000000002</v>
      </c>
      <c r="S97" s="95">
        <f t="shared" ref="S97:T97" si="40">S58+S62+S80+S76+S92+S96</f>
        <v>1464.44</v>
      </c>
      <c r="T97" s="95">
        <f t="shared" si="40"/>
        <v>1464.04</v>
      </c>
      <c r="U97" s="95">
        <f t="shared" ref="U97:V97" si="41">U58+U62+U80+U76+U92+U96</f>
        <v>1425.8400000000001</v>
      </c>
      <c r="V97" s="95">
        <f t="shared" si="41"/>
        <v>1295.2400000000002</v>
      </c>
      <c r="W97" s="95">
        <f t="shared" ref="W97:Y97" si="42">W58+W62+W80+W76+W92+W96</f>
        <v>1220.94</v>
      </c>
      <c r="X97" s="95">
        <f t="shared" si="42"/>
        <v>1393.1399999999999</v>
      </c>
      <c r="Y97" s="95">
        <f t="shared" si="42"/>
        <v>1549.8400000000001</v>
      </c>
      <c r="Z97" s="95">
        <f t="shared" ref="Z97" si="43">Z58+Z62+Z80+Z76+Z92+Z96</f>
        <v>1501.54</v>
      </c>
      <c r="AA97" s="95">
        <f t="shared" si="39"/>
        <v>1472.94</v>
      </c>
      <c r="AB97" s="95">
        <f t="shared" si="39"/>
        <v>1456.19</v>
      </c>
      <c r="AC97" s="95">
        <f t="shared" si="39"/>
        <v>1477.8899999999999</v>
      </c>
      <c r="AD97" s="95">
        <f t="shared" si="39"/>
        <v>1440.29</v>
      </c>
      <c r="AE97" s="95">
        <f t="shared" si="39"/>
        <v>1359.19</v>
      </c>
      <c r="AF97" s="95">
        <f t="shared" si="39"/>
        <v>1223.79</v>
      </c>
      <c r="AG97" s="61">
        <f t="shared" si="39"/>
        <v>2231.81</v>
      </c>
      <c r="AH97" s="47">
        <f t="shared" si="32"/>
        <v>1556.44</v>
      </c>
      <c r="AI97" s="48">
        <f t="shared" si="33"/>
        <v>1137.44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280</v>
      </c>
      <c r="L98" s="97">
        <v>280</v>
      </c>
      <c r="M98" s="97">
        <v>280</v>
      </c>
      <c r="N98" s="97">
        <v>280</v>
      </c>
      <c r="O98" s="97">
        <v>280</v>
      </c>
      <c r="P98" s="97"/>
      <c r="Q98" s="97"/>
      <c r="R98" s="97"/>
      <c r="S98" s="97"/>
      <c r="T98" s="97"/>
      <c r="U98" s="97"/>
      <c r="V98" s="97"/>
      <c r="W98" s="97"/>
      <c r="X98" s="97"/>
      <c r="Y98" s="97">
        <v>300</v>
      </c>
      <c r="Z98" s="97">
        <v>280</v>
      </c>
      <c r="AA98" s="97">
        <v>250</v>
      </c>
      <c r="AB98" s="97">
        <v>250</v>
      </c>
      <c r="AC98" s="97">
        <v>250</v>
      </c>
      <c r="AD98" s="97">
        <v>250</v>
      </c>
      <c r="AE98" s="97"/>
      <c r="AF98" s="97"/>
      <c r="AG98" s="88"/>
      <c r="AH98" s="47">
        <f t="shared" si="32"/>
        <v>300</v>
      </c>
      <c r="AI98" s="48">
        <f t="shared" si="33"/>
        <v>250</v>
      </c>
    </row>
    <row r="99" spans="1:37" ht="15.75" thickBot="1" x14ac:dyDescent="0.3">
      <c r="A99" s="74" t="s">
        <v>101</v>
      </c>
      <c r="B99" s="95">
        <f t="shared" ref="B99:AF99" si="44">B97+B98</f>
        <v>1163.1399999999999</v>
      </c>
      <c r="C99" s="95">
        <f t="shared" si="44"/>
        <v>1148.2400000000002</v>
      </c>
      <c r="D99" s="95">
        <f t="shared" si="44"/>
        <v>1159.94</v>
      </c>
      <c r="E99" s="95">
        <f t="shared" si="44"/>
        <v>1149.1399999999999</v>
      </c>
      <c r="F99" s="95">
        <f t="shared" si="44"/>
        <v>1137.44</v>
      </c>
      <c r="G99" s="95">
        <f t="shared" si="44"/>
        <v>1224.48</v>
      </c>
      <c r="H99" s="95">
        <f t="shared" si="44"/>
        <v>1335.64</v>
      </c>
      <c r="I99" s="95">
        <f t="shared" si="44"/>
        <v>1422.34</v>
      </c>
      <c r="J99" s="95">
        <f t="shared" si="44"/>
        <v>1556.44</v>
      </c>
      <c r="K99" s="95">
        <f t="shared" si="44"/>
        <v>1710.44</v>
      </c>
      <c r="L99" s="95">
        <f t="shared" si="44"/>
        <v>1769.3400000000001</v>
      </c>
      <c r="M99" s="95">
        <f t="shared" si="44"/>
        <v>1765.84</v>
      </c>
      <c r="N99" s="95">
        <f t="shared" si="44"/>
        <v>1631.7400000000002</v>
      </c>
      <c r="O99" s="95">
        <f t="shared" si="44"/>
        <v>1554.2399999999998</v>
      </c>
      <c r="P99" s="95">
        <f t="shared" si="44"/>
        <v>1357.3400000000001</v>
      </c>
      <c r="Q99" s="95">
        <f t="shared" si="44"/>
        <v>1482.8400000000001</v>
      </c>
      <c r="R99" s="95">
        <f t="shared" si="44"/>
        <v>1395.2400000000002</v>
      </c>
      <c r="S99" s="95">
        <f t="shared" ref="S99:T99" si="45">S97+S98</f>
        <v>1464.44</v>
      </c>
      <c r="T99" s="95">
        <f t="shared" si="45"/>
        <v>1464.04</v>
      </c>
      <c r="U99" s="95">
        <f t="shared" ref="U99:V99" si="46">U97+U98</f>
        <v>1425.8400000000001</v>
      </c>
      <c r="V99" s="95">
        <f t="shared" si="46"/>
        <v>1295.2400000000002</v>
      </c>
      <c r="W99" s="95">
        <f t="shared" ref="W99:Y99" si="47">W97+W98</f>
        <v>1220.94</v>
      </c>
      <c r="X99" s="95">
        <f t="shared" si="47"/>
        <v>1393.1399999999999</v>
      </c>
      <c r="Y99" s="95">
        <f t="shared" si="47"/>
        <v>1849.8400000000001</v>
      </c>
      <c r="Z99" s="95">
        <f t="shared" ref="Z99" si="48">Z97+Z98</f>
        <v>1781.54</v>
      </c>
      <c r="AA99" s="95">
        <f t="shared" si="44"/>
        <v>1722.94</v>
      </c>
      <c r="AB99" s="95">
        <f t="shared" si="44"/>
        <v>1706.19</v>
      </c>
      <c r="AC99" s="95">
        <f t="shared" si="44"/>
        <v>1727.8899999999999</v>
      </c>
      <c r="AD99" s="95">
        <f t="shared" si="44"/>
        <v>1690.29</v>
      </c>
      <c r="AE99" s="95">
        <f t="shared" si="44"/>
        <v>1359.19</v>
      </c>
      <c r="AF99" s="95">
        <f t="shared" si="44"/>
        <v>1223.79</v>
      </c>
      <c r="AG99" s="88">
        <f>AG96+AG92+AG80+AG76+AG58+AG98</f>
        <v>1693.71</v>
      </c>
      <c r="AH99" s="47">
        <f t="shared" si="32"/>
        <v>1849.8400000000001</v>
      </c>
      <c r="AI99" s="48">
        <f t="shared" si="33"/>
        <v>1137.44</v>
      </c>
    </row>
    <row r="100" spans="1:37" ht="15.75" thickBot="1" x14ac:dyDescent="0.3">
      <c r="A100" s="74" t="s">
        <v>102</v>
      </c>
      <c r="B100" s="95">
        <f t="shared" ref="B100:M100" si="49">B99-(B107)</f>
        <v>1163.1399999999999</v>
      </c>
      <c r="C100" s="95">
        <f t="shared" si="49"/>
        <v>1148.2400000000002</v>
      </c>
      <c r="D100" s="95">
        <f t="shared" si="49"/>
        <v>1159.94</v>
      </c>
      <c r="E100" s="95">
        <f t="shared" si="49"/>
        <v>1149.1399999999999</v>
      </c>
      <c r="F100" s="95">
        <f t="shared" si="49"/>
        <v>1137.44</v>
      </c>
      <c r="G100" s="95">
        <f t="shared" si="49"/>
        <v>1224.48</v>
      </c>
      <c r="H100" s="95">
        <f t="shared" si="49"/>
        <v>1335.64</v>
      </c>
      <c r="I100" s="95">
        <f t="shared" si="49"/>
        <v>1422.34</v>
      </c>
      <c r="J100" s="95">
        <f t="shared" si="49"/>
        <v>1556.44</v>
      </c>
      <c r="K100" s="95">
        <f t="shared" si="49"/>
        <v>1710.44</v>
      </c>
      <c r="L100" s="95">
        <f t="shared" si="49"/>
        <v>1769.3400000000001</v>
      </c>
      <c r="M100" s="95">
        <f t="shared" si="49"/>
        <v>1765.84</v>
      </c>
      <c r="N100" s="95">
        <f>N99-(N107)</f>
        <v>1631.7400000000002</v>
      </c>
      <c r="O100" s="95">
        <f t="shared" ref="O100:AF100" si="50">O99-(O107)</f>
        <v>1554.2399999999998</v>
      </c>
      <c r="P100" s="95">
        <f t="shared" si="50"/>
        <v>1357.3400000000001</v>
      </c>
      <c r="Q100" s="95">
        <f t="shared" si="50"/>
        <v>1482.8400000000001</v>
      </c>
      <c r="R100" s="95">
        <f t="shared" si="50"/>
        <v>1395.2400000000002</v>
      </c>
      <c r="S100" s="95">
        <f t="shared" ref="S100:T100" si="51">S99-(S107)</f>
        <v>1464.44</v>
      </c>
      <c r="T100" s="95">
        <f t="shared" si="51"/>
        <v>1464.04</v>
      </c>
      <c r="U100" s="95">
        <f t="shared" ref="U100:V100" si="52">U99-(U107)</f>
        <v>1425.8400000000001</v>
      </c>
      <c r="V100" s="95">
        <f t="shared" si="52"/>
        <v>1295.2400000000002</v>
      </c>
      <c r="W100" s="95">
        <f t="shared" ref="W100:Y100" si="53">W99-(W107)</f>
        <v>1220.94</v>
      </c>
      <c r="X100" s="95">
        <f t="shared" si="53"/>
        <v>1393.1399999999999</v>
      </c>
      <c r="Y100" s="95">
        <f t="shared" si="53"/>
        <v>1849.8400000000001</v>
      </c>
      <c r="Z100" s="95">
        <f t="shared" ref="Z100" si="54">Z99-(Z107)</f>
        <v>1781.54</v>
      </c>
      <c r="AA100" s="95">
        <f t="shared" si="50"/>
        <v>1722.94</v>
      </c>
      <c r="AB100" s="95">
        <f t="shared" si="50"/>
        <v>1706.19</v>
      </c>
      <c r="AC100" s="95">
        <f t="shared" si="50"/>
        <v>1727.8899999999999</v>
      </c>
      <c r="AD100" s="95">
        <f t="shared" si="50"/>
        <v>1690.29</v>
      </c>
      <c r="AE100" s="95">
        <f t="shared" si="50"/>
        <v>1359.19</v>
      </c>
      <c r="AF100" s="95">
        <f t="shared" si="50"/>
        <v>1223.79</v>
      </c>
      <c r="AG100" s="88"/>
      <c r="AH100" s="47">
        <f t="shared" si="32"/>
        <v>1849.8400000000001</v>
      </c>
      <c r="AI100" s="48">
        <f t="shared" si="33"/>
        <v>1137.44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55">IF(C84&lt;0,C84*-1,0)</f>
        <v>0</v>
      </c>
      <c r="D101" s="76">
        <f t="shared" si="55"/>
        <v>0</v>
      </c>
      <c r="E101" s="76">
        <f t="shared" si="55"/>
        <v>0</v>
      </c>
      <c r="F101" s="76">
        <f t="shared" si="55"/>
        <v>0</v>
      </c>
      <c r="G101" s="76">
        <f t="shared" si="55"/>
        <v>0</v>
      </c>
      <c r="H101" s="76">
        <f t="shared" si="55"/>
        <v>0</v>
      </c>
      <c r="I101" s="76">
        <f t="shared" si="55"/>
        <v>0</v>
      </c>
      <c r="J101" s="76">
        <f t="shared" si="55"/>
        <v>0</v>
      </c>
      <c r="K101" s="76">
        <f t="shared" si="55"/>
        <v>0</v>
      </c>
      <c r="L101" s="76">
        <f t="shared" si="55"/>
        <v>0</v>
      </c>
      <c r="M101" s="76">
        <f t="shared" si="55"/>
        <v>0</v>
      </c>
      <c r="N101" s="76">
        <f t="shared" si="55"/>
        <v>0</v>
      </c>
      <c r="O101" s="76">
        <f t="shared" si="55"/>
        <v>0</v>
      </c>
      <c r="P101" s="76">
        <f t="shared" si="55"/>
        <v>0</v>
      </c>
      <c r="Q101" s="76">
        <f t="shared" si="55"/>
        <v>0</v>
      </c>
      <c r="R101" s="76">
        <f t="shared" si="55"/>
        <v>0</v>
      </c>
      <c r="S101" s="76">
        <f t="shared" ref="S101:T101" si="56">IF(S84&lt;0,S84*-1,0)</f>
        <v>0</v>
      </c>
      <c r="T101" s="76">
        <f t="shared" si="56"/>
        <v>0</v>
      </c>
      <c r="U101" s="76">
        <f t="shared" ref="U101:V101" si="57">IF(U84&lt;0,U84*-1,0)</f>
        <v>0</v>
      </c>
      <c r="V101" s="76">
        <f t="shared" si="57"/>
        <v>0</v>
      </c>
      <c r="W101" s="76">
        <f t="shared" ref="W101:Y101" si="58">IF(W84&lt;0,W84*-1,0)</f>
        <v>0</v>
      </c>
      <c r="X101" s="76">
        <f t="shared" si="58"/>
        <v>0</v>
      </c>
      <c r="Y101" s="76">
        <f t="shared" si="58"/>
        <v>0</v>
      </c>
      <c r="Z101" s="76">
        <f t="shared" ref="Z101" si="59">IF(Z84&lt;0,Z84*-1,0)</f>
        <v>0</v>
      </c>
      <c r="AA101" s="76">
        <f t="shared" si="55"/>
        <v>0</v>
      </c>
      <c r="AB101" s="76">
        <f t="shared" si="55"/>
        <v>0</v>
      </c>
      <c r="AC101" s="76">
        <f t="shared" si="55"/>
        <v>0</v>
      </c>
      <c r="AD101" s="76">
        <f t="shared" si="55"/>
        <v>0</v>
      </c>
      <c r="AE101" s="76">
        <f t="shared" si="55"/>
        <v>0</v>
      </c>
      <c r="AF101" s="76">
        <f t="shared" si="55"/>
        <v>0</v>
      </c>
      <c r="AG101" s="52"/>
      <c r="AH101" s="47">
        <f t="shared" si="32"/>
        <v>0</v>
      </c>
      <c r="AI101" s="48">
        <f t="shared" si="33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60">IF(C82&lt;0,C82*-1,0)</f>
        <v>0</v>
      </c>
      <c r="D102" s="76">
        <f t="shared" si="60"/>
        <v>0</v>
      </c>
      <c r="E102" s="76">
        <f t="shared" si="60"/>
        <v>0</v>
      </c>
      <c r="F102" s="76">
        <f t="shared" si="60"/>
        <v>0</v>
      </c>
      <c r="G102" s="76">
        <f t="shared" si="60"/>
        <v>0</v>
      </c>
      <c r="H102" s="76">
        <f t="shared" si="60"/>
        <v>0</v>
      </c>
      <c r="I102" s="76">
        <f t="shared" si="60"/>
        <v>0</v>
      </c>
      <c r="J102" s="76">
        <f t="shared" si="60"/>
        <v>0</v>
      </c>
      <c r="K102" s="76">
        <f t="shared" si="60"/>
        <v>0</v>
      </c>
      <c r="L102" s="76">
        <f t="shared" si="60"/>
        <v>0</v>
      </c>
      <c r="M102" s="76">
        <f t="shared" si="60"/>
        <v>0</v>
      </c>
      <c r="N102" s="76">
        <f t="shared" si="60"/>
        <v>0</v>
      </c>
      <c r="O102" s="76">
        <f t="shared" si="60"/>
        <v>0</v>
      </c>
      <c r="P102" s="76">
        <f t="shared" si="60"/>
        <v>0</v>
      </c>
      <c r="Q102" s="76">
        <f t="shared" si="60"/>
        <v>0</v>
      </c>
      <c r="R102" s="76">
        <f t="shared" si="60"/>
        <v>0</v>
      </c>
      <c r="S102" s="76">
        <f t="shared" ref="S102:T102" si="61">IF(S82&lt;0,S82*-1,0)</f>
        <v>0</v>
      </c>
      <c r="T102" s="76">
        <f t="shared" si="61"/>
        <v>0</v>
      </c>
      <c r="U102" s="76">
        <f t="shared" ref="U102:V102" si="62">IF(U82&lt;0,U82*-1,0)</f>
        <v>0</v>
      </c>
      <c r="V102" s="76">
        <f t="shared" si="62"/>
        <v>0</v>
      </c>
      <c r="W102" s="76">
        <f t="shared" ref="W102:Y102" si="63">IF(W82&lt;0,W82*-1,0)</f>
        <v>0</v>
      </c>
      <c r="X102" s="76">
        <f t="shared" si="63"/>
        <v>0</v>
      </c>
      <c r="Y102" s="76">
        <f t="shared" si="63"/>
        <v>0</v>
      </c>
      <c r="Z102" s="76">
        <f t="shared" ref="Z102" si="64">IF(Z82&lt;0,Z82*-1,0)</f>
        <v>0</v>
      </c>
      <c r="AA102" s="76">
        <f t="shared" si="60"/>
        <v>0</v>
      </c>
      <c r="AB102" s="76">
        <f t="shared" si="60"/>
        <v>0</v>
      </c>
      <c r="AC102" s="76">
        <f t="shared" si="60"/>
        <v>0</v>
      </c>
      <c r="AD102" s="76">
        <f t="shared" si="60"/>
        <v>0</v>
      </c>
      <c r="AE102" s="76">
        <f t="shared" si="60"/>
        <v>0</v>
      </c>
      <c r="AF102" s="76">
        <f t="shared" si="60"/>
        <v>0</v>
      </c>
      <c r="AG102" s="55"/>
      <c r="AH102" s="47">
        <f t="shared" si="32"/>
        <v>0</v>
      </c>
      <c r="AI102" s="48">
        <f t="shared" si="33"/>
        <v>0</v>
      </c>
    </row>
    <row r="103" spans="1:37" x14ac:dyDescent="0.25">
      <c r="A103" s="84" t="s">
        <v>103</v>
      </c>
      <c r="B103" s="76">
        <f>IF(B85&lt;0,B85*-1,0)</f>
        <v>0</v>
      </c>
      <c r="C103" s="76">
        <f t="shared" ref="C103:AF103" si="65">IF(C85&lt;0,C85*-1,0)</f>
        <v>0</v>
      </c>
      <c r="D103" s="76">
        <f t="shared" si="65"/>
        <v>0</v>
      </c>
      <c r="E103" s="76">
        <f t="shared" si="65"/>
        <v>0</v>
      </c>
      <c r="F103" s="76">
        <f t="shared" si="65"/>
        <v>0</v>
      </c>
      <c r="G103" s="76">
        <f t="shared" si="65"/>
        <v>0</v>
      </c>
      <c r="H103" s="76">
        <f t="shared" si="65"/>
        <v>0</v>
      </c>
      <c r="I103" s="76">
        <f t="shared" si="65"/>
        <v>0</v>
      </c>
      <c r="J103" s="76">
        <f t="shared" si="65"/>
        <v>0</v>
      </c>
      <c r="K103" s="76">
        <f t="shared" si="65"/>
        <v>0</v>
      </c>
      <c r="L103" s="76">
        <f t="shared" si="65"/>
        <v>0</v>
      </c>
      <c r="M103" s="76">
        <f t="shared" si="65"/>
        <v>0</v>
      </c>
      <c r="N103" s="76">
        <f t="shared" si="65"/>
        <v>0</v>
      </c>
      <c r="O103" s="76">
        <f t="shared" si="65"/>
        <v>0</v>
      </c>
      <c r="P103" s="76">
        <f t="shared" si="65"/>
        <v>0</v>
      </c>
      <c r="Q103" s="76">
        <f t="shared" si="65"/>
        <v>0</v>
      </c>
      <c r="R103" s="76">
        <f t="shared" si="65"/>
        <v>0</v>
      </c>
      <c r="S103" s="76">
        <f t="shared" ref="S103:T103" si="66">IF(S85&lt;0,S85*-1,0)</f>
        <v>0</v>
      </c>
      <c r="T103" s="76">
        <f t="shared" si="66"/>
        <v>0</v>
      </c>
      <c r="U103" s="76">
        <f t="shared" ref="U103:V103" si="67">IF(U85&lt;0,U85*-1,0)</f>
        <v>0</v>
      </c>
      <c r="V103" s="76">
        <f t="shared" si="67"/>
        <v>0</v>
      </c>
      <c r="W103" s="76">
        <f t="shared" ref="W103:Y103" si="68">IF(W85&lt;0,W85*-1,0)</f>
        <v>0</v>
      </c>
      <c r="X103" s="76">
        <f t="shared" si="68"/>
        <v>0</v>
      </c>
      <c r="Y103" s="76">
        <f t="shared" si="68"/>
        <v>0</v>
      </c>
      <c r="Z103" s="76">
        <f t="shared" ref="Z103" si="69">IF(Z85&lt;0,Z85*-1,0)</f>
        <v>0</v>
      </c>
      <c r="AA103" s="76">
        <f t="shared" si="65"/>
        <v>0</v>
      </c>
      <c r="AB103" s="76">
        <f t="shared" si="65"/>
        <v>0</v>
      </c>
      <c r="AC103" s="76">
        <f t="shared" si="65"/>
        <v>0</v>
      </c>
      <c r="AD103" s="76">
        <f t="shared" si="65"/>
        <v>0</v>
      </c>
      <c r="AE103" s="76">
        <f t="shared" si="65"/>
        <v>0</v>
      </c>
      <c r="AF103" s="76">
        <f t="shared" si="65"/>
        <v>0</v>
      </c>
      <c r="AG103" s="98"/>
      <c r="AH103" s="47">
        <f t="shared" si="32"/>
        <v>0</v>
      </c>
      <c r="AI103" s="48">
        <f t="shared" si="33"/>
        <v>0</v>
      </c>
    </row>
    <row r="104" spans="1:37" x14ac:dyDescent="0.25">
      <c r="A104" s="84" t="s">
        <v>104</v>
      </c>
      <c r="B104" s="76">
        <f>IF(B83&lt;0,B83*-1,0)</f>
        <v>0</v>
      </c>
      <c r="C104" s="76">
        <f t="shared" ref="C104:AF104" si="70">IF(C83&lt;0,C83*-1,0)</f>
        <v>0</v>
      </c>
      <c r="D104" s="76">
        <f t="shared" si="70"/>
        <v>0</v>
      </c>
      <c r="E104" s="76">
        <f t="shared" si="70"/>
        <v>0</v>
      </c>
      <c r="F104" s="76">
        <f t="shared" si="70"/>
        <v>0</v>
      </c>
      <c r="G104" s="76">
        <f t="shared" si="70"/>
        <v>0</v>
      </c>
      <c r="H104" s="76">
        <f t="shared" si="70"/>
        <v>0</v>
      </c>
      <c r="I104" s="76">
        <f t="shared" si="70"/>
        <v>0</v>
      </c>
      <c r="J104" s="76">
        <f t="shared" si="70"/>
        <v>0</v>
      </c>
      <c r="K104" s="76">
        <f t="shared" si="70"/>
        <v>0</v>
      </c>
      <c r="L104" s="76">
        <f t="shared" si="70"/>
        <v>0</v>
      </c>
      <c r="M104" s="76">
        <f t="shared" si="70"/>
        <v>0</v>
      </c>
      <c r="N104" s="76">
        <f t="shared" si="70"/>
        <v>0</v>
      </c>
      <c r="O104" s="76">
        <f t="shared" si="70"/>
        <v>0</v>
      </c>
      <c r="P104" s="76">
        <f t="shared" si="70"/>
        <v>0</v>
      </c>
      <c r="Q104" s="76">
        <f t="shared" si="70"/>
        <v>0</v>
      </c>
      <c r="R104" s="76">
        <f t="shared" si="70"/>
        <v>0</v>
      </c>
      <c r="S104" s="76">
        <f t="shared" ref="S104:T104" si="71">IF(S83&lt;0,S83*-1,0)</f>
        <v>0</v>
      </c>
      <c r="T104" s="76">
        <f t="shared" si="71"/>
        <v>0</v>
      </c>
      <c r="U104" s="76">
        <f t="shared" ref="U104:V104" si="72">IF(U83&lt;0,U83*-1,0)</f>
        <v>0</v>
      </c>
      <c r="V104" s="76">
        <f t="shared" si="72"/>
        <v>0</v>
      </c>
      <c r="W104" s="76">
        <f t="shared" ref="W104:Y104" si="73">IF(W83&lt;0,W83*-1,0)</f>
        <v>0</v>
      </c>
      <c r="X104" s="76">
        <f t="shared" si="73"/>
        <v>0</v>
      </c>
      <c r="Y104" s="76">
        <f t="shared" si="73"/>
        <v>0</v>
      </c>
      <c r="Z104" s="76">
        <f t="shared" ref="Z104" si="74">IF(Z83&lt;0,Z83*-1,0)</f>
        <v>0</v>
      </c>
      <c r="AA104" s="76">
        <f t="shared" si="70"/>
        <v>0</v>
      </c>
      <c r="AB104" s="76">
        <f t="shared" si="70"/>
        <v>0</v>
      </c>
      <c r="AC104" s="76">
        <f t="shared" si="70"/>
        <v>0</v>
      </c>
      <c r="AD104" s="76">
        <f t="shared" si="70"/>
        <v>0</v>
      </c>
      <c r="AE104" s="76">
        <f t="shared" si="70"/>
        <v>0</v>
      </c>
      <c r="AF104" s="76">
        <f t="shared" si="70"/>
        <v>0</v>
      </c>
      <c r="AG104" s="98"/>
      <c r="AH104" s="47">
        <f t="shared" si="32"/>
        <v>0</v>
      </c>
      <c r="AI104" s="48">
        <f t="shared" si="33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75">IF(C81&lt;0,C81*-1,0)</f>
        <v>0</v>
      </c>
      <c r="D105" s="76">
        <f t="shared" si="75"/>
        <v>0</v>
      </c>
      <c r="E105" s="76">
        <f t="shared" si="75"/>
        <v>0</v>
      </c>
      <c r="F105" s="76">
        <f t="shared" si="75"/>
        <v>0</v>
      </c>
      <c r="G105" s="76">
        <f t="shared" si="75"/>
        <v>0</v>
      </c>
      <c r="H105" s="76">
        <f t="shared" si="75"/>
        <v>0</v>
      </c>
      <c r="I105" s="76">
        <f t="shared" si="75"/>
        <v>0</v>
      </c>
      <c r="J105" s="76">
        <f t="shared" si="75"/>
        <v>0</v>
      </c>
      <c r="K105" s="76">
        <f t="shared" si="75"/>
        <v>0</v>
      </c>
      <c r="L105" s="76">
        <f t="shared" si="75"/>
        <v>0</v>
      </c>
      <c r="M105" s="76">
        <f t="shared" si="75"/>
        <v>0</v>
      </c>
      <c r="N105" s="76">
        <f t="shared" si="75"/>
        <v>0</v>
      </c>
      <c r="O105" s="76">
        <f t="shared" si="75"/>
        <v>0</v>
      </c>
      <c r="P105" s="76">
        <f t="shared" si="75"/>
        <v>0</v>
      </c>
      <c r="Q105" s="76">
        <f t="shared" si="75"/>
        <v>0</v>
      </c>
      <c r="R105" s="76">
        <f t="shared" si="75"/>
        <v>0</v>
      </c>
      <c r="S105" s="76">
        <f t="shared" ref="S105:T105" si="76">IF(S81&lt;0,S81*-1,0)</f>
        <v>0</v>
      </c>
      <c r="T105" s="76">
        <f t="shared" si="76"/>
        <v>0</v>
      </c>
      <c r="U105" s="76">
        <f t="shared" ref="U105:V105" si="77">IF(U81&lt;0,U81*-1,0)</f>
        <v>0</v>
      </c>
      <c r="V105" s="76">
        <f t="shared" si="77"/>
        <v>0</v>
      </c>
      <c r="W105" s="76">
        <f t="shared" ref="W105:Y105" si="78">IF(W81&lt;0,W81*-1,0)</f>
        <v>0</v>
      </c>
      <c r="X105" s="76">
        <f t="shared" si="78"/>
        <v>0</v>
      </c>
      <c r="Y105" s="76">
        <f t="shared" si="78"/>
        <v>0</v>
      </c>
      <c r="Z105" s="76">
        <f t="shared" ref="Z105" si="79">IF(Z81&lt;0,Z81*-1,0)</f>
        <v>0</v>
      </c>
      <c r="AA105" s="76">
        <f t="shared" si="75"/>
        <v>0</v>
      </c>
      <c r="AB105" s="76">
        <f t="shared" si="75"/>
        <v>0</v>
      </c>
      <c r="AC105" s="76">
        <f t="shared" si="75"/>
        <v>0</v>
      </c>
      <c r="AD105" s="76">
        <f t="shared" si="75"/>
        <v>0</v>
      </c>
      <c r="AE105" s="76">
        <f t="shared" si="75"/>
        <v>0</v>
      </c>
      <c r="AF105" s="76">
        <f t="shared" si="75"/>
        <v>0</v>
      </c>
      <c r="AG105" s="98"/>
      <c r="AH105" s="47">
        <f t="shared" si="32"/>
        <v>0</v>
      </c>
      <c r="AI105" s="48">
        <f t="shared" si="33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1</v>
      </c>
      <c r="V106" s="94">
        <v>2</v>
      </c>
      <c r="W106" s="94">
        <v>3</v>
      </c>
      <c r="X106" s="94">
        <v>4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2"/>
        <v>4</v>
      </c>
      <c r="AI106" s="48">
        <f t="shared" si="33"/>
        <v>0</v>
      </c>
    </row>
    <row r="107" spans="1:37" ht="15.75" thickBot="1" x14ac:dyDescent="0.3">
      <c r="A107" s="99" t="s">
        <v>106</v>
      </c>
      <c r="B107" s="60">
        <f>SUM(B101:B106)</f>
        <v>0</v>
      </c>
      <c r="C107" s="60">
        <f t="shared" ref="C107:AF107" si="80">SUM(C101:C106)</f>
        <v>0</v>
      </c>
      <c r="D107" s="60">
        <f t="shared" si="80"/>
        <v>0</v>
      </c>
      <c r="E107" s="60">
        <f t="shared" si="80"/>
        <v>0</v>
      </c>
      <c r="F107" s="60">
        <f t="shared" si="80"/>
        <v>0</v>
      </c>
      <c r="G107" s="60">
        <f t="shared" si="80"/>
        <v>0</v>
      </c>
      <c r="H107" s="60">
        <f t="shared" si="80"/>
        <v>0</v>
      </c>
      <c r="I107" s="60">
        <f t="shared" si="80"/>
        <v>0</v>
      </c>
      <c r="J107" s="60">
        <f t="shared" si="80"/>
        <v>0</v>
      </c>
      <c r="K107" s="60">
        <f t="shared" si="80"/>
        <v>0</v>
      </c>
      <c r="L107" s="60">
        <f t="shared" si="80"/>
        <v>0</v>
      </c>
      <c r="M107" s="60">
        <f t="shared" si="80"/>
        <v>0</v>
      </c>
      <c r="N107" s="60">
        <f t="shared" si="80"/>
        <v>0</v>
      </c>
      <c r="O107" s="60">
        <f t="shared" si="80"/>
        <v>0</v>
      </c>
      <c r="P107" s="60">
        <f t="shared" si="80"/>
        <v>0</v>
      </c>
      <c r="Q107" s="60">
        <f t="shared" si="80"/>
        <v>0</v>
      </c>
      <c r="R107" s="60">
        <f t="shared" si="80"/>
        <v>0</v>
      </c>
      <c r="S107" s="60">
        <f t="shared" ref="S107:T107" si="81">SUM(S101:S106)</f>
        <v>0</v>
      </c>
      <c r="T107" s="60">
        <f t="shared" si="81"/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f t="shared" si="80"/>
        <v>0</v>
      </c>
      <c r="AB107" s="60">
        <f t="shared" si="80"/>
        <v>0</v>
      </c>
      <c r="AC107" s="60">
        <f t="shared" si="80"/>
        <v>0</v>
      </c>
      <c r="AD107" s="60">
        <f t="shared" si="80"/>
        <v>0</v>
      </c>
      <c r="AE107" s="60">
        <f t="shared" si="80"/>
        <v>0</v>
      </c>
      <c r="AF107" s="60">
        <f t="shared" si="80"/>
        <v>0</v>
      </c>
      <c r="AG107" s="88"/>
      <c r="AH107" s="47">
        <f t="shared" si="32"/>
        <v>0</v>
      </c>
      <c r="AI107" s="48">
        <f t="shared" si="33"/>
        <v>0</v>
      </c>
      <c r="AK107" s="50"/>
    </row>
    <row r="108" spans="1:37" ht="15.75" thickBot="1" x14ac:dyDescent="0.3">
      <c r="A108" s="74" t="s">
        <v>107</v>
      </c>
      <c r="B108" s="60">
        <f t="shared" ref="B108:AF108" si="82">B92-B107</f>
        <v>508.6</v>
      </c>
      <c r="C108" s="60">
        <f t="shared" si="82"/>
        <v>495.80000000000007</v>
      </c>
      <c r="D108" s="60">
        <f t="shared" si="82"/>
        <v>507.20000000000005</v>
      </c>
      <c r="E108" s="60">
        <f t="shared" si="82"/>
        <v>531.4</v>
      </c>
      <c r="F108" s="60">
        <f t="shared" si="82"/>
        <v>520.5</v>
      </c>
      <c r="G108" s="60">
        <f t="shared" si="82"/>
        <v>567.04</v>
      </c>
      <c r="H108" s="60">
        <f t="shared" si="82"/>
        <v>571.70000000000005</v>
      </c>
      <c r="I108" s="60">
        <f t="shared" si="82"/>
        <v>569.69999999999993</v>
      </c>
      <c r="J108" s="60">
        <f t="shared" si="82"/>
        <v>620.50000000000011</v>
      </c>
      <c r="K108" s="60">
        <f t="shared" si="82"/>
        <v>368.3</v>
      </c>
      <c r="L108" s="60">
        <f t="shared" si="82"/>
        <v>246.5</v>
      </c>
      <c r="M108" s="60">
        <f t="shared" si="82"/>
        <v>220.3</v>
      </c>
      <c r="N108" s="60">
        <f t="shared" si="82"/>
        <v>279.90000000000003</v>
      </c>
      <c r="O108" s="60">
        <f t="shared" si="82"/>
        <v>341.19999999999993</v>
      </c>
      <c r="P108" s="60">
        <f t="shared" si="82"/>
        <v>576.5</v>
      </c>
      <c r="Q108" s="60">
        <f t="shared" si="82"/>
        <v>700.7</v>
      </c>
      <c r="R108" s="60">
        <f t="shared" si="82"/>
        <v>643.9</v>
      </c>
      <c r="S108" s="60">
        <f t="shared" ref="S108:T108" si="83">S92-S107</f>
        <v>714.29999999999984</v>
      </c>
      <c r="T108" s="60">
        <f t="shared" si="83"/>
        <v>763.6</v>
      </c>
      <c r="U108" s="60">
        <f t="shared" ref="U108:V108" si="84">U92-U107</f>
        <v>612.4</v>
      </c>
      <c r="V108" s="60">
        <f t="shared" si="84"/>
        <v>542.70000000000005</v>
      </c>
      <c r="W108" s="60">
        <f t="shared" ref="W108:Y108" si="85">W92-W107</f>
        <v>475.3</v>
      </c>
      <c r="X108" s="60">
        <f t="shared" si="85"/>
        <v>363.1</v>
      </c>
      <c r="Y108" s="60">
        <f t="shared" si="85"/>
        <v>295.70000000000005</v>
      </c>
      <c r="Z108" s="60">
        <f t="shared" ref="Z108" si="86">Z92-Z107</f>
        <v>258.2</v>
      </c>
      <c r="AA108" s="60">
        <f t="shared" si="82"/>
        <v>238.4</v>
      </c>
      <c r="AB108" s="60">
        <f t="shared" si="82"/>
        <v>356.20000000000005</v>
      </c>
      <c r="AC108" s="60">
        <f t="shared" si="82"/>
        <v>489.4</v>
      </c>
      <c r="AD108" s="60">
        <f t="shared" si="82"/>
        <v>563</v>
      </c>
      <c r="AE108" s="60">
        <f t="shared" si="82"/>
        <v>611.90000000000009</v>
      </c>
      <c r="AF108" s="60">
        <f t="shared" si="82"/>
        <v>605.5</v>
      </c>
      <c r="AG108" s="88"/>
      <c r="AH108" s="47">
        <f t="shared" si="32"/>
        <v>763.6</v>
      </c>
      <c r="AI108" s="48">
        <f t="shared" si="33"/>
        <v>220.3</v>
      </c>
    </row>
    <row r="109" spans="1:37" x14ac:dyDescent="0.25">
      <c r="A109" s="100" t="s">
        <v>108</v>
      </c>
      <c r="B109" s="101">
        <v>50.076000000000001</v>
      </c>
      <c r="C109" s="101">
        <v>50.069000000000003</v>
      </c>
      <c r="D109" s="101">
        <v>50.026000000000003</v>
      </c>
      <c r="E109" s="101">
        <v>50.042999999999999</v>
      </c>
      <c r="F109" s="101">
        <v>50.061999999999998</v>
      </c>
      <c r="G109" s="101">
        <v>50.055999999999997</v>
      </c>
      <c r="H109" s="101">
        <v>49.948</v>
      </c>
      <c r="I109" s="101">
        <v>50.061999999999998</v>
      </c>
      <c r="J109" s="101">
        <v>50.030999999999999</v>
      </c>
      <c r="K109" s="101">
        <v>49.994999999999997</v>
      </c>
      <c r="L109" s="101">
        <v>49.972999999999999</v>
      </c>
      <c r="M109" s="101">
        <v>50.014000000000003</v>
      </c>
      <c r="N109" s="101">
        <v>50.046999999999997</v>
      </c>
      <c r="O109" s="101">
        <v>49.850999999999999</v>
      </c>
      <c r="P109" s="101">
        <v>50.054000000000002</v>
      </c>
      <c r="Q109" s="101">
        <v>50.01</v>
      </c>
      <c r="R109" s="101">
        <v>50.06</v>
      </c>
      <c r="S109" s="101">
        <v>49.84</v>
      </c>
      <c r="T109" s="101">
        <v>49.95</v>
      </c>
      <c r="U109" s="101">
        <v>49.99</v>
      </c>
      <c r="V109" s="101">
        <v>50.05</v>
      </c>
      <c r="W109" s="101">
        <v>50.07</v>
      </c>
      <c r="X109" s="101">
        <v>50.04</v>
      </c>
      <c r="Y109" s="101">
        <v>50.04</v>
      </c>
      <c r="Z109" s="101">
        <v>50.03</v>
      </c>
      <c r="AA109" s="101">
        <v>50.061999999999998</v>
      </c>
      <c r="AB109" s="101">
        <v>50.012</v>
      </c>
      <c r="AC109" s="101">
        <v>49.947000000000003</v>
      </c>
      <c r="AD109" s="101">
        <v>50.018000000000001</v>
      </c>
      <c r="AE109" s="101">
        <v>50.13</v>
      </c>
      <c r="AF109" s="101">
        <v>49.945</v>
      </c>
      <c r="AG109" s="102"/>
      <c r="AH109" s="47">
        <f t="shared" si="32"/>
        <v>50.13</v>
      </c>
      <c r="AI109" s="48">
        <f t="shared" si="33"/>
        <v>49.84</v>
      </c>
    </row>
    <row r="110" spans="1:37" x14ac:dyDescent="0.25">
      <c r="A110" s="103" t="s">
        <v>109</v>
      </c>
      <c r="B110" s="65">
        <v>126.1</v>
      </c>
      <c r="C110" s="65">
        <v>128.19999999999999</v>
      </c>
      <c r="D110" s="65">
        <v>128</v>
      </c>
      <c r="E110" s="65">
        <v>128</v>
      </c>
      <c r="F110" s="65">
        <v>129</v>
      </c>
      <c r="G110" s="65">
        <v>129</v>
      </c>
      <c r="H110" s="65">
        <v>126.9</v>
      </c>
      <c r="I110" s="65">
        <v>126.9</v>
      </c>
      <c r="J110" s="65">
        <v>125.5</v>
      </c>
      <c r="K110" s="65">
        <v>127.8</v>
      </c>
      <c r="L110" s="65">
        <v>125.5</v>
      </c>
      <c r="M110" s="65">
        <v>125.4</v>
      </c>
      <c r="N110" s="65">
        <v>125.8</v>
      </c>
      <c r="O110" s="65">
        <v>126.1</v>
      </c>
      <c r="P110" s="65">
        <v>124.2</v>
      </c>
      <c r="Q110" s="65">
        <v>126.4</v>
      </c>
      <c r="R110" s="65">
        <v>125.8</v>
      </c>
      <c r="S110" s="65">
        <v>125.1</v>
      </c>
      <c r="T110" s="65">
        <v>124.4</v>
      </c>
      <c r="U110" s="65">
        <v>124.7</v>
      </c>
      <c r="V110" s="65">
        <v>128.9</v>
      </c>
      <c r="W110" s="65">
        <v>128.9</v>
      </c>
      <c r="X110" s="65">
        <v>126.5</v>
      </c>
      <c r="Y110" s="65">
        <v>124.4</v>
      </c>
      <c r="Z110" s="65">
        <v>126.1</v>
      </c>
      <c r="AA110" s="65">
        <v>126.6</v>
      </c>
      <c r="AB110" s="65">
        <v>127.4</v>
      </c>
      <c r="AC110" s="65">
        <v>126.8</v>
      </c>
      <c r="AD110" s="65">
        <v>125.4</v>
      </c>
      <c r="AE110" s="65">
        <v>126.5</v>
      </c>
      <c r="AF110" s="65">
        <v>127.6</v>
      </c>
      <c r="AG110" s="104"/>
      <c r="AH110" s="47">
        <f t="shared" si="32"/>
        <v>129</v>
      </c>
      <c r="AI110" s="48">
        <f t="shared" si="33"/>
        <v>124.2</v>
      </c>
    </row>
    <row r="111" spans="1:37" x14ac:dyDescent="0.25">
      <c r="A111" s="103" t="s">
        <v>110</v>
      </c>
      <c r="B111" s="65">
        <v>130.69999999999999</v>
      </c>
      <c r="C111" s="65">
        <v>132.5</v>
      </c>
      <c r="D111" s="65">
        <v>131.80000000000001</v>
      </c>
      <c r="E111" s="65">
        <v>131.80000000000001</v>
      </c>
      <c r="F111" s="65">
        <v>132.9</v>
      </c>
      <c r="G111" s="65">
        <v>132.9</v>
      </c>
      <c r="H111" s="65">
        <v>130.69999999999999</v>
      </c>
      <c r="I111" s="65">
        <v>130.69999999999999</v>
      </c>
      <c r="J111" s="65">
        <v>128</v>
      </c>
      <c r="K111" s="65">
        <v>128.80000000000001</v>
      </c>
      <c r="L111" s="65">
        <v>126</v>
      </c>
      <c r="M111" s="65">
        <v>126.1</v>
      </c>
      <c r="N111" s="65">
        <v>127.6</v>
      </c>
      <c r="O111" s="65">
        <v>127.8</v>
      </c>
      <c r="P111" s="65">
        <v>126.7</v>
      </c>
      <c r="Q111" s="65">
        <v>128.80000000000001</v>
      </c>
      <c r="R111" s="65">
        <v>128.69999999999999</v>
      </c>
      <c r="S111" s="65">
        <v>128.19999999999999</v>
      </c>
      <c r="T111" s="65">
        <v>127.5</v>
      </c>
      <c r="U111" s="65">
        <v>127.9</v>
      </c>
      <c r="V111" s="65">
        <v>130.80000000000001</v>
      </c>
      <c r="W111" s="65">
        <v>130.80000000000001</v>
      </c>
      <c r="X111" s="65">
        <v>128.30000000000001</v>
      </c>
      <c r="Y111" s="65">
        <v>125.8</v>
      </c>
      <c r="Z111" s="65">
        <v>127.3</v>
      </c>
      <c r="AA111" s="65">
        <v>127.8</v>
      </c>
      <c r="AB111" s="65">
        <v>128.80000000000001</v>
      </c>
      <c r="AC111" s="65">
        <v>128.6</v>
      </c>
      <c r="AD111" s="65">
        <v>127.8</v>
      </c>
      <c r="AE111" s="65">
        <v>130.19999999999999</v>
      </c>
      <c r="AF111" s="65">
        <v>131.4</v>
      </c>
      <c r="AG111" s="104"/>
      <c r="AH111" s="47">
        <f t="shared" si="32"/>
        <v>132.9</v>
      </c>
      <c r="AI111" s="48">
        <f t="shared" si="33"/>
        <v>125.8</v>
      </c>
    </row>
    <row r="112" spans="1:37" x14ac:dyDescent="0.25">
      <c r="A112" s="103" t="s">
        <v>111</v>
      </c>
      <c r="B112" s="65">
        <v>128</v>
      </c>
      <c r="C112" s="65">
        <v>129.6</v>
      </c>
      <c r="D112" s="65">
        <v>131.69999999999999</v>
      </c>
      <c r="E112" s="65">
        <v>131.69999999999999</v>
      </c>
      <c r="F112" s="65">
        <v>132</v>
      </c>
      <c r="G112" s="65">
        <v>132</v>
      </c>
      <c r="H112" s="65">
        <v>126.9</v>
      </c>
      <c r="I112" s="65">
        <v>126.9</v>
      </c>
      <c r="J112" s="65">
        <v>127</v>
      </c>
      <c r="K112" s="65">
        <v>131.6</v>
      </c>
      <c r="L112" s="65">
        <v>128</v>
      </c>
      <c r="M112" s="65">
        <v>127.1</v>
      </c>
      <c r="N112" s="65">
        <v>129.6</v>
      </c>
      <c r="O112" s="65">
        <v>129.9</v>
      </c>
      <c r="P112" s="65">
        <v>127.4</v>
      </c>
      <c r="Q112" s="65">
        <v>127.7</v>
      </c>
      <c r="R112" s="65" t="s">
        <v>582</v>
      </c>
      <c r="S112" s="65">
        <v>125.8</v>
      </c>
      <c r="T112" s="65">
        <v>127.6</v>
      </c>
      <c r="U112" s="65">
        <v>128.19999999999999</v>
      </c>
      <c r="V112" s="65">
        <v>131.80000000000001</v>
      </c>
      <c r="W112" s="65">
        <v>131.80000000000001</v>
      </c>
      <c r="X112" s="65">
        <v>126.7</v>
      </c>
      <c r="Y112" s="65">
        <v>128</v>
      </c>
      <c r="Z112" s="65">
        <v>129.30000000000001</v>
      </c>
      <c r="AA112" s="65">
        <v>130</v>
      </c>
      <c r="AB112" s="65">
        <v>130.6</v>
      </c>
      <c r="AC112" s="65">
        <v>132</v>
      </c>
      <c r="AD112" s="65">
        <v>126.9</v>
      </c>
      <c r="AE112" s="65">
        <v>130</v>
      </c>
      <c r="AF112" s="65">
        <v>128.5</v>
      </c>
      <c r="AG112" s="104"/>
      <c r="AH112" s="47">
        <f t="shared" si="32"/>
        <v>132</v>
      </c>
      <c r="AI112" s="48">
        <f t="shared" si="33"/>
        <v>125.8</v>
      </c>
    </row>
    <row r="113" spans="1:35" x14ac:dyDescent="0.25">
      <c r="A113" s="105" t="s">
        <v>112</v>
      </c>
      <c r="B113" s="65">
        <v>130.4</v>
      </c>
      <c r="C113" s="65">
        <v>131.4</v>
      </c>
      <c r="D113" s="65">
        <v>134.1</v>
      </c>
      <c r="E113" s="65">
        <v>134.1</v>
      </c>
      <c r="F113" s="65">
        <v>134</v>
      </c>
      <c r="G113" s="65">
        <v>134</v>
      </c>
      <c r="H113" s="65">
        <v>128.4</v>
      </c>
      <c r="I113" s="65">
        <v>128.4</v>
      </c>
      <c r="J113" s="65">
        <v>129</v>
      </c>
      <c r="K113" s="65">
        <v>132</v>
      </c>
      <c r="L113" s="65">
        <v>128</v>
      </c>
      <c r="M113" s="65">
        <v>126.7</v>
      </c>
      <c r="N113" s="65">
        <v>129.1</v>
      </c>
      <c r="O113" s="65">
        <v>129.6</v>
      </c>
      <c r="P113" s="65">
        <v>127.7</v>
      </c>
      <c r="Q113" s="65">
        <v>129</v>
      </c>
      <c r="R113" s="65">
        <v>130.19999999999999</v>
      </c>
      <c r="S113" s="65">
        <v>127.4</v>
      </c>
      <c r="T113" s="65">
        <v>127.4</v>
      </c>
      <c r="U113" s="65">
        <v>128.80000000000001</v>
      </c>
      <c r="V113" s="65">
        <v>131.69999999999999</v>
      </c>
      <c r="W113" s="65">
        <v>131.69999999999999</v>
      </c>
      <c r="X113" s="65">
        <v>125.9</v>
      </c>
      <c r="Y113" s="65">
        <v>127.4</v>
      </c>
      <c r="Z113" s="65">
        <v>130</v>
      </c>
      <c r="AA113" s="65">
        <v>132.5</v>
      </c>
      <c r="AB113" s="65">
        <v>133.6</v>
      </c>
      <c r="AC113" s="65">
        <v>134.30000000000001</v>
      </c>
      <c r="AD113" s="65">
        <v>129</v>
      </c>
      <c r="AE113" s="65">
        <v>132.1</v>
      </c>
      <c r="AF113" s="65">
        <v>131.5</v>
      </c>
      <c r="AG113" s="104"/>
      <c r="AH113" s="47">
        <f t="shared" si="32"/>
        <v>134.30000000000001</v>
      </c>
      <c r="AI113" s="48">
        <f t="shared" si="33"/>
        <v>125.9</v>
      </c>
    </row>
    <row r="114" spans="1:35" x14ac:dyDescent="0.25">
      <c r="A114" s="105" t="s">
        <v>113</v>
      </c>
      <c r="B114" s="106">
        <v>125.4</v>
      </c>
      <c r="C114" s="106">
        <v>131.4</v>
      </c>
      <c r="D114" s="106">
        <v>128</v>
      </c>
      <c r="E114" s="106">
        <v>128</v>
      </c>
      <c r="F114" s="106">
        <v>131</v>
      </c>
      <c r="G114" s="106">
        <v>131</v>
      </c>
      <c r="H114" s="106">
        <v>133</v>
      </c>
      <c r="I114" s="106">
        <v>133</v>
      </c>
      <c r="J114" s="106">
        <v>133.6</v>
      </c>
      <c r="K114" s="106">
        <v>133</v>
      </c>
      <c r="L114" s="106">
        <v>132.9</v>
      </c>
      <c r="M114" s="106">
        <v>133.30000000000001</v>
      </c>
      <c r="N114" s="106">
        <v>133.6</v>
      </c>
      <c r="O114" s="106">
        <v>132</v>
      </c>
      <c r="P114" s="106">
        <v>131.5</v>
      </c>
      <c r="Q114" s="106">
        <v>136.4</v>
      </c>
      <c r="R114" s="106">
        <v>135.9</v>
      </c>
      <c r="S114" s="106">
        <v>135.19999999999999</v>
      </c>
      <c r="T114" s="106">
        <v>135.19999999999999</v>
      </c>
      <c r="U114" s="106">
        <v>134.5</v>
      </c>
      <c r="V114" s="106">
        <v>136.1</v>
      </c>
      <c r="W114" s="106">
        <v>136.1</v>
      </c>
      <c r="X114" s="106">
        <v>135</v>
      </c>
      <c r="Y114" s="106">
        <v>133.69999999999999</v>
      </c>
      <c r="Z114" s="106">
        <v>135.69999999999999</v>
      </c>
      <c r="AA114" s="106">
        <v>131.19999999999999</v>
      </c>
      <c r="AB114" s="106">
        <v>135.5</v>
      </c>
      <c r="AC114" s="106">
        <v>135</v>
      </c>
      <c r="AD114" s="106">
        <v>134</v>
      </c>
      <c r="AE114" s="106">
        <v>135.30000000000001</v>
      </c>
      <c r="AF114" s="106">
        <v>133.80000000000001</v>
      </c>
      <c r="AG114" s="107"/>
      <c r="AH114" s="47">
        <f t="shared" si="32"/>
        <v>136.4</v>
      </c>
      <c r="AI114" s="48">
        <f t="shared" si="33"/>
        <v>125.4</v>
      </c>
    </row>
    <row r="115" spans="1:35" x14ac:dyDescent="0.25">
      <c r="A115" s="103" t="s">
        <v>114</v>
      </c>
      <c r="B115" s="65">
        <v>128.5</v>
      </c>
      <c r="C115" s="65">
        <v>131.19999999999999</v>
      </c>
      <c r="D115" s="65">
        <v>131.80000000000001</v>
      </c>
      <c r="E115" s="65">
        <v>131.80000000000001</v>
      </c>
      <c r="F115" s="65">
        <v>132.9</v>
      </c>
      <c r="G115" s="65">
        <v>132.9</v>
      </c>
      <c r="H115" s="65">
        <v>130</v>
      </c>
      <c r="I115" s="65">
        <v>130</v>
      </c>
      <c r="J115" s="65">
        <v>126.8</v>
      </c>
      <c r="K115" s="65">
        <v>130.5</v>
      </c>
      <c r="L115" s="65">
        <v>131.69999999999999</v>
      </c>
      <c r="M115" s="65">
        <v>132.9</v>
      </c>
      <c r="N115" s="65">
        <v>134.69999999999999</v>
      </c>
      <c r="O115" s="65">
        <v>135</v>
      </c>
      <c r="P115" s="65">
        <v>132.19999999999999</v>
      </c>
      <c r="Q115" s="65">
        <v>133.30000000000001</v>
      </c>
      <c r="R115" s="65">
        <v>130.5</v>
      </c>
      <c r="S115" s="65">
        <v>132.19999999999999</v>
      </c>
      <c r="T115" s="65">
        <v>132.19999999999999</v>
      </c>
      <c r="U115" s="65">
        <v>133.1</v>
      </c>
      <c r="V115" s="65">
        <v>132.19999999999999</v>
      </c>
      <c r="W115" s="65">
        <v>132.19999999999999</v>
      </c>
      <c r="X115" s="65">
        <v>132</v>
      </c>
      <c r="Y115" s="65">
        <v>130.5</v>
      </c>
      <c r="Z115" s="65">
        <v>128.80000000000001</v>
      </c>
      <c r="AA115" s="65">
        <v>131.19999999999999</v>
      </c>
      <c r="AB115" s="65">
        <v>133.80000000000001</v>
      </c>
      <c r="AC115" s="65">
        <v>134.4</v>
      </c>
      <c r="AD115" s="65">
        <v>134.69999999999999</v>
      </c>
      <c r="AE115" s="65">
        <v>133.4</v>
      </c>
      <c r="AF115" s="65">
        <v>131.9</v>
      </c>
      <c r="AG115" s="104"/>
      <c r="AH115" s="47">
        <f t="shared" si="32"/>
        <v>135</v>
      </c>
      <c r="AI115" s="48">
        <f t="shared" si="33"/>
        <v>126.8</v>
      </c>
    </row>
    <row r="116" spans="1:35" ht="15.75" thickBot="1" x14ac:dyDescent="0.3">
      <c r="A116" s="103" t="s">
        <v>115</v>
      </c>
      <c r="B116" s="92">
        <v>65.8</v>
      </c>
      <c r="C116" s="92">
        <v>66.7</v>
      </c>
      <c r="D116" s="92">
        <v>66.5</v>
      </c>
      <c r="E116" s="92">
        <v>66.5</v>
      </c>
      <c r="F116" s="92">
        <v>66.849999999999994</v>
      </c>
      <c r="G116" s="92">
        <v>66.849999999999994</v>
      </c>
      <c r="H116" s="92">
        <v>65.7</v>
      </c>
      <c r="I116" s="92">
        <v>65.7</v>
      </c>
      <c r="J116" s="92">
        <v>64.400000000000006</v>
      </c>
      <c r="K116" s="92">
        <v>65</v>
      </c>
      <c r="L116" s="92">
        <v>63.6</v>
      </c>
      <c r="M116" s="92">
        <v>63.5</v>
      </c>
      <c r="N116" s="92">
        <v>64.2</v>
      </c>
      <c r="O116" s="92">
        <v>64.3</v>
      </c>
      <c r="P116" s="92">
        <v>63.7</v>
      </c>
      <c r="Q116" s="92">
        <v>64.5</v>
      </c>
      <c r="R116" s="92">
        <v>64.8</v>
      </c>
      <c r="S116" s="92">
        <v>64.5</v>
      </c>
      <c r="T116" s="92">
        <v>64.5</v>
      </c>
      <c r="U116" s="92">
        <v>64.5</v>
      </c>
      <c r="V116" s="92">
        <v>66.099999999999994</v>
      </c>
      <c r="W116" s="92">
        <v>66.099999999999994</v>
      </c>
      <c r="X116" s="92">
        <v>64.7</v>
      </c>
      <c r="Y116" s="92">
        <v>63.4</v>
      </c>
      <c r="Z116" s="92">
        <v>64.3</v>
      </c>
      <c r="AA116" s="92">
        <v>64.3</v>
      </c>
      <c r="AB116" s="92">
        <v>64.900000000000006</v>
      </c>
      <c r="AC116" s="92">
        <v>64.7</v>
      </c>
      <c r="AD116" s="92">
        <v>64.3</v>
      </c>
      <c r="AE116" s="92">
        <v>65.5</v>
      </c>
      <c r="AF116" s="92">
        <v>66.099999999999994</v>
      </c>
      <c r="AG116" s="108"/>
      <c r="AH116" s="47">
        <f t="shared" si="32"/>
        <v>66.849999999999994</v>
      </c>
      <c r="AI116" s="48">
        <f t="shared" si="33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2"/>
        <v>0</v>
      </c>
      <c r="AI117" s="48">
        <f t="shared" si="33"/>
        <v>0</v>
      </c>
    </row>
    <row r="118" spans="1:35" ht="15.75" thickBot="1" x14ac:dyDescent="0.3">
      <c r="A118" s="110" t="s">
        <v>117</v>
      </c>
      <c r="B118" s="111">
        <f t="shared" ref="B118:O118" si="87">SUM(B22,B28,B31:B32,B66,B68:B69,B71,B73,B119:B123,B155,B161,B167,B176,B178,B190,B197,B200:B201,B208,B210,B212,B216:B218,B220:B222,B227,B233:B234,B236:B238,B246,B251)</f>
        <v>156.02799999999999</v>
      </c>
      <c r="C118" s="111">
        <f t="shared" si="87"/>
        <v>143.01399999999998</v>
      </c>
      <c r="D118" s="111">
        <f t="shared" si="87"/>
        <v>134.559</v>
      </c>
      <c r="E118" s="111">
        <f t="shared" si="87"/>
        <v>124.43999999999998</v>
      </c>
      <c r="F118" s="111">
        <f t="shared" si="87"/>
        <v>133.34</v>
      </c>
      <c r="G118" s="111">
        <f t="shared" si="87"/>
        <v>172.54000000000002</v>
      </c>
      <c r="H118" s="111">
        <f t="shared" si="87"/>
        <v>208.54000000000002</v>
      </c>
      <c r="I118" s="111">
        <f t="shared" si="87"/>
        <v>243.84</v>
      </c>
      <c r="J118" s="111">
        <f t="shared" si="87"/>
        <v>307.74</v>
      </c>
      <c r="K118" s="111">
        <f t="shared" si="87"/>
        <v>361.48</v>
      </c>
      <c r="L118" s="111">
        <f t="shared" si="87"/>
        <v>409.14</v>
      </c>
      <c r="M118" s="111">
        <f t="shared" si="87"/>
        <v>401.5800000000001</v>
      </c>
      <c r="N118" s="111">
        <f t="shared" si="87"/>
        <v>373.26</v>
      </c>
      <c r="O118" s="111">
        <f t="shared" si="87"/>
        <v>365.18</v>
      </c>
      <c r="P118" s="111">
        <v>42</v>
      </c>
      <c r="Q118" s="111">
        <f t="shared" ref="Q118:AF118" si="88">SUM(Q22,Q28,Q31:Q32,Q66,Q68:Q69,Q71,Q73,Q119:Q123,Q155,Q161,Q167,Q176,Q178,Q190,Q197,Q200:Q201,Q208,Q210,Q212,Q216:Q218,Q220:Q222,Q227,Q233:Q234,Q236:Q238,Q246,Q251)</f>
        <v>298.33999999999997</v>
      </c>
      <c r="R118" s="111">
        <f t="shared" si="88"/>
        <v>301.68000000000006</v>
      </c>
      <c r="S118" s="111">
        <f t="shared" ref="S118:T118" si="89">SUM(S22,S28,S31:S32,S66,S68:S69,S71,S73,S119:S123,S155,S161,S167,S176,S178,S190,S197,S200:S201,S208,S210,S212,S216:S218,S220:S222,S227,S233:S234,S236:S238,S246,S251)</f>
        <v>290.68</v>
      </c>
      <c r="T118" s="111">
        <f t="shared" si="89"/>
        <v>296.36</v>
      </c>
      <c r="U118" s="111">
        <f t="shared" ref="U118:V118" si="90">SUM(U22,U28,U31:U32,U66,U68:U69,U71,U73,U119:U123,U155,U161,U167,U176,U178,U190,U197,U200:U201,U208,U210,U212,U216:U218,U220:U222,U227,U233:U234,U236:U238,U246,U251)</f>
        <v>306.97999999999996</v>
      </c>
      <c r="V118" s="111">
        <f t="shared" si="90"/>
        <v>314.94</v>
      </c>
      <c r="W118" s="111">
        <f t="shared" ref="W118:Y118" si="91">SUM(W22,W28,W31:W32,W66,W68:W69,W71,W73,W119:W123,W155,W161,W167,W176,W178,W190,W197,W200:W201,W208,W210,W212,W216:W218,W220:W222,W227,W233:W234,W236:W238,W246,W251)</f>
        <v>326.35999999999996</v>
      </c>
      <c r="X118" s="111">
        <f t="shared" si="91"/>
        <v>379.98000000000008</v>
      </c>
      <c r="Y118" s="111">
        <f t="shared" si="91"/>
        <v>437.46</v>
      </c>
      <c r="Z118" s="111">
        <f t="shared" ref="Z118" si="92">SUM(Z22,Z28,Z31:Z32,Z66,Z68:Z69,Z71,Z73,Z119:Z123,Z155,Z161,Z167,Z176,Z178,Z190,Z197,Z200:Z201,Z208,Z210,Z212,Z216:Z218,Z220:Z222,Z227,Z233:Z234,Z236:Z238,Z246,Z251)</f>
        <v>435.82</v>
      </c>
      <c r="AA118" s="111">
        <f t="shared" si="88"/>
        <v>417.47300000000001</v>
      </c>
      <c r="AB118" s="111">
        <f t="shared" si="88"/>
        <v>398.89999999999992</v>
      </c>
      <c r="AC118" s="111">
        <f t="shared" si="88"/>
        <v>359.04</v>
      </c>
      <c r="AD118" s="111">
        <f t="shared" si="88"/>
        <v>315.04000000000002</v>
      </c>
      <c r="AE118" s="111">
        <f t="shared" si="88"/>
        <v>243.73999999999998</v>
      </c>
      <c r="AF118" s="111">
        <f t="shared" si="88"/>
        <v>207.94</v>
      </c>
      <c r="AG118" s="112"/>
      <c r="AH118" s="47">
        <f t="shared" si="32"/>
        <v>437.46</v>
      </c>
      <c r="AI118" s="48">
        <f t="shared" si="33"/>
        <v>42</v>
      </c>
    </row>
    <row r="119" spans="1:35" x14ac:dyDescent="0.25">
      <c r="A119" s="172" t="s">
        <v>118</v>
      </c>
      <c r="B119" s="113">
        <v>-1.9</v>
      </c>
      <c r="C119" s="113">
        <v>-1.6</v>
      </c>
      <c r="D119" s="113">
        <v>-4.8</v>
      </c>
      <c r="E119" s="113">
        <v>-12.9</v>
      </c>
      <c r="F119" s="113">
        <v>-9.9</v>
      </c>
      <c r="G119" s="113">
        <v>1.4</v>
      </c>
      <c r="H119" s="113">
        <v>5</v>
      </c>
      <c r="I119" s="113">
        <v>12.2</v>
      </c>
      <c r="J119" s="113">
        <v>37.200000000000003</v>
      </c>
      <c r="K119" s="113">
        <v>32.6</v>
      </c>
      <c r="L119" s="113">
        <v>40.9</v>
      </c>
      <c r="M119" s="113">
        <v>46.4</v>
      </c>
      <c r="N119" s="113">
        <v>46.6</v>
      </c>
      <c r="O119" s="113">
        <v>44.7</v>
      </c>
      <c r="P119" s="113">
        <v>37</v>
      </c>
      <c r="Q119" s="113">
        <v>33.1</v>
      </c>
      <c r="R119" s="113">
        <v>32.9</v>
      </c>
      <c r="S119" s="113">
        <v>33.299999999999997</v>
      </c>
      <c r="T119" s="113">
        <v>19.7</v>
      </c>
      <c r="U119" s="113">
        <v>47.3</v>
      </c>
      <c r="V119" s="113">
        <v>39.1</v>
      </c>
      <c r="W119" s="113">
        <v>30.2</v>
      </c>
      <c r="X119" s="113">
        <v>45.9</v>
      </c>
      <c r="Y119" s="113">
        <v>57</v>
      </c>
      <c r="Z119" s="113">
        <v>56.2</v>
      </c>
      <c r="AA119" s="113">
        <v>53</v>
      </c>
      <c r="AB119" s="113">
        <v>52.9</v>
      </c>
      <c r="AC119" s="113">
        <v>35.799999999999997</v>
      </c>
      <c r="AD119" s="113">
        <v>34.5</v>
      </c>
      <c r="AE119" s="113">
        <v>30.4</v>
      </c>
      <c r="AF119" s="113">
        <v>14</v>
      </c>
      <c r="AG119" s="114">
        <v>75</v>
      </c>
      <c r="AH119" s="47">
        <f t="shared" si="32"/>
        <v>57</v>
      </c>
      <c r="AI119" s="48">
        <f t="shared" si="33"/>
        <v>-12.9</v>
      </c>
    </row>
    <row r="120" spans="1:35" x14ac:dyDescent="0.25">
      <c r="A120" s="173" t="s">
        <v>119</v>
      </c>
      <c r="B120" s="115">
        <v>-4</v>
      </c>
      <c r="C120" s="115">
        <v>-4.5</v>
      </c>
      <c r="D120" s="115">
        <v>-9.1999999999999993</v>
      </c>
      <c r="E120" s="115">
        <v>-19</v>
      </c>
      <c r="F120" s="115">
        <v>-14.7</v>
      </c>
      <c r="G120" s="115">
        <v>0.8</v>
      </c>
      <c r="H120" s="115">
        <v>7.4</v>
      </c>
      <c r="I120" s="115">
        <v>16.7</v>
      </c>
      <c r="J120" s="115">
        <v>49.7</v>
      </c>
      <c r="K120" s="115">
        <v>46.74</v>
      </c>
      <c r="L120" s="115">
        <v>55.8</v>
      </c>
      <c r="M120" s="115">
        <v>63.4</v>
      </c>
      <c r="N120" s="115">
        <v>64.3</v>
      </c>
      <c r="O120" s="115">
        <v>62.4</v>
      </c>
      <c r="P120" s="115">
        <v>49</v>
      </c>
      <c r="Q120" s="115">
        <v>42.7</v>
      </c>
      <c r="R120" s="115">
        <v>42.5</v>
      </c>
      <c r="S120" s="115">
        <v>44.2</v>
      </c>
      <c r="T120" s="115">
        <v>22.8</v>
      </c>
      <c r="U120" s="115">
        <v>62.4</v>
      </c>
      <c r="V120" s="115">
        <v>54.5</v>
      </c>
      <c r="W120" s="115">
        <v>43</v>
      </c>
      <c r="X120" s="115">
        <v>63.2</v>
      </c>
      <c r="Y120" s="115">
        <v>78.7</v>
      </c>
      <c r="Z120" s="115">
        <v>76.8</v>
      </c>
      <c r="AA120" s="115">
        <v>72.400000000000006</v>
      </c>
      <c r="AB120" s="115">
        <v>70.8</v>
      </c>
      <c r="AC120" s="115">
        <v>48.6</v>
      </c>
      <c r="AD120" s="115">
        <v>42.9</v>
      </c>
      <c r="AE120" s="115">
        <v>40</v>
      </c>
      <c r="AF120" s="115">
        <v>17.3</v>
      </c>
      <c r="AG120" s="114">
        <v>240</v>
      </c>
      <c r="AH120" s="47">
        <f t="shared" si="32"/>
        <v>78.7</v>
      </c>
      <c r="AI120" s="48">
        <f t="shared" si="33"/>
        <v>-19</v>
      </c>
    </row>
    <row r="121" spans="1:35" x14ac:dyDescent="0.25">
      <c r="A121" s="173" t="s">
        <v>120</v>
      </c>
      <c r="B121" s="115">
        <v>-36</v>
      </c>
      <c r="C121" s="115">
        <v>-38</v>
      </c>
      <c r="D121" s="115">
        <v>-40.5</v>
      </c>
      <c r="E121" s="115">
        <v>-34.4</v>
      </c>
      <c r="F121" s="115">
        <v>-33.799999999999997</v>
      </c>
      <c r="G121" s="115">
        <v>-33.4</v>
      </c>
      <c r="H121" s="115">
        <v>-24.8</v>
      </c>
      <c r="I121" s="115">
        <v>-14</v>
      </c>
      <c r="J121" s="115">
        <v>-4.8</v>
      </c>
      <c r="K121" s="115">
        <v>25</v>
      </c>
      <c r="L121" s="115">
        <v>40</v>
      </c>
      <c r="M121" s="115">
        <f>15.7+18.5</f>
        <v>34.200000000000003</v>
      </c>
      <c r="N121" s="115">
        <f>11.2+12.8</f>
        <v>24</v>
      </c>
      <c r="O121" s="115">
        <f>11.2+13.4</f>
        <v>24.6</v>
      </c>
      <c r="P121" s="115">
        <f>11.4+13.4</f>
        <v>24.8</v>
      </c>
      <c r="Q121" s="115">
        <f>-8-10.5</f>
        <v>-18.5</v>
      </c>
      <c r="R121" s="115">
        <f>5+5.8</f>
        <v>10.8</v>
      </c>
      <c r="S121" s="115">
        <v>7.3</v>
      </c>
      <c r="T121" s="115">
        <v>16.399999999999999</v>
      </c>
      <c r="U121" s="115">
        <v>-9.8000000000000007</v>
      </c>
      <c r="V121" s="115">
        <v>17</v>
      </c>
      <c r="W121" s="115">
        <v>33.1</v>
      </c>
      <c r="X121" s="115">
        <v>34.299999999999997</v>
      </c>
      <c r="Y121" s="115">
        <v>43.5</v>
      </c>
      <c r="Z121" s="115">
        <v>43.9</v>
      </c>
      <c r="AA121" s="115">
        <v>34</v>
      </c>
      <c r="AB121" s="115">
        <v>29.5</v>
      </c>
      <c r="AC121" s="115">
        <v>33</v>
      </c>
      <c r="AD121" s="115">
        <v>18</v>
      </c>
      <c r="AE121" s="115">
        <v>-15</v>
      </c>
      <c r="AF121" s="115">
        <v>-10</v>
      </c>
      <c r="AG121" s="114">
        <v>240</v>
      </c>
      <c r="AH121" s="47">
        <f t="shared" si="32"/>
        <v>43.9</v>
      </c>
      <c r="AI121" s="48">
        <f t="shared" si="33"/>
        <v>-40.5</v>
      </c>
    </row>
    <row r="122" spans="1:35" ht="15.75" thickBot="1" x14ac:dyDescent="0.3">
      <c r="A122" s="173" t="s">
        <v>121</v>
      </c>
      <c r="B122" s="115">
        <v>-7.2</v>
      </c>
      <c r="C122" s="115">
        <v>-8.6999999999999993</v>
      </c>
      <c r="D122" s="115">
        <v>-12.8</v>
      </c>
      <c r="E122" s="115">
        <v>-13.2</v>
      </c>
      <c r="F122" s="115">
        <v>-9.4</v>
      </c>
      <c r="G122" s="115">
        <v>-7.4</v>
      </c>
      <c r="H122" s="115">
        <v>-10.199999999999999</v>
      </c>
      <c r="I122" s="115">
        <v>-5.2</v>
      </c>
      <c r="J122" s="115">
        <v>1.5</v>
      </c>
      <c r="K122" s="115">
        <v>17.399999999999999</v>
      </c>
      <c r="L122" s="115">
        <v>21.8</v>
      </c>
      <c r="M122" s="115">
        <v>21.8</v>
      </c>
      <c r="N122" s="115">
        <v>17.899999999999999</v>
      </c>
      <c r="O122" s="115">
        <v>19.399999999999999</v>
      </c>
      <c r="P122" s="115">
        <v>9.3000000000000007</v>
      </c>
      <c r="Q122" s="115">
        <v>8.1999999999999993</v>
      </c>
      <c r="R122" s="115">
        <v>4.3</v>
      </c>
      <c r="S122" s="115">
        <v>1.9</v>
      </c>
      <c r="T122" s="115">
        <v>5.6</v>
      </c>
      <c r="U122" s="115">
        <v>3</v>
      </c>
      <c r="V122" s="115">
        <v>13.7</v>
      </c>
      <c r="W122" s="115">
        <v>19.2</v>
      </c>
      <c r="X122" s="115">
        <v>21.8</v>
      </c>
      <c r="Y122" s="115">
        <v>24.6</v>
      </c>
      <c r="Z122" s="115">
        <v>25.9</v>
      </c>
      <c r="AA122" s="115">
        <v>24.2</v>
      </c>
      <c r="AB122" s="115">
        <v>22.4</v>
      </c>
      <c r="AC122" s="115">
        <v>22</v>
      </c>
      <c r="AD122" s="115">
        <v>10</v>
      </c>
      <c r="AE122" s="115">
        <v>-1.3</v>
      </c>
      <c r="AF122" s="115">
        <v>-3</v>
      </c>
      <c r="AG122" s="114">
        <v>60</v>
      </c>
      <c r="AH122" s="47">
        <f t="shared" si="32"/>
        <v>25.9</v>
      </c>
      <c r="AI122" s="48">
        <f t="shared" si="33"/>
        <v>-13.2</v>
      </c>
    </row>
    <row r="123" spans="1:35" x14ac:dyDescent="0.25">
      <c r="A123" s="172" t="s">
        <v>259</v>
      </c>
      <c r="B123" s="117">
        <f>66.4*1.67</f>
        <v>110.88800000000001</v>
      </c>
      <c r="C123" s="117">
        <f>62.2*1.67</f>
        <v>103.874</v>
      </c>
      <c r="D123" s="117">
        <f>65.7*1.67</f>
        <v>109.71899999999999</v>
      </c>
      <c r="E123" s="117">
        <v>112</v>
      </c>
      <c r="F123" s="117">
        <v>110</v>
      </c>
      <c r="G123" s="117">
        <v>120</v>
      </c>
      <c r="H123" s="117">
        <v>140</v>
      </c>
      <c r="I123" s="117">
        <v>143</v>
      </c>
      <c r="J123" s="117">
        <v>133</v>
      </c>
      <c r="K123" s="117">
        <v>150</v>
      </c>
      <c r="L123" s="117">
        <v>160</v>
      </c>
      <c r="M123" s="117">
        <f>88.4*1.6</f>
        <v>141.44000000000003</v>
      </c>
      <c r="N123" s="117">
        <f>73*1.64</f>
        <v>119.72</v>
      </c>
      <c r="O123" s="117">
        <f>66*1.64</f>
        <v>108.24</v>
      </c>
      <c r="P123" s="117">
        <f>75*1.64</f>
        <v>122.99999999999999</v>
      </c>
      <c r="Q123" s="117">
        <f>75*1.64</f>
        <v>122.99999999999999</v>
      </c>
      <c r="R123" s="117">
        <f>67.4*1.6</f>
        <v>107.84000000000002</v>
      </c>
      <c r="S123" s="117">
        <f>64.9*1.6</f>
        <v>103.84000000000002</v>
      </c>
      <c r="T123" s="117">
        <f>84.7*1.6</f>
        <v>135.52000000000001</v>
      </c>
      <c r="U123" s="117">
        <f>68.9*1.6</f>
        <v>110.24000000000001</v>
      </c>
      <c r="V123" s="117">
        <f>64*1.6</f>
        <v>102.4</v>
      </c>
      <c r="W123" s="117">
        <f>71.2*1.6</f>
        <v>113.92000000000002</v>
      </c>
      <c r="X123" s="117">
        <f>79.9*1.6</f>
        <v>127.84000000000002</v>
      </c>
      <c r="Y123" s="117">
        <f>91.7*1.6</f>
        <v>146.72</v>
      </c>
      <c r="Z123" s="117">
        <f>91.3*1.6</f>
        <v>146.08000000000001</v>
      </c>
      <c r="AA123" s="117">
        <f>89.1*1.63</f>
        <v>145.23299999999998</v>
      </c>
      <c r="AB123" s="117">
        <f>1.64*81.5</f>
        <v>133.66</v>
      </c>
      <c r="AC123" s="117">
        <v>130</v>
      </c>
      <c r="AD123" s="117">
        <v>120</v>
      </c>
      <c r="AE123" s="117">
        <v>100</v>
      </c>
      <c r="AF123" s="117">
        <v>100</v>
      </c>
      <c r="AG123" s="118">
        <v>120</v>
      </c>
      <c r="AH123" s="47">
        <f t="shared" si="32"/>
        <v>160</v>
      </c>
      <c r="AI123" s="48">
        <f t="shared" si="33"/>
        <v>100</v>
      </c>
    </row>
    <row r="124" spans="1:35" x14ac:dyDescent="0.25">
      <c r="A124" s="173" t="s">
        <v>258</v>
      </c>
      <c r="B124" s="117">
        <v>78.400000000000006</v>
      </c>
      <c r="C124" s="117">
        <v>76.7</v>
      </c>
      <c r="D124" s="117">
        <v>76.599999999999994</v>
      </c>
      <c r="E124" s="117">
        <v>85.9</v>
      </c>
      <c r="F124" s="117">
        <v>84.2</v>
      </c>
      <c r="G124" s="117">
        <v>79.5</v>
      </c>
      <c r="H124" s="117">
        <v>93.4</v>
      </c>
      <c r="I124" s="117">
        <v>95.7</v>
      </c>
      <c r="J124" s="117">
        <v>92</v>
      </c>
      <c r="K124" s="117">
        <v>98.1</v>
      </c>
      <c r="L124" s="117">
        <v>103.2</v>
      </c>
      <c r="M124" s="117">
        <v>95.6</v>
      </c>
      <c r="N124" s="117">
        <v>82.6</v>
      </c>
      <c r="O124" s="117">
        <v>77</v>
      </c>
      <c r="P124" s="117">
        <v>81.2</v>
      </c>
      <c r="Q124" s="117">
        <v>82.9</v>
      </c>
      <c r="R124" s="117">
        <v>78.8</v>
      </c>
      <c r="S124" s="117">
        <v>76.099999999999994</v>
      </c>
      <c r="T124" s="117">
        <v>91.6</v>
      </c>
      <c r="U124" s="117">
        <v>78.599999999999994</v>
      </c>
      <c r="V124" s="117">
        <v>76.099999999999994</v>
      </c>
      <c r="W124" s="117">
        <v>82.5</v>
      </c>
      <c r="X124" s="117">
        <v>87.8</v>
      </c>
      <c r="Y124" s="117">
        <v>97.8</v>
      </c>
      <c r="Z124" s="117">
        <v>97.1</v>
      </c>
      <c r="AA124" s="117">
        <v>96.7</v>
      </c>
      <c r="AB124" s="117">
        <v>90.4</v>
      </c>
      <c r="AC124" s="117">
        <v>98</v>
      </c>
      <c r="AD124" s="117">
        <v>97</v>
      </c>
      <c r="AE124" s="117">
        <v>81</v>
      </c>
      <c r="AF124" s="117">
        <v>80</v>
      </c>
      <c r="AG124" s="118"/>
      <c r="AH124" s="47"/>
      <c r="AI124" s="48"/>
    </row>
    <row r="125" spans="1:35" x14ac:dyDescent="0.25">
      <c r="A125" s="173" t="s">
        <v>255</v>
      </c>
      <c r="B125" s="117">
        <v>55.7</v>
      </c>
      <c r="C125" s="117">
        <v>59.8</v>
      </c>
      <c r="D125" s="117">
        <v>64</v>
      </c>
      <c r="E125" s="117">
        <v>76</v>
      </c>
      <c r="F125" s="117">
        <v>75.5</v>
      </c>
      <c r="G125" s="117">
        <v>54.1</v>
      </c>
      <c r="H125" s="117">
        <v>54.8</v>
      </c>
      <c r="I125" s="117">
        <v>39.4</v>
      </c>
      <c r="J125" s="117">
        <v>-11.5</v>
      </c>
      <c r="K125" s="117">
        <v>-20.3</v>
      </c>
      <c r="L125" s="117">
        <v>-32</v>
      </c>
      <c r="M125" s="117">
        <v>39.200000000000003</v>
      </c>
      <c r="N125" s="117">
        <v>-37.700000000000003</v>
      </c>
      <c r="O125" s="117">
        <v>-38.9</v>
      </c>
      <c r="P125" s="117">
        <v>-16.7</v>
      </c>
      <c r="Q125" s="117">
        <v>-7</v>
      </c>
      <c r="R125" s="117">
        <v>-3.8</v>
      </c>
      <c r="S125" s="117">
        <v>-7.5</v>
      </c>
      <c r="T125" s="117">
        <v>16.5</v>
      </c>
      <c r="U125" s="117">
        <v>-11.6</v>
      </c>
      <c r="V125" s="117">
        <v>-28.5</v>
      </c>
      <c r="W125" s="117">
        <v>-25.3</v>
      </c>
      <c r="X125" s="117">
        <v>-45.5</v>
      </c>
      <c r="Y125" s="117">
        <v>-62.5</v>
      </c>
      <c r="Z125" s="117">
        <v>-62.1</v>
      </c>
      <c r="AA125" s="117">
        <v>-52.3</v>
      </c>
      <c r="AB125" s="117">
        <v>-45.8</v>
      </c>
      <c r="AC125" s="117">
        <v>-26</v>
      </c>
      <c r="AD125" s="117">
        <v>-5</v>
      </c>
      <c r="AE125" s="117">
        <v>-5</v>
      </c>
      <c r="AF125" s="117">
        <v>30.6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93</v>
      </c>
      <c r="C126" s="117">
        <v>91.8</v>
      </c>
      <c r="D126" s="117">
        <v>90.8</v>
      </c>
      <c r="E126" s="117">
        <v>104</v>
      </c>
      <c r="F126" s="117">
        <v>99.3</v>
      </c>
      <c r="G126" s="117">
        <v>98.7</v>
      </c>
      <c r="H126" s="117">
        <v>109.7</v>
      </c>
      <c r="I126" s="117">
        <v>109.4</v>
      </c>
      <c r="J126" s="117">
        <v>92</v>
      </c>
      <c r="K126" s="117">
        <v>91.3</v>
      </c>
      <c r="L126" s="117">
        <v>84.5</v>
      </c>
      <c r="M126" s="117">
        <v>75.599999999999994</v>
      </c>
      <c r="N126" s="117">
        <v>62</v>
      </c>
      <c r="O126" s="117">
        <v>61.6</v>
      </c>
      <c r="P126" s="117">
        <v>75.2</v>
      </c>
      <c r="Q126" s="117">
        <v>75.7</v>
      </c>
      <c r="R126" s="117">
        <v>70.3</v>
      </c>
      <c r="S126" s="117">
        <v>67</v>
      </c>
      <c r="T126" s="117">
        <v>88.6</v>
      </c>
      <c r="U126" s="117">
        <v>97.3</v>
      </c>
      <c r="V126" s="117">
        <v>75</v>
      </c>
      <c r="W126" s="117">
        <v>68.900000000000006</v>
      </c>
      <c r="X126" s="117">
        <v>66.3</v>
      </c>
      <c r="Y126" s="117">
        <v>70.2</v>
      </c>
      <c r="Z126" s="117">
        <v>70.2</v>
      </c>
      <c r="AA126" s="117">
        <v>75.2</v>
      </c>
      <c r="AB126" s="117">
        <v>81.3</v>
      </c>
      <c r="AC126" s="117">
        <v>92</v>
      </c>
      <c r="AD126" s="117">
        <v>105</v>
      </c>
      <c r="AE126" s="117">
        <v>89.4</v>
      </c>
      <c r="AF126" s="117">
        <v>86.7</v>
      </c>
      <c r="AG126" s="114"/>
      <c r="AH126" s="47">
        <f t="shared" si="32"/>
        <v>109.7</v>
      </c>
      <c r="AI126" s="48">
        <f t="shared" si="33"/>
        <v>61.6</v>
      </c>
    </row>
    <row r="127" spans="1:35" x14ac:dyDescent="0.25">
      <c r="A127" s="172" t="s">
        <v>256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06">
        <v>0</v>
      </c>
      <c r="AG127" s="114"/>
      <c r="AH127" s="47">
        <f t="shared" si="32"/>
        <v>0</v>
      </c>
      <c r="AI127" s="48">
        <f t="shared" si="33"/>
        <v>0</v>
      </c>
    </row>
    <row r="128" spans="1:35" x14ac:dyDescent="0.25">
      <c r="A128" s="173" t="s">
        <v>123</v>
      </c>
      <c r="B128" s="106">
        <v>-4.7</v>
      </c>
      <c r="C128" s="106">
        <v>-4.5999999999999996</v>
      </c>
      <c r="D128" s="106">
        <v>-4.0999999999999996</v>
      </c>
      <c r="E128" s="106">
        <v>-3.3</v>
      </c>
      <c r="F128" s="106">
        <v>-4.0999999999999996</v>
      </c>
      <c r="G128" s="106">
        <v>-9.3000000000000007</v>
      </c>
      <c r="H128" s="106">
        <v>-15.5</v>
      </c>
      <c r="I128" s="106">
        <v>-22.9</v>
      </c>
      <c r="J128" s="106">
        <v>-36.1</v>
      </c>
      <c r="K128" s="106">
        <v>-40.5</v>
      </c>
      <c r="L128" s="106">
        <v>-45.1</v>
      </c>
      <c r="M128" s="106">
        <v>-46.9</v>
      </c>
      <c r="N128" s="106">
        <v>-36</v>
      </c>
      <c r="O128" s="106">
        <v>-31.1</v>
      </c>
      <c r="P128" s="106">
        <v>-27</v>
      </c>
      <c r="Q128" s="106">
        <v>-20.7</v>
      </c>
      <c r="R128" s="106">
        <v>-19.8</v>
      </c>
      <c r="S128" s="106">
        <v>-17</v>
      </c>
      <c r="T128" s="106">
        <v>-20.6</v>
      </c>
      <c r="U128" s="106">
        <v>-25</v>
      </c>
      <c r="V128" s="106">
        <v>-30.2</v>
      </c>
      <c r="W128" s="106">
        <v>-33.6</v>
      </c>
      <c r="X128" s="106">
        <v>-49.7</v>
      </c>
      <c r="Y128" s="106">
        <v>-52</v>
      </c>
      <c r="Z128" s="106">
        <v>-42.7</v>
      </c>
      <c r="AA128" s="106">
        <v>-39.4</v>
      </c>
      <c r="AB128" s="106">
        <v>-33.4</v>
      </c>
      <c r="AC128" s="106">
        <v>-31</v>
      </c>
      <c r="AD128" s="106">
        <v>-21</v>
      </c>
      <c r="AE128" s="106">
        <v>-14.7</v>
      </c>
      <c r="AF128" s="106">
        <v>-10</v>
      </c>
      <c r="AG128" s="114"/>
      <c r="AH128" s="47">
        <f t="shared" si="32"/>
        <v>-3.3</v>
      </c>
      <c r="AI128" s="48">
        <f t="shared" si="33"/>
        <v>-52</v>
      </c>
    </row>
    <row r="129" spans="1:37" x14ac:dyDescent="0.25">
      <c r="A129" s="173" t="s">
        <v>260</v>
      </c>
      <c r="B129" s="106">
        <v>26.6</v>
      </c>
      <c r="C129" s="106">
        <v>25.9</v>
      </c>
      <c r="D129" s="106">
        <v>26.1</v>
      </c>
      <c r="E129" s="106">
        <v>25.2</v>
      </c>
      <c r="F129" s="106">
        <v>26.5</v>
      </c>
      <c r="G129" s="106">
        <v>27.4</v>
      </c>
      <c r="H129" s="106">
        <v>27.8</v>
      </c>
      <c r="I129" s="106">
        <v>28.9</v>
      </c>
      <c r="J129" s="106">
        <v>31.4</v>
      </c>
      <c r="K129" s="106">
        <v>11.8</v>
      </c>
      <c r="L129" s="106">
        <v>12</v>
      </c>
      <c r="M129" s="106">
        <v>11.8</v>
      </c>
      <c r="N129" s="106">
        <v>11.7</v>
      </c>
      <c r="O129" s="106">
        <v>10.199999999999999</v>
      </c>
      <c r="P129" s="106">
        <v>13</v>
      </c>
      <c r="Q129" s="106">
        <v>21.4</v>
      </c>
      <c r="R129" s="106">
        <v>26.1</v>
      </c>
      <c r="S129" s="106">
        <v>26.1</v>
      </c>
      <c r="T129" s="106">
        <v>30.2</v>
      </c>
      <c r="U129" s="106">
        <v>22.1</v>
      </c>
      <c r="V129" s="106">
        <v>11.8</v>
      </c>
      <c r="W129" s="106">
        <v>10.1</v>
      </c>
      <c r="X129" s="106">
        <v>10.3</v>
      </c>
      <c r="Y129" s="106">
        <v>11</v>
      </c>
      <c r="Z129" s="106">
        <v>10.1</v>
      </c>
      <c r="AA129" s="106">
        <v>10</v>
      </c>
      <c r="AB129" s="106">
        <v>9.9</v>
      </c>
      <c r="AC129" s="106">
        <v>9.6999999999999993</v>
      </c>
      <c r="AD129" s="106">
        <v>9.6</v>
      </c>
      <c r="AE129" s="106">
        <v>26.3</v>
      </c>
      <c r="AF129" s="106">
        <v>26.5</v>
      </c>
      <c r="AG129" s="114"/>
      <c r="AH129" s="47">
        <f t="shared" si="32"/>
        <v>31.4</v>
      </c>
      <c r="AI129" s="48">
        <f t="shared" si="33"/>
        <v>9.6</v>
      </c>
    </row>
    <row r="130" spans="1:37" ht="15.75" thickBot="1" x14ac:dyDescent="0.3">
      <c r="A130" s="173" t="s">
        <v>257</v>
      </c>
      <c r="B130" s="106">
        <v>89.8</v>
      </c>
      <c r="C130" s="106">
        <v>90.8</v>
      </c>
      <c r="D130" s="106">
        <v>86.1</v>
      </c>
      <c r="E130" s="106">
        <v>85.3</v>
      </c>
      <c r="F130" s="106">
        <v>83.6</v>
      </c>
      <c r="G130" s="106">
        <v>89.7</v>
      </c>
      <c r="H130" s="106">
        <v>96.2</v>
      </c>
      <c r="I130" s="106">
        <v>105.5</v>
      </c>
      <c r="J130" s="106">
        <v>112.4</v>
      </c>
      <c r="K130" s="106">
        <v>105.6</v>
      </c>
      <c r="L130" s="106">
        <v>94.3</v>
      </c>
      <c r="M130" s="106">
        <v>95</v>
      </c>
      <c r="N130" s="106">
        <v>84.4</v>
      </c>
      <c r="O130" s="106">
        <v>77.7</v>
      </c>
      <c r="P130" s="106">
        <v>107.8</v>
      </c>
      <c r="Q130" s="106">
        <v>99</v>
      </c>
      <c r="R130" s="106">
        <v>103.2</v>
      </c>
      <c r="S130" s="106">
        <v>107.4</v>
      </c>
      <c r="T130" s="106">
        <v>108.1</v>
      </c>
      <c r="U130" s="106">
        <v>95.2</v>
      </c>
      <c r="V130" s="106">
        <v>95.6</v>
      </c>
      <c r="W130" s="106">
        <v>80.099999999999994</v>
      </c>
      <c r="X130" s="106">
        <v>106.9</v>
      </c>
      <c r="Y130" s="106">
        <v>111.9</v>
      </c>
      <c r="Z130" s="106">
        <v>106.7</v>
      </c>
      <c r="AA130" s="106">
        <v>105</v>
      </c>
      <c r="AB130" s="106">
        <v>103.8</v>
      </c>
      <c r="AC130" s="106">
        <v>94</v>
      </c>
      <c r="AD130" s="106">
        <v>102</v>
      </c>
      <c r="AE130" s="106">
        <v>102.5</v>
      </c>
      <c r="AF130" s="106">
        <v>105</v>
      </c>
      <c r="AG130" s="114"/>
      <c r="AH130" s="47">
        <f t="shared" si="32"/>
        <v>112.4</v>
      </c>
      <c r="AI130" s="48">
        <f t="shared" si="33"/>
        <v>77.7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5" t="s">
        <v>367</v>
      </c>
      <c r="B132" s="189">
        <v>1984.7</v>
      </c>
      <c r="C132" s="189">
        <v>1984.92</v>
      </c>
      <c r="D132" s="189">
        <v>1985.15</v>
      </c>
      <c r="E132" s="189">
        <v>1985.38</v>
      </c>
      <c r="F132" s="189">
        <v>1985.62</v>
      </c>
      <c r="G132" s="189">
        <v>1985.82</v>
      </c>
      <c r="H132" s="189"/>
      <c r="I132" s="189">
        <v>1985.9</v>
      </c>
      <c r="J132" s="189"/>
      <c r="K132" s="189">
        <v>1985.72</v>
      </c>
      <c r="L132" s="189"/>
      <c r="M132" s="106">
        <v>1984.98</v>
      </c>
      <c r="N132" s="106">
        <v>1984.12</v>
      </c>
      <c r="O132" s="106">
        <v>1983.72</v>
      </c>
      <c r="P132" s="106">
        <v>1983.7</v>
      </c>
      <c r="Q132" s="106">
        <v>1983.9</v>
      </c>
      <c r="R132" s="106">
        <v>1984.12</v>
      </c>
      <c r="S132" s="147">
        <v>1984.33</v>
      </c>
      <c r="T132" s="147">
        <v>1984.55</v>
      </c>
      <c r="U132" s="147">
        <v>1984.75</v>
      </c>
      <c r="V132" s="147">
        <v>1984.95</v>
      </c>
      <c r="W132" s="147">
        <v>1985.05</v>
      </c>
      <c r="X132" s="147">
        <v>1985.05</v>
      </c>
      <c r="Y132" s="147"/>
      <c r="Z132" s="147">
        <v>1984.43</v>
      </c>
      <c r="AA132" s="147"/>
      <c r="AB132" s="147">
        <v>1983.64</v>
      </c>
      <c r="AC132" s="147"/>
      <c r="AD132" s="147">
        <v>1983.43</v>
      </c>
      <c r="AE132" s="147">
        <v>1983.59</v>
      </c>
      <c r="AF132" s="148">
        <v>1983.89</v>
      </c>
      <c r="AG132" s="149"/>
      <c r="AH132" s="47"/>
      <c r="AI132" s="48"/>
    </row>
    <row r="133" spans="1:37" ht="16.5" x14ac:dyDescent="0.25">
      <c r="A133" s="185" t="s">
        <v>238</v>
      </c>
      <c r="B133" s="190">
        <v>522.08000000000004</v>
      </c>
      <c r="C133" s="190">
        <v>522.4</v>
      </c>
      <c r="D133" s="190">
        <v>522.71</v>
      </c>
      <c r="E133" s="190">
        <v>523.08000000000004</v>
      </c>
      <c r="F133" s="190">
        <v>523.29999999999995</v>
      </c>
      <c r="G133" s="190">
        <v>523.5</v>
      </c>
      <c r="H133" s="190"/>
      <c r="I133" s="190">
        <v>523.51</v>
      </c>
      <c r="J133" s="190"/>
      <c r="K133" s="190">
        <v>523.36</v>
      </c>
      <c r="L133" s="190"/>
      <c r="M133" s="106">
        <v>523.17999999999995</v>
      </c>
      <c r="N133" s="106">
        <v>522.96</v>
      </c>
      <c r="O133" s="106">
        <v>522.9</v>
      </c>
      <c r="P133" s="106">
        <v>522.86</v>
      </c>
      <c r="Q133" s="106">
        <v>522.82000000000005</v>
      </c>
      <c r="R133" s="106">
        <v>522.79999999999995</v>
      </c>
      <c r="S133" s="150">
        <v>522.77</v>
      </c>
      <c r="T133" s="150">
        <v>522.73</v>
      </c>
      <c r="U133" s="150">
        <v>522.49</v>
      </c>
      <c r="V133" s="150">
        <v>522.04</v>
      </c>
      <c r="W133" s="150"/>
      <c r="X133" s="150">
        <v>521.9</v>
      </c>
      <c r="Y133" s="150"/>
      <c r="Z133" s="150">
        <v>521.46</v>
      </c>
      <c r="AA133" s="150"/>
      <c r="AB133" s="150">
        <v>520.85</v>
      </c>
      <c r="AC133" s="150"/>
      <c r="AD133" s="150">
        <v>520.44000000000005</v>
      </c>
      <c r="AE133" s="150">
        <v>520.21</v>
      </c>
      <c r="AF133" s="151">
        <v>520.32000000000005</v>
      </c>
      <c r="AG133" s="149"/>
      <c r="AH133" s="47"/>
      <c r="AI133" s="48"/>
    </row>
    <row r="134" spans="1:37" ht="16.5" x14ac:dyDescent="0.25">
      <c r="A134" s="185" t="s">
        <v>239</v>
      </c>
      <c r="B134" s="190">
        <v>623.47</v>
      </c>
      <c r="C134" s="190">
        <v>623.76</v>
      </c>
      <c r="D134" s="190">
        <v>624.12</v>
      </c>
      <c r="E134" s="190">
        <v>624.52</v>
      </c>
      <c r="F134" s="190">
        <v>624.79</v>
      </c>
      <c r="G134" s="190">
        <v>625.1</v>
      </c>
      <c r="H134" s="190"/>
      <c r="I134" s="190">
        <v>625.16999999999996</v>
      </c>
      <c r="J134" s="190"/>
      <c r="K134" s="190">
        <v>625.05999999999995</v>
      </c>
      <c r="L134" s="190"/>
      <c r="M134" s="106">
        <v>624.66999999999996</v>
      </c>
      <c r="N134" s="106">
        <v>624.30999999999995</v>
      </c>
      <c r="O134" s="106">
        <v>623.96</v>
      </c>
      <c r="P134" s="106">
        <v>623.69000000000005</v>
      </c>
      <c r="Q134" s="106">
        <v>623.4</v>
      </c>
      <c r="R134" s="106">
        <v>623.16999999999996</v>
      </c>
      <c r="S134" s="150">
        <v>622.85</v>
      </c>
      <c r="T134" s="150">
        <v>623.1</v>
      </c>
      <c r="U134" s="150">
        <v>623.19000000000005</v>
      </c>
      <c r="V134" s="150">
        <v>623.24</v>
      </c>
      <c r="W134" s="150"/>
      <c r="X134" s="150">
        <v>623.16</v>
      </c>
      <c r="Y134" s="150"/>
      <c r="Z134" s="150">
        <v>622.49</v>
      </c>
      <c r="AA134" s="150"/>
      <c r="AB134" s="150">
        <v>621.72</v>
      </c>
      <c r="AC134" s="150"/>
      <c r="AD134" s="150">
        <v>621.92999999999995</v>
      </c>
      <c r="AE134" s="150">
        <v>622.22</v>
      </c>
      <c r="AF134" s="151">
        <v>622.71</v>
      </c>
      <c r="AG134" s="149"/>
      <c r="AH134" s="47"/>
      <c r="AI134" s="48"/>
    </row>
    <row r="135" spans="1:37" ht="16.5" x14ac:dyDescent="0.25">
      <c r="A135" s="185" t="s">
        <v>240</v>
      </c>
      <c r="B135" s="190">
        <v>335.55</v>
      </c>
      <c r="C135" s="190">
        <v>335.77</v>
      </c>
      <c r="D135" s="190">
        <v>335.99</v>
      </c>
      <c r="E135" s="190">
        <v>336.14</v>
      </c>
      <c r="F135" s="190">
        <v>336.45</v>
      </c>
      <c r="G135" s="190">
        <v>336.72</v>
      </c>
      <c r="H135" s="190"/>
      <c r="I135" s="190">
        <v>336.9</v>
      </c>
      <c r="J135" s="190"/>
      <c r="K135" s="190">
        <v>336.89</v>
      </c>
      <c r="L135" s="190"/>
      <c r="M135" s="106">
        <v>336.6</v>
      </c>
      <c r="N135" s="106">
        <v>336.18</v>
      </c>
      <c r="O135" s="106">
        <v>335.69</v>
      </c>
      <c r="P135" s="106">
        <v>335.25</v>
      </c>
      <c r="Q135" s="106">
        <v>334.98</v>
      </c>
      <c r="R135" s="106">
        <v>334.89</v>
      </c>
      <c r="S135" s="150">
        <v>335.14</v>
      </c>
      <c r="T135" s="150">
        <v>335.4</v>
      </c>
      <c r="U135" s="150">
        <v>335.48</v>
      </c>
      <c r="V135" s="150">
        <v>335.42</v>
      </c>
      <c r="W135" s="150"/>
      <c r="X135" s="150">
        <v>335.48</v>
      </c>
      <c r="Y135" s="150"/>
      <c r="Z135" s="150">
        <v>335.29</v>
      </c>
      <c r="AA135" s="150"/>
      <c r="AB135" s="150">
        <v>334.99</v>
      </c>
      <c r="AC135" s="150"/>
      <c r="AD135" s="150">
        <v>334.7</v>
      </c>
      <c r="AE135" s="150">
        <v>334.55</v>
      </c>
      <c r="AF135" s="151">
        <v>334.56</v>
      </c>
      <c r="AG135" s="149"/>
      <c r="AH135" s="47"/>
      <c r="AI135" s="48"/>
    </row>
    <row r="136" spans="1:37" ht="16.5" x14ac:dyDescent="0.25">
      <c r="A136" s="185" t="s">
        <v>384</v>
      </c>
      <c r="B136" s="190">
        <v>885</v>
      </c>
      <c r="C136" s="190">
        <v>885.5</v>
      </c>
      <c r="D136" s="190">
        <v>886</v>
      </c>
      <c r="E136" s="190">
        <v>886.6</v>
      </c>
      <c r="F136" s="190">
        <v>887</v>
      </c>
      <c r="G136" s="190">
        <v>887.3</v>
      </c>
      <c r="H136" s="190"/>
      <c r="I136" s="190">
        <v>886.6</v>
      </c>
      <c r="J136" s="190"/>
      <c r="K136" s="190">
        <v>885.9</v>
      </c>
      <c r="L136" s="190"/>
      <c r="M136" s="106">
        <v>884.7</v>
      </c>
      <c r="N136" s="106">
        <v>883</v>
      </c>
      <c r="O136" s="106">
        <v>882.1</v>
      </c>
      <c r="P136" s="106">
        <v>883.2</v>
      </c>
      <c r="Q136" s="106">
        <v>883.9</v>
      </c>
      <c r="R136" s="106">
        <v>884.7</v>
      </c>
      <c r="S136" s="150">
        <v>885.2</v>
      </c>
      <c r="T136" s="150">
        <v>885.8</v>
      </c>
      <c r="U136" s="150">
        <v>886.3</v>
      </c>
      <c r="V136" s="150">
        <v>886.7</v>
      </c>
      <c r="W136" s="150"/>
      <c r="X136" s="150">
        <v>886.6</v>
      </c>
      <c r="Y136" s="150"/>
      <c r="Z136" s="150">
        <v>885.4</v>
      </c>
      <c r="AA136" s="150"/>
      <c r="AB136" s="150">
        <v>884</v>
      </c>
      <c r="AC136" s="150"/>
      <c r="AD136" s="150">
        <v>884</v>
      </c>
      <c r="AE136" s="150">
        <v>885.3</v>
      </c>
      <c r="AF136" s="151">
        <v>885.7</v>
      </c>
      <c r="AG136" s="149"/>
      <c r="AH136" s="47"/>
      <c r="AI136" s="48"/>
    </row>
    <row r="137" spans="1:37" ht="17.25" thickBot="1" x14ac:dyDescent="0.3">
      <c r="A137" s="185" t="s">
        <v>241</v>
      </c>
      <c r="B137" s="191">
        <v>1518.87</v>
      </c>
      <c r="C137" s="191"/>
      <c r="D137" s="191"/>
      <c r="E137" s="191"/>
      <c r="F137" s="191"/>
      <c r="G137" s="191">
        <v>1518.87</v>
      </c>
      <c r="H137" s="191"/>
      <c r="I137" s="191">
        <v>1518.88</v>
      </c>
      <c r="J137" s="191"/>
      <c r="K137" s="191"/>
      <c r="L137" s="191"/>
      <c r="M137" s="106">
        <v>1518.88</v>
      </c>
      <c r="N137" s="106"/>
      <c r="O137" s="106"/>
      <c r="P137" s="106"/>
      <c r="Q137" s="106"/>
      <c r="R137" s="106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1518.9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>
        <v>1983.58</v>
      </c>
      <c r="C139" s="124">
        <v>1983.85</v>
      </c>
      <c r="D139" s="123">
        <v>1984.12</v>
      </c>
      <c r="E139" s="123">
        <v>1984.38</v>
      </c>
      <c r="F139" s="123">
        <v>1984.6</v>
      </c>
      <c r="G139" s="123">
        <v>1984.8</v>
      </c>
      <c r="H139" s="123"/>
      <c r="I139" s="123">
        <v>1985.02</v>
      </c>
      <c r="J139" s="123"/>
      <c r="K139" s="123">
        <v>1985.22</v>
      </c>
      <c r="L139" s="123"/>
      <c r="M139" s="123">
        <v>1984.98</v>
      </c>
      <c r="N139" s="123">
        <v>1984.17</v>
      </c>
      <c r="O139" s="123">
        <v>1983.81</v>
      </c>
      <c r="P139" s="123">
        <v>1983.8</v>
      </c>
      <c r="Q139" s="123">
        <v>1983.85</v>
      </c>
      <c r="R139" s="123">
        <v>1983.81</v>
      </c>
      <c r="S139" s="123">
        <v>1984</v>
      </c>
      <c r="T139" s="123">
        <v>1984.22</v>
      </c>
      <c r="U139" s="123">
        <v>1984.55</v>
      </c>
      <c r="V139" s="123">
        <v>1984.65</v>
      </c>
      <c r="W139" s="123"/>
      <c r="X139" s="123">
        <v>1984.8</v>
      </c>
      <c r="Y139" s="123"/>
      <c r="Z139" s="123">
        <v>1984.6</v>
      </c>
      <c r="AA139" s="123"/>
      <c r="AB139" s="123">
        <v>1984.3</v>
      </c>
      <c r="AC139" s="123"/>
      <c r="AD139" s="123">
        <v>1984.12</v>
      </c>
      <c r="AE139" s="123">
        <v>1984.23</v>
      </c>
      <c r="AF139" s="123">
        <v>1984.45</v>
      </c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>
        <v>5087</v>
      </c>
      <c r="T148" s="123">
        <f>S148+S149+S151+S152+S153</f>
        <v>33470</v>
      </c>
      <c r="U148" s="123">
        <f t="shared" ref="U148:U153" si="93">S148/24</f>
        <v>211.95833333333334</v>
      </c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>
        <v>2383</v>
      </c>
      <c r="T149" s="123">
        <f>T148/24</f>
        <v>1394.5833333333333</v>
      </c>
      <c r="U149" s="123">
        <f t="shared" si="93"/>
        <v>99.291666666666671</v>
      </c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>
        <v>1507</v>
      </c>
      <c r="T150" s="123"/>
      <c r="U150" s="123">
        <f t="shared" si="93"/>
        <v>62.791666666666664</v>
      </c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>
        <v>10990</v>
      </c>
      <c r="T151" s="123"/>
      <c r="U151" s="123">
        <f t="shared" si="93"/>
        <v>457.91666666666669</v>
      </c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>
        <v>12850</v>
      </c>
      <c r="T152" s="123"/>
      <c r="U152" s="123">
        <f t="shared" si="93"/>
        <v>535.41666666666663</v>
      </c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>
        <v>2160</v>
      </c>
      <c r="T153" s="123"/>
      <c r="U153" s="123">
        <f t="shared" si="93"/>
        <v>90</v>
      </c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94">SUM(B139:B243)</f>
        <v>1983.58</v>
      </c>
      <c r="C244" s="134">
        <f t="shared" si="94"/>
        <v>1983.85</v>
      </c>
      <c r="D244" s="134">
        <f t="shared" si="94"/>
        <v>1984.12</v>
      </c>
      <c r="E244" s="134">
        <f t="shared" si="94"/>
        <v>1984.38</v>
      </c>
      <c r="F244" s="134">
        <f t="shared" si="94"/>
        <v>1984.6</v>
      </c>
      <c r="G244" s="134">
        <f t="shared" si="94"/>
        <v>1984.8</v>
      </c>
      <c r="H244" s="134">
        <f t="shared" si="94"/>
        <v>0</v>
      </c>
      <c r="I244" s="134">
        <f t="shared" si="94"/>
        <v>1985.02</v>
      </c>
      <c r="J244" s="134">
        <f t="shared" si="94"/>
        <v>0</v>
      </c>
      <c r="K244" s="134">
        <f t="shared" si="94"/>
        <v>1985.22</v>
      </c>
      <c r="L244" s="134">
        <f t="shared" si="94"/>
        <v>0</v>
      </c>
      <c r="M244" s="134">
        <f t="shared" si="94"/>
        <v>1984.98</v>
      </c>
      <c r="N244" s="134">
        <f t="shared" si="94"/>
        <v>1984.17</v>
      </c>
      <c r="O244" s="134">
        <f t="shared" si="94"/>
        <v>1983.81</v>
      </c>
      <c r="P244" s="134">
        <f t="shared" si="94"/>
        <v>1983.8</v>
      </c>
      <c r="Q244" s="134">
        <f t="shared" si="94"/>
        <v>1983.85</v>
      </c>
      <c r="R244" s="134">
        <f t="shared" si="94"/>
        <v>1983.81</v>
      </c>
      <c r="S244" s="134">
        <f t="shared" si="94"/>
        <v>36961</v>
      </c>
      <c r="T244" s="134">
        <f t="shared" si="94"/>
        <v>36848.803333333337</v>
      </c>
      <c r="U244" s="134">
        <f t="shared" si="94"/>
        <v>3441.9249999999993</v>
      </c>
      <c r="V244" s="134">
        <f t="shared" si="94"/>
        <v>1984.65</v>
      </c>
      <c r="W244" s="134">
        <f t="shared" si="94"/>
        <v>0</v>
      </c>
      <c r="X244" s="134">
        <f t="shared" si="94"/>
        <v>1984.8</v>
      </c>
      <c r="Y244" s="134">
        <f t="shared" si="94"/>
        <v>0</v>
      </c>
      <c r="Z244" s="134">
        <f t="shared" si="94"/>
        <v>1984.6</v>
      </c>
      <c r="AA244" s="134">
        <f t="shared" si="94"/>
        <v>0</v>
      </c>
      <c r="AB244" s="134">
        <f t="shared" si="94"/>
        <v>1984.3</v>
      </c>
      <c r="AC244" s="134">
        <f t="shared" si="94"/>
        <v>0</v>
      </c>
      <c r="AD244" s="134">
        <f t="shared" si="94"/>
        <v>1984.12</v>
      </c>
      <c r="AE244" s="134">
        <f t="shared" si="94"/>
        <v>1984.23</v>
      </c>
      <c r="AF244" s="135">
        <f t="shared" si="94"/>
        <v>1984.45</v>
      </c>
      <c r="AG244" s="136">
        <f t="shared" si="9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95">AF246</f>
        <v>0.3</v>
      </c>
      <c r="C246" s="138">
        <v>0.3</v>
      </c>
      <c r="D246" s="138">
        <f t="shared" ref="D246:S251" si="96">C246</f>
        <v>0.3</v>
      </c>
      <c r="E246" s="138">
        <f t="shared" si="96"/>
        <v>0.3</v>
      </c>
      <c r="F246" s="138">
        <f t="shared" si="96"/>
        <v>0.3</v>
      </c>
      <c r="G246" s="138">
        <f t="shared" si="96"/>
        <v>0.3</v>
      </c>
      <c r="H246" s="138">
        <f t="shared" si="96"/>
        <v>0.3</v>
      </c>
      <c r="I246" s="138">
        <f t="shared" si="96"/>
        <v>0.3</v>
      </c>
      <c r="J246" s="138">
        <f t="shared" si="96"/>
        <v>0.3</v>
      </c>
      <c r="K246" s="138">
        <f t="shared" si="96"/>
        <v>0.3</v>
      </c>
      <c r="L246" s="138">
        <f t="shared" si="96"/>
        <v>0.3</v>
      </c>
      <c r="M246" s="138">
        <f t="shared" si="96"/>
        <v>0.3</v>
      </c>
      <c r="N246" s="138">
        <f t="shared" si="96"/>
        <v>0.3</v>
      </c>
      <c r="O246" s="138">
        <f t="shared" si="96"/>
        <v>0.3</v>
      </c>
      <c r="P246" s="138">
        <f t="shared" si="96"/>
        <v>0.3</v>
      </c>
      <c r="Q246" s="138">
        <f t="shared" si="96"/>
        <v>0.3</v>
      </c>
      <c r="R246" s="138">
        <f t="shared" si="96"/>
        <v>0.3</v>
      </c>
      <c r="S246" s="138">
        <f t="shared" si="96"/>
        <v>0.3</v>
      </c>
      <c r="T246" s="138">
        <f t="shared" ref="T246:AF251" si="97">S246</f>
        <v>0.3</v>
      </c>
      <c r="U246" s="138">
        <f t="shared" si="97"/>
        <v>0.3</v>
      </c>
      <c r="V246" s="138">
        <f t="shared" si="97"/>
        <v>0.3</v>
      </c>
      <c r="W246" s="138">
        <f t="shared" si="97"/>
        <v>0.3</v>
      </c>
      <c r="X246" s="138">
        <f t="shared" si="97"/>
        <v>0.3</v>
      </c>
      <c r="Y246" s="138">
        <f t="shared" si="97"/>
        <v>0.3</v>
      </c>
      <c r="Z246" s="138">
        <f t="shared" si="97"/>
        <v>0.3</v>
      </c>
      <c r="AA246" s="138">
        <f t="shared" si="97"/>
        <v>0.3</v>
      </c>
      <c r="AB246" s="138">
        <f t="shared" si="97"/>
        <v>0.3</v>
      </c>
      <c r="AC246" s="138">
        <f t="shared" si="97"/>
        <v>0.3</v>
      </c>
      <c r="AD246" s="138">
        <f t="shared" si="97"/>
        <v>0.3</v>
      </c>
      <c r="AE246" s="138">
        <f t="shared" si="97"/>
        <v>0.3</v>
      </c>
      <c r="AF246" s="138">
        <f t="shared" si="97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95"/>
        <v>0.4</v>
      </c>
      <c r="C247" s="126">
        <v>0.4</v>
      </c>
      <c r="D247" s="126">
        <f t="shared" si="96"/>
        <v>0.4</v>
      </c>
      <c r="E247" s="126">
        <f t="shared" si="96"/>
        <v>0.4</v>
      </c>
      <c r="F247" s="126">
        <f t="shared" si="96"/>
        <v>0.4</v>
      </c>
      <c r="G247" s="126">
        <f t="shared" si="96"/>
        <v>0.4</v>
      </c>
      <c r="H247" s="126">
        <f t="shared" si="96"/>
        <v>0.4</v>
      </c>
      <c r="I247" s="126">
        <f t="shared" si="96"/>
        <v>0.4</v>
      </c>
      <c r="J247" s="126">
        <f t="shared" si="96"/>
        <v>0.4</v>
      </c>
      <c r="K247" s="126">
        <f t="shared" si="96"/>
        <v>0.4</v>
      </c>
      <c r="L247" s="126">
        <f t="shared" si="96"/>
        <v>0.4</v>
      </c>
      <c r="M247" s="126">
        <f t="shared" si="96"/>
        <v>0.4</v>
      </c>
      <c r="N247" s="126">
        <f t="shared" si="96"/>
        <v>0.4</v>
      </c>
      <c r="O247" s="126">
        <f t="shared" si="96"/>
        <v>0.4</v>
      </c>
      <c r="P247" s="126">
        <f t="shared" si="96"/>
        <v>0.4</v>
      </c>
      <c r="Q247" s="126">
        <f t="shared" si="96"/>
        <v>0.4</v>
      </c>
      <c r="R247" s="126">
        <f t="shared" si="96"/>
        <v>0.4</v>
      </c>
      <c r="S247" s="126">
        <f t="shared" si="96"/>
        <v>0.4</v>
      </c>
      <c r="T247" s="126">
        <f t="shared" si="97"/>
        <v>0.4</v>
      </c>
      <c r="U247" s="126">
        <f t="shared" si="97"/>
        <v>0.4</v>
      </c>
      <c r="V247" s="126">
        <f t="shared" si="97"/>
        <v>0.4</v>
      </c>
      <c r="W247" s="126">
        <f t="shared" si="97"/>
        <v>0.4</v>
      </c>
      <c r="X247" s="126">
        <f t="shared" si="97"/>
        <v>0.4</v>
      </c>
      <c r="Y247" s="126">
        <f t="shared" si="97"/>
        <v>0.4</v>
      </c>
      <c r="Z247" s="126">
        <f t="shared" si="97"/>
        <v>0.4</v>
      </c>
      <c r="AA247" s="126">
        <f t="shared" si="97"/>
        <v>0.4</v>
      </c>
      <c r="AB247" s="126">
        <f t="shared" si="97"/>
        <v>0.4</v>
      </c>
      <c r="AC247" s="126">
        <f t="shared" si="97"/>
        <v>0.4</v>
      </c>
      <c r="AD247" s="126">
        <f t="shared" si="97"/>
        <v>0.4</v>
      </c>
      <c r="AE247" s="126">
        <f t="shared" si="97"/>
        <v>0.4</v>
      </c>
      <c r="AF247" s="126">
        <f t="shared" si="97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95"/>
        <v>1.5</v>
      </c>
      <c r="C248" s="126">
        <v>1.5</v>
      </c>
      <c r="D248" s="126">
        <f t="shared" si="96"/>
        <v>1.5</v>
      </c>
      <c r="E248" s="126">
        <f t="shared" si="96"/>
        <v>1.5</v>
      </c>
      <c r="F248" s="126">
        <f t="shared" si="96"/>
        <v>1.5</v>
      </c>
      <c r="G248" s="126">
        <f t="shared" si="96"/>
        <v>1.5</v>
      </c>
      <c r="H248" s="126">
        <f t="shared" si="96"/>
        <v>1.5</v>
      </c>
      <c r="I248" s="126">
        <f t="shared" si="96"/>
        <v>1.5</v>
      </c>
      <c r="J248" s="126">
        <f t="shared" si="96"/>
        <v>1.5</v>
      </c>
      <c r="K248" s="126">
        <f t="shared" si="96"/>
        <v>1.5</v>
      </c>
      <c r="L248" s="126">
        <f t="shared" si="96"/>
        <v>1.5</v>
      </c>
      <c r="M248" s="126">
        <f t="shared" si="96"/>
        <v>1.5</v>
      </c>
      <c r="N248" s="126">
        <f t="shared" si="96"/>
        <v>1.5</v>
      </c>
      <c r="O248" s="126">
        <f t="shared" si="96"/>
        <v>1.5</v>
      </c>
      <c r="P248" s="126">
        <f t="shared" si="96"/>
        <v>1.5</v>
      </c>
      <c r="Q248" s="126">
        <f t="shared" si="96"/>
        <v>1.5</v>
      </c>
      <c r="R248" s="126">
        <f t="shared" si="96"/>
        <v>1.5</v>
      </c>
      <c r="S248" s="126">
        <f t="shared" si="96"/>
        <v>1.5</v>
      </c>
      <c r="T248" s="126">
        <f t="shared" si="97"/>
        <v>1.5</v>
      </c>
      <c r="U248" s="126">
        <f t="shared" si="97"/>
        <v>1.5</v>
      </c>
      <c r="V248" s="126">
        <f t="shared" si="97"/>
        <v>1.5</v>
      </c>
      <c r="W248" s="126">
        <f t="shared" si="97"/>
        <v>1.5</v>
      </c>
      <c r="X248" s="126">
        <f t="shared" si="97"/>
        <v>1.5</v>
      </c>
      <c r="Y248" s="126">
        <f t="shared" si="97"/>
        <v>1.5</v>
      </c>
      <c r="Z248" s="126">
        <f t="shared" si="97"/>
        <v>1.5</v>
      </c>
      <c r="AA248" s="126">
        <f t="shared" si="97"/>
        <v>1.5</v>
      </c>
      <c r="AB248" s="126">
        <f t="shared" si="97"/>
        <v>1.5</v>
      </c>
      <c r="AC248" s="126">
        <f t="shared" si="97"/>
        <v>1.5</v>
      </c>
      <c r="AD248" s="126">
        <f t="shared" si="97"/>
        <v>1.5</v>
      </c>
      <c r="AE248" s="126">
        <f t="shared" si="97"/>
        <v>1.5</v>
      </c>
      <c r="AF248" s="126">
        <f t="shared" si="97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95"/>
        <v>0.3</v>
      </c>
      <c r="C249" s="126">
        <v>0.3</v>
      </c>
      <c r="D249" s="126">
        <f t="shared" si="96"/>
        <v>0.3</v>
      </c>
      <c r="E249" s="126">
        <f t="shared" si="96"/>
        <v>0.3</v>
      </c>
      <c r="F249" s="126">
        <f t="shared" si="96"/>
        <v>0.3</v>
      </c>
      <c r="G249" s="126">
        <f t="shared" si="96"/>
        <v>0.3</v>
      </c>
      <c r="H249" s="126">
        <f t="shared" si="96"/>
        <v>0.3</v>
      </c>
      <c r="I249" s="126">
        <f t="shared" si="96"/>
        <v>0.3</v>
      </c>
      <c r="J249" s="126">
        <f t="shared" si="96"/>
        <v>0.3</v>
      </c>
      <c r="K249" s="126">
        <f t="shared" si="96"/>
        <v>0.3</v>
      </c>
      <c r="L249" s="126">
        <f t="shared" si="96"/>
        <v>0.3</v>
      </c>
      <c r="M249" s="126">
        <f t="shared" si="96"/>
        <v>0.3</v>
      </c>
      <c r="N249" s="126">
        <f t="shared" si="96"/>
        <v>0.3</v>
      </c>
      <c r="O249" s="126">
        <f t="shared" si="96"/>
        <v>0.3</v>
      </c>
      <c r="P249" s="126">
        <f t="shared" si="96"/>
        <v>0.3</v>
      </c>
      <c r="Q249" s="126">
        <f t="shared" si="96"/>
        <v>0.3</v>
      </c>
      <c r="R249" s="126">
        <f t="shared" si="96"/>
        <v>0.3</v>
      </c>
      <c r="S249" s="126">
        <f t="shared" si="96"/>
        <v>0.3</v>
      </c>
      <c r="T249" s="126">
        <f t="shared" si="97"/>
        <v>0.3</v>
      </c>
      <c r="U249" s="126">
        <f t="shared" si="97"/>
        <v>0.3</v>
      </c>
      <c r="V249" s="126">
        <f t="shared" si="97"/>
        <v>0.3</v>
      </c>
      <c r="W249" s="126">
        <f t="shared" si="97"/>
        <v>0.3</v>
      </c>
      <c r="X249" s="126">
        <f t="shared" si="97"/>
        <v>0.3</v>
      </c>
      <c r="Y249" s="126">
        <f t="shared" si="97"/>
        <v>0.3</v>
      </c>
      <c r="Z249" s="126">
        <f t="shared" si="97"/>
        <v>0.3</v>
      </c>
      <c r="AA249" s="126">
        <f t="shared" si="97"/>
        <v>0.3</v>
      </c>
      <c r="AB249" s="126">
        <f t="shared" si="97"/>
        <v>0.3</v>
      </c>
      <c r="AC249" s="126">
        <f t="shared" si="97"/>
        <v>0.3</v>
      </c>
      <c r="AD249" s="126">
        <f t="shared" si="97"/>
        <v>0.3</v>
      </c>
      <c r="AE249" s="126">
        <f t="shared" si="97"/>
        <v>0.3</v>
      </c>
      <c r="AF249" s="126">
        <f t="shared" si="97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95"/>
        <v>0.4</v>
      </c>
      <c r="C250" s="126">
        <v>0.4</v>
      </c>
      <c r="D250" s="126">
        <f t="shared" si="96"/>
        <v>0.4</v>
      </c>
      <c r="E250" s="126">
        <f t="shared" si="96"/>
        <v>0.4</v>
      </c>
      <c r="F250" s="126">
        <f t="shared" si="96"/>
        <v>0.4</v>
      </c>
      <c r="G250" s="126">
        <f t="shared" si="96"/>
        <v>0.4</v>
      </c>
      <c r="H250" s="126">
        <f t="shared" si="96"/>
        <v>0.4</v>
      </c>
      <c r="I250" s="126">
        <f t="shared" si="96"/>
        <v>0.4</v>
      </c>
      <c r="J250" s="126">
        <f t="shared" si="96"/>
        <v>0.4</v>
      </c>
      <c r="K250" s="126">
        <f t="shared" si="96"/>
        <v>0.4</v>
      </c>
      <c r="L250" s="126">
        <f t="shared" si="96"/>
        <v>0.4</v>
      </c>
      <c r="M250" s="126">
        <f t="shared" si="96"/>
        <v>0.4</v>
      </c>
      <c r="N250" s="126">
        <f t="shared" si="96"/>
        <v>0.4</v>
      </c>
      <c r="O250" s="126">
        <f t="shared" si="96"/>
        <v>0.4</v>
      </c>
      <c r="P250" s="126">
        <f t="shared" si="96"/>
        <v>0.4</v>
      </c>
      <c r="Q250" s="126">
        <f t="shared" si="96"/>
        <v>0.4</v>
      </c>
      <c r="R250" s="126">
        <f t="shared" si="96"/>
        <v>0.4</v>
      </c>
      <c r="S250" s="126">
        <f t="shared" si="96"/>
        <v>0.4</v>
      </c>
      <c r="T250" s="126">
        <f t="shared" si="97"/>
        <v>0.4</v>
      </c>
      <c r="U250" s="126">
        <f t="shared" si="97"/>
        <v>0.4</v>
      </c>
      <c r="V250" s="126">
        <f t="shared" si="97"/>
        <v>0.4</v>
      </c>
      <c r="W250" s="126">
        <f t="shared" si="97"/>
        <v>0.4</v>
      </c>
      <c r="X250" s="126">
        <f t="shared" si="97"/>
        <v>0.4</v>
      </c>
      <c r="Y250" s="126">
        <f t="shared" si="97"/>
        <v>0.4</v>
      </c>
      <c r="Z250" s="126">
        <f t="shared" si="97"/>
        <v>0.4</v>
      </c>
      <c r="AA250" s="126">
        <f t="shared" si="97"/>
        <v>0.4</v>
      </c>
      <c r="AB250" s="126">
        <f t="shared" si="97"/>
        <v>0.4</v>
      </c>
      <c r="AC250" s="126">
        <f t="shared" si="97"/>
        <v>0.4</v>
      </c>
      <c r="AD250" s="126">
        <f t="shared" si="97"/>
        <v>0.4</v>
      </c>
      <c r="AE250" s="126">
        <f t="shared" si="97"/>
        <v>0.4</v>
      </c>
      <c r="AF250" s="126">
        <f t="shared" si="97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95"/>
        <v>0.64</v>
      </c>
      <c r="C251" s="130">
        <v>0.64</v>
      </c>
      <c r="D251" s="130">
        <f t="shared" si="96"/>
        <v>0.64</v>
      </c>
      <c r="E251" s="130">
        <f t="shared" si="96"/>
        <v>0.64</v>
      </c>
      <c r="F251" s="130">
        <f t="shared" si="96"/>
        <v>0.64</v>
      </c>
      <c r="G251" s="130">
        <f t="shared" si="96"/>
        <v>0.64</v>
      </c>
      <c r="H251" s="130">
        <f t="shared" si="96"/>
        <v>0.64</v>
      </c>
      <c r="I251" s="130">
        <f t="shared" si="96"/>
        <v>0.64</v>
      </c>
      <c r="J251" s="130">
        <f t="shared" si="96"/>
        <v>0.64</v>
      </c>
      <c r="K251" s="130">
        <f t="shared" si="96"/>
        <v>0.64</v>
      </c>
      <c r="L251" s="130">
        <f t="shared" si="96"/>
        <v>0.64</v>
      </c>
      <c r="M251" s="130">
        <f t="shared" si="96"/>
        <v>0.64</v>
      </c>
      <c r="N251" s="130">
        <f t="shared" si="96"/>
        <v>0.64</v>
      </c>
      <c r="O251" s="130">
        <f t="shared" si="96"/>
        <v>0.64</v>
      </c>
      <c r="P251" s="130">
        <f t="shared" si="96"/>
        <v>0.64</v>
      </c>
      <c r="Q251" s="130">
        <f t="shared" si="96"/>
        <v>0.64</v>
      </c>
      <c r="R251" s="130">
        <f t="shared" si="96"/>
        <v>0.64</v>
      </c>
      <c r="S251" s="130">
        <f t="shared" si="96"/>
        <v>0.64</v>
      </c>
      <c r="T251" s="130">
        <f t="shared" si="97"/>
        <v>0.64</v>
      </c>
      <c r="U251" s="130">
        <f t="shared" si="97"/>
        <v>0.64</v>
      </c>
      <c r="V251" s="130">
        <f t="shared" si="97"/>
        <v>0.64</v>
      </c>
      <c r="W251" s="130">
        <f t="shared" si="97"/>
        <v>0.64</v>
      </c>
      <c r="X251" s="130">
        <f t="shared" si="97"/>
        <v>0.64</v>
      </c>
      <c r="Y251" s="130">
        <f t="shared" si="97"/>
        <v>0.64</v>
      </c>
      <c r="Z251" s="130">
        <f t="shared" si="97"/>
        <v>0.64</v>
      </c>
      <c r="AA251" s="130">
        <f t="shared" si="97"/>
        <v>0.64</v>
      </c>
      <c r="AB251" s="130">
        <f t="shared" si="97"/>
        <v>0.64</v>
      </c>
      <c r="AC251" s="130">
        <f t="shared" si="97"/>
        <v>0.64</v>
      </c>
      <c r="AD251" s="130">
        <f t="shared" si="97"/>
        <v>0.64</v>
      </c>
      <c r="AE251" s="130">
        <f t="shared" si="97"/>
        <v>0.64</v>
      </c>
      <c r="AF251" s="130">
        <f t="shared" si="97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8">SUM(B246:B251)</f>
        <v>3.54</v>
      </c>
      <c r="C252" s="134">
        <f t="shared" si="98"/>
        <v>3.54</v>
      </c>
      <c r="D252" s="134">
        <f t="shared" si="98"/>
        <v>3.54</v>
      </c>
      <c r="E252" s="134">
        <f t="shared" si="98"/>
        <v>3.54</v>
      </c>
      <c r="F252" s="134">
        <f t="shared" si="98"/>
        <v>3.54</v>
      </c>
      <c r="G252" s="134">
        <f t="shared" si="98"/>
        <v>3.54</v>
      </c>
      <c r="H252" s="134">
        <f t="shared" si="98"/>
        <v>3.54</v>
      </c>
      <c r="I252" s="134">
        <f t="shared" si="98"/>
        <v>3.54</v>
      </c>
      <c r="J252" s="134">
        <f t="shared" si="98"/>
        <v>3.54</v>
      </c>
      <c r="K252" s="134">
        <f t="shared" si="98"/>
        <v>3.54</v>
      </c>
      <c r="L252" s="134">
        <f t="shared" si="98"/>
        <v>3.54</v>
      </c>
      <c r="M252" s="134">
        <f t="shared" si="98"/>
        <v>3.54</v>
      </c>
      <c r="N252" s="134">
        <f t="shared" si="98"/>
        <v>3.54</v>
      </c>
      <c r="O252" s="134">
        <f t="shared" si="98"/>
        <v>3.54</v>
      </c>
      <c r="P252" s="134">
        <f t="shared" si="98"/>
        <v>3.54</v>
      </c>
      <c r="Q252" s="134">
        <f t="shared" si="98"/>
        <v>3.54</v>
      </c>
      <c r="R252" s="134">
        <f t="shared" si="98"/>
        <v>3.54</v>
      </c>
      <c r="S252" s="134">
        <f t="shared" si="98"/>
        <v>3.54</v>
      </c>
      <c r="T252" s="134">
        <f t="shared" si="98"/>
        <v>3.54</v>
      </c>
      <c r="U252" s="134">
        <f t="shared" si="98"/>
        <v>3.54</v>
      </c>
      <c r="V252" s="134">
        <f t="shared" si="98"/>
        <v>3.54</v>
      </c>
      <c r="W252" s="134">
        <f t="shared" si="98"/>
        <v>3.54</v>
      </c>
      <c r="X252" s="134">
        <f t="shared" si="98"/>
        <v>3.54</v>
      </c>
      <c r="Y252" s="134">
        <f t="shared" si="98"/>
        <v>3.54</v>
      </c>
      <c r="Z252" s="134">
        <f t="shared" si="98"/>
        <v>3.54</v>
      </c>
      <c r="AA252" s="134">
        <f t="shared" si="98"/>
        <v>3.54</v>
      </c>
      <c r="AB252" s="134">
        <f t="shared" si="98"/>
        <v>3.54</v>
      </c>
      <c r="AC252" s="134">
        <f t="shared" si="98"/>
        <v>3.54</v>
      </c>
      <c r="AD252" s="134">
        <f t="shared" si="98"/>
        <v>3.54</v>
      </c>
      <c r="AE252" s="134">
        <f t="shared" si="98"/>
        <v>3.54</v>
      </c>
      <c r="AF252" s="134">
        <f t="shared" si="98"/>
        <v>3.54</v>
      </c>
      <c r="AG252" s="143">
        <f t="shared" si="9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1769.3400000000001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0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2080/10/0)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99">B99</f>
        <v>1163.1399999999999</v>
      </c>
      <c r="U261" s="165">
        <f t="shared" si="99"/>
        <v>1148.2400000000002</v>
      </c>
      <c r="V261" s="165">
        <f t="shared" si="99"/>
        <v>1159.94</v>
      </c>
      <c r="W261" s="165">
        <f t="shared" si="99"/>
        <v>1149.1399999999999</v>
      </c>
      <c r="X261" s="165">
        <f t="shared" si="99"/>
        <v>1137.44</v>
      </c>
      <c r="Y261" s="165">
        <f t="shared" si="99"/>
        <v>1224.48</v>
      </c>
      <c r="Z261" s="165">
        <f t="shared" si="99"/>
        <v>1335.64</v>
      </c>
      <c r="AA261" s="165">
        <f t="shared" si="99"/>
        <v>1422.34</v>
      </c>
      <c r="AB261" s="165">
        <f t="shared" si="99"/>
        <v>1556.44</v>
      </c>
      <c r="AC261" s="165">
        <f t="shared" si="99"/>
        <v>1710.44</v>
      </c>
      <c r="AD261" s="165">
        <f t="shared" si="99"/>
        <v>1769.3400000000001</v>
      </c>
      <c r="AE261" s="165">
        <f t="shared" si="99"/>
        <v>1765.84</v>
      </c>
      <c r="AF261" s="165">
        <f t="shared" si="99"/>
        <v>1631.7400000000002</v>
      </c>
      <c r="AG261" s="165">
        <f t="shared" si="99"/>
        <v>1554.2399999999998</v>
      </c>
      <c r="AH261" s="165">
        <f t="shared" si="99"/>
        <v>1357.3400000000001</v>
      </c>
      <c r="AI261" s="165">
        <f t="shared" si="99"/>
        <v>1482.8400000000001</v>
      </c>
      <c r="AJ261" s="165">
        <f t="shared" si="99"/>
        <v>1395.2400000000002</v>
      </c>
      <c r="AK261" s="165">
        <f t="shared" si="99"/>
        <v>1464.44</v>
      </c>
      <c r="AL261" s="165">
        <f t="shared" si="99"/>
        <v>1464.04</v>
      </c>
      <c r="AM261" s="165">
        <f t="shared" si="99"/>
        <v>1425.8400000000001</v>
      </c>
      <c r="AN261" s="165">
        <f t="shared" si="99"/>
        <v>1295.2400000000002</v>
      </c>
      <c r="AO261" s="165">
        <f t="shared" si="99"/>
        <v>1220.94</v>
      </c>
      <c r="AP261" s="165">
        <f t="shared" si="99"/>
        <v>1393.1399999999999</v>
      </c>
      <c r="AQ261" s="165">
        <f t="shared" si="99"/>
        <v>1849.8400000000001</v>
      </c>
      <c r="AR261" s="165">
        <f t="shared" si="99"/>
        <v>1781.54</v>
      </c>
      <c r="AS261" s="165">
        <f t="shared" si="99"/>
        <v>1722.94</v>
      </c>
      <c r="AT261" s="165">
        <f t="shared" si="99"/>
        <v>1706.19</v>
      </c>
      <c r="AU261" s="165">
        <f t="shared" si="99"/>
        <v>1727.8899999999999</v>
      </c>
      <c r="AV261" s="165">
        <f t="shared" si="99"/>
        <v>1690.29</v>
      </c>
      <c r="AW261" s="165">
        <f t="shared" si="99"/>
        <v>1359.19</v>
      </c>
      <c r="AX261" s="165">
        <f t="shared" si="99"/>
        <v>1223.79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00">C251</f>
        <v>0.64</v>
      </c>
      <c r="C282" s="168">
        <f t="shared" si="100"/>
        <v>0.64</v>
      </c>
      <c r="D282" s="168">
        <f t="shared" si="100"/>
        <v>0.64</v>
      </c>
      <c r="E282" s="168">
        <f t="shared" si="100"/>
        <v>0.64</v>
      </c>
      <c r="F282" s="168">
        <f t="shared" si="100"/>
        <v>0.64</v>
      </c>
      <c r="G282" s="168">
        <f t="shared" si="100"/>
        <v>0.64</v>
      </c>
      <c r="H282" s="168">
        <f t="shared" si="100"/>
        <v>0.64</v>
      </c>
      <c r="I282" s="168">
        <f t="shared" si="100"/>
        <v>0.64</v>
      </c>
      <c r="J282" s="168">
        <f t="shared" si="100"/>
        <v>0.64</v>
      </c>
      <c r="K282" s="168">
        <f t="shared" si="100"/>
        <v>0.64</v>
      </c>
      <c r="L282" s="168">
        <f t="shared" si="100"/>
        <v>0.64</v>
      </c>
      <c r="M282" s="168">
        <f t="shared" si="100"/>
        <v>0.64</v>
      </c>
      <c r="N282" s="168">
        <f t="shared" si="100"/>
        <v>0.64</v>
      </c>
      <c r="O282" s="168">
        <f t="shared" si="100"/>
        <v>0.64</v>
      </c>
      <c r="P282" s="168">
        <f t="shared" si="100"/>
        <v>0.64</v>
      </c>
      <c r="Q282" s="168">
        <f t="shared" si="100"/>
        <v>0.64</v>
      </c>
      <c r="R282" s="168">
        <f t="shared" si="100"/>
        <v>0.64</v>
      </c>
      <c r="S282" s="168">
        <f t="shared" si="100"/>
        <v>0.64</v>
      </c>
      <c r="T282" s="168">
        <f t="shared" si="100"/>
        <v>0.64</v>
      </c>
      <c r="U282" s="168">
        <f t="shared" si="100"/>
        <v>0.64</v>
      </c>
      <c r="V282" s="168">
        <f t="shared" si="100"/>
        <v>0.64</v>
      </c>
      <c r="W282" s="168">
        <f t="shared" si="100"/>
        <v>0.64</v>
      </c>
      <c r="X282" s="168">
        <f t="shared" si="100"/>
        <v>0.64</v>
      </c>
      <c r="Y282" s="168">
        <f t="shared" si="100"/>
        <v>0.64</v>
      </c>
      <c r="Z282" s="168">
        <f t="shared" si="100"/>
        <v>0.64</v>
      </c>
      <c r="AA282" s="168">
        <f t="shared" si="100"/>
        <v>0.64</v>
      </c>
      <c r="AB282" s="168">
        <f t="shared" si="100"/>
        <v>0.64</v>
      </c>
      <c r="AC282" s="168">
        <f t="shared" si="100"/>
        <v>0.64</v>
      </c>
      <c r="AD282" s="168">
        <f t="shared" si="100"/>
        <v>0.64</v>
      </c>
      <c r="AE282" s="168">
        <f t="shared" si="100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36" type="noConversion"/>
  <conditionalFormatting sqref="A11:A130">
    <cfRule type="expression" dxfId="4815" priority="5">
      <formula>$AH11=0</formula>
    </cfRule>
  </conditionalFormatting>
  <conditionalFormatting sqref="A132:A253">
    <cfRule type="expression" dxfId="4814" priority="10">
      <formula>$AH132=0</formula>
    </cfRule>
  </conditionalFormatting>
  <conditionalFormatting sqref="B8 M8 S8 AB8">
    <cfRule type="expression" dxfId="4813" priority="118">
      <formula>AND(C$9&gt;=14/24,C$9&lt;20/24)</formula>
    </cfRule>
    <cfRule type="expression" dxfId="4812" priority="120">
      <formula>C$9&lt;8/24</formula>
    </cfRule>
    <cfRule type="expression" dxfId="4811" priority="119">
      <formula>AND(C$9&gt;=8/24,C$9&lt;14/24)</formula>
    </cfRule>
  </conditionalFormatting>
  <conditionalFormatting sqref="B63:I74 J64:J74 N69:X73 J69:M74">
    <cfRule type="expression" dxfId="4810" priority="25">
      <formula>B$9&gt;=20/24</formula>
    </cfRule>
    <cfRule type="expression" dxfId="4809" priority="26">
      <formula>AND(B$9&gt;=14/24,B$9&lt;20/24)</formula>
    </cfRule>
    <cfRule type="expression" dxfId="4808" priority="27">
      <formula>AND(B$9&gt;=8/24,B$9&lt;14/24)</formula>
    </cfRule>
    <cfRule type="expression" dxfId="4807" priority="28">
      <formula>B$9&lt;8/24</formula>
    </cfRule>
  </conditionalFormatting>
  <conditionalFormatting sqref="B51:X54">
    <cfRule type="expression" dxfId="4806" priority="19">
      <formula>B51&gt;$AG51</formula>
    </cfRule>
  </conditionalFormatting>
  <conditionalFormatting sqref="B53:X54">
    <cfRule type="expression" dxfId="4805" priority="18">
      <formula>B$9&lt;8/24</formula>
    </cfRule>
  </conditionalFormatting>
  <conditionalFormatting sqref="B55:X55">
    <cfRule type="expression" dxfId="4804" priority="39">
      <formula>B55&gt;$AG55</formula>
    </cfRule>
  </conditionalFormatting>
  <conditionalFormatting sqref="B11:AB50 AC11:AF52 Y51:AB52">
    <cfRule type="expression" dxfId="4803" priority="29">
      <formula>B11&gt;$AG11</formula>
    </cfRule>
  </conditionalFormatting>
  <conditionalFormatting sqref="B9:AF52">
    <cfRule type="expression" dxfId="4802" priority="31">
      <formula>AND(B$9&gt;=14/24,B$9&lt;20/24)</formula>
    </cfRule>
    <cfRule type="expression" dxfId="4801" priority="32">
      <formula>AND(B$9&gt;=8/24,B$9&lt;14/24)</formula>
    </cfRule>
    <cfRule type="expression" dxfId="4800" priority="33">
      <formula>B$9&lt;8/24</formula>
    </cfRule>
    <cfRule type="expression" dxfId="4799" priority="30">
      <formula>B$9&gt;=20/24</formula>
    </cfRule>
  </conditionalFormatting>
  <conditionalFormatting sqref="B53:AF54">
    <cfRule type="expression" dxfId="4798" priority="17">
      <formula>AND(B$9&gt;=8/24,B$9&lt;14/24)</formula>
    </cfRule>
    <cfRule type="expression" dxfId="4797" priority="15">
      <formula>B$9&gt;=20/24</formula>
    </cfRule>
    <cfRule type="expression" dxfId="4796" priority="16">
      <formula>AND(B$9&gt;=14/24,B$9&lt;20/24)</formula>
    </cfRule>
  </conditionalFormatting>
  <conditionalFormatting sqref="B55:AF57">
    <cfRule type="expression" dxfId="4795" priority="35">
      <formula>B$9&gt;=20/24</formula>
    </cfRule>
    <cfRule type="expression" dxfId="4794" priority="36">
      <formula>AND(B$9&gt;=14/24,B$9&lt;20/24)</formula>
    </cfRule>
    <cfRule type="expression" dxfId="4793" priority="37">
      <formula>AND(B$9&gt;=8/24,B$9&lt;14/24)</formula>
    </cfRule>
  </conditionalFormatting>
  <conditionalFormatting sqref="B56:AF61">
    <cfRule type="expression" dxfId="4792" priority="34">
      <formula>B56&gt;$AG56</formula>
    </cfRule>
  </conditionalFormatting>
  <conditionalFormatting sqref="B59:AF61">
    <cfRule type="expression" dxfId="4791" priority="47">
      <formula>AND(B$9&gt;=8/24,B$9&lt;14/24)</formula>
    </cfRule>
    <cfRule type="expression" dxfId="4790" priority="46">
      <formula>AND(B$9&gt;=14/24,B$9&lt;20/24)</formula>
    </cfRule>
    <cfRule type="expression" dxfId="4789" priority="45">
      <formula>B$9&gt;=20/24</formula>
    </cfRule>
    <cfRule type="expression" dxfId="4788" priority="48">
      <formula>B$9&lt;8/24</formula>
    </cfRule>
  </conditionalFormatting>
  <conditionalFormatting sqref="B63:AF74">
    <cfRule type="expression" dxfId="4787" priority="24">
      <formula>B63&gt;$AG63</formula>
    </cfRule>
  </conditionalFormatting>
  <conditionalFormatting sqref="B77:AF79">
    <cfRule type="expression" dxfId="4786" priority="52">
      <formula>AND(B$9&gt;=8/24,B$9&lt;14/24)</formula>
    </cfRule>
    <cfRule type="expression" dxfId="4785" priority="51">
      <formula>AND(B$9&gt;=14/24,B$9&lt;20/24)</formula>
    </cfRule>
    <cfRule type="expression" dxfId="4784" priority="50">
      <formula>B$9&gt;=20/24</formula>
    </cfRule>
    <cfRule type="expression" dxfId="4783" priority="49">
      <formula>B77&gt;$AG77</formula>
    </cfRule>
    <cfRule type="expression" dxfId="4782" priority="53">
      <formula>B$9&lt;8/24</formula>
    </cfRule>
  </conditionalFormatting>
  <conditionalFormatting sqref="B81:AF99">
    <cfRule type="expression" dxfId="4781" priority="22">
      <formula>AND(B$9&gt;=8/24,B$9&lt;14/24)</formula>
    </cfRule>
    <cfRule type="expression" dxfId="4780" priority="20">
      <formula>B$9&gt;=20/24</formula>
    </cfRule>
    <cfRule type="expression" dxfId="4779" priority="23">
      <formula>B$9&lt;8/24</formula>
    </cfRule>
    <cfRule type="expression" dxfId="4778" priority="21">
      <formula>AND(B$9&gt;=14/24,B$9&lt;20/24)</formula>
    </cfRule>
  </conditionalFormatting>
  <conditionalFormatting sqref="B101:AF117">
    <cfRule type="expression" dxfId="4777" priority="11">
      <formula>B$9&gt;=20/24</formula>
    </cfRule>
    <cfRule type="expression" dxfId="4776" priority="12">
      <formula>AND(B$9&gt;=14/24,B$9&lt;20/24)</formula>
    </cfRule>
    <cfRule type="expression" dxfId="4775" priority="13">
      <formula>AND(B$9&gt;=8/24,B$9&lt;14/24)</formula>
    </cfRule>
    <cfRule type="expression" dxfId="4774" priority="14">
      <formula>B$9&lt;8/24</formula>
    </cfRule>
  </conditionalFormatting>
  <conditionalFormatting sqref="B119:AF137">
    <cfRule type="expression" dxfId="4773" priority="9">
      <formula>B$9&lt;8/24</formula>
    </cfRule>
    <cfRule type="expression" dxfId="4772" priority="8">
      <formula>AND(B$9&gt;=8/24,B$9&lt;14/24)</formula>
    </cfRule>
    <cfRule type="expression" dxfId="4771" priority="6">
      <formula>B$9&gt;=20/24</formula>
    </cfRule>
    <cfRule type="expression" dxfId="4770" priority="7">
      <formula>AND(B$9&gt;=14/24,B$9&lt;20/24)</formula>
    </cfRule>
  </conditionalFormatting>
  <conditionalFormatting sqref="B244:AF244 B246:B252 D246:AF252 U260:AF260">
    <cfRule type="expression" dxfId="4769" priority="114">
      <formula>B$9&lt;8/24</formula>
    </cfRule>
    <cfRule type="expression" dxfId="4768" priority="113">
      <formula>AND(B$9&gt;=8/24,B$9&lt;14/24)</formula>
    </cfRule>
    <cfRule type="expression" dxfId="4767" priority="112">
      <formula>AND(B$9&gt;=14/24,B$9&lt;20/24)</formula>
    </cfRule>
    <cfRule type="expression" dxfId="4766" priority="111">
      <formula>B$9&gt;=20/24</formula>
    </cfRule>
  </conditionalFormatting>
  <conditionalFormatting sqref="B62:AG62">
    <cfRule type="expression" dxfId="4765" priority="55">
      <formula>B$9&gt;=20/24</formula>
    </cfRule>
    <cfRule type="expression" dxfId="4764" priority="57">
      <formula>AND(B$9&gt;=8/24,B$9&lt;14/24)</formula>
    </cfRule>
    <cfRule type="expression" dxfId="4763" priority="58">
      <formula>B$9&lt;8/24</formula>
    </cfRule>
    <cfRule type="expression" dxfId="4762" priority="54">
      <formula>B62&gt;$AG62</formula>
    </cfRule>
    <cfRule type="expression" dxfId="4761" priority="56">
      <formula>AND(B$9&gt;=14/24,B$9&lt;20/24)</formula>
    </cfRule>
  </conditionalFormatting>
  <conditionalFormatting sqref="B75:AG76 B80:AG80">
    <cfRule type="expression" dxfId="4760" priority="40">
      <formula>B75&gt;$AG75</formula>
    </cfRule>
  </conditionalFormatting>
  <conditionalFormatting sqref="B80:AG80">
    <cfRule type="expression" dxfId="4759" priority="43">
      <formula>AND(B$9&gt;=8/24,B$9&lt;14/24)</formula>
    </cfRule>
    <cfRule type="expression" dxfId="4758" priority="44">
      <formula>B$9&lt;8/24</formula>
    </cfRule>
    <cfRule type="expression" dxfId="4757" priority="42">
      <formula>AND(B$9&gt;=14/24,B$9&lt;20/24)</formula>
    </cfRule>
    <cfRule type="expression" dxfId="4756" priority="41">
      <formula>B$9&gt;=20/24</formula>
    </cfRule>
  </conditionalFormatting>
  <conditionalFormatting sqref="F63:M65">
    <cfRule type="expression" dxfId="4755" priority="92">
      <formula>F$9&gt;=20/24</formula>
    </cfRule>
    <cfRule type="expression" dxfId="4754" priority="95">
      <formula>F$9&lt;8/24</formula>
    </cfRule>
    <cfRule type="expression" dxfId="4753" priority="93">
      <formula>AND(F$9&gt;=14/24,F$9&lt;20/24)</formula>
    </cfRule>
    <cfRule type="expression" dxfId="4752" priority="94">
      <formula>AND(F$9&gt;=8/24,F$9&lt;14/24)</formula>
    </cfRule>
  </conditionalFormatting>
  <conditionalFormatting sqref="F68:X68">
    <cfRule type="expression" dxfId="4751" priority="69">
      <formula>F$9&gt;=20/24</formula>
    </cfRule>
    <cfRule type="expression" dxfId="4750" priority="70">
      <formula>AND(F$9&gt;=14/24,F$9&lt;20/24)</formula>
    </cfRule>
    <cfRule type="expression" dxfId="4749" priority="71">
      <formula>AND(F$9&gt;=8/24,F$9&lt;14/24)</formula>
    </cfRule>
    <cfRule type="expression" dxfId="4748" priority="72">
      <formula>F$9&lt;8/24</formula>
    </cfRule>
  </conditionalFormatting>
  <conditionalFormatting sqref="F69:AF74">
    <cfRule type="expression" dxfId="4747" priority="59">
      <formula>F$9&gt;=20/24</formula>
    </cfRule>
    <cfRule type="expression" dxfId="4746" priority="60">
      <formula>AND(F$9&gt;=14/24,F$9&lt;20/24)</formula>
    </cfRule>
    <cfRule type="expression" dxfId="4745" priority="61">
      <formula>AND(F$9&gt;=8/24,F$9&lt;14/24)</formula>
    </cfRule>
    <cfRule type="expression" dxfId="4744" priority="62">
      <formula>F$9&lt;8/24</formula>
    </cfRule>
  </conditionalFormatting>
  <conditionalFormatting sqref="M66:M68">
    <cfRule type="expression" dxfId="4743" priority="2">
      <formula>AND(M$9&gt;=14/24,M$9&lt;20/24)</formula>
    </cfRule>
    <cfRule type="expression" dxfId="4742" priority="3">
      <formula>AND(M$9&gt;=8/24,M$9&lt;14/24)</formula>
    </cfRule>
    <cfRule type="expression" dxfId="4741" priority="4">
      <formula>M$9&lt;8/24</formula>
    </cfRule>
    <cfRule type="expression" dxfId="4740" priority="1">
      <formula>M$9&gt;=20/24</formula>
    </cfRule>
  </conditionalFormatting>
  <conditionalFormatting sqref="N55:X56 B55:M57">
    <cfRule type="expression" dxfId="4739" priority="38">
      <formula>B$9&lt;8/24</formula>
    </cfRule>
  </conditionalFormatting>
  <conditionalFormatting sqref="N63:X67">
    <cfRule type="expression" dxfId="4738" priority="99">
      <formula>N$9&lt;8/24</formula>
    </cfRule>
    <cfRule type="expression" dxfId="4737" priority="98">
      <formula>AND(N$9&gt;=8/24,N$9&lt;14/24)</formula>
    </cfRule>
    <cfRule type="expression" dxfId="4736" priority="97">
      <formula>AND(N$9&gt;=14/24,N$9&lt;20/24)</formula>
    </cfRule>
    <cfRule type="expression" dxfId="4735" priority="96">
      <formula>N$9&gt;=20/24</formula>
    </cfRule>
  </conditionalFormatting>
  <conditionalFormatting sqref="O3:P3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734" priority="117">
      <formula>C$9&gt;=20/24</formula>
    </cfRule>
  </conditionalFormatting>
  <conditionalFormatting sqref="S8">
    <cfRule type="expression" dxfId="4733" priority="107">
      <formula>U$9&lt;8/24</formula>
    </cfRule>
    <cfRule type="expression" dxfId="4732" priority="106">
      <formula>AND(U$9&gt;=8/24,U$9&lt;14/24)</formula>
    </cfRule>
    <cfRule type="expression" dxfId="4731" priority="105">
      <formula>AND(U$9&gt;=14/24,U$9&lt;20/24)</formula>
    </cfRule>
    <cfRule type="expression" dxfId="4730" priority="104">
      <formula>U$9&gt;=20/24</formula>
    </cfRule>
  </conditionalFormatting>
  <conditionalFormatting sqref="T260">
    <cfRule type="expression" dxfId="4729" priority="132">
      <formula>AX$9&lt;8/24</formula>
    </cfRule>
    <cfRule type="expression" dxfId="4728" priority="129">
      <formula>AX$9&gt;=20/24</formula>
    </cfRule>
    <cfRule type="expression" dxfId="4727" priority="130">
      <formula>AND(AX$9&gt;=14/24,AX$9&lt;20/24)</formula>
    </cfRule>
    <cfRule type="expression" dxfId="4726" priority="131">
      <formula>AND(AX$9&gt;=8/24,AX$9&lt;14/24)</formula>
    </cfRule>
  </conditionalFormatting>
  <conditionalFormatting sqref="V3 AB3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Y53:AF55">
    <cfRule type="expression" dxfId="4725" priority="68">
      <formula>Y53&gt;$AG53</formula>
    </cfRule>
  </conditionalFormatting>
  <conditionalFormatting sqref="Y53:AF57 B56:Q56 R56:X57 N57:Q57">
    <cfRule type="expression" dxfId="4724" priority="67">
      <formula>B$9&lt;8/24</formula>
    </cfRule>
  </conditionalFormatting>
  <conditionalFormatting sqref="Y63:AF68">
    <cfRule type="expression" dxfId="4723" priority="66">
      <formula>Y$9&lt;8/24</formula>
    </cfRule>
    <cfRule type="expression" dxfId="4722" priority="65">
      <formula>AND(Y$9&gt;=8/24,Y$9&lt;14/24)</formula>
    </cfRule>
    <cfRule type="expression" dxfId="4721" priority="63">
      <formula>Y$9&gt;=20/24</formula>
    </cfRule>
    <cfRule type="expression" dxfId="4720" priority="64">
      <formula>AND(Y$9&gt;=14/24,Y$9&lt;20/24)</formula>
    </cfRule>
  </conditionalFormatting>
  <conditionalFormatting sqref="AB8">
    <cfRule type="expression" dxfId="4719" priority="100">
      <formula>AD$9&gt;=20/24</formula>
    </cfRule>
    <cfRule type="expression" dxfId="4718" priority="101">
      <formula>AND(AD$9&gt;=14/24,AD$9&lt;20/24)</formula>
    </cfRule>
    <cfRule type="expression" dxfId="4717" priority="102">
      <formula>AND(AD$9&gt;=8/24,AD$9&lt;14/24)</formula>
    </cfRule>
    <cfRule type="expression" dxfId="4716" priority="103">
      <formula>AD$9&lt;8/24</formula>
    </cfRule>
  </conditionalFormatting>
  <conditionalFormatting sqref="AG58">
    <cfRule type="expression" dxfId="4715" priority="87">
      <formula>AG58&gt;$AG58</formula>
    </cfRule>
  </conditionalFormatting>
  <conditionalFormatting sqref="AG97">
    <cfRule type="expression" dxfId="4714" priority="89">
      <formula>AND(AG$9&gt;=14/24,AG$9&lt;20/24)</formula>
    </cfRule>
    <cfRule type="expression" dxfId="4713" priority="90">
      <formula>AND(AG$9&gt;=8/24,AG$9&lt;14/24)</formula>
    </cfRule>
    <cfRule type="expression" dxfId="4712" priority="91">
      <formula>AG$9&lt;8/24</formula>
    </cfRule>
    <cfRule type="expression" dxfId="4711" priority="88">
      <formula>AG$9&gt;=20/24</formula>
    </cfRule>
  </conditionalFormatting>
  <conditionalFormatting sqref="AG260">
    <cfRule type="expression" dxfId="4710" priority="124">
      <formula>B$9&lt;8/24</formula>
    </cfRule>
    <cfRule type="expression" dxfId="4709" priority="121">
      <formula>B$9&gt;=20/24</formula>
    </cfRule>
    <cfRule type="expression" dxfId="4708" priority="122">
      <formula>AND(B$9&gt;=14/24,B$9&lt;20/24)</formula>
    </cfRule>
    <cfRule type="expression" dxfId="4707" priority="123">
      <formula>AND(B$9&gt;=8/24,B$9&lt;14/24)</formula>
    </cfRule>
  </conditionalFormatting>
  <conditionalFormatting sqref="AH260:AX260">
    <cfRule type="expression" dxfId="4706" priority="125">
      <formula>AG$9&gt;=20/24</formula>
    </cfRule>
    <cfRule type="expression" dxfId="4705" priority="126">
      <formula>AND(AG$9&gt;=14/24,AG$9&lt;20/24)</formula>
    </cfRule>
    <cfRule type="expression" dxfId="4704" priority="127">
      <formula>AND(AG$9&gt;=8/24,AG$9&lt;14/24)</formula>
    </cfRule>
    <cfRule type="expression" dxfId="4703" priority="128">
      <formula>AG$9&lt;8/24</formula>
    </cfRule>
  </conditionalFormatting>
  <conditionalFormatting sqref="AL4:AL6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702" priority="134">
      <formula>AJ$9&gt;=20/24</formula>
    </cfRule>
    <cfRule type="expression" dxfId="4701" priority="135">
      <formula>AND(AJ$9&gt;=14/24,AJ$9&lt;20/24)</formula>
    </cfRule>
    <cfRule type="expression" dxfId="4700" priority="136">
      <formula>AND(AJ$9&gt;=8/24,AJ$9&lt;14/24)</formula>
    </cfRule>
    <cfRule type="expression" dxfId="4699" priority="137">
      <formula>AJ$9&lt;8/24</formula>
    </cfRule>
  </conditionalFormatting>
  <conditionalFormatting sqref="AL88:AN88 AL94:AN94">
    <cfRule type="expression" dxfId="4698" priority="81">
      <formula>AND(AL$9&gt;=14/24,AL$9&lt;20/24)</formula>
    </cfRule>
    <cfRule type="expression" dxfId="4697" priority="80">
      <formula>AL$9&gt;=20/24</formula>
    </cfRule>
    <cfRule type="expression" dxfId="4696" priority="83">
      <formula>AL$9&lt;8/24</formula>
    </cfRule>
    <cfRule type="expression" dxfId="4695" priority="82">
      <formula>AND(AL$9&gt;=8/24,AL$9&lt;14/24)</formula>
    </cfRule>
  </conditionalFormatting>
  <conditionalFormatting sqref="AN89:AN92">
    <cfRule type="expression" dxfId="4694" priority="79">
      <formula>AN$9&lt;8/24</formula>
    </cfRule>
    <cfRule type="expression" dxfId="4693" priority="78">
      <formula>AND(AN$9&gt;=8/24,AN$9&lt;14/24)</formula>
    </cfRule>
    <cfRule type="expression" dxfId="4692" priority="76">
      <formula>AN$9&gt;=20/24</formula>
    </cfRule>
    <cfRule type="expression" dxfId="4691" priority="77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6EA0-6917-45D0-BF84-C5B3F25CC4A9}">
  <dimension ref="A1:DL293"/>
  <sheetViews>
    <sheetView tabSelected="1" zoomScale="85" zoomScaleNormal="85" workbookViewId="0">
      <pane xSplit="1" ySplit="10" topLeftCell="B22" activePane="bottomRight" state="frozen"/>
      <selection activeCell="Z63" sqref="Z63"/>
      <selection pane="topRight" activeCell="Z63" sqref="Z63"/>
      <selection pane="bottomLeft" activeCell="Z63" sqref="Z63"/>
      <selection pane="bottomRight" activeCell="B9" sqref="B9:AF1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11.140625" style="1" customWidth="1"/>
    <col min="59" max="16384" width="9.140625" style="1"/>
  </cols>
  <sheetData>
    <row r="1" spans="1:116" ht="36" hidden="1" customHeight="1" thickBo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116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116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</row>
    <row r="4" spans="1:116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</v>
      </c>
      <c r="C4" s="272"/>
      <c r="D4" s="272"/>
      <c r="E4" s="273" t="str">
        <f ca="1">"2080/"&amp;"10/"&amp;INT(MID(CELL("filename",G6),FIND("]",CELL("filename",G6))+1,200))</f>
        <v>2080/10/1</v>
      </c>
      <c r="F4" s="273"/>
      <c r="G4" s="273"/>
      <c r="H4" s="273" t="str">
        <f ca="1">TEXT(E4,"dddd")</f>
        <v>Tuesday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</row>
    <row r="5" spans="1:116" ht="15.75" hidden="1" customHeight="1" x14ac:dyDescent="0.25">
      <c r="A5" s="29"/>
      <c r="B5" s="30">
        <f t="shared" ref="B5:AE5" si="0">C92</f>
        <v>598</v>
      </c>
      <c r="C5" s="30">
        <f t="shared" si="0"/>
        <v>559.6</v>
      </c>
      <c r="D5" s="30">
        <f t="shared" si="0"/>
        <v>566.1</v>
      </c>
      <c r="E5" s="30">
        <f t="shared" si="0"/>
        <v>571.9</v>
      </c>
      <c r="F5" s="30">
        <f t="shared" si="0"/>
        <v>541.1</v>
      </c>
      <c r="G5" s="30">
        <f t="shared" si="0"/>
        <v>564.79999999999995</v>
      </c>
      <c r="H5" s="30">
        <f t="shared" si="0"/>
        <v>532.9</v>
      </c>
      <c r="I5" s="30">
        <f t="shared" si="0"/>
        <v>618.1</v>
      </c>
      <c r="J5" s="30">
        <f t="shared" si="0"/>
        <v>350.9</v>
      </c>
      <c r="K5" s="30">
        <f t="shared" si="0"/>
        <v>225.5</v>
      </c>
      <c r="L5" s="30">
        <f t="shared" si="0"/>
        <v>180.3</v>
      </c>
      <c r="M5" s="30">
        <f t="shared" si="0"/>
        <v>274.70000000000005</v>
      </c>
      <c r="N5" s="30">
        <f t="shared" si="0"/>
        <v>397.40000000000003</v>
      </c>
      <c r="O5" s="30">
        <f t="shared" si="0"/>
        <v>655.8</v>
      </c>
      <c r="P5" s="30">
        <f t="shared" si="0"/>
        <v>718.9</v>
      </c>
      <c r="Q5" s="30">
        <f t="shared" si="0"/>
        <v>713.1</v>
      </c>
      <c r="R5" s="30">
        <f t="shared" si="0"/>
        <v>707.9</v>
      </c>
      <c r="S5" s="30">
        <f t="shared" si="0"/>
        <v>783</v>
      </c>
      <c r="T5" s="30">
        <f t="shared" si="0"/>
        <v>745.5</v>
      </c>
      <c r="U5" s="30">
        <f t="shared" si="0"/>
        <v>483</v>
      </c>
      <c r="V5" s="30">
        <f t="shared" si="0"/>
        <v>525.5</v>
      </c>
      <c r="W5" s="30">
        <f t="shared" si="0"/>
        <v>379.4</v>
      </c>
      <c r="X5" s="30">
        <f t="shared" si="0"/>
        <v>384.7</v>
      </c>
      <c r="Y5" s="30">
        <f t="shared" si="0"/>
        <v>310</v>
      </c>
      <c r="Z5" s="30">
        <f t="shared" si="0"/>
        <v>322</v>
      </c>
      <c r="AA5" s="30">
        <f t="shared" si="0"/>
        <v>415.5</v>
      </c>
      <c r="AB5" s="30">
        <f t="shared" si="0"/>
        <v>504.1</v>
      </c>
      <c r="AC5" s="30">
        <f t="shared" si="0"/>
        <v>656.5</v>
      </c>
      <c r="AD5" s="30">
        <f t="shared" si="0"/>
        <v>635.80000000000007</v>
      </c>
      <c r="AE5" s="30">
        <f t="shared" si="0"/>
        <v>574.9</v>
      </c>
      <c r="AF5" s="30">
        <f>B92</f>
        <v>556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</row>
    <row r="6" spans="1:116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1791MW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</row>
    <row r="7" spans="1:116" ht="16.5" thickBot="1" x14ac:dyDescent="0.3">
      <c r="A7" s="34" t="str">
        <f>"Base Load="&amp;ROUND(MIN($B$7:$AF$7),0)</f>
        <v>Base Load=1157</v>
      </c>
      <c r="B7" s="35">
        <f>B100</f>
        <v>1157.29</v>
      </c>
      <c r="C7" s="35">
        <f t="shared" ref="C7:AF7" si="1">C100</f>
        <v>1199.29</v>
      </c>
      <c r="D7" s="35">
        <f t="shared" si="1"/>
        <v>1160.8899999999999</v>
      </c>
      <c r="E7" s="35">
        <f t="shared" si="1"/>
        <v>1167.69</v>
      </c>
      <c r="F7" s="35">
        <f t="shared" si="1"/>
        <v>1185.19</v>
      </c>
      <c r="G7" s="35">
        <f t="shared" si="1"/>
        <v>1224.8899999999999</v>
      </c>
      <c r="H7" s="35">
        <f t="shared" si="1"/>
        <v>1342.59</v>
      </c>
      <c r="I7" s="35">
        <f t="shared" si="1"/>
        <v>1325.69</v>
      </c>
      <c r="J7" s="35">
        <f t="shared" si="1"/>
        <v>1572.71</v>
      </c>
      <c r="K7" s="35">
        <f t="shared" si="1"/>
        <v>1507.31</v>
      </c>
      <c r="L7" s="35">
        <f t="shared" si="1"/>
        <v>1529.89</v>
      </c>
      <c r="M7" s="35">
        <f t="shared" si="1"/>
        <v>1791.09</v>
      </c>
      <c r="N7" s="35">
        <f t="shared" si="1"/>
        <v>1589.59</v>
      </c>
      <c r="O7" s="35">
        <f t="shared" si="1"/>
        <v>1584.99</v>
      </c>
      <c r="P7" s="35">
        <f t="shared" si="1"/>
        <v>1388.19</v>
      </c>
      <c r="Q7" s="35">
        <f t="shared" si="1"/>
        <v>1496.79</v>
      </c>
      <c r="R7" s="35">
        <f t="shared" si="1"/>
        <v>1479.5900000000001</v>
      </c>
      <c r="S7" s="35">
        <f t="shared" si="1"/>
        <v>1473.0900000000001</v>
      </c>
      <c r="T7" s="35">
        <f t="shared" si="1"/>
        <v>1503.79</v>
      </c>
      <c r="U7" s="35">
        <f t="shared" si="1"/>
        <v>1462.49</v>
      </c>
      <c r="V7" s="35">
        <f t="shared" si="1"/>
        <v>1331.69</v>
      </c>
      <c r="W7" s="35">
        <f t="shared" si="1"/>
        <v>1528.69</v>
      </c>
      <c r="X7" s="35">
        <f t="shared" si="1"/>
        <v>1707.19</v>
      </c>
      <c r="Y7" s="35">
        <f t="shared" si="1"/>
        <v>1808.99</v>
      </c>
      <c r="Z7" s="35">
        <f t="shared" si="1"/>
        <v>1770.95</v>
      </c>
      <c r="AA7" s="35">
        <f t="shared" si="1"/>
        <v>1743.29</v>
      </c>
      <c r="AB7" s="35">
        <f t="shared" si="1"/>
        <v>1697.99</v>
      </c>
      <c r="AC7" s="35">
        <f t="shared" si="1"/>
        <v>1746.5900000000001</v>
      </c>
      <c r="AD7" s="35">
        <f t="shared" si="1"/>
        <v>1542.79</v>
      </c>
      <c r="AE7" s="35">
        <f t="shared" si="1"/>
        <v>1362.29</v>
      </c>
      <c r="AF7" s="35">
        <f t="shared" si="1"/>
        <v>1233.0900000000001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</row>
    <row r="8" spans="1:116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</row>
    <row r="9" spans="1:116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</row>
    <row r="10" spans="1:116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</row>
    <row r="11" spans="1:116" ht="15.75" thickTop="1" x14ac:dyDescent="0.25">
      <c r="A11" s="44" t="s">
        <v>19</v>
      </c>
      <c r="B11" s="45">
        <v>30.5</v>
      </c>
      <c r="C11" s="45">
        <v>30.5</v>
      </c>
      <c r="D11" s="45">
        <v>30.5</v>
      </c>
      <c r="E11" s="45">
        <v>29.5</v>
      </c>
      <c r="F11" s="45">
        <v>29</v>
      </c>
      <c r="G11" s="45">
        <v>28.9</v>
      </c>
      <c r="H11" s="45">
        <v>28.9</v>
      </c>
      <c r="I11" s="45">
        <v>28.9</v>
      </c>
      <c r="J11" s="45">
        <v>28.9</v>
      </c>
      <c r="K11" s="45">
        <v>28.9</v>
      </c>
      <c r="L11" s="45">
        <v>28.9</v>
      </c>
      <c r="M11" s="45">
        <v>28.9</v>
      </c>
      <c r="N11" s="45">
        <v>27.6</v>
      </c>
      <c r="O11" s="45">
        <v>25.3</v>
      </c>
      <c r="P11" s="45">
        <v>26.2</v>
      </c>
      <c r="Q11" s="45">
        <v>26.3</v>
      </c>
      <c r="R11" s="45">
        <v>28.3</v>
      </c>
      <c r="S11" s="45">
        <v>28.3</v>
      </c>
      <c r="T11" s="45">
        <v>28.3</v>
      </c>
      <c r="U11" s="45">
        <v>28.3</v>
      </c>
      <c r="V11" s="45">
        <v>28.3</v>
      </c>
      <c r="W11" s="45">
        <v>28.3</v>
      </c>
      <c r="X11" s="45">
        <v>28.3</v>
      </c>
      <c r="Y11" s="45">
        <v>28.3</v>
      </c>
      <c r="Z11" s="45">
        <v>15</v>
      </c>
      <c r="AA11" s="45">
        <v>28.3</v>
      </c>
      <c r="AB11" s="45">
        <v>28.3</v>
      </c>
      <c r="AC11" s="45">
        <v>28.3</v>
      </c>
      <c r="AD11" s="45">
        <v>28.3</v>
      </c>
      <c r="AE11" s="45">
        <v>28.3</v>
      </c>
      <c r="AF11" s="45">
        <v>28.3</v>
      </c>
      <c r="AG11" s="46">
        <v>86</v>
      </c>
      <c r="AH11" s="47">
        <f t="shared" ref="AH11:AH84" si="2">MAX(B11:AF11)</f>
        <v>30.5</v>
      </c>
      <c r="AI11" s="48">
        <f t="shared" ref="AI11:AI84" si="3">MIN(B11:AF11)</f>
        <v>15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</row>
    <row r="12" spans="1:116" x14ac:dyDescent="0.25">
      <c r="A12" s="44" t="s">
        <v>261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</row>
    <row r="13" spans="1:116" x14ac:dyDescent="0.25">
      <c r="A13" s="44" t="s">
        <v>20</v>
      </c>
      <c r="B13" s="45">
        <v>10.3</v>
      </c>
      <c r="C13" s="45">
        <v>10.3</v>
      </c>
      <c r="D13" s="45">
        <v>10.3</v>
      </c>
      <c r="E13" s="45">
        <v>10.3</v>
      </c>
      <c r="F13" s="45">
        <v>10.3</v>
      </c>
      <c r="G13" s="45">
        <v>10.3</v>
      </c>
      <c r="H13" s="45">
        <v>10.3</v>
      </c>
      <c r="I13" s="45">
        <v>10.3</v>
      </c>
      <c r="J13" s="45">
        <v>10.3</v>
      </c>
      <c r="K13" s="45">
        <v>10.3</v>
      </c>
      <c r="L13" s="45">
        <v>10.3</v>
      </c>
      <c r="M13" s="45">
        <v>10.3</v>
      </c>
      <c r="N13" s="45">
        <v>10.3</v>
      </c>
      <c r="O13" s="45">
        <v>10.3</v>
      </c>
      <c r="P13" s="45">
        <v>10.3</v>
      </c>
      <c r="Q13" s="45">
        <v>10.3</v>
      </c>
      <c r="R13" s="45">
        <v>10.3</v>
      </c>
      <c r="S13" s="45">
        <v>10.3</v>
      </c>
      <c r="T13" s="45">
        <v>10.3</v>
      </c>
      <c r="U13" s="45">
        <v>10.3</v>
      </c>
      <c r="V13" s="45">
        <v>10.3</v>
      </c>
      <c r="W13" s="45">
        <v>10.3</v>
      </c>
      <c r="X13" s="45">
        <v>10.3</v>
      </c>
      <c r="Y13" s="45">
        <v>10.3</v>
      </c>
      <c r="Z13" s="45">
        <v>10.3</v>
      </c>
      <c r="AA13" s="45">
        <v>10.3</v>
      </c>
      <c r="AB13" s="45">
        <v>10.3</v>
      </c>
      <c r="AC13" s="45">
        <v>10.3</v>
      </c>
      <c r="AD13" s="45">
        <v>10.3</v>
      </c>
      <c r="AE13" s="45">
        <v>10.3</v>
      </c>
      <c r="AF13" s="45">
        <v>10.3</v>
      </c>
      <c r="AG13" s="49">
        <v>54</v>
      </c>
      <c r="AH13" s="47">
        <f t="shared" si="2"/>
        <v>10.3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</row>
    <row r="14" spans="1:116" x14ac:dyDescent="0.25">
      <c r="A14" s="44" t="s">
        <v>21</v>
      </c>
      <c r="B14" s="45">
        <v>16.399999999999999</v>
      </c>
      <c r="C14" s="45">
        <v>16.399999999999999</v>
      </c>
      <c r="D14" s="45">
        <v>16.399999999999999</v>
      </c>
      <c r="E14" s="45">
        <v>16.399999999999999</v>
      </c>
      <c r="F14" s="45">
        <v>16.399999999999999</v>
      </c>
      <c r="G14" s="45">
        <v>15.3</v>
      </c>
      <c r="H14" s="45">
        <v>15.3</v>
      </c>
      <c r="I14" s="45">
        <v>15.3</v>
      </c>
      <c r="J14" s="45">
        <v>15.3</v>
      </c>
      <c r="K14" s="45">
        <v>15.3</v>
      </c>
      <c r="L14" s="45">
        <v>15.3</v>
      </c>
      <c r="M14" s="45">
        <v>15.3</v>
      </c>
      <c r="N14" s="45">
        <v>15.3</v>
      </c>
      <c r="O14" s="45">
        <v>15.3</v>
      </c>
      <c r="P14" s="45">
        <v>15.3</v>
      </c>
      <c r="Q14" s="45">
        <v>15.3</v>
      </c>
      <c r="R14" s="45">
        <v>15.3</v>
      </c>
      <c r="S14" s="45">
        <v>15.3</v>
      </c>
      <c r="T14" s="45">
        <v>15.3</v>
      </c>
      <c r="U14" s="45">
        <v>15.3</v>
      </c>
      <c r="V14" s="45">
        <v>15.3</v>
      </c>
      <c r="W14" s="45">
        <v>15.3</v>
      </c>
      <c r="X14" s="45">
        <v>15.3</v>
      </c>
      <c r="Y14" s="45">
        <v>15.3</v>
      </c>
      <c r="Z14" s="45">
        <v>15.3</v>
      </c>
      <c r="AA14" s="45">
        <v>15.3</v>
      </c>
      <c r="AB14" s="45">
        <v>15.3</v>
      </c>
      <c r="AC14" s="45">
        <v>15.3</v>
      </c>
      <c r="AD14" s="45">
        <v>15.3</v>
      </c>
      <c r="AE14" s="45">
        <v>15.3</v>
      </c>
      <c r="AF14" s="45">
        <v>15.3</v>
      </c>
      <c r="AG14" s="46">
        <v>52.4</v>
      </c>
      <c r="AH14" s="47">
        <f t="shared" si="2"/>
        <v>16.399999999999999</v>
      </c>
      <c r="AI14" s="48">
        <f t="shared" si="3"/>
        <v>15.3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</row>
    <row r="15" spans="1:116" x14ac:dyDescent="0.25">
      <c r="A15" s="44" t="s">
        <v>22</v>
      </c>
      <c r="B15" s="45">
        <v>28.3</v>
      </c>
      <c r="C15" s="45">
        <v>28.3</v>
      </c>
      <c r="D15" s="45">
        <v>28.3</v>
      </c>
      <c r="E15" s="45">
        <v>28.3</v>
      </c>
      <c r="F15" s="45">
        <v>28.3</v>
      </c>
      <c r="G15" s="45">
        <v>29.1</v>
      </c>
      <c r="H15" s="45">
        <v>29.1</v>
      </c>
      <c r="I15" s="45">
        <v>29.1</v>
      </c>
      <c r="J15" s="45">
        <v>29.1</v>
      </c>
      <c r="K15" s="45">
        <v>29.1</v>
      </c>
      <c r="L15" s="45">
        <v>29.1</v>
      </c>
      <c r="M15" s="45">
        <v>29.1</v>
      </c>
      <c r="N15" s="45">
        <v>29.1</v>
      </c>
      <c r="O15" s="45">
        <v>29.1</v>
      </c>
      <c r="P15" s="45">
        <v>29.1</v>
      </c>
      <c r="Q15" s="45">
        <v>29.1</v>
      </c>
      <c r="R15" s="45">
        <v>29.1</v>
      </c>
      <c r="S15" s="45">
        <v>29.1</v>
      </c>
      <c r="T15" s="45">
        <v>29.1</v>
      </c>
      <c r="U15" s="45">
        <v>29.1</v>
      </c>
      <c r="V15" s="45">
        <v>29.1</v>
      </c>
      <c r="W15" s="45">
        <v>29.1</v>
      </c>
      <c r="X15" s="45">
        <v>29.1</v>
      </c>
      <c r="Y15" s="45">
        <v>29.1</v>
      </c>
      <c r="Z15" s="45">
        <v>29.1</v>
      </c>
      <c r="AA15" s="45">
        <v>29.1</v>
      </c>
      <c r="AB15" s="45">
        <v>29.1</v>
      </c>
      <c r="AC15" s="45">
        <v>29.1</v>
      </c>
      <c r="AD15" s="45">
        <v>29.1</v>
      </c>
      <c r="AE15" s="45">
        <v>29.1</v>
      </c>
      <c r="AF15" s="45">
        <v>29.1</v>
      </c>
      <c r="AG15" s="49">
        <v>50</v>
      </c>
      <c r="AH15" s="47">
        <f t="shared" si="2"/>
        <v>29.1</v>
      </c>
      <c r="AI15" s="48">
        <f t="shared" si="3"/>
        <v>28.3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</row>
    <row r="16" spans="1:116" x14ac:dyDescent="0.25">
      <c r="A16" s="44" t="s">
        <v>23</v>
      </c>
      <c r="B16" s="45">
        <v>17.2</v>
      </c>
      <c r="C16" s="45">
        <v>17.2</v>
      </c>
      <c r="D16" s="45">
        <v>17.2</v>
      </c>
      <c r="E16" s="45">
        <v>17.2</v>
      </c>
      <c r="F16" s="45">
        <v>17.2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16.600000000000001</v>
      </c>
      <c r="AC16" s="45">
        <v>16.600000000000001</v>
      </c>
      <c r="AD16" s="45">
        <v>16.600000000000001</v>
      </c>
      <c r="AE16" s="45">
        <v>16.600000000000001</v>
      </c>
      <c r="AF16" s="45">
        <v>16.600000000000001</v>
      </c>
      <c r="AG16" s="49">
        <v>45</v>
      </c>
      <c r="AH16" s="47">
        <f t="shared" si="2"/>
        <v>17.2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</row>
    <row r="17" spans="1:116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</row>
    <row r="18" spans="1:116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49">
        <v>42</v>
      </c>
      <c r="AH18" s="47">
        <f t="shared" si="2"/>
        <v>8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</row>
    <row r="19" spans="1:116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</row>
    <row r="20" spans="1:116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</row>
    <row r="21" spans="1:116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</row>
    <row r="22" spans="1:116" x14ac:dyDescent="0.25">
      <c r="A22" s="44" t="s">
        <v>28</v>
      </c>
      <c r="B22" s="45">
        <v>8.8000000000000007</v>
      </c>
      <c r="C22" s="45">
        <v>8.8000000000000007</v>
      </c>
      <c r="D22" s="45">
        <v>8.8000000000000007</v>
      </c>
      <c r="E22" s="45">
        <v>8.8000000000000007</v>
      </c>
      <c r="F22" s="45">
        <v>8.8000000000000007</v>
      </c>
      <c r="G22" s="45">
        <v>8.8000000000000007</v>
      </c>
      <c r="H22" s="45">
        <v>8.8000000000000007</v>
      </c>
      <c r="I22" s="45">
        <v>8.8000000000000007</v>
      </c>
      <c r="J22" s="45">
        <v>8.8000000000000007</v>
      </c>
      <c r="K22" s="45">
        <v>8.8000000000000007</v>
      </c>
      <c r="L22" s="45">
        <v>8.8000000000000007</v>
      </c>
      <c r="M22" s="45">
        <v>8.8000000000000007</v>
      </c>
      <c r="N22" s="45">
        <v>8.8000000000000007</v>
      </c>
      <c r="O22" s="45">
        <v>8.8000000000000007</v>
      </c>
      <c r="P22" s="45">
        <v>8.8000000000000007</v>
      </c>
      <c r="Q22" s="45">
        <v>8.8000000000000007</v>
      </c>
      <c r="R22" s="45">
        <v>8.8000000000000007</v>
      </c>
      <c r="S22" s="45">
        <v>8.8000000000000007</v>
      </c>
      <c r="T22" s="45">
        <v>8.8000000000000007</v>
      </c>
      <c r="U22" s="45">
        <v>8.8000000000000007</v>
      </c>
      <c r="V22" s="45">
        <v>8.8000000000000007</v>
      </c>
      <c r="W22" s="45">
        <v>8.8000000000000007</v>
      </c>
      <c r="X22" s="45">
        <v>8.8000000000000007</v>
      </c>
      <c r="Y22" s="45">
        <v>8.8000000000000007</v>
      </c>
      <c r="Z22" s="45">
        <v>8.8000000000000007</v>
      </c>
      <c r="AA22" s="45">
        <v>8.8000000000000007</v>
      </c>
      <c r="AB22" s="45">
        <v>8.8000000000000007</v>
      </c>
      <c r="AC22" s="45">
        <v>8.8000000000000007</v>
      </c>
      <c r="AD22" s="45">
        <v>8.8000000000000007</v>
      </c>
      <c r="AE22" s="45">
        <v>8.8000000000000007</v>
      </c>
      <c r="AF22" s="45">
        <v>8.8000000000000007</v>
      </c>
      <c r="AG22" s="52">
        <v>30</v>
      </c>
      <c r="AH22" s="47">
        <f t="shared" si="2"/>
        <v>8.8000000000000007</v>
      </c>
      <c r="AI22" s="48">
        <f t="shared" si="3"/>
        <v>8.8000000000000007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</row>
    <row r="23" spans="1:116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</row>
    <row r="24" spans="1:116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2"/>
        <v>7.2</v>
      </c>
      <c r="AI24" s="48">
        <f t="shared" si="3"/>
        <v>7.2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</row>
    <row r="25" spans="1:116" x14ac:dyDescent="0.25">
      <c r="A25" s="44" t="s">
        <v>31</v>
      </c>
      <c r="B25" s="45">
        <v>6.7</v>
      </c>
      <c r="C25" s="45">
        <v>6.7</v>
      </c>
      <c r="D25" s="45">
        <v>6.7</v>
      </c>
      <c r="E25" s="45">
        <v>6.7</v>
      </c>
      <c r="F25" s="45">
        <v>6.7</v>
      </c>
      <c r="G25" s="45">
        <v>6.7</v>
      </c>
      <c r="H25" s="45">
        <v>6.7</v>
      </c>
      <c r="I25" s="45">
        <v>6.7</v>
      </c>
      <c r="J25" s="45">
        <v>6.7</v>
      </c>
      <c r="K25" s="45">
        <v>6.7</v>
      </c>
      <c r="L25" s="45">
        <v>6.7</v>
      </c>
      <c r="M25" s="45">
        <v>6.7</v>
      </c>
      <c r="N25" s="45">
        <v>6.7</v>
      </c>
      <c r="O25" s="45">
        <v>6.7</v>
      </c>
      <c r="P25" s="45">
        <v>6.7</v>
      </c>
      <c r="Q25" s="45">
        <v>6.7</v>
      </c>
      <c r="R25" s="45">
        <v>6.7</v>
      </c>
      <c r="S25" s="45">
        <v>6.7</v>
      </c>
      <c r="T25" s="45">
        <v>6.7</v>
      </c>
      <c r="U25" s="45">
        <v>6.7</v>
      </c>
      <c r="V25" s="45">
        <v>6.7</v>
      </c>
      <c r="W25" s="45">
        <v>6.7</v>
      </c>
      <c r="X25" s="45">
        <v>6.7</v>
      </c>
      <c r="Y25" s="45">
        <v>6.7</v>
      </c>
      <c r="Z25" s="45">
        <v>6.7</v>
      </c>
      <c r="AA25" s="45">
        <v>6.7</v>
      </c>
      <c r="AB25" s="45">
        <v>6.7</v>
      </c>
      <c r="AC25" s="45">
        <v>6.7</v>
      </c>
      <c r="AD25" s="45">
        <v>6.7</v>
      </c>
      <c r="AE25" s="45">
        <v>6.7</v>
      </c>
      <c r="AF25" s="45">
        <v>6.7</v>
      </c>
      <c r="AG25" s="52">
        <v>30</v>
      </c>
      <c r="AH25" s="47">
        <f t="shared" si="2"/>
        <v>6.7</v>
      </c>
      <c r="AI25" s="48">
        <f t="shared" si="3"/>
        <v>6.7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</row>
    <row r="26" spans="1:116" x14ac:dyDescent="0.25">
      <c r="A26" s="44" t="s">
        <v>32</v>
      </c>
      <c r="B26" s="45">
        <v>8.1999999999999993</v>
      </c>
      <c r="C26" s="45">
        <v>8.1999999999999993</v>
      </c>
      <c r="D26" s="45">
        <v>8.1999999999999993</v>
      </c>
      <c r="E26" s="45">
        <v>8.1999999999999993</v>
      </c>
      <c r="F26" s="45">
        <v>8.1999999999999993</v>
      </c>
      <c r="G26" s="45">
        <v>8.1999999999999993</v>
      </c>
      <c r="H26" s="45">
        <v>8.1999999999999993</v>
      </c>
      <c r="I26" s="45">
        <v>8.1999999999999993</v>
      </c>
      <c r="J26" s="45">
        <v>8.1999999999999993</v>
      </c>
      <c r="K26" s="45">
        <v>8.1999999999999993</v>
      </c>
      <c r="L26" s="45">
        <v>8.1999999999999993</v>
      </c>
      <c r="M26" s="45">
        <v>8.1999999999999993</v>
      </c>
      <c r="N26" s="45">
        <v>8.1999999999999993</v>
      </c>
      <c r="O26" s="45">
        <v>8.1999999999999993</v>
      </c>
      <c r="P26" s="45">
        <v>8.1999999999999993</v>
      </c>
      <c r="Q26" s="45">
        <v>8.1999999999999993</v>
      </c>
      <c r="R26" s="45">
        <v>8.1999999999999993</v>
      </c>
      <c r="S26" s="45">
        <v>8.1999999999999993</v>
      </c>
      <c r="T26" s="45">
        <v>8.1999999999999993</v>
      </c>
      <c r="U26" s="45">
        <v>8.1999999999999993</v>
      </c>
      <c r="V26" s="45">
        <v>8.1999999999999993</v>
      </c>
      <c r="W26" s="45">
        <v>8.1999999999999993</v>
      </c>
      <c r="X26" s="45">
        <v>8.1999999999999993</v>
      </c>
      <c r="Y26" s="45">
        <v>8.1999999999999993</v>
      </c>
      <c r="Z26" s="45">
        <v>8.1999999999999993</v>
      </c>
      <c r="AA26" s="45">
        <v>8.1999999999999993</v>
      </c>
      <c r="AB26" s="45">
        <v>8.1999999999999993</v>
      </c>
      <c r="AC26" s="45">
        <v>8.1999999999999993</v>
      </c>
      <c r="AD26" s="45">
        <v>8.1999999999999993</v>
      </c>
      <c r="AE26" s="45">
        <v>8.1999999999999993</v>
      </c>
      <c r="AF26" s="45">
        <v>8.1999999999999993</v>
      </c>
      <c r="AG26" s="49">
        <v>25</v>
      </c>
      <c r="AH26" s="47">
        <f t="shared" si="2"/>
        <v>8.1999999999999993</v>
      </c>
      <c r="AI26" s="48">
        <f t="shared" si="3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</row>
    <row r="27" spans="1:116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</row>
    <row r="28" spans="1:116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</row>
    <row r="29" spans="1:116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7.4</v>
      </c>
      <c r="P29" s="45">
        <v>7.4</v>
      </c>
      <c r="Q29" s="45">
        <v>7.4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7.4</v>
      </c>
      <c r="AF29" s="45">
        <v>7.4</v>
      </c>
      <c r="AG29" s="49">
        <v>25</v>
      </c>
      <c r="AH29" s="47">
        <f t="shared" si="2"/>
        <v>7.4</v>
      </c>
      <c r="AI29" s="48">
        <f t="shared" si="3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</row>
    <row r="30" spans="1:116" x14ac:dyDescent="0.25">
      <c r="A30" s="44" t="s">
        <v>36</v>
      </c>
      <c r="B30" s="45">
        <v>7.2</v>
      </c>
      <c r="C30" s="45">
        <v>7.2</v>
      </c>
      <c r="D30" s="45">
        <v>7.2</v>
      </c>
      <c r="E30" s="45">
        <v>7.2</v>
      </c>
      <c r="F30" s="45">
        <v>7.2</v>
      </c>
      <c r="G30" s="45">
        <v>7.2</v>
      </c>
      <c r="H30" s="45">
        <v>7.2</v>
      </c>
      <c r="I30" s="45">
        <v>7.2</v>
      </c>
      <c r="J30" s="45">
        <v>7.2</v>
      </c>
      <c r="K30" s="45">
        <v>7.2</v>
      </c>
      <c r="L30" s="45">
        <v>7.2</v>
      </c>
      <c r="M30" s="45">
        <v>7.2</v>
      </c>
      <c r="N30" s="45">
        <v>7.2</v>
      </c>
      <c r="O30" s="45">
        <v>7.2</v>
      </c>
      <c r="P30" s="45">
        <v>7.2</v>
      </c>
      <c r="Q30" s="45">
        <v>7.2</v>
      </c>
      <c r="R30" s="45">
        <v>7.2</v>
      </c>
      <c r="S30" s="45">
        <v>7.2</v>
      </c>
      <c r="T30" s="45">
        <v>7.2</v>
      </c>
      <c r="U30" s="45">
        <v>7.2</v>
      </c>
      <c r="V30" s="45">
        <v>7.2</v>
      </c>
      <c r="W30" s="45">
        <v>7.2</v>
      </c>
      <c r="X30" s="45">
        <v>7.2</v>
      </c>
      <c r="Y30" s="45">
        <v>7.2</v>
      </c>
      <c r="Z30" s="45">
        <v>7.2</v>
      </c>
      <c r="AA30" s="45">
        <v>7.2</v>
      </c>
      <c r="AB30" s="45">
        <v>7.2</v>
      </c>
      <c r="AC30" s="45">
        <v>7.2</v>
      </c>
      <c r="AD30" s="45">
        <v>7.2</v>
      </c>
      <c r="AE30" s="45">
        <v>7.2</v>
      </c>
      <c r="AF30" s="45">
        <v>7.2</v>
      </c>
      <c r="AG30" s="49">
        <v>23.5</v>
      </c>
      <c r="AH30" s="47">
        <f t="shared" si="2"/>
        <v>7.2</v>
      </c>
      <c r="AI30" s="48">
        <f t="shared" si="3"/>
        <v>7.2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</row>
    <row r="31" spans="1:116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</row>
    <row r="32" spans="1:116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</row>
    <row r="33" spans="1:116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</row>
    <row r="34" spans="1:116" x14ac:dyDescent="0.25">
      <c r="A34" s="44" t="s">
        <v>40</v>
      </c>
      <c r="B34" s="45">
        <v>6.3</v>
      </c>
      <c r="C34" s="45">
        <v>6.3</v>
      </c>
      <c r="D34" s="45">
        <v>6.3</v>
      </c>
      <c r="E34" s="45">
        <v>6.3</v>
      </c>
      <c r="F34" s="45">
        <v>6.3</v>
      </c>
      <c r="G34" s="45">
        <v>6.3</v>
      </c>
      <c r="H34" s="45">
        <v>6.3</v>
      </c>
      <c r="I34" s="45">
        <v>6.3</v>
      </c>
      <c r="J34" s="45">
        <v>6.3</v>
      </c>
      <c r="K34" s="45">
        <v>6.3</v>
      </c>
      <c r="L34" s="45">
        <v>6.3</v>
      </c>
      <c r="M34" s="45">
        <v>6.3</v>
      </c>
      <c r="N34" s="45">
        <v>6.3</v>
      </c>
      <c r="O34" s="45">
        <v>6.3</v>
      </c>
      <c r="P34" s="45">
        <v>6.3</v>
      </c>
      <c r="Q34" s="45">
        <v>6.3</v>
      </c>
      <c r="R34" s="45">
        <v>6.3</v>
      </c>
      <c r="S34" s="45">
        <v>6.3</v>
      </c>
      <c r="T34" s="45">
        <v>6.3</v>
      </c>
      <c r="U34" s="45">
        <v>6.3</v>
      </c>
      <c r="V34" s="45">
        <v>6.3</v>
      </c>
      <c r="W34" s="45">
        <v>6.3</v>
      </c>
      <c r="X34" s="45">
        <v>6.3</v>
      </c>
      <c r="Y34" s="45">
        <v>6.3</v>
      </c>
      <c r="Z34" s="45">
        <v>6.3</v>
      </c>
      <c r="AA34" s="45">
        <v>6.3</v>
      </c>
      <c r="AB34" s="45">
        <v>6.3</v>
      </c>
      <c r="AC34" s="45">
        <v>6.3</v>
      </c>
      <c r="AD34" s="45">
        <v>6.3</v>
      </c>
      <c r="AE34" s="45">
        <v>6.3</v>
      </c>
      <c r="AF34" s="45">
        <v>6.3</v>
      </c>
      <c r="AG34" s="49">
        <v>22</v>
      </c>
      <c r="AH34" s="47">
        <f t="shared" si="2"/>
        <v>6.3</v>
      </c>
      <c r="AI34" s="48">
        <f t="shared" si="3"/>
        <v>6.3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</row>
    <row r="35" spans="1:116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</row>
    <row r="36" spans="1:116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</row>
    <row r="37" spans="1:116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</row>
    <row r="38" spans="1:116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</row>
    <row r="39" spans="1:116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</row>
    <row r="40" spans="1:116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</row>
    <row r="41" spans="1:116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</row>
    <row r="42" spans="1:116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</row>
    <row r="43" spans="1:116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</row>
    <row r="44" spans="1:116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</row>
    <row r="45" spans="1:116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</row>
    <row r="46" spans="1:116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</row>
    <row r="47" spans="1:116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</row>
    <row r="48" spans="1:116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</row>
    <row r="49" spans="1:116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</row>
    <row r="50" spans="1:116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</row>
    <row r="51" spans="1:116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</row>
    <row r="52" spans="1:116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</row>
    <row r="53" spans="1:116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</row>
    <row r="54" spans="1:116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</row>
    <row r="55" spans="1:116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</row>
    <row r="56" spans="1:116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116" ht="15.75" thickBot="1" x14ac:dyDescent="0.3">
      <c r="A57" s="58" t="s">
        <v>57</v>
      </c>
      <c r="B57" s="57">
        <v>26.3</v>
      </c>
      <c r="C57" s="57">
        <v>26.3</v>
      </c>
      <c r="D57" s="57">
        <v>26.3</v>
      </c>
      <c r="E57" s="57">
        <v>27.1</v>
      </c>
      <c r="F57" s="57">
        <v>24.3</v>
      </c>
      <c r="G57" s="57">
        <v>24.3</v>
      </c>
      <c r="H57" s="57">
        <v>24.3</v>
      </c>
      <c r="I57" s="57">
        <v>24.3</v>
      </c>
      <c r="J57" s="57">
        <v>21.5</v>
      </c>
      <c r="K57" s="57">
        <v>21.5</v>
      </c>
      <c r="L57" s="57">
        <v>21.5</v>
      </c>
      <c r="M57" s="57">
        <v>14.2</v>
      </c>
      <c r="N57" s="51">
        <f>14.1+5.9</f>
        <v>20</v>
      </c>
      <c r="O57" s="51">
        <f>16.1+6.6</f>
        <v>22.700000000000003</v>
      </c>
      <c r="P57" s="51">
        <f>16.6+7.2</f>
        <v>23.8</v>
      </c>
      <c r="Q57" s="51">
        <f>18.2+9.5</f>
        <v>27.7</v>
      </c>
      <c r="R57" s="51">
        <f>14.6+4.5</f>
        <v>19.100000000000001</v>
      </c>
      <c r="S57" s="51">
        <v>16.5</v>
      </c>
      <c r="T57" s="51">
        <v>16.5</v>
      </c>
      <c r="U57" s="51">
        <v>19.7</v>
      </c>
      <c r="V57" s="51">
        <v>17.100000000000001</v>
      </c>
      <c r="W57" s="51">
        <v>17.100000000000001</v>
      </c>
      <c r="X57" s="51">
        <v>15</v>
      </c>
      <c r="Y57" s="51">
        <v>15</v>
      </c>
      <c r="Z57" s="51">
        <v>15</v>
      </c>
      <c r="AA57" s="51">
        <v>15</v>
      </c>
      <c r="AB57" s="51">
        <v>15</v>
      </c>
      <c r="AC57" s="51">
        <v>15</v>
      </c>
      <c r="AD57" s="51">
        <v>15</v>
      </c>
      <c r="AE57" s="51">
        <v>15</v>
      </c>
      <c r="AF57" s="51">
        <v>15</v>
      </c>
      <c r="AG57" s="55">
        <v>240</v>
      </c>
      <c r="AH57" s="47">
        <f t="shared" si="2"/>
        <v>27.7</v>
      </c>
      <c r="AI57" s="48">
        <f t="shared" si="3"/>
        <v>14.2</v>
      </c>
      <c r="AK57" s="50"/>
    </row>
    <row r="58" spans="1:116" ht="15.75" thickBot="1" x14ac:dyDescent="0.3">
      <c r="A58" s="59" t="s">
        <v>58</v>
      </c>
      <c r="B58" s="60">
        <f>SUM(B11:B56)</f>
        <v>484.24999999999994</v>
      </c>
      <c r="C58" s="60">
        <f>SUM(C11:C56)</f>
        <v>484.24999999999994</v>
      </c>
      <c r="D58" s="60">
        <f t="shared" ref="D58:AA58" si="4">SUM(D11:D56)</f>
        <v>484.24999999999994</v>
      </c>
      <c r="E58" s="60">
        <f t="shared" si="4"/>
        <v>483.24999999999994</v>
      </c>
      <c r="F58" s="60">
        <f t="shared" si="4"/>
        <v>482.74999999999994</v>
      </c>
      <c r="G58" s="60">
        <f t="shared" ref="G58:H58" si="5">SUM(G11:G56)</f>
        <v>482.24999999999994</v>
      </c>
      <c r="H58" s="60">
        <f t="shared" si="5"/>
        <v>482.24999999999994</v>
      </c>
      <c r="I58" s="60">
        <f t="shared" ref="I58" si="6">SUM(I11:I56)</f>
        <v>482.24999999999994</v>
      </c>
      <c r="J58" s="60">
        <f t="shared" si="4"/>
        <v>482.24999999999994</v>
      </c>
      <c r="K58" s="60">
        <f t="shared" si="4"/>
        <v>482.24999999999994</v>
      </c>
      <c r="L58" s="60">
        <f t="shared" si="4"/>
        <v>482.24999999999994</v>
      </c>
      <c r="M58" s="60">
        <f t="shared" si="4"/>
        <v>482.24999999999994</v>
      </c>
      <c r="N58" s="60">
        <f t="shared" si="4"/>
        <v>480.95</v>
      </c>
      <c r="O58" s="60">
        <f t="shared" ref="O58" si="7">SUM(O11:O56)</f>
        <v>478.65</v>
      </c>
      <c r="P58" s="60">
        <f t="shared" si="4"/>
        <v>479.54999999999995</v>
      </c>
      <c r="Q58" s="60">
        <f t="shared" si="4"/>
        <v>479.65</v>
      </c>
      <c r="R58" s="60">
        <f t="shared" si="4"/>
        <v>481.65</v>
      </c>
      <c r="S58" s="60">
        <f t="shared" si="4"/>
        <v>481.65</v>
      </c>
      <c r="T58" s="60">
        <f t="shared" ref="T58" si="8">SUM(T11:T56)</f>
        <v>481.65</v>
      </c>
      <c r="U58" s="60">
        <f t="shared" si="4"/>
        <v>481.65</v>
      </c>
      <c r="V58" s="60">
        <f t="shared" si="4"/>
        <v>481.65</v>
      </c>
      <c r="W58" s="60">
        <f t="shared" si="4"/>
        <v>481.65</v>
      </c>
      <c r="X58" s="60">
        <f t="shared" si="4"/>
        <v>481.65</v>
      </c>
      <c r="Y58" s="60">
        <f>SUM(Y11:Y56)</f>
        <v>481.65</v>
      </c>
      <c r="Z58" s="60">
        <f>SUM(Z11:Z56)</f>
        <v>468.34999999999997</v>
      </c>
      <c r="AA58" s="60">
        <f t="shared" si="4"/>
        <v>481.65</v>
      </c>
      <c r="AB58" s="60">
        <f t="shared" ref="AB58:AC58" si="9">SUM(AB11:AB56)</f>
        <v>481.65</v>
      </c>
      <c r="AC58" s="60">
        <f t="shared" si="9"/>
        <v>481.65</v>
      </c>
      <c r="AD58" s="60">
        <f t="shared" ref="AD58:AE58" si="10">SUM(AD11:AD56)</f>
        <v>481.65</v>
      </c>
      <c r="AE58" s="60">
        <f t="shared" si="10"/>
        <v>481.65</v>
      </c>
      <c r="AF58" s="60">
        <f t="shared" ref="AF58" si="11">SUM(AF11:AF56)</f>
        <v>481.65</v>
      </c>
      <c r="AG58" s="61">
        <f>SUM(AG14:AG56)</f>
        <v>1042.4000000000001</v>
      </c>
      <c r="AH58" s="47">
        <f t="shared" si="2"/>
        <v>484.24999999999994</v>
      </c>
      <c r="AI58" s="48">
        <f t="shared" si="3"/>
        <v>468.34999999999997</v>
      </c>
      <c r="AK58" s="50"/>
    </row>
    <row r="59" spans="1:116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100</v>
      </c>
      <c r="K59" s="45">
        <v>270</v>
      </c>
      <c r="L59" s="45">
        <v>400</v>
      </c>
      <c r="M59" s="45">
        <v>420</v>
      </c>
      <c r="N59" s="63">
        <v>260</v>
      </c>
      <c r="O59" s="63">
        <v>140</v>
      </c>
      <c r="P59" s="63">
        <v>15</v>
      </c>
      <c r="Q59" s="63">
        <v>35</v>
      </c>
      <c r="R59" s="63">
        <v>15</v>
      </c>
      <c r="S59" s="63">
        <v>20</v>
      </c>
      <c r="T59" s="63">
        <v>0</v>
      </c>
      <c r="U59" s="63">
        <v>0</v>
      </c>
      <c r="V59" s="45">
        <v>15</v>
      </c>
      <c r="W59" s="45">
        <v>30</v>
      </c>
      <c r="X59" s="45">
        <v>230</v>
      </c>
      <c r="Y59" s="45">
        <v>300</v>
      </c>
      <c r="Z59" s="45">
        <v>340</v>
      </c>
      <c r="AA59" s="45">
        <v>320</v>
      </c>
      <c r="AB59" s="45">
        <v>230</v>
      </c>
      <c r="AC59" s="45">
        <v>230</v>
      </c>
      <c r="AD59" s="45">
        <v>40</v>
      </c>
      <c r="AE59" s="45">
        <v>0</v>
      </c>
      <c r="AF59" s="45">
        <v>0</v>
      </c>
      <c r="AG59" s="52">
        <v>456</v>
      </c>
      <c r="AH59" s="47">
        <f t="shared" si="2"/>
        <v>420</v>
      </c>
      <c r="AI59" s="48">
        <f t="shared" si="3"/>
        <v>0</v>
      </c>
      <c r="AK59" s="50"/>
    </row>
    <row r="60" spans="1:116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116" ht="15.75" thickBot="1" x14ac:dyDescent="0.3">
      <c r="A61" s="66" t="s">
        <v>61</v>
      </c>
      <c r="B61" s="67">
        <v>10</v>
      </c>
      <c r="C61" s="67">
        <v>10</v>
      </c>
      <c r="D61" s="67">
        <v>10</v>
      </c>
      <c r="E61" s="67">
        <v>10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10.3</v>
      </c>
      <c r="L61" s="67">
        <v>10.3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10.3</v>
      </c>
      <c r="AI61" s="48">
        <f t="shared" si="3"/>
        <v>10</v>
      </c>
      <c r="AK61" s="50"/>
    </row>
    <row r="62" spans="1:116" ht="15.75" thickBot="1" x14ac:dyDescent="0.3">
      <c r="A62" s="69" t="s">
        <v>62</v>
      </c>
      <c r="B62" s="60">
        <f t="shared" ref="B62:AG62" si="12">SUM(B59:B61)</f>
        <v>40</v>
      </c>
      <c r="C62" s="60">
        <f t="shared" si="12"/>
        <v>40</v>
      </c>
      <c r="D62" s="60">
        <f t="shared" si="12"/>
        <v>40</v>
      </c>
      <c r="E62" s="60">
        <f t="shared" si="12"/>
        <v>40</v>
      </c>
      <c r="F62" s="60">
        <f t="shared" si="12"/>
        <v>40.200000000000003</v>
      </c>
      <c r="G62" s="60">
        <f t="shared" ref="G62:H62" si="13">SUM(G59:G61)</f>
        <v>40.200000000000003</v>
      </c>
      <c r="H62" s="60">
        <f t="shared" si="13"/>
        <v>40.200000000000003</v>
      </c>
      <c r="I62" s="60">
        <f t="shared" ref="I62" si="14">SUM(I59:I61)</f>
        <v>40.200000000000003</v>
      </c>
      <c r="J62" s="60">
        <f t="shared" si="12"/>
        <v>140.19999999999999</v>
      </c>
      <c r="K62" s="60">
        <f t="shared" si="12"/>
        <v>310.3</v>
      </c>
      <c r="L62" s="60">
        <f t="shared" si="12"/>
        <v>440.3</v>
      </c>
      <c r="M62" s="60">
        <f t="shared" si="12"/>
        <v>460.2</v>
      </c>
      <c r="N62" s="60">
        <f t="shared" si="12"/>
        <v>300.2</v>
      </c>
      <c r="O62" s="60">
        <f t="shared" ref="O62" si="15">SUM(O59:O61)</f>
        <v>180.2</v>
      </c>
      <c r="P62" s="60">
        <f t="shared" si="12"/>
        <v>55.2</v>
      </c>
      <c r="Q62" s="60">
        <f t="shared" si="12"/>
        <v>75.2</v>
      </c>
      <c r="R62" s="60">
        <f t="shared" si="12"/>
        <v>55.2</v>
      </c>
      <c r="S62" s="60">
        <f t="shared" si="12"/>
        <v>60.2</v>
      </c>
      <c r="T62" s="60">
        <f t="shared" ref="T62" si="16">SUM(T59:T61)</f>
        <v>40.200000000000003</v>
      </c>
      <c r="U62" s="60">
        <f t="shared" si="12"/>
        <v>40.200000000000003</v>
      </c>
      <c r="V62" s="60">
        <f t="shared" si="12"/>
        <v>55.2</v>
      </c>
      <c r="W62" s="60">
        <f t="shared" si="12"/>
        <v>70.2</v>
      </c>
      <c r="X62" s="60">
        <f t="shared" si="12"/>
        <v>270.2</v>
      </c>
      <c r="Y62" s="60">
        <f>SUM(Y59:Y61)</f>
        <v>340.2</v>
      </c>
      <c r="Z62" s="60">
        <f>SUM(Z59:Z61)</f>
        <v>380.2</v>
      </c>
      <c r="AA62" s="60">
        <f t="shared" si="12"/>
        <v>360.2</v>
      </c>
      <c r="AB62" s="60">
        <f t="shared" ref="AB62:AC62" si="17">SUM(AB59:AB61)</f>
        <v>270.2</v>
      </c>
      <c r="AC62" s="60">
        <f t="shared" si="17"/>
        <v>270.2</v>
      </c>
      <c r="AD62" s="60">
        <f t="shared" ref="AD62:AE62" si="18">SUM(AD59:AD61)</f>
        <v>80.2</v>
      </c>
      <c r="AE62" s="60">
        <f t="shared" si="18"/>
        <v>40.200000000000003</v>
      </c>
      <c r="AF62" s="60">
        <f t="shared" ref="AF62" si="19">SUM(AF59:AF61)</f>
        <v>40.200000000000003</v>
      </c>
      <c r="AG62" s="61">
        <f t="shared" si="12"/>
        <v>538.1</v>
      </c>
      <c r="AH62" s="47">
        <f t="shared" si="2"/>
        <v>460.2</v>
      </c>
      <c r="AI62" s="48">
        <f t="shared" si="3"/>
        <v>40</v>
      </c>
      <c r="AK62" s="50"/>
    </row>
    <row r="63" spans="1:116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</v>
      </c>
      <c r="H63" s="45">
        <v>96</v>
      </c>
      <c r="I63" s="45">
        <v>96</v>
      </c>
      <c r="J63" s="45">
        <v>111.4</v>
      </c>
      <c r="K63" s="45">
        <v>140</v>
      </c>
      <c r="L63" s="45">
        <v>133.69999999999999</v>
      </c>
      <c r="M63" s="45">
        <v>144.1</v>
      </c>
      <c r="N63" s="45">
        <v>60.9</v>
      </c>
      <c r="O63" s="45">
        <v>60.9</v>
      </c>
      <c r="P63" s="45">
        <v>30</v>
      </c>
      <c r="Q63" s="45">
        <v>48</v>
      </c>
      <c r="R63" s="45">
        <v>49</v>
      </c>
      <c r="S63" s="45">
        <v>49</v>
      </c>
      <c r="T63" s="45">
        <v>43</v>
      </c>
      <c r="U63" s="45">
        <v>43</v>
      </c>
      <c r="V63" s="45">
        <v>62.2</v>
      </c>
      <c r="W63" s="45">
        <v>62.2</v>
      </c>
      <c r="X63" s="45">
        <v>98</v>
      </c>
      <c r="Y63" s="45">
        <v>130</v>
      </c>
      <c r="Z63" s="45">
        <v>130</v>
      </c>
      <c r="AA63" s="45">
        <v>134</v>
      </c>
      <c r="AB63" s="45">
        <v>91.1</v>
      </c>
      <c r="AC63" s="45">
        <v>80.099999999999994</v>
      </c>
      <c r="AD63" s="45">
        <v>61.1</v>
      </c>
      <c r="AE63" s="45">
        <v>48.7</v>
      </c>
      <c r="AF63" s="45">
        <v>30.6</v>
      </c>
      <c r="AG63" s="52">
        <v>144</v>
      </c>
      <c r="AH63" s="47">
        <f t="shared" si="2"/>
        <v>144.1</v>
      </c>
      <c r="AI63" s="48">
        <f t="shared" si="3"/>
        <v>0</v>
      </c>
      <c r="AK63" s="50"/>
    </row>
    <row r="64" spans="1:116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16</v>
      </c>
      <c r="H64" s="65">
        <v>35</v>
      </c>
      <c r="I64" s="65">
        <v>50</v>
      </c>
      <c r="J64" s="65">
        <v>51.4</v>
      </c>
      <c r="K64" s="65">
        <v>65</v>
      </c>
      <c r="L64" s="65">
        <v>65</v>
      </c>
      <c r="M64" s="65">
        <v>65</v>
      </c>
      <c r="N64" s="65">
        <v>43</v>
      </c>
      <c r="O64" s="65">
        <v>43</v>
      </c>
      <c r="P64" s="65">
        <v>43</v>
      </c>
      <c r="Q64" s="65">
        <v>35</v>
      </c>
      <c r="R64" s="65">
        <v>35</v>
      </c>
      <c r="S64" s="65">
        <v>35</v>
      </c>
      <c r="T64" s="65">
        <v>25</v>
      </c>
      <c r="U64" s="65">
        <v>25</v>
      </c>
      <c r="V64" s="65">
        <v>25</v>
      </c>
      <c r="W64" s="65">
        <v>25</v>
      </c>
      <c r="X64" s="65">
        <v>69</v>
      </c>
      <c r="Y64" s="45">
        <v>60</v>
      </c>
      <c r="Z64" s="45">
        <v>60</v>
      </c>
      <c r="AA64" s="45">
        <v>45</v>
      </c>
      <c r="AB64" s="45">
        <v>35</v>
      </c>
      <c r="AC64" s="45">
        <v>25</v>
      </c>
      <c r="AD64" s="45">
        <v>25</v>
      </c>
      <c r="AE64" s="45">
        <v>25</v>
      </c>
      <c r="AF64" s="45">
        <v>25</v>
      </c>
      <c r="AG64" s="55">
        <v>70</v>
      </c>
      <c r="AH64" s="47">
        <f t="shared" si="2"/>
        <v>69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25</v>
      </c>
      <c r="H65" s="65">
        <v>34.299999999999997</v>
      </c>
      <c r="I65" s="65">
        <v>34.299999999999997</v>
      </c>
      <c r="J65" s="65">
        <v>68.3</v>
      </c>
      <c r="K65" s="65">
        <v>55.9</v>
      </c>
      <c r="L65" s="65">
        <v>69</v>
      </c>
      <c r="M65" s="65">
        <v>64</v>
      </c>
      <c r="N65" s="65">
        <v>53.6</v>
      </c>
      <c r="O65" s="65">
        <v>53.6</v>
      </c>
      <c r="P65" s="65">
        <v>33.799999999999997</v>
      </c>
      <c r="Q65" s="65">
        <v>33.700000000000003</v>
      </c>
      <c r="R65" s="65">
        <v>39.299999999999997</v>
      </c>
      <c r="S65" s="65">
        <v>34</v>
      </c>
      <c r="T65" s="65">
        <v>34</v>
      </c>
      <c r="U65" s="65">
        <v>34</v>
      </c>
      <c r="V65" s="65">
        <v>34</v>
      </c>
      <c r="W65" s="65">
        <v>34</v>
      </c>
      <c r="X65" s="65">
        <v>69</v>
      </c>
      <c r="Y65" s="45">
        <v>68</v>
      </c>
      <c r="Z65" s="45">
        <v>68</v>
      </c>
      <c r="AA65" s="45">
        <v>68</v>
      </c>
      <c r="AB65" s="45">
        <v>67.099999999999994</v>
      </c>
      <c r="AC65" s="45">
        <v>48.1</v>
      </c>
      <c r="AD65" s="45">
        <v>48.9</v>
      </c>
      <c r="AE65" s="45">
        <v>49.2</v>
      </c>
      <c r="AF65" s="45">
        <v>0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38</v>
      </c>
      <c r="C66" s="65">
        <v>38</v>
      </c>
      <c r="D66" s="65">
        <v>38</v>
      </c>
      <c r="E66" s="65">
        <v>39.299999999999997</v>
      </c>
      <c r="F66" s="65">
        <v>39.299999999999997</v>
      </c>
      <c r="G66" s="65">
        <v>39.299999999999997</v>
      </c>
      <c r="H66" s="65">
        <v>39</v>
      </c>
      <c r="I66" s="65">
        <v>39</v>
      </c>
      <c r="J66" s="65">
        <v>39.32</v>
      </c>
      <c r="K66" s="65">
        <v>39.32</v>
      </c>
      <c r="L66" s="57">
        <v>41.1</v>
      </c>
      <c r="M66" s="65">
        <v>41.2</v>
      </c>
      <c r="N66" s="65">
        <v>38.799999999999997</v>
      </c>
      <c r="O66" s="65">
        <v>38.799999999999997</v>
      </c>
      <c r="P66" s="65">
        <v>39.299999999999997</v>
      </c>
      <c r="Q66" s="65">
        <v>40.299999999999997</v>
      </c>
      <c r="R66" s="65">
        <v>40.299999999999997</v>
      </c>
      <c r="S66" s="65">
        <v>40.299999999999997</v>
      </c>
      <c r="T66" s="65">
        <v>38.5</v>
      </c>
      <c r="U66" s="65">
        <v>38.5</v>
      </c>
      <c r="V66" s="65">
        <v>38.5</v>
      </c>
      <c r="W66" s="65">
        <v>38.5</v>
      </c>
      <c r="X66" s="65">
        <v>38.5</v>
      </c>
      <c r="Y66" s="45">
        <v>38</v>
      </c>
      <c r="Z66" s="45">
        <v>38</v>
      </c>
      <c r="AA66" s="45">
        <v>38</v>
      </c>
      <c r="AB66" s="45">
        <v>38</v>
      </c>
      <c r="AC66" s="45">
        <v>38</v>
      </c>
      <c r="AD66" s="45">
        <v>38</v>
      </c>
      <c r="AE66" s="45">
        <v>41.3</v>
      </c>
      <c r="AF66" s="45">
        <v>41.3</v>
      </c>
      <c r="AG66" s="55">
        <v>60</v>
      </c>
      <c r="AH66" s="47">
        <f t="shared" si="2"/>
        <v>41.3</v>
      </c>
      <c r="AI66" s="48">
        <f t="shared" si="3"/>
        <v>38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12</v>
      </c>
      <c r="G67" s="65">
        <v>12</v>
      </c>
      <c r="H67" s="65">
        <v>12</v>
      </c>
      <c r="I67" s="65">
        <v>12</v>
      </c>
      <c r="J67" s="65">
        <v>15</v>
      </c>
      <c r="K67" s="65">
        <v>23</v>
      </c>
      <c r="L67" s="57">
        <v>29</v>
      </c>
      <c r="M67" s="65">
        <v>28.8</v>
      </c>
      <c r="N67" s="65">
        <v>10</v>
      </c>
      <c r="O67" s="65">
        <v>0</v>
      </c>
      <c r="P67" s="65">
        <v>0</v>
      </c>
      <c r="Q67" s="65">
        <v>10</v>
      </c>
      <c r="R67" s="65">
        <v>10</v>
      </c>
      <c r="S67" s="65">
        <v>10</v>
      </c>
      <c r="T67" s="65">
        <v>10</v>
      </c>
      <c r="U67" s="65">
        <v>10</v>
      </c>
      <c r="V67" s="65">
        <v>10</v>
      </c>
      <c r="W67" s="65">
        <v>0</v>
      </c>
      <c r="X67" s="65">
        <v>10</v>
      </c>
      <c r="Y67" s="45">
        <v>15</v>
      </c>
      <c r="Z67" s="45">
        <v>23</v>
      </c>
      <c r="AA67" s="45">
        <v>23</v>
      </c>
      <c r="AB67" s="45">
        <v>28</v>
      </c>
      <c r="AC67" s="45">
        <v>28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2.6</v>
      </c>
      <c r="M68" s="65">
        <v>3.8</v>
      </c>
      <c r="N68" s="65">
        <v>6</v>
      </c>
      <c r="O68" s="65">
        <v>11</v>
      </c>
      <c r="P68" s="65">
        <v>10.1</v>
      </c>
      <c r="Q68" s="65">
        <v>14.6</v>
      </c>
      <c r="R68" s="65">
        <v>14.6</v>
      </c>
      <c r="S68" s="65">
        <v>13.6</v>
      </c>
      <c r="T68" s="65">
        <v>8</v>
      </c>
      <c r="U68" s="65">
        <v>3.2</v>
      </c>
      <c r="V68" s="65">
        <v>0.7</v>
      </c>
      <c r="W68" s="65">
        <v>0.2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14.6</v>
      </c>
      <c r="AI68" s="48">
        <f t="shared" si="3"/>
        <v>0</v>
      </c>
      <c r="AK68" s="50"/>
      <c r="AY68" s="1" t="s">
        <v>377</v>
      </c>
      <c r="AZ68" s="233">
        <f>ROUND(C81,0)</f>
        <v>71</v>
      </c>
      <c r="BA68" s="232">
        <f t="shared" ref="BA68:BD72" si="20">D81</f>
        <v>72</v>
      </c>
      <c r="BB68" s="232">
        <f t="shared" si="20"/>
        <v>70.3</v>
      </c>
      <c r="BC68" s="232">
        <f t="shared" si="20"/>
        <v>75</v>
      </c>
      <c r="BD68" s="232">
        <f t="shared" si="20"/>
        <v>74.099999999999994</v>
      </c>
      <c r="BE68" s="233">
        <f>I81</f>
        <v>63.3</v>
      </c>
      <c r="BF68" s="233">
        <f>K81</f>
        <v>46.9</v>
      </c>
      <c r="BG68" s="233">
        <f t="shared" ref="BG68:BP72" si="21">M81</f>
        <v>27.8</v>
      </c>
      <c r="BH68" s="233">
        <f t="shared" si="21"/>
        <v>32.799999999999997</v>
      </c>
      <c r="BI68" s="233">
        <f t="shared" si="21"/>
        <v>56.6</v>
      </c>
      <c r="BJ68" s="233">
        <f t="shared" si="21"/>
        <v>54.8</v>
      </c>
      <c r="BK68" s="233">
        <f t="shared" si="21"/>
        <v>61.7</v>
      </c>
      <c r="BL68" s="233">
        <f t="shared" si="21"/>
        <v>67.400000000000006</v>
      </c>
      <c r="BM68" s="233">
        <f t="shared" si="21"/>
        <v>29.2</v>
      </c>
      <c r="BN68" s="233">
        <f t="shared" si="21"/>
        <v>73</v>
      </c>
      <c r="BO68" s="233">
        <f t="shared" si="21"/>
        <v>52.1</v>
      </c>
      <c r="BP68" s="233">
        <f t="shared" si="21"/>
        <v>54.8</v>
      </c>
      <c r="BQ68" s="233">
        <f>X81</f>
        <v>64.400000000000006</v>
      </c>
      <c r="BR68" s="233">
        <f>Z81</f>
        <v>57</v>
      </c>
      <c r="BS68" s="232">
        <f>AB81</f>
        <v>54.8</v>
      </c>
      <c r="BT68" s="232">
        <f t="shared" ref="BT68:BV72" si="22">AD81</f>
        <v>64.099999999999994</v>
      </c>
      <c r="BU68" s="232">
        <f t="shared" si="22"/>
        <v>67.400000000000006</v>
      </c>
      <c r="BV68" s="232">
        <f t="shared" si="22"/>
        <v>61.6</v>
      </c>
      <c r="BW68" s="232">
        <f>B81</f>
        <v>68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Y69" s="1" t="s">
        <v>604</v>
      </c>
      <c r="AZ69" s="233">
        <f>ROUND(C82,0)</f>
        <v>0</v>
      </c>
      <c r="BA69" s="232">
        <f t="shared" si="20"/>
        <v>0</v>
      </c>
      <c r="BB69" s="232">
        <f t="shared" si="20"/>
        <v>0</v>
      </c>
      <c r="BC69" s="232">
        <f t="shared" si="20"/>
        <v>0</v>
      </c>
      <c r="BD69" s="232">
        <f t="shared" si="20"/>
        <v>0</v>
      </c>
      <c r="BE69" s="233">
        <f>I82</f>
        <v>0</v>
      </c>
      <c r="BF69" s="233">
        <f>K82</f>
        <v>0</v>
      </c>
      <c r="BG69" s="233">
        <f t="shared" si="21"/>
        <v>0</v>
      </c>
      <c r="BH69" s="233">
        <f t="shared" si="21"/>
        <v>0</v>
      </c>
      <c r="BI69" s="233">
        <f t="shared" si="21"/>
        <v>0</v>
      </c>
      <c r="BJ69" s="233">
        <f t="shared" si="21"/>
        <v>0</v>
      </c>
      <c r="BK69" s="233">
        <f t="shared" si="21"/>
        <v>0</v>
      </c>
      <c r="BL69" s="233">
        <f t="shared" si="21"/>
        <v>0</v>
      </c>
      <c r="BM69" s="233">
        <f t="shared" si="21"/>
        <v>0</v>
      </c>
      <c r="BN69" s="233">
        <f t="shared" si="21"/>
        <v>0</v>
      </c>
      <c r="BO69" s="233">
        <f t="shared" si="21"/>
        <v>0</v>
      </c>
      <c r="BP69" s="233">
        <f t="shared" si="21"/>
        <v>0</v>
      </c>
      <c r="BQ69" s="233">
        <f>X82</f>
        <v>0</v>
      </c>
      <c r="BR69" s="233">
        <f>Z82</f>
        <v>0</v>
      </c>
      <c r="BS69" s="232">
        <f>AB82</f>
        <v>0</v>
      </c>
      <c r="BT69" s="232">
        <f t="shared" si="22"/>
        <v>0</v>
      </c>
      <c r="BU69" s="232">
        <f t="shared" si="22"/>
        <v>0</v>
      </c>
      <c r="BV69" s="232">
        <f t="shared" si="22"/>
        <v>0</v>
      </c>
      <c r="BW69" s="232">
        <f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  <c r="AY70" s="1" t="s">
        <v>605</v>
      </c>
      <c r="AZ70" s="233">
        <f>ROUND(C83,0)</f>
        <v>446</v>
      </c>
      <c r="BA70" s="232">
        <f t="shared" si="20"/>
        <v>410</v>
      </c>
      <c r="BB70" s="232">
        <f t="shared" si="20"/>
        <v>423</v>
      </c>
      <c r="BC70" s="232">
        <f t="shared" si="20"/>
        <v>421.3</v>
      </c>
      <c r="BD70" s="232">
        <f t="shared" si="20"/>
        <v>389</v>
      </c>
      <c r="BE70" s="233">
        <f>I83</f>
        <v>402</v>
      </c>
      <c r="BF70" s="233">
        <f>K83</f>
        <v>181</v>
      </c>
      <c r="BG70" s="233">
        <f t="shared" si="21"/>
        <v>86.3</v>
      </c>
      <c r="BH70" s="233">
        <f t="shared" si="21"/>
        <v>168.8</v>
      </c>
      <c r="BI70" s="233">
        <f t="shared" si="21"/>
        <v>210</v>
      </c>
      <c r="BJ70" s="233">
        <f t="shared" si="21"/>
        <v>414</v>
      </c>
      <c r="BK70" s="233">
        <f t="shared" si="21"/>
        <v>435.6</v>
      </c>
      <c r="BL70" s="233">
        <f t="shared" si="21"/>
        <v>416</v>
      </c>
      <c r="BM70" s="233">
        <f t="shared" si="21"/>
        <v>452.7</v>
      </c>
      <c r="BN70" s="233">
        <f t="shared" si="21"/>
        <v>483</v>
      </c>
      <c r="BO70" s="233">
        <f t="shared" si="21"/>
        <v>499</v>
      </c>
      <c r="BP70" s="233">
        <f t="shared" si="21"/>
        <v>375</v>
      </c>
      <c r="BQ70" s="233">
        <f>X83</f>
        <v>222</v>
      </c>
      <c r="BR70" s="233">
        <f>Z83</f>
        <v>83</v>
      </c>
      <c r="BS70" s="232">
        <f>AB83</f>
        <v>190</v>
      </c>
      <c r="BT70" s="232">
        <f t="shared" si="22"/>
        <v>392</v>
      </c>
      <c r="BU70" s="232">
        <f t="shared" si="22"/>
        <v>414.2</v>
      </c>
      <c r="BV70" s="232">
        <f t="shared" si="22"/>
        <v>388.9</v>
      </c>
      <c r="BW70" s="232">
        <f>B83</f>
        <v>413</v>
      </c>
    </row>
    <row r="71" spans="1:75" s="70" customFormat="1" x14ac:dyDescent="0.25">
      <c r="A71" s="54" t="s">
        <v>71</v>
      </c>
      <c r="B71" s="65">
        <v>8.4</v>
      </c>
      <c r="C71" s="65">
        <v>8.4</v>
      </c>
      <c r="D71" s="65">
        <v>8.4</v>
      </c>
      <c r="E71" s="65">
        <v>8.4</v>
      </c>
      <c r="F71" s="65">
        <v>8.4</v>
      </c>
      <c r="G71" s="65">
        <v>8.4</v>
      </c>
      <c r="H71" s="65">
        <v>8.4</v>
      </c>
      <c r="I71" s="65">
        <v>8.4</v>
      </c>
      <c r="J71" s="65">
        <v>10</v>
      </c>
      <c r="K71" s="65">
        <v>10</v>
      </c>
      <c r="L71" s="65">
        <v>10.8</v>
      </c>
      <c r="M71" s="65">
        <v>10.8</v>
      </c>
      <c r="N71" s="65">
        <v>10.8</v>
      </c>
      <c r="O71" s="65">
        <v>10.8</v>
      </c>
      <c r="P71" s="65">
        <v>10.8</v>
      </c>
      <c r="Q71" s="65">
        <v>10.8</v>
      </c>
      <c r="R71" s="65">
        <v>10.8</v>
      </c>
      <c r="S71" s="65">
        <v>10.8</v>
      </c>
      <c r="T71" s="65">
        <v>10.8</v>
      </c>
      <c r="U71" s="65">
        <v>10.8</v>
      </c>
      <c r="V71" s="65">
        <v>10.8</v>
      </c>
      <c r="W71" s="65">
        <v>10.8</v>
      </c>
      <c r="X71" s="65">
        <v>10.8</v>
      </c>
      <c r="Y71" s="65">
        <v>10.8</v>
      </c>
      <c r="Z71" s="65">
        <v>10.8</v>
      </c>
      <c r="AA71" s="65">
        <v>10.8</v>
      </c>
      <c r="AB71" s="65">
        <v>10.8</v>
      </c>
      <c r="AC71" s="65">
        <v>10.8</v>
      </c>
      <c r="AD71" s="65">
        <v>10.8</v>
      </c>
      <c r="AE71" s="65">
        <v>10.8</v>
      </c>
      <c r="AF71" s="65">
        <v>10.8</v>
      </c>
      <c r="AG71" s="55">
        <v>14.1</v>
      </c>
      <c r="AH71" s="47">
        <f t="shared" si="2"/>
        <v>10.8</v>
      </c>
      <c r="AI71" s="48">
        <f t="shared" si="3"/>
        <v>8.4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57</v>
      </c>
      <c r="BA71" s="232">
        <f t="shared" si="20"/>
        <v>53.6</v>
      </c>
      <c r="BB71" s="232">
        <f t="shared" si="20"/>
        <v>50.2</v>
      </c>
      <c r="BC71" s="232">
        <f t="shared" si="20"/>
        <v>51.2</v>
      </c>
      <c r="BD71" s="232">
        <f t="shared" si="20"/>
        <v>55</v>
      </c>
      <c r="BE71" s="233">
        <f>I84</f>
        <v>43</v>
      </c>
      <c r="BF71" s="233">
        <f>K84</f>
        <v>28</v>
      </c>
      <c r="BG71" s="233">
        <f t="shared" si="21"/>
        <v>7</v>
      </c>
      <c r="BH71" s="233">
        <f t="shared" si="21"/>
        <v>7</v>
      </c>
      <c r="BI71" s="233">
        <f t="shared" si="21"/>
        <v>28</v>
      </c>
      <c r="BJ71" s="233">
        <f t="shared" si="21"/>
        <v>42</v>
      </c>
      <c r="BK71" s="233">
        <f t="shared" si="21"/>
        <v>49</v>
      </c>
      <c r="BL71" s="233">
        <f t="shared" si="21"/>
        <v>48</v>
      </c>
      <c r="BM71" s="233">
        <f t="shared" si="21"/>
        <v>50.2</v>
      </c>
      <c r="BN71" s="233">
        <f t="shared" si="21"/>
        <v>52</v>
      </c>
      <c r="BO71" s="233">
        <f t="shared" si="21"/>
        <v>37</v>
      </c>
      <c r="BP71" s="233">
        <f t="shared" si="21"/>
        <v>5</v>
      </c>
      <c r="BQ71" s="233">
        <f>X84</f>
        <v>5</v>
      </c>
      <c r="BR71" s="233">
        <f>Z84</f>
        <v>5</v>
      </c>
      <c r="BS71" s="232">
        <f>AB84</f>
        <v>5</v>
      </c>
      <c r="BT71" s="232">
        <f t="shared" si="22"/>
        <v>5</v>
      </c>
      <c r="BU71" s="232">
        <f t="shared" si="22"/>
        <v>50</v>
      </c>
      <c r="BV71" s="232">
        <f t="shared" si="22"/>
        <v>44.5</v>
      </c>
      <c r="BW71" s="232">
        <f>B84</f>
        <v>53</v>
      </c>
    </row>
    <row r="72" spans="1:75" x14ac:dyDescent="0.25">
      <c r="A72" s="71" t="s">
        <v>72</v>
      </c>
      <c r="B72" s="65">
        <v>3.6</v>
      </c>
      <c r="C72" s="65">
        <v>3.6</v>
      </c>
      <c r="D72" s="65">
        <v>3.6</v>
      </c>
      <c r="E72" s="65">
        <v>3.6</v>
      </c>
      <c r="F72" s="65">
        <v>3.6</v>
      </c>
      <c r="G72" s="65">
        <v>3.6</v>
      </c>
      <c r="H72" s="65">
        <v>3.6</v>
      </c>
      <c r="I72" s="65">
        <v>3.6</v>
      </c>
      <c r="J72" s="65">
        <v>3.6</v>
      </c>
      <c r="K72" s="65">
        <v>3.6</v>
      </c>
      <c r="L72" s="65">
        <v>3.6</v>
      </c>
      <c r="M72" s="65">
        <v>3.6</v>
      </c>
      <c r="N72" s="65">
        <v>3.6</v>
      </c>
      <c r="O72" s="65">
        <v>3.6</v>
      </c>
      <c r="P72" s="65">
        <v>3.6</v>
      </c>
      <c r="Q72" s="65">
        <v>3.6</v>
      </c>
      <c r="R72" s="65">
        <v>3.6</v>
      </c>
      <c r="S72" s="65">
        <v>3.6</v>
      </c>
      <c r="T72" s="65">
        <v>3.6</v>
      </c>
      <c r="U72" s="65">
        <v>3.6</v>
      </c>
      <c r="V72" s="65">
        <v>3.6</v>
      </c>
      <c r="W72" s="65">
        <v>3.6</v>
      </c>
      <c r="X72" s="65">
        <v>3.6</v>
      </c>
      <c r="Y72" s="65">
        <v>3.6</v>
      </c>
      <c r="Z72" s="65">
        <v>3.6</v>
      </c>
      <c r="AA72" s="65">
        <v>3.6</v>
      </c>
      <c r="AB72" s="65">
        <v>3.6</v>
      </c>
      <c r="AC72" s="65">
        <v>3.6</v>
      </c>
      <c r="AD72" s="65">
        <v>3.6</v>
      </c>
      <c r="AE72" s="65">
        <v>3.6</v>
      </c>
      <c r="AF72" s="65">
        <v>3.6</v>
      </c>
      <c r="AG72" s="55">
        <v>14</v>
      </c>
      <c r="AH72" s="47">
        <f t="shared" si="2"/>
        <v>3.6</v>
      </c>
      <c r="AI72" s="48">
        <f t="shared" si="3"/>
        <v>3.6</v>
      </c>
      <c r="AK72" s="50"/>
      <c r="AY72" s="1" t="s">
        <v>607</v>
      </c>
      <c r="AZ72" s="233">
        <f>ROUND(C85,0)</f>
        <v>24</v>
      </c>
      <c r="BA72" s="232">
        <f t="shared" si="20"/>
        <v>24</v>
      </c>
      <c r="BB72" s="232">
        <f t="shared" si="20"/>
        <v>22.6</v>
      </c>
      <c r="BC72" s="232">
        <f t="shared" si="20"/>
        <v>24.4</v>
      </c>
      <c r="BD72" s="232">
        <f t="shared" si="20"/>
        <v>23</v>
      </c>
      <c r="BE72" s="233">
        <f>I85</f>
        <v>24.6</v>
      </c>
      <c r="BF72" s="233">
        <f>K85</f>
        <v>24</v>
      </c>
      <c r="BG72" s="233">
        <f t="shared" si="21"/>
        <v>0</v>
      </c>
      <c r="BH72" s="233">
        <f t="shared" si="21"/>
        <v>0</v>
      </c>
      <c r="BI72" s="233">
        <f t="shared" si="21"/>
        <v>30</v>
      </c>
      <c r="BJ72" s="233">
        <f t="shared" si="21"/>
        <v>66</v>
      </c>
      <c r="BK72" s="233">
        <f t="shared" si="21"/>
        <v>99</v>
      </c>
      <c r="BL72" s="233">
        <f t="shared" si="21"/>
        <v>108</v>
      </c>
      <c r="BM72" s="233">
        <f t="shared" si="21"/>
        <v>102</v>
      </c>
      <c r="BN72" s="233">
        <f t="shared" si="21"/>
        <v>106</v>
      </c>
      <c r="BO72" s="233">
        <f t="shared" si="21"/>
        <v>88</v>
      </c>
      <c r="BP72" s="233">
        <f t="shared" si="21"/>
        <v>0</v>
      </c>
      <c r="BQ72" s="233">
        <f>X85</f>
        <v>32</v>
      </c>
      <c r="BR72" s="233">
        <f>Z85</f>
        <v>107</v>
      </c>
      <c r="BS72" s="232">
        <f>AB85</f>
        <v>112.6</v>
      </c>
      <c r="BT72" s="232">
        <f t="shared" si="22"/>
        <v>121.6</v>
      </c>
      <c r="BU72" s="232">
        <f t="shared" si="22"/>
        <v>34.200000000000003</v>
      </c>
      <c r="BV72" s="232">
        <f t="shared" si="22"/>
        <v>25</v>
      </c>
      <c r="BW72" s="232">
        <f>B85</f>
        <v>22</v>
      </c>
    </row>
    <row r="73" spans="1:75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  <c r="AY73" s="1" t="s">
        <v>608</v>
      </c>
      <c r="AZ73" s="233">
        <f>ROUND(C91,0)</f>
        <v>0</v>
      </c>
      <c r="BA73" s="233">
        <f>D91</f>
        <v>0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0</v>
      </c>
      <c r="BF73" s="233">
        <f>K91</f>
        <v>71</v>
      </c>
      <c r="BG73" s="233">
        <f t="shared" ref="BG73:BP73" si="23">M91</f>
        <v>59.2</v>
      </c>
      <c r="BH73" s="233">
        <f t="shared" si="23"/>
        <v>66.099999999999994</v>
      </c>
      <c r="BI73" s="233">
        <f t="shared" si="23"/>
        <v>72.8</v>
      </c>
      <c r="BJ73" s="233">
        <f t="shared" si="23"/>
        <v>79</v>
      </c>
      <c r="BK73" s="233">
        <f t="shared" si="23"/>
        <v>73.599999999999994</v>
      </c>
      <c r="BL73" s="233">
        <f t="shared" si="23"/>
        <v>73.7</v>
      </c>
      <c r="BM73" s="233">
        <f t="shared" si="23"/>
        <v>73.8</v>
      </c>
      <c r="BN73" s="233">
        <f t="shared" si="23"/>
        <v>69</v>
      </c>
      <c r="BO73" s="233">
        <f t="shared" si="23"/>
        <v>69.400000000000006</v>
      </c>
      <c r="BP73" s="233">
        <f t="shared" si="23"/>
        <v>48.2</v>
      </c>
      <c r="BQ73" s="233">
        <f>X91</f>
        <v>56</v>
      </c>
      <c r="BR73" s="233">
        <f>Z91</f>
        <v>58</v>
      </c>
      <c r="BS73" s="233">
        <f>AB91</f>
        <v>53.1</v>
      </c>
      <c r="BT73" s="233">
        <f>AD91</f>
        <v>73.8</v>
      </c>
      <c r="BU73" s="233">
        <f>AE91</f>
        <v>70</v>
      </c>
      <c r="BV73" s="233">
        <f>AF91</f>
        <v>54.9</v>
      </c>
      <c r="BW73" s="233">
        <f>B91</f>
        <v>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  <c r="AZ75" s="233">
        <f>VALUE(AZ68)</f>
        <v>71</v>
      </c>
      <c r="BA75" s="233">
        <f t="shared" ref="BA75:BW75" si="24">VALUE(BA68)</f>
        <v>72</v>
      </c>
      <c r="BB75" s="233">
        <f t="shared" si="24"/>
        <v>70.3</v>
      </c>
      <c r="BC75" s="233">
        <f t="shared" si="24"/>
        <v>75</v>
      </c>
      <c r="BD75" s="233">
        <f t="shared" si="24"/>
        <v>74.099999999999994</v>
      </c>
      <c r="BE75" s="233">
        <f t="shared" si="24"/>
        <v>63.3</v>
      </c>
      <c r="BF75" s="233">
        <f t="shared" si="24"/>
        <v>46.9</v>
      </c>
      <c r="BG75" s="233">
        <f t="shared" si="24"/>
        <v>27.8</v>
      </c>
      <c r="BH75" s="233">
        <f t="shared" si="24"/>
        <v>32.799999999999997</v>
      </c>
      <c r="BI75" s="233">
        <f t="shared" si="24"/>
        <v>56.6</v>
      </c>
      <c r="BJ75" s="233">
        <f t="shared" si="24"/>
        <v>54.8</v>
      </c>
      <c r="BK75" s="233">
        <f t="shared" si="24"/>
        <v>61.7</v>
      </c>
      <c r="BL75" s="233">
        <f t="shared" si="24"/>
        <v>67.400000000000006</v>
      </c>
      <c r="BM75" s="233">
        <f t="shared" si="24"/>
        <v>29.2</v>
      </c>
      <c r="BN75" s="233">
        <f t="shared" si="24"/>
        <v>73</v>
      </c>
      <c r="BO75" s="233">
        <f t="shared" si="24"/>
        <v>52.1</v>
      </c>
      <c r="BP75" s="233">
        <f t="shared" si="24"/>
        <v>54.8</v>
      </c>
      <c r="BQ75" s="233">
        <f t="shared" si="24"/>
        <v>64.400000000000006</v>
      </c>
      <c r="BR75" s="233">
        <f t="shared" si="24"/>
        <v>57</v>
      </c>
      <c r="BS75" s="233">
        <f t="shared" si="24"/>
        <v>54.8</v>
      </c>
      <c r="BT75" s="233">
        <f t="shared" si="24"/>
        <v>64.099999999999994</v>
      </c>
      <c r="BU75" s="233">
        <f t="shared" si="24"/>
        <v>67.400000000000006</v>
      </c>
      <c r="BV75" s="233">
        <f t="shared" si="24"/>
        <v>61.6</v>
      </c>
      <c r="BW75" s="233">
        <f t="shared" si="24"/>
        <v>68</v>
      </c>
    </row>
    <row r="76" spans="1:75" ht="15.75" thickBot="1" x14ac:dyDescent="0.3">
      <c r="A76" s="74" t="s">
        <v>76</v>
      </c>
      <c r="B76" s="60">
        <f t="shared" ref="B76:AG76" si="25">SUM(B63:B75)</f>
        <v>77.040000000000006</v>
      </c>
      <c r="C76" s="60">
        <f t="shared" si="25"/>
        <v>77.040000000000006</v>
      </c>
      <c r="D76" s="60">
        <f t="shared" si="25"/>
        <v>77.040000000000006</v>
      </c>
      <c r="E76" s="60">
        <f t="shared" si="25"/>
        <v>78.34</v>
      </c>
      <c r="F76" s="60">
        <f t="shared" si="25"/>
        <v>90.34</v>
      </c>
      <c r="G76" s="60">
        <f t="shared" si="25"/>
        <v>161.34</v>
      </c>
      <c r="H76" s="60">
        <f t="shared" si="25"/>
        <v>255.34</v>
      </c>
      <c r="I76" s="60">
        <f t="shared" si="25"/>
        <v>270.34000000000003</v>
      </c>
      <c r="J76" s="60">
        <f t="shared" si="25"/>
        <v>326.06000000000006</v>
      </c>
      <c r="K76" s="60">
        <f t="shared" si="25"/>
        <v>363.86</v>
      </c>
      <c r="L76" s="60">
        <f t="shared" si="25"/>
        <v>381.84000000000009</v>
      </c>
      <c r="M76" s="60">
        <f t="shared" si="25"/>
        <v>388.34000000000009</v>
      </c>
      <c r="N76" s="60">
        <f t="shared" si="25"/>
        <v>253.74</v>
      </c>
      <c r="O76" s="60">
        <f t="shared" si="25"/>
        <v>248.74</v>
      </c>
      <c r="P76" s="60">
        <f t="shared" si="25"/>
        <v>197.64</v>
      </c>
      <c r="Q76" s="60">
        <f t="shared" si="25"/>
        <v>223.04</v>
      </c>
      <c r="R76" s="60">
        <f t="shared" si="25"/>
        <v>229.64</v>
      </c>
      <c r="S76" s="60">
        <f t="shared" si="25"/>
        <v>223.34</v>
      </c>
      <c r="T76" s="60">
        <f t="shared" ref="T76" si="26">SUM(T63:T75)</f>
        <v>199.94</v>
      </c>
      <c r="U76" s="60">
        <f t="shared" si="25"/>
        <v>195.14</v>
      </c>
      <c r="V76" s="60">
        <f t="shared" si="25"/>
        <v>211.83999999999997</v>
      </c>
      <c r="W76" s="60">
        <f t="shared" si="25"/>
        <v>201.33999999999997</v>
      </c>
      <c r="X76" s="60">
        <f t="shared" si="25"/>
        <v>325.94000000000005</v>
      </c>
      <c r="Y76" s="60">
        <f>SUM(Y63:Y75)</f>
        <v>352.44000000000005</v>
      </c>
      <c r="Z76" s="60">
        <f>SUM(Z63:Z75)</f>
        <v>362.40000000000003</v>
      </c>
      <c r="AA76" s="60">
        <f t="shared" si="25"/>
        <v>349.44000000000005</v>
      </c>
      <c r="AB76" s="60">
        <f t="shared" ref="AB76:AC76" si="27">SUM(AB63:AB75)</f>
        <v>300.64000000000004</v>
      </c>
      <c r="AC76" s="60">
        <f t="shared" si="27"/>
        <v>260.64000000000004</v>
      </c>
      <c r="AD76" s="60">
        <f t="shared" ref="AD76:AE76" si="28">SUM(AD63:AD75)</f>
        <v>224.44</v>
      </c>
      <c r="AE76" s="60">
        <f t="shared" si="28"/>
        <v>205.64</v>
      </c>
      <c r="AF76" s="60">
        <f t="shared" ref="AF76" si="29">SUM(AF63:AF75)</f>
        <v>138.34</v>
      </c>
      <c r="AG76" s="61">
        <f t="shared" si="25"/>
        <v>489.91</v>
      </c>
      <c r="AH76" s="47">
        <f t="shared" si="2"/>
        <v>388.34000000000009</v>
      </c>
      <c r="AI76" s="48">
        <f t="shared" si="3"/>
        <v>77.040000000000006</v>
      </c>
      <c r="AK76" s="50"/>
      <c r="AZ76" s="233">
        <f t="shared" ref="AZ76:BW80" si="30">VALUE(AZ69)</f>
        <v>0</v>
      </c>
      <c r="BA76" s="233">
        <f t="shared" si="30"/>
        <v>0</v>
      </c>
      <c r="BB76" s="233">
        <f t="shared" si="30"/>
        <v>0</v>
      </c>
      <c r="BC76" s="233">
        <f t="shared" si="30"/>
        <v>0</v>
      </c>
      <c r="BD76" s="233">
        <f t="shared" si="30"/>
        <v>0</v>
      </c>
      <c r="BE76" s="233">
        <f t="shared" si="30"/>
        <v>0</v>
      </c>
      <c r="BF76" s="233">
        <f t="shared" si="30"/>
        <v>0</v>
      </c>
      <c r="BG76" s="233">
        <f t="shared" si="30"/>
        <v>0</v>
      </c>
      <c r="BH76" s="233">
        <f t="shared" si="30"/>
        <v>0</v>
      </c>
      <c r="BI76" s="233">
        <f t="shared" si="30"/>
        <v>0</v>
      </c>
      <c r="BJ76" s="233">
        <f t="shared" si="30"/>
        <v>0</v>
      </c>
      <c r="BK76" s="233">
        <f t="shared" si="30"/>
        <v>0</v>
      </c>
      <c r="BL76" s="233">
        <f t="shared" si="30"/>
        <v>0</v>
      </c>
      <c r="BM76" s="233">
        <f t="shared" si="30"/>
        <v>0</v>
      </c>
      <c r="BN76" s="233">
        <f t="shared" si="30"/>
        <v>0</v>
      </c>
      <c r="BO76" s="233">
        <f t="shared" si="30"/>
        <v>0</v>
      </c>
      <c r="BP76" s="233">
        <f t="shared" si="30"/>
        <v>0</v>
      </c>
      <c r="BQ76" s="233">
        <f t="shared" si="30"/>
        <v>0</v>
      </c>
      <c r="BR76" s="233">
        <f t="shared" si="30"/>
        <v>0</v>
      </c>
      <c r="BS76" s="233">
        <f t="shared" si="30"/>
        <v>0</v>
      </c>
      <c r="BT76" s="233">
        <f t="shared" si="30"/>
        <v>0</v>
      </c>
      <c r="BU76" s="233">
        <f t="shared" si="30"/>
        <v>0</v>
      </c>
      <c r="BV76" s="233">
        <f t="shared" si="30"/>
        <v>0</v>
      </c>
      <c r="BW76" s="233">
        <f t="shared" si="30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  <c r="AZ77" s="233">
        <f t="shared" si="30"/>
        <v>446</v>
      </c>
      <c r="BA77" s="233">
        <f t="shared" si="30"/>
        <v>410</v>
      </c>
      <c r="BB77" s="233">
        <f t="shared" si="30"/>
        <v>423</v>
      </c>
      <c r="BC77" s="233">
        <f t="shared" si="30"/>
        <v>421.3</v>
      </c>
      <c r="BD77" s="233">
        <f t="shared" si="30"/>
        <v>389</v>
      </c>
      <c r="BE77" s="233">
        <f t="shared" si="30"/>
        <v>402</v>
      </c>
      <c r="BF77" s="233">
        <f t="shared" si="30"/>
        <v>181</v>
      </c>
      <c r="BG77" s="233">
        <f t="shared" si="30"/>
        <v>86.3</v>
      </c>
      <c r="BH77" s="233">
        <f t="shared" si="30"/>
        <v>168.8</v>
      </c>
      <c r="BI77" s="233">
        <f t="shared" si="30"/>
        <v>210</v>
      </c>
      <c r="BJ77" s="233">
        <f t="shared" si="30"/>
        <v>414</v>
      </c>
      <c r="BK77" s="233">
        <f t="shared" si="30"/>
        <v>435.6</v>
      </c>
      <c r="BL77" s="233">
        <f t="shared" si="30"/>
        <v>416</v>
      </c>
      <c r="BM77" s="233">
        <f t="shared" si="30"/>
        <v>452.7</v>
      </c>
      <c r="BN77" s="233">
        <f t="shared" si="30"/>
        <v>483</v>
      </c>
      <c r="BO77" s="233">
        <f t="shared" si="30"/>
        <v>499</v>
      </c>
      <c r="BP77" s="233">
        <f t="shared" si="30"/>
        <v>375</v>
      </c>
      <c r="BQ77" s="233">
        <f t="shared" si="30"/>
        <v>222</v>
      </c>
      <c r="BR77" s="233">
        <f t="shared" si="30"/>
        <v>83</v>
      </c>
      <c r="BS77" s="233">
        <f t="shared" si="30"/>
        <v>190</v>
      </c>
      <c r="BT77" s="233">
        <f t="shared" si="30"/>
        <v>392</v>
      </c>
      <c r="BU77" s="233">
        <f t="shared" si="30"/>
        <v>414.2</v>
      </c>
      <c r="BV77" s="233">
        <f t="shared" si="30"/>
        <v>388.9</v>
      </c>
      <c r="BW77" s="233">
        <f t="shared" si="30"/>
        <v>413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>
        <v>4.4000000000000004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4.4000000000000004</v>
      </c>
      <c r="AI78" s="48">
        <f t="shared" si="3"/>
        <v>4.4000000000000004</v>
      </c>
      <c r="AK78" s="50"/>
      <c r="AZ78" s="233">
        <f t="shared" si="30"/>
        <v>57</v>
      </c>
      <c r="BA78" s="233">
        <f t="shared" si="30"/>
        <v>53.6</v>
      </c>
      <c r="BB78" s="233">
        <f t="shared" si="30"/>
        <v>50.2</v>
      </c>
      <c r="BC78" s="233">
        <f t="shared" si="30"/>
        <v>51.2</v>
      </c>
      <c r="BD78" s="233">
        <f t="shared" si="30"/>
        <v>55</v>
      </c>
      <c r="BE78" s="233">
        <f t="shared" si="30"/>
        <v>43</v>
      </c>
      <c r="BF78" s="233">
        <f t="shared" si="30"/>
        <v>28</v>
      </c>
      <c r="BG78" s="233">
        <f t="shared" si="30"/>
        <v>7</v>
      </c>
      <c r="BH78" s="233">
        <f t="shared" si="30"/>
        <v>7</v>
      </c>
      <c r="BI78" s="233">
        <f t="shared" si="30"/>
        <v>28</v>
      </c>
      <c r="BJ78" s="233">
        <f t="shared" si="30"/>
        <v>42</v>
      </c>
      <c r="BK78" s="233">
        <f t="shared" si="30"/>
        <v>49</v>
      </c>
      <c r="BL78" s="233">
        <f t="shared" si="30"/>
        <v>48</v>
      </c>
      <c r="BM78" s="233">
        <f t="shared" si="30"/>
        <v>50.2</v>
      </c>
      <c r="BN78" s="233">
        <f t="shared" si="30"/>
        <v>52</v>
      </c>
      <c r="BO78" s="233">
        <f t="shared" si="30"/>
        <v>37</v>
      </c>
      <c r="BP78" s="233">
        <f t="shared" si="30"/>
        <v>5</v>
      </c>
      <c r="BQ78" s="233">
        <f t="shared" si="30"/>
        <v>5</v>
      </c>
      <c r="BR78" s="233">
        <f t="shared" si="30"/>
        <v>5</v>
      </c>
      <c r="BS78" s="233">
        <f t="shared" si="30"/>
        <v>5</v>
      </c>
      <c r="BT78" s="233">
        <f t="shared" si="30"/>
        <v>5</v>
      </c>
      <c r="BU78" s="233">
        <f t="shared" si="30"/>
        <v>50</v>
      </c>
      <c r="BV78" s="233">
        <f t="shared" si="30"/>
        <v>44.5</v>
      </c>
      <c r="BW78" s="233">
        <f t="shared" si="30"/>
        <v>53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>
        <v>1.7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1.7</v>
      </c>
      <c r="AI79" s="48">
        <f t="shared" si="3"/>
        <v>1.7</v>
      </c>
      <c r="AK79" s="50"/>
      <c r="AZ79" s="233">
        <f t="shared" si="30"/>
        <v>24</v>
      </c>
      <c r="BA79" s="233">
        <f t="shared" si="30"/>
        <v>24</v>
      </c>
      <c r="BB79" s="233">
        <f t="shared" si="30"/>
        <v>22.6</v>
      </c>
      <c r="BC79" s="233">
        <f t="shared" si="30"/>
        <v>24.4</v>
      </c>
      <c r="BD79" s="233">
        <f t="shared" si="30"/>
        <v>23</v>
      </c>
      <c r="BE79" s="233">
        <f t="shared" si="30"/>
        <v>24.6</v>
      </c>
      <c r="BF79" s="233">
        <f t="shared" si="30"/>
        <v>24</v>
      </c>
      <c r="BG79" s="233">
        <f t="shared" si="30"/>
        <v>0</v>
      </c>
      <c r="BH79" s="233">
        <f t="shared" si="30"/>
        <v>0</v>
      </c>
      <c r="BI79" s="233">
        <f t="shared" si="30"/>
        <v>30</v>
      </c>
      <c r="BJ79" s="233">
        <f t="shared" si="30"/>
        <v>66</v>
      </c>
      <c r="BK79" s="233">
        <f t="shared" si="30"/>
        <v>99</v>
      </c>
      <c r="BL79" s="233">
        <f t="shared" si="30"/>
        <v>108</v>
      </c>
      <c r="BM79" s="233">
        <f t="shared" si="30"/>
        <v>102</v>
      </c>
      <c r="BN79" s="233">
        <f t="shared" si="30"/>
        <v>106</v>
      </c>
      <c r="BO79" s="233">
        <f t="shared" si="30"/>
        <v>88</v>
      </c>
      <c r="BP79" s="233">
        <f t="shared" si="30"/>
        <v>0</v>
      </c>
      <c r="BQ79" s="233">
        <f t="shared" si="30"/>
        <v>32</v>
      </c>
      <c r="BR79" s="233">
        <f t="shared" si="30"/>
        <v>107</v>
      </c>
      <c r="BS79" s="233">
        <f t="shared" si="30"/>
        <v>112.6</v>
      </c>
      <c r="BT79" s="233">
        <f t="shared" si="30"/>
        <v>121.6</v>
      </c>
      <c r="BU79" s="233">
        <f t="shared" si="30"/>
        <v>34.200000000000003</v>
      </c>
      <c r="BV79" s="233">
        <f t="shared" si="30"/>
        <v>25</v>
      </c>
      <c r="BW79" s="233">
        <f t="shared" si="30"/>
        <v>22</v>
      </c>
    </row>
    <row r="80" spans="1:75" ht="15.75" thickBot="1" x14ac:dyDescent="0.3">
      <c r="A80" s="74" t="s">
        <v>80</v>
      </c>
      <c r="B80" s="60">
        <f t="shared" ref="B80:AA80" si="31">B77+B78+B79</f>
        <v>0</v>
      </c>
      <c r="C80" s="60">
        <f t="shared" si="31"/>
        <v>0</v>
      </c>
      <c r="D80" s="60">
        <f t="shared" si="31"/>
        <v>0</v>
      </c>
      <c r="E80" s="60">
        <f t="shared" si="31"/>
        <v>0</v>
      </c>
      <c r="F80" s="60">
        <f t="shared" si="31"/>
        <v>0</v>
      </c>
      <c r="G80" s="60">
        <f t="shared" si="31"/>
        <v>0</v>
      </c>
      <c r="H80" s="60">
        <f t="shared" si="31"/>
        <v>0</v>
      </c>
      <c r="I80" s="60">
        <f t="shared" si="31"/>
        <v>0</v>
      </c>
      <c r="J80" s="60">
        <f t="shared" si="31"/>
        <v>6.1000000000000005</v>
      </c>
      <c r="K80" s="60">
        <f t="shared" si="31"/>
        <v>0</v>
      </c>
      <c r="L80" s="60">
        <f t="shared" si="31"/>
        <v>0</v>
      </c>
      <c r="M80" s="60">
        <f t="shared" si="31"/>
        <v>0</v>
      </c>
      <c r="N80" s="60">
        <f t="shared" si="31"/>
        <v>0</v>
      </c>
      <c r="O80" s="60">
        <f t="shared" si="31"/>
        <v>0</v>
      </c>
      <c r="P80" s="60">
        <f t="shared" si="31"/>
        <v>0</v>
      </c>
      <c r="Q80" s="60">
        <f t="shared" si="31"/>
        <v>0</v>
      </c>
      <c r="R80" s="60">
        <f t="shared" si="31"/>
        <v>0</v>
      </c>
      <c r="S80" s="60">
        <f t="shared" si="31"/>
        <v>0</v>
      </c>
      <c r="T80" s="60">
        <f t="shared" ref="T80" si="32">T77+T78+T79</f>
        <v>0</v>
      </c>
      <c r="U80" s="60">
        <f t="shared" si="31"/>
        <v>0</v>
      </c>
      <c r="V80" s="60">
        <f t="shared" si="31"/>
        <v>0</v>
      </c>
      <c r="W80" s="60">
        <f t="shared" si="31"/>
        <v>0</v>
      </c>
      <c r="X80" s="60">
        <f t="shared" si="31"/>
        <v>0</v>
      </c>
      <c r="Y80" s="60">
        <f>Y77+Y78+Y79</f>
        <v>0</v>
      </c>
      <c r="Z80" s="60">
        <f>Z77+Z78+Z79</f>
        <v>0</v>
      </c>
      <c r="AA80" s="60">
        <f t="shared" si="31"/>
        <v>0</v>
      </c>
      <c r="AB80" s="60">
        <f t="shared" ref="AB80:AC80" si="33">AB77+AB78+AB79</f>
        <v>0</v>
      </c>
      <c r="AC80" s="60">
        <f t="shared" si="33"/>
        <v>0</v>
      </c>
      <c r="AD80" s="60">
        <f t="shared" ref="AD80:AE80" si="34">AD77+AD78+AD79</f>
        <v>0</v>
      </c>
      <c r="AE80" s="60">
        <f t="shared" si="34"/>
        <v>0</v>
      </c>
      <c r="AF80" s="60">
        <f t="shared" ref="AF80" si="35">AF77+AF78+AF79</f>
        <v>0</v>
      </c>
      <c r="AG80" s="61">
        <f>SUM(AG77:AG79)</f>
        <v>106</v>
      </c>
      <c r="AH80" s="47">
        <f t="shared" si="2"/>
        <v>6.1000000000000005</v>
      </c>
      <c r="AI80" s="48">
        <f t="shared" si="3"/>
        <v>0</v>
      </c>
      <c r="AK80" s="50"/>
      <c r="AZ80" s="233">
        <f t="shared" si="30"/>
        <v>0</v>
      </c>
      <c r="BA80" s="233">
        <f t="shared" si="30"/>
        <v>0</v>
      </c>
      <c r="BB80" s="233">
        <f t="shared" si="30"/>
        <v>0</v>
      </c>
      <c r="BC80" s="233">
        <f t="shared" si="30"/>
        <v>0</v>
      </c>
      <c r="BD80" s="233">
        <f t="shared" si="30"/>
        <v>0</v>
      </c>
      <c r="BE80" s="233">
        <f t="shared" si="30"/>
        <v>0</v>
      </c>
      <c r="BF80" s="233">
        <f t="shared" si="30"/>
        <v>71</v>
      </c>
      <c r="BG80" s="233">
        <f t="shared" si="30"/>
        <v>59.2</v>
      </c>
      <c r="BH80" s="233">
        <f t="shared" si="30"/>
        <v>66.099999999999994</v>
      </c>
      <c r="BI80" s="233">
        <f t="shared" si="30"/>
        <v>72.8</v>
      </c>
      <c r="BJ80" s="233">
        <f t="shared" si="30"/>
        <v>79</v>
      </c>
      <c r="BK80" s="233">
        <f t="shared" si="30"/>
        <v>73.599999999999994</v>
      </c>
      <c r="BL80" s="233">
        <f t="shared" si="30"/>
        <v>73.7</v>
      </c>
      <c r="BM80" s="233">
        <f t="shared" si="30"/>
        <v>73.8</v>
      </c>
      <c r="BN80" s="233">
        <f t="shared" si="30"/>
        <v>69</v>
      </c>
      <c r="BO80" s="233">
        <f t="shared" si="30"/>
        <v>69.400000000000006</v>
      </c>
      <c r="BP80" s="233">
        <f t="shared" si="30"/>
        <v>48.2</v>
      </c>
      <c r="BQ80" s="233">
        <f t="shared" si="30"/>
        <v>56</v>
      </c>
      <c r="BR80" s="233">
        <f t="shared" si="30"/>
        <v>58</v>
      </c>
      <c r="BS80" s="233">
        <f t="shared" si="30"/>
        <v>53.1</v>
      </c>
      <c r="BT80" s="233">
        <f t="shared" si="30"/>
        <v>73.8</v>
      </c>
      <c r="BU80" s="233">
        <f t="shared" si="30"/>
        <v>70</v>
      </c>
      <c r="BV80" s="233">
        <f t="shared" si="30"/>
        <v>54.9</v>
      </c>
      <c r="BW80" s="233">
        <f t="shared" si="30"/>
        <v>0</v>
      </c>
    </row>
    <row r="81" spans="1:64" x14ac:dyDescent="0.25">
      <c r="A81" s="44" t="s">
        <v>81</v>
      </c>
      <c r="B81" s="45">
        <v>68</v>
      </c>
      <c r="C81" s="45">
        <v>71</v>
      </c>
      <c r="D81" s="45">
        <v>72</v>
      </c>
      <c r="E81" s="45">
        <v>70.3</v>
      </c>
      <c r="F81" s="45">
        <v>75</v>
      </c>
      <c r="G81" s="45">
        <v>74.099999999999994</v>
      </c>
      <c r="H81" s="45">
        <v>62</v>
      </c>
      <c r="I81" s="45">
        <v>63.3</v>
      </c>
      <c r="J81" s="45">
        <v>72</v>
      </c>
      <c r="K81" s="45">
        <v>46.9</v>
      </c>
      <c r="L81" s="45">
        <v>32.9</v>
      </c>
      <c r="M81" s="45">
        <v>27.8</v>
      </c>
      <c r="N81" s="45">
        <v>32.799999999999997</v>
      </c>
      <c r="O81" s="45">
        <v>56.6</v>
      </c>
      <c r="P81" s="45">
        <v>54.8</v>
      </c>
      <c r="Q81" s="45">
        <v>61.7</v>
      </c>
      <c r="R81" s="45">
        <v>67.400000000000006</v>
      </c>
      <c r="S81" s="45">
        <v>29.2</v>
      </c>
      <c r="T81" s="45">
        <v>73</v>
      </c>
      <c r="U81" s="45">
        <v>52.1</v>
      </c>
      <c r="V81" s="45">
        <v>54.8</v>
      </c>
      <c r="W81" s="45">
        <v>67</v>
      </c>
      <c r="X81" s="45">
        <v>64.400000000000006</v>
      </c>
      <c r="Y81" s="45">
        <v>64.7</v>
      </c>
      <c r="Z81" s="45">
        <v>57</v>
      </c>
      <c r="AA81" s="45">
        <v>52</v>
      </c>
      <c r="AB81" s="45">
        <v>54.8</v>
      </c>
      <c r="AC81" s="45">
        <v>62.5</v>
      </c>
      <c r="AD81" s="45">
        <v>64.099999999999994</v>
      </c>
      <c r="AE81" s="45">
        <v>67.400000000000006</v>
      </c>
      <c r="AF81" s="45">
        <v>61.6</v>
      </c>
      <c r="AG81" s="52"/>
      <c r="AH81" s="47">
        <f t="shared" si="2"/>
        <v>75</v>
      </c>
      <c r="AI81" s="48">
        <f t="shared" si="3"/>
        <v>27.8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413</v>
      </c>
      <c r="C83" s="65">
        <v>446</v>
      </c>
      <c r="D83" s="65">
        <v>410</v>
      </c>
      <c r="E83" s="65">
        <v>423</v>
      </c>
      <c r="F83" s="65">
        <v>421.3</v>
      </c>
      <c r="G83" s="65">
        <v>389</v>
      </c>
      <c r="H83" s="65">
        <v>432</v>
      </c>
      <c r="I83" s="65">
        <v>402</v>
      </c>
      <c r="J83" s="65">
        <v>401</v>
      </c>
      <c r="K83" s="65">
        <v>181</v>
      </c>
      <c r="L83" s="65">
        <v>125.6</v>
      </c>
      <c r="M83" s="65">
        <v>86.3</v>
      </c>
      <c r="N83" s="65">
        <v>168.8</v>
      </c>
      <c r="O83" s="65">
        <v>210</v>
      </c>
      <c r="P83" s="65">
        <v>414</v>
      </c>
      <c r="Q83" s="65">
        <v>435.6</v>
      </c>
      <c r="R83" s="65">
        <v>416</v>
      </c>
      <c r="S83" s="65">
        <v>452.7</v>
      </c>
      <c r="T83" s="65">
        <v>483</v>
      </c>
      <c r="U83" s="65">
        <v>499</v>
      </c>
      <c r="V83" s="65">
        <v>375</v>
      </c>
      <c r="W83" s="65">
        <v>399.6</v>
      </c>
      <c r="X83" s="65">
        <v>222</v>
      </c>
      <c r="Y83" s="65">
        <v>181</v>
      </c>
      <c r="Z83" s="65">
        <v>83</v>
      </c>
      <c r="AA83" s="65">
        <v>103</v>
      </c>
      <c r="AB83" s="65">
        <v>190</v>
      </c>
      <c r="AC83" s="65">
        <v>253</v>
      </c>
      <c r="AD83" s="65">
        <v>392</v>
      </c>
      <c r="AE83" s="65">
        <v>414.2</v>
      </c>
      <c r="AF83" s="65">
        <v>388.9</v>
      </c>
      <c r="AG83" s="75"/>
      <c r="AH83" s="47">
        <f t="shared" si="2"/>
        <v>499</v>
      </c>
      <c r="AI83" s="48">
        <f t="shared" si="3"/>
        <v>83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53</v>
      </c>
      <c r="C84" s="65">
        <v>57</v>
      </c>
      <c r="D84" s="65">
        <v>53.6</v>
      </c>
      <c r="E84" s="76">
        <v>50.2</v>
      </c>
      <c r="F84" s="76">
        <v>51.2</v>
      </c>
      <c r="G84" s="76">
        <v>55</v>
      </c>
      <c r="H84" s="76">
        <v>48</v>
      </c>
      <c r="I84" s="76">
        <v>43</v>
      </c>
      <c r="J84" s="76">
        <v>52</v>
      </c>
      <c r="K84" s="76">
        <v>28</v>
      </c>
      <c r="L84" s="76">
        <v>6</v>
      </c>
      <c r="M84" s="76">
        <v>7</v>
      </c>
      <c r="N84" s="76">
        <v>7</v>
      </c>
      <c r="O84" s="76">
        <v>28</v>
      </c>
      <c r="P84" s="76">
        <v>42</v>
      </c>
      <c r="Q84" s="76">
        <v>49</v>
      </c>
      <c r="R84" s="76">
        <v>48</v>
      </c>
      <c r="S84" s="76">
        <v>50.2</v>
      </c>
      <c r="T84" s="76">
        <v>52</v>
      </c>
      <c r="U84" s="76">
        <v>37</v>
      </c>
      <c r="V84" s="76">
        <v>5</v>
      </c>
      <c r="W84" s="76">
        <v>5</v>
      </c>
      <c r="X84" s="76">
        <v>5</v>
      </c>
      <c r="Y84" s="76">
        <v>5</v>
      </c>
      <c r="Z84" s="76">
        <v>5</v>
      </c>
      <c r="AA84" s="76">
        <v>5</v>
      </c>
      <c r="AB84" s="76">
        <v>5</v>
      </c>
      <c r="AC84" s="76">
        <v>5</v>
      </c>
      <c r="AD84" s="76">
        <v>5</v>
      </c>
      <c r="AE84" s="76">
        <v>50</v>
      </c>
      <c r="AF84" s="76">
        <v>44.5</v>
      </c>
      <c r="AG84" s="75"/>
      <c r="AH84" s="47">
        <f t="shared" si="2"/>
        <v>57</v>
      </c>
      <c r="AI84" s="48">
        <f t="shared" si="3"/>
        <v>5</v>
      </c>
      <c r="AK84" s="50"/>
      <c r="AY84" s="233"/>
      <c r="BF84" s="232"/>
      <c r="BG84" s="233">
        <f t="array" ref="BG84:BL107">TRANSPOSE(AZ68:BW73)</f>
        <v>71</v>
      </c>
      <c r="BH84" s="233">
        <v>0</v>
      </c>
      <c r="BI84" s="233">
        <v>446</v>
      </c>
      <c r="BJ84" s="233">
        <v>57</v>
      </c>
      <c r="BK84" s="233">
        <v>24</v>
      </c>
      <c r="BL84" s="233">
        <v>0</v>
      </c>
    </row>
    <row r="85" spans="1:64" x14ac:dyDescent="0.25">
      <c r="A85" s="54" t="s">
        <v>85</v>
      </c>
      <c r="B85" s="45">
        <v>22</v>
      </c>
      <c r="C85" s="45">
        <v>24</v>
      </c>
      <c r="D85" s="45">
        <v>24</v>
      </c>
      <c r="E85" s="45">
        <v>22.6</v>
      </c>
      <c r="F85" s="45">
        <v>24.4</v>
      </c>
      <c r="G85" s="45">
        <v>23</v>
      </c>
      <c r="H85" s="45">
        <v>22.8</v>
      </c>
      <c r="I85" s="45">
        <v>24.6</v>
      </c>
      <c r="J85" s="45">
        <v>26.1</v>
      </c>
      <c r="K85" s="45">
        <v>24</v>
      </c>
      <c r="L85" s="45">
        <v>0</v>
      </c>
      <c r="M85" s="45">
        <v>0</v>
      </c>
      <c r="N85" s="45">
        <v>0</v>
      </c>
      <c r="O85" s="45">
        <v>30</v>
      </c>
      <c r="P85" s="45">
        <v>66</v>
      </c>
      <c r="Q85" s="45">
        <v>99</v>
      </c>
      <c r="R85" s="45">
        <v>108</v>
      </c>
      <c r="S85" s="45">
        <v>102</v>
      </c>
      <c r="T85" s="45">
        <v>106</v>
      </c>
      <c r="U85" s="45">
        <v>88</v>
      </c>
      <c r="V85" s="45">
        <v>0</v>
      </c>
      <c r="W85" s="45">
        <v>0</v>
      </c>
      <c r="X85" s="45">
        <v>32</v>
      </c>
      <c r="Y85" s="45">
        <v>76</v>
      </c>
      <c r="Z85" s="45">
        <v>107</v>
      </c>
      <c r="AA85" s="45">
        <v>106</v>
      </c>
      <c r="AB85" s="45">
        <v>112.6</v>
      </c>
      <c r="AC85" s="45">
        <f>57.4*2</f>
        <v>114.8</v>
      </c>
      <c r="AD85" s="45">
        <v>121.6</v>
      </c>
      <c r="AE85" s="45">
        <v>34.200000000000003</v>
      </c>
      <c r="AF85" s="45">
        <v>25</v>
      </c>
      <c r="AG85" s="75"/>
      <c r="AH85" s="47">
        <f t="shared" ref="AH85:AH130" si="36">MAX(B85:AF85)</f>
        <v>121.6</v>
      </c>
      <c r="AI85" s="48">
        <f t="shared" ref="AI85:AI130" si="37">MIN(B85:AF85)</f>
        <v>0</v>
      </c>
      <c r="AK85" s="50"/>
      <c r="AY85" s="233"/>
      <c r="BF85" s="232"/>
      <c r="BG85" s="233">
        <v>72</v>
      </c>
      <c r="BH85" s="233">
        <v>0</v>
      </c>
      <c r="BI85" s="233">
        <v>410</v>
      </c>
      <c r="BJ85" s="233">
        <v>53.6</v>
      </c>
      <c r="BK85" s="233">
        <v>24</v>
      </c>
      <c r="BL85" s="233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6"/>
        <v>0</v>
      </c>
      <c r="AI86" s="48">
        <f t="shared" si="37"/>
        <v>0</v>
      </c>
      <c r="AK86" s="50"/>
      <c r="AY86" s="233"/>
      <c r="BF86" s="232"/>
      <c r="BG86" s="233">
        <v>70.3</v>
      </c>
      <c r="BH86" s="233">
        <v>0</v>
      </c>
      <c r="BI86" s="233">
        <v>423</v>
      </c>
      <c r="BJ86" s="233">
        <v>50.2</v>
      </c>
      <c r="BK86" s="233">
        <v>22.6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6"/>
        <v>0</v>
      </c>
      <c r="AI87" s="48">
        <f t="shared" si="37"/>
        <v>0</v>
      </c>
      <c r="AK87" s="50"/>
      <c r="AL87" s="78" t="s">
        <v>88</v>
      </c>
      <c r="AM87" s="78"/>
      <c r="AY87" s="233"/>
      <c r="BF87" s="233"/>
      <c r="BG87" s="233">
        <v>75</v>
      </c>
      <c r="BH87" s="233">
        <v>0</v>
      </c>
      <c r="BI87" s="233">
        <v>421.3</v>
      </c>
      <c r="BJ87" s="233">
        <v>51.2</v>
      </c>
      <c r="BK87" s="233">
        <v>24.4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6"/>
        <v>0</v>
      </c>
      <c r="AI88" s="48">
        <f t="shared" si="37"/>
        <v>0</v>
      </c>
      <c r="AK88" s="79"/>
      <c r="AL88" s="80"/>
      <c r="AM88" s="80"/>
      <c r="AN88" s="81"/>
      <c r="AY88" s="233"/>
      <c r="BF88" s="233"/>
      <c r="BG88" s="233">
        <v>74.099999999999994</v>
      </c>
      <c r="BH88" s="233">
        <v>0</v>
      </c>
      <c r="BI88" s="233">
        <v>389</v>
      </c>
      <c r="BJ88" s="233">
        <v>55</v>
      </c>
      <c r="BK88" s="233">
        <v>23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6"/>
        <v>0</v>
      </c>
      <c r="AI89" s="48">
        <f t="shared" si="37"/>
        <v>0</v>
      </c>
      <c r="AK89" s="82" t="s">
        <v>91</v>
      </c>
      <c r="AL89" s="65"/>
      <c r="AM89" s="76"/>
      <c r="AN89" s="83"/>
      <c r="AY89" s="233"/>
      <c r="BF89" s="233"/>
      <c r="BG89" s="233">
        <v>63.3</v>
      </c>
      <c r="BH89" s="233">
        <v>0</v>
      </c>
      <c r="BI89" s="233">
        <v>402</v>
      </c>
      <c r="BJ89" s="233">
        <v>43</v>
      </c>
      <c r="BK89" s="233">
        <v>24.6</v>
      </c>
      <c r="BL89" s="233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6"/>
        <v>0</v>
      </c>
      <c r="AI90" s="48">
        <f t="shared" si="37"/>
        <v>0</v>
      </c>
      <c r="AK90" s="82" t="s">
        <v>93</v>
      </c>
      <c r="AL90" s="76"/>
      <c r="AM90" s="76"/>
      <c r="AN90" s="83"/>
      <c r="AY90" s="233"/>
      <c r="BF90" s="233"/>
      <c r="BG90" s="233">
        <v>46.9</v>
      </c>
      <c r="BH90" s="233">
        <v>0</v>
      </c>
      <c r="BI90" s="233">
        <v>181</v>
      </c>
      <c r="BJ90" s="233">
        <v>28</v>
      </c>
      <c r="BK90" s="233">
        <v>24</v>
      </c>
      <c r="BL90" s="233">
        <v>71</v>
      </c>
    </row>
    <row r="91" spans="1:64" ht="15.75" thickBot="1" x14ac:dyDescent="0.3">
      <c r="A91" s="84" t="s">
        <v>394</v>
      </c>
      <c r="B91" s="77">
        <v>0</v>
      </c>
      <c r="C91" s="77"/>
      <c r="D91" s="77"/>
      <c r="E91" s="77"/>
      <c r="F91" s="77">
        <v>0</v>
      </c>
      <c r="G91" s="77">
        <v>0</v>
      </c>
      <c r="H91" s="77">
        <v>0</v>
      </c>
      <c r="I91" s="77"/>
      <c r="J91" s="77">
        <v>67</v>
      </c>
      <c r="K91" s="77">
        <v>71</v>
      </c>
      <c r="L91" s="77">
        <v>61</v>
      </c>
      <c r="M91" s="77">
        <v>59.2</v>
      </c>
      <c r="N91" s="77">
        <v>66.099999999999994</v>
      </c>
      <c r="O91" s="77">
        <v>72.8</v>
      </c>
      <c r="P91" s="77">
        <v>79</v>
      </c>
      <c r="Q91" s="77">
        <v>73.599999999999994</v>
      </c>
      <c r="R91" s="77">
        <v>73.7</v>
      </c>
      <c r="S91" s="77">
        <v>73.8</v>
      </c>
      <c r="T91" s="77">
        <v>69</v>
      </c>
      <c r="U91" s="77">
        <v>69.400000000000006</v>
      </c>
      <c r="V91" s="77">
        <v>48.2</v>
      </c>
      <c r="W91" s="77">
        <v>53.9</v>
      </c>
      <c r="X91" s="77">
        <v>56</v>
      </c>
      <c r="Y91" s="77">
        <v>58</v>
      </c>
      <c r="Z91" s="77">
        <v>58</v>
      </c>
      <c r="AA91" s="77">
        <v>56</v>
      </c>
      <c r="AB91" s="77">
        <v>53.1</v>
      </c>
      <c r="AC91" s="77">
        <v>68.8</v>
      </c>
      <c r="AD91" s="77">
        <v>73.8</v>
      </c>
      <c r="AE91" s="77">
        <v>70</v>
      </c>
      <c r="AF91" s="77">
        <v>54.9</v>
      </c>
      <c r="AG91" s="85"/>
      <c r="AH91" s="47">
        <f t="shared" si="36"/>
        <v>79</v>
      </c>
      <c r="AI91" s="48">
        <f t="shared" si="37"/>
        <v>0</v>
      </c>
      <c r="AK91" s="86"/>
      <c r="AL91" s="45"/>
      <c r="AM91" s="45"/>
      <c r="AN91" s="87"/>
      <c r="AY91" s="233"/>
      <c r="BF91" s="233"/>
      <c r="BG91" s="233">
        <v>27.8</v>
      </c>
      <c r="BH91" s="233">
        <v>0</v>
      </c>
      <c r="BI91" s="233">
        <v>86.3</v>
      </c>
      <c r="BJ91" s="233">
        <v>7</v>
      </c>
      <c r="BK91" s="233">
        <v>0</v>
      </c>
      <c r="BL91" s="233">
        <v>59.2</v>
      </c>
    </row>
    <row r="92" spans="1:64" ht="15.75" thickBot="1" x14ac:dyDescent="0.3">
      <c r="A92" s="74" t="s">
        <v>94</v>
      </c>
      <c r="B92" s="60">
        <f t="shared" ref="B92:AA92" si="38">SUMIF(B81:B91,"&gt;0")</f>
        <v>556</v>
      </c>
      <c r="C92" s="60">
        <f t="shared" si="38"/>
        <v>598</v>
      </c>
      <c r="D92" s="60">
        <f t="shared" si="38"/>
        <v>559.6</v>
      </c>
      <c r="E92" s="60">
        <f t="shared" si="38"/>
        <v>566.1</v>
      </c>
      <c r="F92" s="60">
        <f t="shared" si="38"/>
        <v>571.9</v>
      </c>
      <c r="G92" s="60">
        <f t="shared" si="38"/>
        <v>541.1</v>
      </c>
      <c r="H92" s="60">
        <f t="shared" si="38"/>
        <v>564.79999999999995</v>
      </c>
      <c r="I92" s="60">
        <f t="shared" si="38"/>
        <v>532.9</v>
      </c>
      <c r="J92" s="60">
        <f t="shared" si="38"/>
        <v>618.1</v>
      </c>
      <c r="K92" s="60">
        <f t="shared" si="38"/>
        <v>350.9</v>
      </c>
      <c r="L92" s="60">
        <f t="shared" si="38"/>
        <v>225.5</v>
      </c>
      <c r="M92" s="60">
        <f t="shared" si="38"/>
        <v>180.3</v>
      </c>
      <c r="N92" s="60">
        <f t="shared" si="38"/>
        <v>274.70000000000005</v>
      </c>
      <c r="O92" s="60">
        <f t="shared" si="38"/>
        <v>397.40000000000003</v>
      </c>
      <c r="P92" s="60">
        <f t="shared" si="38"/>
        <v>655.8</v>
      </c>
      <c r="Q92" s="60">
        <f t="shared" si="38"/>
        <v>718.9</v>
      </c>
      <c r="R92" s="60">
        <f t="shared" si="38"/>
        <v>713.1</v>
      </c>
      <c r="S92" s="60">
        <f t="shared" si="38"/>
        <v>707.9</v>
      </c>
      <c r="T92" s="60">
        <f t="shared" ref="T92" si="39">SUMIF(T81:T91,"&gt;0")</f>
        <v>783</v>
      </c>
      <c r="U92" s="60">
        <f t="shared" si="38"/>
        <v>745.5</v>
      </c>
      <c r="V92" s="60">
        <f t="shared" si="38"/>
        <v>483</v>
      </c>
      <c r="W92" s="60">
        <f t="shared" si="38"/>
        <v>525.5</v>
      </c>
      <c r="X92" s="60">
        <f t="shared" si="38"/>
        <v>379.4</v>
      </c>
      <c r="Y92" s="60">
        <f>SUMIF(Y81:Y91,"&gt;0")</f>
        <v>384.7</v>
      </c>
      <c r="Z92" s="60">
        <f>SUMIF(Z81:Z91,"&gt;0")</f>
        <v>310</v>
      </c>
      <c r="AA92" s="60">
        <f t="shared" si="38"/>
        <v>322</v>
      </c>
      <c r="AB92" s="60">
        <f t="shared" ref="AB92:AC92" si="40">SUMIF(AB81:AB91,"&gt;0")</f>
        <v>415.5</v>
      </c>
      <c r="AC92" s="60">
        <f t="shared" si="40"/>
        <v>504.1</v>
      </c>
      <c r="AD92" s="60">
        <f t="shared" ref="AD92:AE92" si="41">SUMIF(AD81:AD91,"&gt;0")</f>
        <v>656.5</v>
      </c>
      <c r="AE92" s="60">
        <f t="shared" si="41"/>
        <v>635.80000000000007</v>
      </c>
      <c r="AF92" s="60">
        <f t="shared" ref="AF92" si="42">SUMIF(AF81:AF91,"&gt;0")</f>
        <v>574.9</v>
      </c>
      <c r="AG92" s="88">
        <f>SUM(AG81:AG91)</f>
        <v>0</v>
      </c>
      <c r="AH92" s="47">
        <f t="shared" si="36"/>
        <v>783</v>
      </c>
      <c r="AI92" s="48">
        <f t="shared" si="37"/>
        <v>180.3</v>
      </c>
      <c r="AK92" s="86"/>
      <c r="AL92" s="77"/>
      <c r="AM92" s="89"/>
      <c r="AN92" s="257"/>
      <c r="AY92" s="233"/>
      <c r="BF92" s="233"/>
      <c r="BG92" s="233">
        <v>32.799999999999997</v>
      </c>
      <c r="BH92" s="233">
        <v>0</v>
      </c>
      <c r="BI92" s="233">
        <v>168.8</v>
      </c>
      <c r="BJ92" s="233">
        <v>7</v>
      </c>
      <c r="BK92" s="233">
        <v>0</v>
      </c>
      <c r="BL92" s="233">
        <v>66.099999999999994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6"/>
        <v>0</v>
      </c>
      <c r="AI93" s="48">
        <f t="shared" si="37"/>
        <v>0</v>
      </c>
      <c r="AK93" s="86"/>
      <c r="AL93" s="77"/>
      <c r="AM93" s="77"/>
      <c r="AN93" s="258"/>
      <c r="BF93" s="233"/>
      <c r="BG93" s="233">
        <v>56.6</v>
      </c>
      <c r="BH93" s="233">
        <v>0</v>
      </c>
      <c r="BI93" s="233">
        <v>210</v>
      </c>
      <c r="BJ93" s="233">
        <v>28</v>
      </c>
      <c r="BK93" s="233">
        <v>30</v>
      </c>
      <c r="BL93" s="233">
        <v>72.8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6"/>
        <v>0</v>
      </c>
      <c r="AI94" s="48">
        <f t="shared" si="37"/>
        <v>0</v>
      </c>
      <c r="AK94" s="91"/>
      <c r="AL94" s="92"/>
      <c r="AM94" s="92"/>
      <c r="AN94" s="93"/>
      <c r="BF94" s="233"/>
      <c r="BG94" s="233">
        <v>54.8</v>
      </c>
      <c r="BH94" s="233">
        <v>0</v>
      </c>
      <c r="BI94" s="233">
        <v>414</v>
      </c>
      <c r="BJ94" s="233">
        <v>42</v>
      </c>
      <c r="BK94" s="233">
        <v>66</v>
      </c>
      <c r="BL94" s="233">
        <v>79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6"/>
        <v>0</v>
      </c>
      <c r="AI95" s="48">
        <f t="shared" si="37"/>
        <v>0</v>
      </c>
      <c r="BF95" s="233"/>
      <c r="BG95" s="233">
        <v>61.7</v>
      </c>
      <c r="BH95" s="233">
        <v>0</v>
      </c>
      <c r="BI95" s="233">
        <v>435.6</v>
      </c>
      <c r="BJ95" s="233">
        <v>49</v>
      </c>
      <c r="BK95" s="233">
        <v>99</v>
      </c>
      <c r="BL95" s="233">
        <v>73.599999999999994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6"/>
        <v>0</v>
      </c>
      <c r="AI96" s="48">
        <f t="shared" si="37"/>
        <v>0</v>
      </c>
      <c r="BF96" s="233"/>
      <c r="BG96" s="233">
        <v>67.400000000000006</v>
      </c>
      <c r="BH96" s="233">
        <v>0</v>
      </c>
      <c r="BI96" s="233">
        <v>416</v>
      </c>
      <c r="BJ96" s="233">
        <v>48</v>
      </c>
      <c r="BK96" s="233">
        <v>108</v>
      </c>
      <c r="BL96" s="233">
        <v>73.7</v>
      </c>
    </row>
    <row r="97" spans="1:64" ht="15.75" thickBot="1" x14ac:dyDescent="0.3">
      <c r="A97" s="74" t="s">
        <v>99</v>
      </c>
      <c r="B97" s="95">
        <f t="shared" ref="B97:AG97" si="43">B58+B62+B80+B76+B92+B96</f>
        <v>1157.29</v>
      </c>
      <c r="C97" s="95">
        <f t="shared" si="43"/>
        <v>1199.29</v>
      </c>
      <c r="D97" s="95">
        <f t="shared" si="43"/>
        <v>1160.8899999999999</v>
      </c>
      <c r="E97" s="95">
        <f t="shared" si="43"/>
        <v>1167.69</v>
      </c>
      <c r="F97" s="95">
        <f t="shared" si="43"/>
        <v>1185.19</v>
      </c>
      <c r="G97" s="95">
        <f t="shared" si="43"/>
        <v>1224.8899999999999</v>
      </c>
      <c r="H97" s="95">
        <f t="shared" si="43"/>
        <v>1342.59</v>
      </c>
      <c r="I97" s="95">
        <f t="shared" si="43"/>
        <v>1325.69</v>
      </c>
      <c r="J97" s="95">
        <f t="shared" si="43"/>
        <v>1572.71</v>
      </c>
      <c r="K97" s="95">
        <f t="shared" si="43"/>
        <v>1507.31</v>
      </c>
      <c r="L97" s="95">
        <f t="shared" si="43"/>
        <v>1529.89</v>
      </c>
      <c r="M97" s="95">
        <f t="shared" si="43"/>
        <v>1511.09</v>
      </c>
      <c r="N97" s="95">
        <f t="shared" si="43"/>
        <v>1309.5899999999999</v>
      </c>
      <c r="O97" s="95">
        <f t="shared" si="43"/>
        <v>1304.99</v>
      </c>
      <c r="P97" s="95">
        <f t="shared" si="43"/>
        <v>1388.19</v>
      </c>
      <c r="Q97" s="95">
        <f t="shared" si="43"/>
        <v>1496.79</v>
      </c>
      <c r="R97" s="95">
        <f t="shared" si="43"/>
        <v>1479.5900000000001</v>
      </c>
      <c r="S97" s="95">
        <f t="shared" si="43"/>
        <v>1473.0900000000001</v>
      </c>
      <c r="T97" s="95">
        <f t="shared" ref="T97" si="44">T58+T62+T80+T76+T92+T96</f>
        <v>1504.79</v>
      </c>
      <c r="U97" s="95">
        <f t="shared" si="43"/>
        <v>1462.49</v>
      </c>
      <c r="V97" s="95">
        <f t="shared" si="43"/>
        <v>1231.69</v>
      </c>
      <c r="W97" s="95">
        <f t="shared" si="43"/>
        <v>1278.69</v>
      </c>
      <c r="X97" s="95">
        <f t="shared" si="43"/>
        <v>1457.19</v>
      </c>
      <c r="Y97" s="95">
        <f>Y58+Y62+Y80+Y76+Y92+Y96</f>
        <v>1558.99</v>
      </c>
      <c r="Z97" s="95">
        <f>Z58+Z62+Z80+Z76+Z92+Z96</f>
        <v>1520.95</v>
      </c>
      <c r="AA97" s="95">
        <f t="shared" si="43"/>
        <v>1513.29</v>
      </c>
      <c r="AB97" s="95">
        <f t="shared" ref="AB97:AC97" si="45">AB58+AB62+AB80+AB76+AB92+AB96</f>
        <v>1467.99</v>
      </c>
      <c r="AC97" s="95">
        <f t="shared" si="45"/>
        <v>1516.5900000000001</v>
      </c>
      <c r="AD97" s="95">
        <f t="shared" ref="AD97:AE97" si="46">AD58+AD62+AD80+AD76+AD92+AD96</f>
        <v>1442.79</v>
      </c>
      <c r="AE97" s="95">
        <f t="shared" si="46"/>
        <v>1363.29</v>
      </c>
      <c r="AF97" s="95">
        <f t="shared" ref="AF97" si="47">AF58+AF62+AF80+AF76+AF92+AF96</f>
        <v>1235.0900000000001</v>
      </c>
      <c r="AG97" s="61">
        <f t="shared" si="43"/>
        <v>2231.81</v>
      </c>
      <c r="AH97" s="47">
        <f t="shared" si="36"/>
        <v>1572.71</v>
      </c>
      <c r="AI97" s="48">
        <f t="shared" si="37"/>
        <v>1157.29</v>
      </c>
      <c r="BF97" s="233"/>
      <c r="BG97" s="233">
        <v>29.2</v>
      </c>
      <c r="BH97" s="233">
        <v>0</v>
      </c>
      <c r="BI97" s="233">
        <v>452.7</v>
      </c>
      <c r="BJ97" s="233">
        <v>50.2</v>
      </c>
      <c r="BK97" s="233">
        <v>102</v>
      </c>
      <c r="BL97" s="233">
        <v>73.8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>
        <v>280</v>
      </c>
      <c r="N98" s="97">
        <v>280</v>
      </c>
      <c r="O98" s="97">
        <v>280</v>
      </c>
      <c r="P98" s="97"/>
      <c r="Q98" s="97"/>
      <c r="R98" s="97"/>
      <c r="S98" s="97"/>
      <c r="T98" s="97"/>
      <c r="U98" s="97"/>
      <c r="V98" s="97">
        <v>100</v>
      </c>
      <c r="W98" s="97">
        <v>250</v>
      </c>
      <c r="X98" s="97">
        <v>250</v>
      </c>
      <c r="Y98" s="97">
        <v>250</v>
      </c>
      <c r="Z98" s="97">
        <v>250</v>
      </c>
      <c r="AA98" s="97">
        <v>230</v>
      </c>
      <c r="AB98" s="97">
        <v>230</v>
      </c>
      <c r="AC98" s="97">
        <v>230</v>
      </c>
      <c r="AD98" s="97">
        <v>100</v>
      </c>
      <c r="AE98" s="97">
        <v>0</v>
      </c>
      <c r="AF98" s="97">
        <v>0</v>
      </c>
      <c r="AG98" s="88"/>
      <c r="AH98" s="47">
        <f t="shared" si="36"/>
        <v>280</v>
      </c>
      <c r="AI98" s="48">
        <f t="shared" si="37"/>
        <v>0</v>
      </c>
      <c r="BF98" s="233"/>
      <c r="BG98" s="233">
        <v>73</v>
      </c>
      <c r="BH98" s="233">
        <v>0</v>
      </c>
      <c r="BI98" s="233">
        <v>483</v>
      </c>
      <c r="BJ98" s="233">
        <v>52</v>
      </c>
      <c r="BK98" s="233">
        <v>106</v>
      </c>
      <c r="BL98" s="233">
        <v>69</v>
      </c>
    </row>
    <row r="99" spans="1:64" ht="15.75" thickBot="1" x14ac:dyDescent="0.3">
      <c r="A99" s="74" t="s">
        <v>101</v>
      </c>
      <c r="B99" s="95">
        <f t="shared" ref="B99:AA99" si="48">B97+B98</f>
        <v>1157.29</v>
      </c>
      <c r="C99" s="95">
        <f t="shared" si="48"/>
        <v>1199.29</v>
      </c>
      <c r="D99" s="95">
        <f t="shared" si="48"/>
        <v>1160.8899999999999</v>
      </c>
      <c r="E99" s="95">
        <f t="shared" si="48"/>
        <v>1167.69</v>
      </c>
      <c r="F99" s="95">
        <f t="shared" si="48"/>
        <v>1185.19</v>
      </c>
      <c r="G99" s="95">
        <f t="shared" si="48"/>
        <v>1224.8899999999999</v>
      </c>
      <c r="H99" s="95">
        <f t="shared" si="48"/>
        <v>1342.59</v>
      </c>
      <c r="I99" s="95">
        <f t="shared" si="48"/>
        <v>1325.69</v>
      </c>
      <c r="J99" s="95">
        <f t="shared" si="48"/>
        <v>1572.71</v>
      </c>
      <c r="K99" s="95">
        <f t="shared" si="48"/>
        <v>1507.31</v>
      </c>
      <c r="L99" s="95">
        <f t="shared" si="48"/>
        <v>1529.89</v>
      </c>
      <c r="M99" s="95">
        <f t="shared" si="48"/>
        <v>1791.09</v>
      </c>
      <c r="N99" s="95">
        <f t="shared" si="48"/>
        <v>1589.59</v>
      </c>
      <c r="O99" s="95">
        <f t="shared" si="48"/>
        <v>1584.99</v>
      </c>
      <c r="P99" s="95">
        <f t="shared" si="48"/>
        <v>1388.19</v>
      </c>
      <c r="Q99" s="95">
        <f t="shared" si="48"/>
        <v>1496.79</v>
      </c>
      <c r="R99" s="95">
        <f t="shared" si="48"/>
        <v>1479.5900000000001</v>
      </c>
      <c r="S99" s="95">
        <f t="shared" si="48"/>
        <v>1473.0900000000001</v>
      </c>
      <c r="T99" s="95">
        <f t="shared" ref="T99" si="49">T97+T98</f>
        <v>1504.79</v>
      </c>
      <c r="U99" s="95">
        <f t="shared" si="48"/>
        <v>1462.49</v>
      </c>
      <c r="V99" s="95">
        <f t="shared" si="48"/>
        <v>1331.69</v>
      </c>
      <c r="W99" s="95">
        <f t="shared" si="48"/>
        <v>1528.69</v>
      </c>
      <c r="X99" s="95">
        <f t="shared" si="48"/>
        <v>1707.19</v>
      </c>
      <c r="Y99" s="95">
        <f>Y97+Y98</f>
        <v>1808.99</v>
      </c>
      <c r="Z99" s="95">
        <f>Z97+Z98</f>
        <v>1770.95</v>
      </c>
      <c r="AA99" s="95">
        <f t="shared" si="48"/>
        <v>1743.29</v>
      </c>
      <c r="AB99" s="95">
        <f t="shared" ref="AB99:AC99" si="50">AB97+AB98</f>
        <v>1697.99</v>
      </c>
      <c r="AC99" s="95">
        <f t="shared" si="50"/>
        <v>1746.5900000000001</v>
      </c>
      <c r="AD99" s="95">
        <f t="shared" ref="AD99:AE99" si="51">AD97+AD98</f>
        <v>1542.79</v>
      </c>
      <c r="AE99" s="95">
        <f t="shared" si="51"/>
        <v>1363.29</v>
      </c>
      <c r="AF99" s="95">
        <f t="shared" ref="AF99" si="52">AF97+AF98</f>
        <v>1235.0900000000001</v>
      </c>
      <c r="AG99" s="88">
        <f>AG96+AG92+AG80+AG76+AG58+AG98</f>
        <v>1693.71</v>
      </c>
      <c r="AH99" s="47">
        <f t="shared" si="36"/>
        <v>1808.99</v>
      </c>
      <c r="AI99" s="48">
        <f t="shared" si="37"/>
        <v>1157.29</v>
      </c>
      <c r="BF99" s="233"/>
      <c r="BG99" s="233">
        <v>52.1</v>
      </c>
      <c r="BH99" s="233">
        <v>0</v>
      </c>
      <c r="BI99" s="233">
        <v>499</v>
      </c>
      <c r="BJ99" s="233">
        <v>37</v>
      </c>
      <c r="BK99" s="233">
        <v>88</v>
      </c>
      <c r="BL99" s="233">
        <v>69.400000000000006</v>
      </c>
    </row>
    <row r="100" spans="1:64" ht="15.75" thickBot="1" x14ac:dyDescent="0.3">
      <c r="A100" s="74" t="s">
        <v>102</v>
      </c>
      <c r="B100" s="95">
        <f t="shared" ref="B100:M100" si="53">B99-(B107)</f>
        <v>1157.29</v>
      </c>
      <c r="C100" s="95">
        <f t="shared" si="53"/>
        <v>1199.29</v>
      </c>
      <c r="D100" s="95">
        <f t="shared" si="53"/>
        <v>1160.8899999999999</v>
      </c>
      <c r="E100" s="95">
        <f t="shared" si="53"/>
        <v>1167.69</v>
      </c>
      <c r="F100" s="95">
        <f t="shared" si="53"/>
        <v>1185.19</v>
      </c>
      <c r="G100" s="95">
        <f t="shared" si="53"/>
        <v>1224.8899999999999</v>
      </c>
      <c r="H100" s="95">
        <f t="shared" si="53"/>
        <v>1342.59</v>
      </c>
      <c r="I100" s="95">
        <f t="shared" si="53"/>
        <v>1325.69</v>
      </c>
      <c r="J100" s="95">
        <f t="shared" si="53"/>
        <v>1572.71</v>
      </c>
      <c r="K100" s="95">
        <f t="shared" si="53"/>
        <v>1507.31</v>
      </c>
      <c r="L100" s="95">
        <f t="shared" si="53"/>
        <v>1529.89</v>
      </c>
      <c r="M100" s="95">
        <f t="shared" si="53"/>
        <v>1791.09</v>
      </c>
      <c r="N100" s="95">
        <f>N99-(N107)</f>
        <v>1589.59</v>
      </c>
      <c r="O100" s="95">
        <f t="shared" ref="O100:AA100" si="54">O99-(O107)</f>
        <v>1584.99</v>
      </c>
      <c r="P100" s="95">
        <f t="shared" si="54"/>
        <v>1388.19</v>
      </c>
      <c r="Q100" s="95">
        <f t="shared" si="54"/>
        <v>1496.79</v>
      </c>
      <c r="R100" s="95">
        <f t="shared" si="54"/>
        <v>1479.5900000000001</v>
      </c>
      <c r="S100" s="95">
        <f t="shared" si="54"/>
        <v>1473.0900000000001</v>
      </c>
      <c r="T100" s="95">
        <f t="shared" ref="T100" si="55">T99-(T107)</f>
        <v>1503.79</v>
      </c>
      <c r="U100" s="95">
        <f t="shared" si="54"/>
        <v>1462.49</v>
      </c>
      <c r="V100" s="95">
        <f t="shared" si="54"/>
        <v>1331.69</v>
      </c>
      <c r="W100" s="95">
        <f t="shared" si="54"/>
        <v>1528.69</v>
      </c>
      <c r="X100" s="95">
        <f t="shared" si="54"/>
        <v>1707.19</v>
      </c>
      <c r="Y100" s="95">
        <f t="shared" si="54"/>
        <v>1808.99</v>
      </c>
      <c r="Z100" s="95">
        <f t="shared" si="54"/>
        <v>1770.95</v>
      </c>
      <c r="AA100" s="95">
        <f t="shared" si="54"/>
        <v>1743.29</v>
      </c>
      <c r="AB100" s="95">
        <f t="shared" ref="AB100:AC100" si="56">AB99-(AB107)</f>
        <v>1697.99</v>
      </c>
      <c r="AC100" s="95">
        <f t="shared" si="56"/>
        <v>1746.5900000000001</v>
      </c>
      <c r="AD100" s="95">
        <f t="shared" ref="AD100:AE100" si="57">AD99-(AD107)</f>
        <v>1542.79</v>
      </c>
      <c r="AE100" s="95">
        <f t="shared" si="57"/>
        <v>1362.29</v>
      </c>
      <c r="AF100" s="95">
        <f t="shared" ref="AF100" si="58">AF99-(AF107)</f>
        <v>1233.0900000000001</v>
      </c>
      <c r="AG100" s="88"/>
      <c r="AH100" s="47">
        <f t="shared" si="36"/>
        <v>1808.99</v>
      </c>
      <c r="AI100" s="48">
        <f t="shared" si="37"/>
        <v>1157.29</v>
      </c>
      <c r="BF100" s="233"/>
      <c r="BG100" s="233">
        <v>54.8</v>
      </c>
      <c r="BH100" s="233">
        <v>0</v>
      </c>
      <c r="BI100" s="233">
        <v>375</v>
      </c>
      <c r="BJ100" s="233">
        <v>5</v>
      </c>
      <c r="BK100" s="233">
        <v>0</v>
      </c>
      <c r="BL100" s="233">
        <v>48.2</v>
      </c>
    </row>
    <row r="101" spans="1:64" x14ac:dyDescent="0.25">
      <c r="A101" s="44" t="s">
        <v>84</v>
      </c>
      <c r="B101" s="76">
        <f>IF(B84&lt;0,B84*-1,0)</f>
        <v>0</v>
      </c>
      <c r="C101" s="76">
        <f t="shared" ref="C101:AA101" si="59">IF(C84&lt;0,C84*-1,0)</f>
        <v>0</v>
      </c>
      <c r="D101" s="76">
        <f t="shared" si="59"/>
        <v>0</v>
      </c>
      <c r="E101" s="76">
        <f t="shared" si="59"/>
        <v>0</v>
      </c>
      <c r="F101" s="76">
        <f t="shared" si="59"/>
        <v>0</v>
      </c>
      <c r="G101" s="76">
        <f t="shared" si="59"/>
        <v>0</v>
      </c>
      <c r="H101" s="76">
        <f t="shared" si="59"/>
        <v>0</v>
      </c>
      <c r="I101" s="76">
        <f t="shared" si="59"/>
        <v>0</v>
      </c>
      <c r="J101" s="76">
        <f t="shared" si="59"/>
        <v>0</v>
      </c>
      <c r="K101" s="76">
        <f t="shared" si="59"/>
        <v>0</v>
      </c>
      <c r="L101" s="76">
        <f t="shared" si="59"/>
        <v>0</v>
      </c>
      <c r="M101" s="76">
        <f t="shared" si="59"/>
        <v>0</v>
      </c>
      <c r="N101" s="76">
        <f t="shared" si="59"/>
        <v>0</v>
      </c>
      <c r="O101" s="76">
        <f t="shared" si="59"/>
        <v>0</v>
      </c>
      <c r="P101" s="76">
        <f t="shared" si="59"/>
        <v>0</v>
      </c>
      <c r="Q101" s="76">
        <f t="shared" si="59"/>
        <v>0</v>
      </c>
      <c r="R101" s="76">
        <f t="shared" si="59"/>
        <v>0</v>
      </c>
      <c r="S101" s="76">
        <f t="shared" si="59"/>
        <v>0</v>
      </c>
      <c r="T101" s="76">
        <f t="shared" ref="T101" si="60">IF(T84&lt;0,T84*-1,0)</f>
        <v>0</v>
      </c>
      <c r="U101" s="76">
        <f t="shared" si="59"/>
        <v>0</v>
      </c>
      <c r="V101" s="76">
        <f t="shared" si="59"/>
        <v>0</v>
      </c>
      <c r="W101" s="76">
        <f t="shared" si="59"/>
        <v>0</v>
      </c>
      <c r="X101" s="76">
        <f t="shared" si="59"/>
        <v>0</v>
      </c>
      <c r="Y101" s="76">
        <f t="shared" si="59"/>
        <v>0</v>
      </c>
      <c r="Z101" s="76">
        <f t="shared" si="59"/>
        <v>0</v>
      </c>
      <c r="AA101" s="76">
        <f t="shared" si="59"/>
        <v>0</v>
      </c>
      <c r="AB101" s="76">
        <f t="shared" ref="AB101:AC101" si="61">IF(AB84&lt;0,AB84*-1,0)</f>
        <v>0</v>
      </c>
      <c r="AC101" s="76">
        <f t="shared" si="61"/>
        <v>0</v>
      </c>
      <c r="AD101" s="76">
        <f t="shared" ref="AD101:AE101" si="62">IF(AD84&lt;0,AD84*-1,0)</f>
        <v>0</v>
      </c>
      <c r="AE101" s="76">
        <f t="shared" si="62"/>
        <v>0</v>
      </c>
      <c r="AF101" s="76">
        <f t="shared" ref="AF101" si="63">IF(AF84&lt;0,AF84*-1,0)</f>
        <v>0</v>
      </c>
      <c r="AG101" s="52"/>
      <c r="AH101" s="47">
        <f t="shared" si="36"/>
        <v>0</v>
      </c>
      <c r="AI101" s="48">
        <f t="shared" si="37"/>
        <v>0</v>
      </c>
      <c r="BF101" s="232"/>
      <c r="BG101" s="233">
        <v>64.400000000000006</v>
      </c>
      <c r="BH101" s="233">
        <v>0</v>
      </c>
      <c r="BI101" s="233">
        <v>222</v>
      </c>
      <c r="BJ101" s="233">
        <v>5</v>
      </c>
      <c r="BK101" s="233">
        <v>32</v>
      </c>
      <c r="BL101" s="233">
        <v>56</v>
      </c>
    </row>
    <row r="102" spans="1:64" x14ac:dyDescent="0.25">
      <c r="A102" s="54" t="s">
        <v>82</v>
      </c>
      <c r="B102" s="76">
        <f>IF(B82&lt;0,B82*-1,0)</f>
        <v>0</v>
      </c>
      <c r="C102" s="76">
        <f t="shared" ref="C102:AA102" si="64">IF(C82&lt;0,C82*-1,0)</f>
        <v>0</v>
      </c>
      <c r="D102" s="76">
        <f t="shared" si="64"/>
        <v>0</v>
      </c>
      <c r="E102" s="76">
        <f t="shared" si="64"/>
        <v>0</v>
      </c>
      <c r="F102" s="76">
        <f t="shared" si="64"/>
        <v>0</v>
      </c>
      <c r="G102" s="76">
        <f t="shared" si="64"/>
        <v>0</v>
      </c>
      <c r="H102" s="76">
        <f t="shared" si="64"/>
        <v>0</v>
      </c>
      <c r="I102" s="76">
        <f t="shared" si="64"/>
        <v>0</v>
      </c>
      <c r="J102" s="76">
        <f t="shared" si="64"/>
        <v>0</v>
      </c>
      <c r="K102" s="76">
        <f t="shared" si="64"/>
        <v>0</v>
      </c>
      <c r="L102" s="76">
        <f t="shared" si="64"/>
        <v>0</v>
      </c>
      <c r="M102" s="76">
        <f t="shared" si="64"/>
        <v>0</v>
      </c>
      <c r="N102" s="76">
        <f t="shared" si="64"/>
        <v>0</v>
      </c>
      <c r="O102" s="76">
        <f t="shared" si="64"/>
        <v>0</v>
      </c>
      <c r="P102" s="76">
        <f t="shared" si="64"/>
        <v>0</v>
      </c>
      <c r="Q102" s="76">
        <f t="shared" si="64"/>
        <v>0</v>
      </c>
      <c r="R102" s="76">
        <f t="shared" si="64"/>
        <v>0</v>
      </c>
      <c r="S102" s="76">
        <f t="shared" si="64"/>
        <v>0</v>
      </c>
      <c r="T102" s="76">
        <f t="shared" ref="T102" si="65">IF(T82&lt;0,T82*-1,0)</f>
        <v>0</v>
      </c>
      <c r="U102" s="76">
        <f t="shared" si="64"/>
        <v>0</v>
      </c>
      <c r="V102" s="76">
        <f t="shared" si="64"/>
        <v>0</v>
      </c>
      <c r="W102" s="76">
        <f t="shared" si="64"/>
        <v>0</v>
      </c>
      <c r="X102" s="76">
        <f t="shared" si="64"/>
        <v>0</v>
      </c>
      <c r="Y102" s="76">
        <f t="shared" si="64"/>
        <v>0</v>
      </c>
      <c r="Z102" s="76">
        <f t="shared" si="64"/>
        <v>0</v>
      </c>
      <c r="AA102" s="76">
        <f t="shared" si="64"/>
        <v>0</v>
      </c>
      <c r="AB102" s="76">
        <f t="shared" ref="AB102:AC102" si="66">IF(AB82&lt;0,AB82*-1,0)</f>
        <v>0</v>
      </c>
      <c r="AC102" s="76">
        <f t="shared" si="66"/>
        <v>0</v>
      </c>
      <c r="AD102" s="76">
        <f t="shared" ref="AD102:AE102" si="67">IF(AD82&lt;0,AD82*-1,0)</f>
        <v>0</v>
      </c>
      <c r="AE102" s="76">
        <f t="shared" si="67"/>
        <v>0</v>
      </c>
      <c r="AF102" s="76">
        <f t="shared" ref="AF102" si="68">IF(AF82&lt;0,AF82*-1,0)</f>
        <v>0</v>
      </c>
      <c r="AG102" s="55"/>
      <c r="AH102" s="47">
        <f t="shared" si="36"/>
        <v>0</v>
      </c>
      <c r="AI102" s="48">
        <f t="shared" si="37"/>
        <v>0</v>
      </c>
      <c r="BF102" s="232"/>
      <c r="BG102" s="233">
        <v>57</v>
      </c>
      <c r="BH102" s="233">
        <v>0</v>
      </c>
      <c r="BI102" s="233">
        <v>83</v>
      </c>
      <c r="BJ102" s="233">
        <v>5</v>
      </c>
      <c r="BK102" s="233">
        <v>107</v>
      </c>
      <c r="BL102" s="233">
        <v>58</v>
      </c>
    </row>
    <row r="103" spans="1:64" x14ac:dyDescent="0.25">
      <c r="A103" s="84" t="s">
        <v>103</v>
      </c>
      <c r="B103" s="76">
        <f>IF(B85&lt;0,B85*-1,0)</f>
        <v>0</v>
      </c>
      <c r="C103" s="76">
        <f t="shared" ref="C103:AA103" si="69">IF(C85&lt;0,C85*-1,0)</f>
        <v>0</v>
      </c>
      <c r="D103" s="76">
        <f t="shared" si="69"/>
        <v>0</v>
      </c>
      <c r="E103" s="76">
        <f t="shared" si="69"/>
        <v>0</v>
      </c>
      <c r="F103" s="76">
        <f t="shared" si="69"/>
        <v>0</v>
      </c>
      <c r="G103" s="76">
        <f t="shared" si="69"/>
        <v>0</v>
      </c>
      <c r="H103" s="76">
        <f t="shared" si="69"/>
        <v>0</v>
      </c>
      <c r="I103" s="76">
        <f t="shared" si="69"/>
        <v>0</v>
      </c>
      <c r="J103" s="76">
        <f t="shared" si="69"/>
        <v>0</v>
      </c>
      <c r="K103" s="76">
        <f t="shared" si="69"/>
        <v>0</v>
      </c>
      <c r="L103" s="76">
        <f t="shared" si="69"/>
        <v>0</v>
      </c>
      <c r="M103" s="76">
        <f t="shared" si="69"/>
        <v>0</v>
      </c>
      <c r="N103" s="76">
        <f t="shared" si="69"/>
        <v>0</v>
      </c>
      <c r="O103" s="76">
        <f t="shared" si="69"/>
        <v>0</v>
      </c>
      <c r="P103" s="76">
        <f t="shared" si="69"/>
        <v>0</v>
      </c>
      <c r="Q103" s="76">
        <f t="shared" si="69"/>
        <v>0</v>
      </c>
      <c r="R103" s="76">
        <f t="shared" si="69"/>
        <v>0</v>
      </c>
      <c r="S103" s="76">
        <f t="shared" si="69"/>
        <v>0</v>
      </c>
      <c r="T103" s="76">
        <f t="shared" ref="T103" si="70">IF(T85&lt;0,T85*-1,0)</f>
        <v>0</v>
      </c>
      <c r="U103" s="76">
        <f t="shared" si="69"/>
        <v>0</v>
      </c>
      <c r="V103" s="76">
        <f t="shared" si="69"/>
        <v>0</v>
      </c>
      <c r="W103" s="76">
        <f t="shared" si="69"/>
        <v>0</v>
      </c>
      <c r="X103" s="76">
        <f t="shared" si="69"/>
        <v>0</v>
      </c>
      <c r="Y103" s="76">
        <f t="shared" si="69"/>
        <v>0</v>
      </c>
      <c r="Z103" s="76">
        <f t="shared" si="69"/>
        <v>0</v>
      </c>
      <c r="AA103" s="76">
        <f t="shared" si="69"/>
        <v>0</v>
      </c>
      <c r="AB103" s="76">
        <f t="shared" ref="AB103:AC103" si="71">IF(AB85&lt;0,AB85*-1,0)</f>
        <v>0</v>
      </c>
      <c r="AC103" s="76">
        <f t="shared" si="71"/>
        <v>0</v>
      </c>
      <c r="AD103" s="76">
        <f t="shared" ref="AD103:AE103" si="72">IF(AD85&lt;0,AD85*-1,0)</f>
        <v>0</v>
      </c>
      <c r="AE103" s="76">
        <f t="shared" si="72"/>
        <v>0</v>
      </c>
      <c r="AF103" s="76">
        <f t="shared" ref="AF103" si="73">IF(AF85&lt;0,AF85*-1,0)</f>
        <v>0</v>
      </c>
      <c r="AG103" s="98"/>
      <c r="AH103" s="47">
        <f t="shared" si="36"/>
        <v>0</v>
      </c>
      <c r="AI103" s="48">
        <f t="shared" si="37"/>
        <v>0</v>
      </c>
      <c r="BF103" s="232"/>
      <c r="BG103" s="233">
        <v>54.8</v>
      </c>
      <c r="BH103" s="233">
        <v>0</v>
      </c>
      <c r="BI103" s="233">
        <v>190</v>
      </c>
      <c r="BJ103" s="233">
        <v>5</v>
      </c>
      <c r="BK103" s="233">
        <v>112.6</v>
      </c>
      <c r="BL103" s="233">
        <v>53.1</v>
      </c>
    </row>
    <row r="104" spans="1:64" x14ac:dyDescent="0.25">
      <c r="A104" s="84" t="s">
        <v>104</v>
      </c>
      <c r="B104" s="76">
        <f>IF(B83&lt;0,B83*-1,0)</f>
        <v>0</v>
      </c>
      <c r="C104" s="76">
        <f t="shared" ref="C104:AA104" si="74">IF(C83&lt;0,C83*-1,0)</f>
        <v>0</v>
      </c>
      <c r="D104" s="76">
        <f t="shared" si="74"/>
        <v>0</v>
      </c>
      <c r="E104" s="76">
        <f t="shared" si="74"/>
        <v>0</v>
      </c>
      <c r="F104" s="76">
        <f t="shared" si="74"/>
        <v>0</v>
      </c>
      <c r="G104" s="76">
        <f t="shared" si="74"/>
        <v>0</v>
      </c>
      <c r="H104" s="76">
        <f t="shared" si="74"/>
        <v>0</v>
      </c>
      <c r="I104" s="76">
        <f t="shared" si="74"/>
        <v>0</v>
      </c>
      <c r="J104" s="76">
        <f t="shared" si="74"/>
        <v>0</v>
      </c>
      <c r="K104" s="76">
        <f t="shared" si="74"/>
        <v>0</v>
      </c>
      <c r="L104" s="76">
        <f t="shared" si="74"/>
        <v>0</v>
      </c>
      <c r="M104" s="76">
        <f t="shared" si="74"/>
        <v>0</v>
      </c>
      <c r="N104" s="76">
        <f t="shared" si="74"/>
        <v>0</v>
      </c>
      <c r="O104" s="76">
        <f t="shared" si="74"/>
        <v>0</v>
      </c>
      <c r="P104" s="76">
        <f t="shared" si="74"/>
        <v>0</v>
      </c>
      <c r="Q104" s="76">
        <f t="shared" si="74"/>
        <v>0</v>
      </c>
      <c r="R104" s="76">
        <f t="shared" si="74"/>
        <v>0</v>
      </c>
      <c r="S104" s="76">
        <f t="shared" si="74"/>
        <v>0</v>
      </c>
      <c r="T104" s="76">
        <f t="shared" ref="T104" si="75">IF(T83&lt;0,T83*-1,0)</f>
        <v>0</v>
      </c>
      <c r="U104" s="76">
        <f t="shared" si="74"/>
        <v>0</v>
      </c>
      <c r="V104" s="76">
        <f t="shared" si="74"/>
        <v>0</v>
      </c>
      <c r="W104" s="76">
        <f t="shared" si="74"/>
        <v>0</v>
      </c>
      <c r="X104" s="76">
        <f t="shared" si="74"/>
        <v>0</v>
      </c>
      <c r="Y104" s="76">
        <f t="shared" si="74"/>
        <v>0</v>
      </c>
      <c r="Z104" s="76">
        <f t="shared" si="74"/>
        <v>0</v>
      </c>
      <c r="AA104" s="76">
        <f t="shared" si="74"/>
        <v>0</v>
      </c>
      <c r="AB104" s="76">
        <f t="shared" ref="AB104:AC104" si="76">IF(AB83&lt;0,AB83*-1,0)</f>
        <v>0</v>
      </c>
      <c r="AC104" s="76">
        <f t="shared" si="76"/>
        <v>0</v>
      </c>
      <c r="AD104" s="76">
        <f t="shared" ref="AD104:AE104" si="77">IF(AD83&lt;0,AD83*-1,0)</f>
        <v>0</v>
      </c>
      <c r="AE104" s="76">
        <f t="shared" si="77"/>
        <v>0</v>
      </c>
      <c r="AF104" s="76">
        <f t="shared" ref="AF104" si="78">IF(AF83&lt;0,AF83*-1,0)</f>
        <v>0</v>
      </c>
      <c r="AG104" s="98"/>
      <c r="AH104" s="47">
        <f t="shared" si="36"/>
        <v>0</v>
      </c>
      <c r="AI104" s="48">
        <f t="shared" si="37"/>
        <v>0</v>
      </c>
      <c r="BF104" s="232"/>
      <c r="BG104" s="233">
        <v>64.099999999999994</v>
      </c>
      <c r="BH104" s="233">
        <v>0</v>
      </c>
      <c r="BI104" s="233">
        <v>392</v>
      </c>
      <c r="BJ104" s="233">
        <v>5</v>
      </c>
      <c r="BK104" s="233">
        <v>121.6</v>
      </c>
      <c r="BL104" s="233">
        <v>73.8</v>
      </c>
    </row>
    <row r="105" spans="1:64" x14ac:dyDescent="0.25">
      <c r="A105" s="84" t="s">
        <v>81</v>
      </c>
      <c r="B105" s="76">
        <f>IF(B81&lt;0,B81*-1,0)</f>
        <v>0</v>
      </c>
      <c r="C105" s="76">
        <f t="shared" ref="C105:AA105" si="79">IF(C81&lt;0,C81*-1,0)</f>
        <v>0</v>
      </c>
      <c r="D105" s="76">
        <f t="shared" si="79"/>
        <v>0</v>
      </c>
      <c r="E105" s="76">
        <f t="shared" si="79"/>
        <v>0</v>
      </c>
      <c r="F105" s="76">
        <f t="shared" si="79"/>
        <v>0</v>
      </c>
      <c r="G105" s="76">
        <f t="shared" si="79"/>
        <v>0</v>
      </c>
      <c r="H105" s="76">
        <f t="shared" si="79"/>
        <v>0</v>
      </c>
      <c r="I105" s="76">
        <f t="shared" si="79"/>
        <v>0</v>
      </c>
      <c r="J105" s="76">
        <f t="shared" si="79"/>
        <v>0</v>
      </c>
      <c r="K105" s="76">
        <f t="shared" si="79"/>
        <v>0</v>
      </c>
      <c r="L105" s="76">
        <f t="shared" si="79"/>
        <v>0</v>
      </c>
      <c r="M105" s="76">
        <f t="shared" si="79"/>
        <v>0</v>
      </c>
      <c r="N105" s="76">
        <f t="shared" si="79"/>
        <v>0</v>
      </c>
      <c r="O105" s="76">
        <f t="shared" si="79"/>
        <v>0</v>
      </c>
      <c r="P105" s="76">
        <f t="shared" si="79"/>
        <v>0</v>
      </c>
      <c r="Q105" s="76">
        <f t="shared" si="79"/>
        <v>0</v>
      </c>
      <c r="R105" s="76">
        <f t="shared" si="79"/>
        <v>0</v>
      </c>
      <c r="S105" s="76">
        <f t="shared" si="79"/>
        <v>0</v>
      </c>
      <c r="T105" s="76">
        <f t="shared" ref="T105" si="80">IF(T81&lt;0,T81*-1,0)</f>
        <v>0</v>
      </c>
      <c r="U105" s="76">
        <f t="shared" si="79"/>
        <v>0</v>
      </c>
      <c r="V105" s="76">
        <f t="shared" si="79"/>
        <v>0</v>
      </c>
      <c r="W105" s="76">
        <f t="shared" si="79"/>
        <v>0</v>
      </c>
      <c r="X105" s="76">
        <f t="shared" si="79"/>
        <v>0</v>
      </c>
      <c r="Y105" s="76">
        <f t="shared" si="79"/>
        <v>0</v>
      </c>
      <c r="Z105" s="76">
        <f t="shared" si="79"/>
        <v>0</v>
      </c>
      <c r="AA105" s="76">
        <f t="shared" si="79"/>
        <v>0</v>
      </c>
      <c r="AB105" s="76">
        <f t="shared" ref="AB105:AC105" si="81">IF(AB81&lt;0,AB81*-1,0)</f>
        <v>0</v>
      </c>
      <c r="AC105" s="76">
        <f t="shared" si="81"/>
        <v>0</v>
      </c>
      <c r="AD105" s="76">
        <f t="shared" ref="AD105:AE105" si="82">IF(AD81&lt;0,AD81*-1,0)</f>
        <v>0</v>
      </c>
      <c r="AE105" s="76">
        <f t="shared" si="82"/>
        <v>0</v>
      </c>
      <c r="AF105" s="76">
        <f t="shared" ref="AF105" si="83">IF(AF81&lt;0,AF81*-1,0)</f>
        <v>0</v>
      </c>
      <c r="AG105" s="98"/>
      <c r="AH105" s="47">
        <f t="shared" si="36"/>
        <v>0</v>
      </c>
      <c r="AI105" s="48">
        <f t="shared" si="37"/>
        <v>0</v>
      </c>
      <c r="BF105" s="232"/>
      <c r="BG105" s="233">
        <v>67.400000000000006</v>
      </c>
      <c r="BH105" s="233">
        <v>0</v>
      </c>
      <c r="BI105" s="233">
        <v>414.2</v>
      </c>
      <c r="BJ105" s="233">
        <v>50</v>
      </c>
      <c r="BK105" s="233">
        <v>34.200000000000003</v>
      </c>
      <c r="BL105" s="233">
        <v>70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1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1</v>
      </c>
      <c r="AF106" s="94">
        <v>2</v>
      </c>
      <c r="AG106" s="85"/>
      <c r="AH106" s="47">
        <f t="shared" si="36"/>
        <v>2</v>
      </c>
      <c r="AI106" s="48">
        <f t="shared" si="37"/>
        <v>0</v>
      </c>
      <c r="BG106" s="233">
        <v>61.6</v>
      </c>
      <c r="BH106" s="233">
        <v>0</v>
      </c>
      <c r="BI106" s="233">
        <v>388.9</v>
      </c>
      <c r="BJ106" s="233">
        <v>44.5</v>
      </c>
      <c r="BK106" s="233">
        <v>25</v>
      </c>
      <c r="BL106" s="233">
        <v>54.9</v>
      </c>
    </row>
    <row r="107" spans="1:64" ht="15.75" thickBot="1" x14ac:dyDescent="0.3">
      <c r="A107" s="99" t="s">
        <v>106</v>
      </c>
      <c r="B107" s="60">
        <f>SUM(B101:B106)</f>
        <v>0</v>
      </c>
      <c r="C107" s="60">
        <f t="shared" ref="C107:AA107" si="84">SUM(C101:C106)</f>
        <v>0</v>
      </c>
      <c r="D107" s="60">
        <f t="shared" si="84"/>
        <v>0</v>
      </c>
      <c r="E107" s="60">
        <f t="shared" si="84"/>
        <v>0</v>
      </c>
      <c r="F107" s="60">
        <f t="shared" si="84"/>
        <v>0</v>
      </c>
      <c r="G107" s="60">
        <f t="shared" si="84"/>
        <v>0</v>
      </c>
      <c r="H107" s="60">
        <f t="shared" si="84"/>
        <v>0</v>
      </c>
      <c r="I107" s="60">
        <f t="shared" si="84"/>
        <v>0</v>
      </c>
      <c r="J107" s="60">
        <f t="shared" si="84"/>
        <v>0</v>
      </c>
      <c r="K107" s="60">
        <f t="shared" si="84"/>
        <v>0</v>
      </c>
      <c r="L107" s="60">
        <f t="shared" si="84"/>
        <v>0</v>
      </c>
      <c r="M107" s="60">
        <f t="shared" si="84"/>
        <v>0</v>
      </c>
      <c r="N107" s="60">
        <f t="shared" si="84"/>
        <v>0</v>
      </c>
      <c r="O107" s="60">
        <f t="shared" si="84"/>
        <v>0</v>
      </c>
      <c r="P107" s="60">
        <f t="shared" si="84"/>
        <v>0</v>
      </c>
      <c r="Q107" s="60">
        <f t="shared" si="84"/>
        <v>0</v>
      </c>
      <c r="R107" s="60">
        <f t="shared" si="84"/>
        <v>0</v>
      </c>
      <c r="S107" s="60">
        <f t="shared" si="84"/>
        <v>0</v>
      </c>
      <c r="T107" s="60">
        <f t="shared" ref="T107" si="85">SUM(T101:T106)</f>
        <v>1</v>
      </c>
      <c r="U107" s="60">
        <f t="shared" si="84"/>
        <v>0</v>
      </c>
      <c r="V107" s="60">
        <f t="shared" si="84"/>
        <v>0</v>
      </c>
      <c r="W107" s="60">
        <f t="shared" si="84"/>
        <v>0</v>
      </c>
      <c r="X107" s="60">
        <f t="shared" si="84"/>
        <v>0</v>
      </c>
      <c r="Y107" s="60">
        <f t="shared" si="84"/>
        <v>0</v>
      </c>
      <c r="Z107" s="60">
        <f t="shared" si="84"/>
        <v>0</v>
      </c>
      <c r="AA107" s="60">
        <f t="shared" si="84"/>
        <v>0</v>
      </c>
      <c r="AB107" s="60">
        <f t="shared" ref="AB107:AC107" si="86">SUM(AB101:AB106)</f>
        <v>0</v>
      </c>
      <c r="AC107" s="60">
        <f t="shared" si="86"/>
        <v>0</v>
      </c>
      <c r="AD107" s="60">
        <f t="shared" ref="AD107:AE107" si="87">SUM(AD101:AD106)</f>
        <v>0</v>
      </c>
      <c r="AE107" s="60">
        <f t="shared" si="87"/>
        <v>1</v>
      </c>
      <c r="AF107" s="60">
        <f t="shared" ref="AF107" si="88">SUM(AF101:AF106)</f>
        <v>2</v>
      </c>
      <c r="AG107" s="88"/>
      <c r="AH107" s="47">
        <f t="shared" si="36"/>
        <v>2</v>
      </c>
      <c r="AI107" s="48">
        <f t="shared" si="37"/>
        <v>0</v>
      </c>
      <c r="AK107" s="50"/>
      <c r="BG107" s="233">
        <v>68</v>
      </c>
      <c r="BH107" s="233">
        <v>0</v>
      </c>
      <c r="BI107" s="233">
        <v>413</v>
      </c>
      <c r="BJ107" s="233">
        <v>53</v>
      </c>
      <c r="BK107" s="233">
        <v>22</v>
      </c>
      <c r="BL107" s="233">
        <v>0</v>
      </c>
    </row>
    <row r="108" spans="1:64" ht="15.75" thickBot="1" x14ac:dyDescent="0.3">
      <c r="A108" s="74" t="s">
        <v>107</v>
      </c>
      <c r="B108" s="60">
        <f t="shared" ref="B108:AA108" si="89">B92-B107</f>
        <v>556</v>
      </c>
      <c r="C108" s="60">
        <f t="shared" si="89"/>
        <v>598</v>
      </c>
      <c r="D108" s="60">
        <f t="shared" si="89"/>
        <v>559.6</v>
      </c>
      <c r="E108" s="60">
        <f t="shared" si="89"/>
        <v>566.1</v>
      </c>
      <c r="F108" s="60">
        <f t="shared" si="89"/>
        <v>571.9</v>
      </c>
      <c r="G108" s="60">
        <f t="shared" si="89"/>
        <v>541.1</v>
      </c>
      <c r="H108" s="60">
        <f t="shared" si="89"/>
        <v>564.79999999999995</v>
      </c>
      <c r="I108" s="60">
        <f t="shared" si="89"/>
        <v>532.9</v>
      </c>
      <c r="J108" s="60">
        <f t="shared" si="89"/>
        <v>618.1</v>
      </c>
      <c r="K108" s="60">
        <f t="shared" si="89"/>
        <v>350.9</v>
      </c>
      <c r="L108" s="60">
        <f t="shared" si="89"/>
        <v>225.5</v>
      </c>
      <c r="M108" s="60">
        <f t="shared" si="89"/>
        <v>180.3</v>
      </c>
      <c r="N108" s="60">
        <f t="shared" si="89"/>
        <v>274.70000000000005</v>
      </c>
      <c r="O108" s="60">
        <f t="shared" si="89"/>
        <v>397.40000000000003</v>
      </c>
      <c r="P108" s="60">
        <f t="shared" si="89"/>
        <v>655.8</v>
      </c>
      <c r="Q108" s="60">
        <f t="shared" si="89"/>
        <v>718.9</v>
      </c>
      <c r="R108" s="60">
        <f t="shared" si="89"/>
        <v>713.1</v>
      </c>
      <c r="S108" s="60">
        <f t="shared" si="89"/>
        <v>707.9</v>
      </c>
      <c r="T108" s="60">
        <f t="shared" ref="T108" si="90">T92-T107</f>
        <v>782</v>
      </c>
      <c r="U108" s="60">
        <f t="shared" si="89"/>
        <v>745.5</v>
      </c>
      <c r="V108" s="60">
        <f t="shared" si="89"/>
        <v>483</v>
      </c>
      <c r="W108" s="60">
        <f t="shared" si="89"/>
        <v>525.5</v>
      </c>
      <c r="X108" s="60">
        <f t="shared" si="89"/>
        <v>379.4</v>
      </c>
      <c r="Y108" s="60">
        <f>Y92-Y107</f>
        <v>384.7</v>
      </c>
      <c r="Z108" s="60">
        <f>Z92-Z107</f>
        <v>310</v>
      </c>
      <c r="AA108" s="60">
        <f t="shared" si="89"/>
        <v>322</v>
      </c>
      <c r="AB108" s="60">
        <f t="shared" ref="AB108:AC108" si="91">AB92-AB107</f>
        <v>415.5</v>
      </c>
      <c r="AC108" s="60">
        <f t="shared" si="91"/>
        <v>504.1</v>
      </c>
      <c r="AD108" s="60">
        <f t="shared" ref="AD108:AE108" si="92">AD92-AD107</f>
        <v>656.5</v>
      </c>
      <c r="AE108" s="60">
        <f t="shared" si="92"/>
        <v>634.80000000000007</v>
      </c>
      <c r="AF108" s="60">
        <f t="shared" ref="AF108" si="93">AF92-AF107</f>
        <v>572.9</v>
      </c>
      <c r="AG108" s="88"/>
      <c r="AH108" s="47">
        <f t="shared" si="36"/>
        <v>782</v>
      </c>
      <c r="AI108" s="48">
        <f t="shared" si="37"/>
        <v>180.3</v>
      </c>
    </row>
    <row r="109" spans="1:64" x14ac:dyDescent="0.25">
      <c r="A109" s="100" t="s">
        <v>108</v>
      </c>
      <c r="B109" s="101">
        <v>50.011000000000003</v>
      </c>
      <c r="C109" s="101">
        <v>49.863999999999997</v>
      </c>
      <c r="D109" s="101">
        <v>49.975999999999999</v>
      </c>
      <c r="E109" s="101">
        <v>49.981999999999999</v>
      </c>
      <c r="F109" s="101">
        <v>49.976999999999997</v>
      </c>
      <c r="G109" s="101">
        <v>50.037999999999997</v>
      </c>
      <c r="H109" s="101">
        <v>50.031999999999996</v>
      </c>
      <c r="I109" s="101">
        <v>50.024000000000001</v>
      </c>
      <c r="J109" s="101">
        <v>49.86</v>
      </c>
      <c r="K109" s="101">
        <v>50.006</v>
      </c>
      <c r="L109" s="101">
        <v>50.027999999999999</v>
      </c>
      <c r="M109" s="101">
        <v>50.118000000000002</v>
      </c>
      <c r="N109" s="101">
        <v>50.027000000000001</v>
      </c>
      <c r="O109" s="101">
        <v>50.036999999999999</v>
      </c>
      <c r="P109" s="101">
        <v>50.031999999999996</v>
      </c>
      <c r="Q109" s="101">
        <v>50.029000000000003</v>
      </c>
      <c r="R109" s="101">
        <v>50.033000000000001</v>
      </c>
      <c r="S109" s="101">
        <v>50.02</v>
      </c>
      <c r="T109" s="101">
        <v>49.89</v>
      </c>
      <c r="U109" s="101">
        <v>49.779000000000003</v>
      </c>
      <c r="V109" s="101">
        <v>50.198999999999998</v>
      </c>
      <c r="W109" s="101">
        <v>50.094999999999999</v>
      </c>
      <c r="X109" s="101">
        <v>49.939</v>
      </c>
      <c r="Y109" s="101">
        <v>50.034999999999997</v>
      </c>
      <c r="Z109" s="101">
        <v>50.021000000000001</v>
      </c>
      <c r="AA109" s="101">
        <v>50.021000000000001</v>
      </c>
      <c r="AB109" s="101">
        <v>50.07</v>
      </c>
      <c r="AC109" s="101">
        <v>50.07</v>
      </c>
      <c r="AD109" s="101">
        <v>50.07</v>
      </c>
      <c r="AE109" s="101">
        <v>49.99</v>
      </c>
      <c r="AF109" s="101">
        <v>50.02</v>
      </c>
      <c r="AG109" s="102"/>
      <c r="AH109" s="47">
        <f t="shared" si="36"/>
        <v>50.198999999999998</v>
      </c>
      <c r="AI109" s="48">
        <f t="shared" si="37"/>
        <v>49.779000000000003</v>
      </c>
    </row>
    <row r="110" spans="1:64" x14ac:dyDescent="0.25">
      <c r="A110" s="103" t="s">
        <v>109</v>
      </c>
      <c r="B110" s="65">
        <v>127.5</v>
      </c>
      <c r="C110" s="65">
        <v>125.8</v>
      </c>
      <c r="D110" s="65">
        <v>128</v>
      </c>
      <c r="E110" s="65">
        <v>127.2</v>
      </c>
      <c r="F110" s="65">
        <v>127.1</v>
      </c>
      <c r="G110" s="65">
        <v>128.9</v>
      </c>
      <c r="H110" s="65">
        <v>126.6</v>
      </c>
      <c r="I110" s="65">
        <v>126.3</v>
      </c>
      <c r="J110" s="65">
        <v>126.2</v>
      </c>
      <c r="K110" s="65">
        <v>126.9</v>
      </c>
      <c r="L110" s="65">
        <v>123.4</v>
      </c>
      <c r="M110" s="65">
        <v>125</v>
      </c>
      <c r="N110" s="65">
        <v>125.4</v>
      </c>
      <c r="O110" s="65">
        <v>127.5</v>
      </c>
      <c r="P110" s="65">
        <v>125.3</v>
      </c>
      <c r="Q110" s="65">
        <v>125.1</v>
      </c>
      <c r="R110" s="65">
        <v>125.1</v>
      </c>
      <c r="S110" s="65">
        <v>123.8</v>
      </c>
      <c r="T110" s="65">
        <v>124</v>
      </c>
      <c r="U110" s="65">
        <v>124.2</v>
      </c>
      <c r="V110" s="65">
        <v>127.7</v>
      </c>
      <c r="W110" s="65">
        <v>126.8</v>
      </c>
      <c r="X110" s="65">
        <v>127.4</v>
      </c>
      <c r="Y110" s="65">
        <v>126.2</v>
      </c>
      <c r="Z110" s="65">
        <v>128</v>
      </c>
      <c r="AA110" s="65">
        <v>128</v>
      </c>
      <c r="AB110" s="65">
        <v>129.9</v>
      </c>
      <c r="AC110" s="65">
        <v>129.9</v>
      </c>
      <c r="AD110" s="65">
        <v>126.6</v>
      </c>
      <c r="AE110" s="65">
        <v>127.4</v>
      </c>
      <c r="AF110" s="65">
        <v>127.4</v>
      </c>
      <c r="AG110" s="104"/>
      <c r="AH110" s="47">
        <f t="shared" si="36"/>
        <v>129.9</v>
      </c>
      <c r="AI110" s="48">
        <f t="shared" si="37"/>
        <v>123.4</v>
      </c>
    </row>
    <row r="111" spans="1:64" x14ac:dyDescent="0.25">
      <c r="A111" s="103" t="s">
        <v>110</v>
      </c>
      <c r="B111" s="65">
        <v>131.80000000000001</v>
      </c>
      <c r="C111" s="65">
        <v>130.4</v>
      </c>
      <c r="D111" s="65">
        <v>132.30000000000001</v>
      </c>
      <c r="E111" s="65">
        <v>131.19999999999999</v>
      </c>
      <c r="F111" s="65">
        <v>131.6</v>
      </c>
      <c r="G111" s="65">
        <v>132.4</v>
      </c>
      <c r="H111" s="65">
        <v>130.6</v>
      </c>
      <c r="I111" s="65">
        <v>129.80000000000001</v>
      </c>
      <c r="J111" s="65">
        <v>128.19999999999999</v>
      </c>
      <c r="K111" s="65">
        <v>128.30000000000001</v>
      </c>
      <c r="L111" s="65">
        <v>125.1</v>
      </c>
      <c r="M111" s="65">
        <v>126.5</v>
      </c>
      <c r="N111" s="65">
        <v>127.2</v>
      </c>
      <c r="O111" s="65">
        <v>129</v>
      </c>
      <c r="P111" s="65">
        <v>127.5</v>
      </c>
      <c r="Q111" s="65">
        <v>128</v>
      </c>
      <c r="R111" s="65">
        <v>127.8</v>
      </c>
      <c r="S111" s="65">
        <v>127.5</v>
      </c>
      <c r="T111" s="65">
        <v>127</v>
      </c>
      <c r="U111" s="65">
        <v>126.9</v>
      </c>
      <c r="V111" s="65">
        <v>129.9</v>
      </c>
      <c r="W111" s="65">
        <v>129.19999999999999</v>
      </c>
      <c r="X111" s="65">
        <v>128.80000000000001</v>
      </c>
      <c r="Y111" s="65">
        <v>127.1</v>
      </c>
      <c r="Z111" s="65">
        <v>129</v>
      </c>
      <c r="AA111" s="65">
        <v>129</v>
      </c>
      <c r="AB111" s="65">
        <v>132</v>
      </c>
      <c r="AC111" s="65">
        <v>132</v>
      </c>
      <c r="AD111" s="65">
        <v>128.6</v>
      </c>
      <c r="AE111" s="65">
        <v>130.6</v>
      </c>
      <c r="AF111" s="65">
        <v>130.6</v>
      </c>
      <c r="AG111" s="104"/>
      <c r="AH111" s="47">
        <f t="shared" si="36"/>
        <v>132.4</v>
      </c>
      <c r="AI111" s="48">
        <f t="shared" si="37"/>
        <v>125.1</v>
      </c>
    </row>
    <row r="112" spans="1:64" x14ac:dyDescent="0.25">
      <c r="A112" s="103" t="s">
        <v>111</v>
      </c>
      <c r="B112" s="65">
        <v>129.1</v>
      </c>
      <c r="C112" s="65">
        <v>129.30000000000001</v>
      </c>
      <c r="D112" s="65">
        <v>132.30000000000001</v>
      </c>
      <c r="E112" s="65">
        <v>128.9</v>
      </c>
      <c r="F112" s="65">
        <v>128.30000000000001</v>
      </c>
      <c r="G112" s="65">
        <v>129</v>
      </c>
      <c r="H112" s="65">
        <v>125.6</v>
      </c>
      <c r="I112" s="65">
        <v>128.69999999999999</v>
      </c>
      <c r="J112" s="65">
        <v>128.69999999999999</v>
      </c>
      <c r="K112" s="65">
        <v>131.5</v>
      </c>
      <c r="L112" s="65">
        <v>123.3</v>
      </c>
      <c r="M112" s="65">
        <v>130.9</v>
      </c>
      <c r="N112" s="65">
        <v>129.19999999999999</v>
      </c>
      <c r="O112" s="65">
        <v>131.4</v>
      </c>
      <c r="P112" s="65">
        <v>124.1</v>
      </c>
      <c r="Q112" s="65">
        <v>126</v>
      </c>
      <c r="R112" s="65">
        <v>124.7</v>
      </c>
      <c r="S112" s="65">
        <v>124.2</v>
      </c>
      <c r="T112" s="65">
        <v>128</v>
      </c>
      <c r="U112" s="65">
        <v>125.3</v>
      </c>
      <c r="V112" s="65">
        <v>128.5</v>
      </c>
      <c r="W112" s="65">
        <v>128</v>
      </c>
      <c r="X112" s="65">
        <v>126.1</v>
      </c>
      <c r="Y112" s="65">
        <v>130.19999999999999</v>
      </c>
      <c r="Z112" s="65">
        <v>130.4</v>
      </c>
      <c r="AA112" s="65">
        <v>130.4</v>
      </c>
      <c r="AB112" s="65">
        <v>130.69999999999999</v>
      </c>
      <c r="AC112" s="65">
        <v>130.69999999999999</v>
      </c>
      <c r="AD112" s="65">
        <v>128.4</v>
      </c>
      <c r="AE112" s="65">
        <v>128.30000000000001</v>
      </c>
      <c r="AF112" s="65">
        <v>128.30000000000001</v>
      </c>
      <c r="AG112" s="104"/>
      <c r="AH112" s="47">
        <f t="shared" si="36"/>
        <v>132.30000000000001</v>
      </c>
      <c r="AI112" s="48">
        <f t="shared" si="37"/>
        <v>123.3</v>
      </c>
    </row>
    <row r="113" spans="1:35" x14ac:dyDescent="0.25">
      <c r="A113" s="105" t="s">
        <v>112</v>
      </c>
      <c r="B113" s="65">
        <v>132.6</v>
      </c>
      <c r="C113" s="65">
        <v>132.9</v>
      </c>
      <c r="D113" s="65">
        <v>135</v>
      </c>
      <c r="E113" s="65">
        <v>133.6</v>
      </c>
      <c r="F113" s="65">
        <v>133.5</v>
      </c>
      <c r="G113" s="65">
        <v>133.30000000000001</v>
      </c>
      <c r="H113" s="65">
        <v>129.5</v>
      </c>
      <c r="I113" s="65">
        <v>130.6</v>
      </c>
      <c r="J113" s="65">
        <v>130</v>
      </c>
      <c r="K113" s="65">
        <v>132.4</v>
      </c>
      <c r="L113" s="65">
        <v>123.8</v>
      </c>
      <c r="M113" s="65">
        <v>131.30000000000001</v>
      </c>
      <c r="N113" s="65">
        <v>129.6</v>
      </c>
      <c r="O113" s="65">
        <v>132.1</v>
      </c>
      <c r="P113" s="65">
        <v>125.7</v>
      </c>
      <c r="Q113" s="65">
        <v>128.30000000000001</v>
      </c>
      <c r="R113" s="65">
        <v>127</v>
      </c>
      <c r="S113" s="65">
        <v>127.1</v>
      </c>
      <c r="T113" s="65">
        <v>130</v>
      </c>
      <c r="U113" s="65">
        <v>126.8</v>
      </c>
      <c r="V113" s="65">
        <v>130.1</v>
      </c>
      <c r="W113" s="65">
        <v>128.9</v>
      </c>
      <c r="X113" s="65">
        <v>124.9</v>
      </c>
      <c r="Y113" s="65">
        <v>129.19999999999999</v>
      </c>
      <c r="Z113" s="65">
        <v>131.19999999999999</v>
      </c>
      <c r="AA113" s="65">
        <v>131.19999999999999</v>
      </c>
      <c r="AB113" s="65">
        <v>132.5</v>
      </c>
      <c r="AC113" s="65">
        <v>132.5</v>
      </c>
      <c r="AD113" s="65">
        <v>131.9</v>
      </c>
      <c r="AE113" s="65">
        <v>131.69999999999999</v>
      </c>
      <c r="AF113" s="65">
        <v>131.69999999999999</v>
      </c>
      <c r="AG113" s="104"/>
      <c r="AH113" s="47">
        <f t="shared" si="36"/>
        <v>135</v>
      </c>
      <c r="AI113" s="48">
        <f t="shared" si="37"/>
        <v>123.8</v>
      </c>
    </row>
    <row r="114" spans="1:35" x14ac:dyDescent="0.25">
      <c r="A114" s="105" t="s">
        <v>113</v>
      </c>
      <c r="B114" s="106">
        <v>131.1</v>
      </c>
      <c r="C114" s="106">
        <v>130.5</v>
      </c>
      <c r="D114" s="106">
        <v>131.80000000000001</v>
      </c>
      <c r="E114" s="106">
        <v>131.4</v>
      </c>
      <c r="F114" s="106">
        <v>132.6</v>
      </c>
      <c r="G114" s="106">
        <v>133.1</v>
      </c>
      <c r="H114" s="106">
        <v>135.9</v>
      </c>
      <c r="I114" s="106">
        <v>135.19999999999999</v>
      </c>
      <c r="J114" s="106">
        <v>135.5</v>
      </c>
      <c r="K114" s="106">
        <v>132.36000000000001</v>
      </c>
      <c r="L114" s="106">
        <v>132.5</v>
      </c>
      <c r="M114" s="106">
        <v>133</v>
      </c>
      <c r="N114" s="106">
        <v>132.6</v>
      </c>
      <c r="O114" s="106">
        <v>132.4</v>
      </c>
      <c r="P114" s="106">
        <v>130.6</v>
      </c>
      <c r="Q114" s="106">
        <v>133.30000000000001</v>
      </c>
      <c r="R114" s="106">
        <v>133</v>
      </c>
      <c r="S114" s="106">
        <v>132.69999999999999</v>
      </c>
      <c r="T114" s="106">
        <v>131.5</v>
      </c>
      <c r="U114" s="106">
        <v>132.5</v>
      </c>
      <c r="V114" s="106">
        <v>135.80000000000001</v>
      </c>
      <c r="W114" s="106">
        <v>135.19999999999999</v>
      </c>
      <c r="X114" s="106">
        <v>135</v>
      </c>
      <c r="Y114" s="106">
        <v>135.30000000000001</v>
      </c>
      <c r="Z114" s="106">
        <v>134</v>
      </c>
      <c r="AA114" s="106">
        <v>134</v>
      </c>
      <c r="AB114" s="106">
        <v>136.4</v>
      </c>
      <c r="AC114" s="106">
        <v>136.4</v>
      </c>
      <c r="AD114" s="106">
        <v>133.30000000000001</v>
      </c>
      <c r="AE114" s="106">
        <v>134</v>
      </c>
      <c r="AF114" s="106">
        <v>134</v>
      </c>
      <c r="AG114" s="107"/>
      <c r="AH114" s="47">
        <f t="shared" si="36"/>
        <v>136.4</v>
      </c>
      <c r="AI114" s="48">
        <f t="shared" si="37"/>
        <v>130.5</v>
      </c>
    </row>
    <row r="115" spans="1:35" x14ac:dyDescent="0.25">
      <c r="A115" s="103" t="s">
        <v>114</v>
      </c>
      <c r="B115" s="65">
        <v>131.4</v>
      </c>
      <c r="C115" s="65">
        <v>129.1</v>
      </c>
      <c r="D115" s="65">
        <v>129.6</v>
      </c>
      <c r="E115" s="65">
        <v>129.80000000000001</v>
      </c>
      <c r="F115" s="65">
        <v>132.5</v>
      </c>
      <c r="G115" s="65">
        <v>128.6</v>
      </c>
      <c r="H115" s="65">
        <v>132.1</v>
      </c>
      <c r="I115" s="65">
        <v>129.1</v>
      </c>
      <c r="J115" s="65">
        <v>126.7</v>
      </c>
      <c r="K115" s="65">
        <v>128.9</v>
      </c>
      <c r="L115" s="65">
        <v>131</v>
      </c>
      <c r="M115" s="65">
        <v>131</v>
      </c>
      <c r="N115" s="65">
        <v>129.80000000000001</v>
      </c>
      <c r="O115" s="65">
        <v>134.80000000000001</v>
      </c>
      <c r="P115" s="65">
        <v>134</v>
      </c>
      <c r="Q115" s="65">
        <v>135.4</v>
      </c>
      <c r="R115" s="65">
        <v>124</v>
      </c>
      <c r="S115" s="65">
        <v>124.4</v>
      </c>
      <c r="T115" s="65">
        <v>131</v>
      </c>
      <c r="U115" s="65">
        <v>135</v>
      </c>
      <c r="V115" s="65">
        <v>126.9</v>
      </c>
      <c r="W115" s="65">
        <v>127.5</v>
      </c>
      <c r="X115" s="65">
        <v>128</v>
      </c>
      <c r="Y115" s="65">
        <v>128.5</v>
      </c>
      <c r="Z115" s="65">
        <v>132.4</v>
      </c>
      <c r="AA115" s="65">
        <v>132.4</v>
      </c>
      <c r="AB115" s="65">
        <v>128.4</v>
      </c>
      <c r="AC115" s="65">
        <v>128.4</v>
      </c>
      <c r="AD115" s="65">
        <v>132.1</v>
      </c>
      <c r="AE115" s="65">
        <v>125.7</v>
      </c>
      <c r="AF115" s="65">
        <v>125.7</v>
      </c>
      <c r="AG115" s="104"/>
      <c r="AH115" s="47">
        <f t="shared" si="36"/>
        <v>135.4</v>
      </c>
      <c r="AI115" s="48">
        <f t="shared" si="37"/>
        <v>124</v>
      </c>
    </row>
    <row r="116" spans="1:35" ht="15.75" thickBot="1" x14ac:dyDescent="0.3">
      <c r="A116" s="103" t="s">
        <v>115</v>
      </c>
      <c r="B116" s="92">
        <v>66.2</v>
      </c>
      <c r="C116" s="92">
        <v>66</v>
      </c>
      <c r="D116" s="92">
        <v>66.7</v>
      </c>
      <c r="E116" s="92">
        <v>66</v>
      </c>
      <c r="F116" s="92">
        <v>66.400000000000006</v>
      </c>
      <c r="G116" s="92">
        <v>66.900000000000006</v>
      </c>
      <c r="H116" s="92">
        <v>65.8</v>
      </c>
      <c r="I116" s="92">
        <v>65.3</v>
      </c>
      <c r="J116" s="92">
        <v>64.3</v>
      </c>
      <c r="K116" s="92">
        <v>64.7</v>
      </c>
      <c r="L116" s="92">
        <v>63.1</v>
      </c>
      <c r="M116" s="92">
        <v>63.8</v>
      </c>
      <c r="N116" s="92">
        <v>64.099999999999994</v>
      </c>
      <c r="O116" s="92">
        <v>65</v>
      </c>
      <c r="P116" s="92">
        <v>64.099999999999994</v>
      </c>
      <c r="Q116" s="92">
        <v>64.5</v>
      </c>
      <c r="R116" s="92">
        <v>64.5</v>
      </c>
      <c r="S116" s="92">
        <v>64.2</v>
      </c>
      <c r="T116" s="92">
        <v>64</v>
      </c>
      <c r="U116" s="92">
        <v>63.8</v>
      </c>
      <c r="V116" s="92">
        <v>65.7</v>
      </c>
      <c r="W116" s="92">
        <v>65.3</v>
      </c>
      <c r="X116" s="92">
        <v>65.099999999999994</v>
      </c>
      <c r="Y116" s="92">
        <v>63.7</v>
      </c>
      <c r="Z116" s="92">
        <v>64.7</v>
      </c>
      <c r="AA116" s="92">
        <v>64.7</v>
      </c>
      <c r="AB116" s="92">
        <v>66</v>
      </c>
      <c r="AC116" s="92">
        <v>66</v>
      </c>
      <c r="AD116" s="92">
        <v>64.2</v>
      </c>
      <c r="AE116" s="92">
        <v>65.7</v>
      </c>
      <c r="AF116" s="92">
        <v>65.7</v>
      </c>
      <c r="AG116" s="108"/>
      <c r="AH116" s="47">
        <f t="shared" si="36"/>
        <v>66.900000000000006</v>
      </c>
      <c r="AI116" s="48">
        <f t="shared" si="37"/>
        <v>63.1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6"/>
        <v>0</v>
      </c>
      <c r="AI117" s="48">
        <f t="shared" si="37"/>
        <v>0</v>
      </c>
    </row>
    <row r="118" spans="1:35" ht="15.75" thickBot="1" x14ac:dyDescent="0.3">
      <c r="A118" s="110" t="s">
        <v>117</v>
      </c>
      <c r="B118" s="111">
        <f t="shared" ref="B118:O118" si="94">SUM(B22,B28,B31:B32,B66,B68:B69,B71,B73,B119:B123,B155,B161,B167,B176,B178,B190,B197,B200:B201,B208,B210,B212,B216:B218,B220:B222,B227,B233:B234,B236:B238,B246,B251)</f>
        <v>148.24</v>
      </c>
      <c r="C118" s="111">
        <f t="shared" si="94"/>
        <v>137.63999999999999</v>
      </c>
      <c r="D118" s="111">
        <f t="shared" si="94"/>
        <v>156.63999999999999</v>
      </c>
      <c r="E118" s="111">
        <f t="shared" si="94"/>
        <v>130.048</v>
      </c>
      <c r="F118" s="111">
        <f t="shared" si="94"/>
        <v>131.79599999999999</v>
      </c>
      <c r="G118" s="111">
        <f t="shared" si="94"/>
        <v>168.69199999999998</v>
      </c>
      <c r="H118" s="111">
        <f t="shared" si="94"/>
        <v>211.71199999999999</v>
      </c>
      <c r="I118" s="111">
        <f t="shared" si="94"/>
        <v>244.66399999999999</v>
      </c>
      <c r="J118" s="111">
        <f t="shared" si="94"/>
        <v>333.12</v>
      </c>
      <c r="K118" s="111">
        <f t="shared" si="94"/>
        <v>350.608</v>
      </c>
      <c r="L118" s="111">
        <f t="shared" si="94"/>
        <v>391.12799999999999</v>
      </c>
      <c r="M118" s="111">
        <f t="shared" si="94"/>
        <v>391.90000000000003</v>
      </c>
      <c r="N118" s="111">
        <f t="shared" si="94"/>
        <v>367.33499999999998</v>
      </c>
      <c r="O118" s="111">
        <f t="shared" si="94"/>
        <v>360.65999999999997</v>
      </c>
      <c r="P118" s="111">
        <v>42</v>
      </c>
      <c r="Q118" s="111">
        <f t="shared" ref="Q118:AA118" si="95">SUM(Q22,Q28,Q31:Q32,Q66,Q68:Q69,Q71,Q73,Q119:Q123,Q155,Q161,Q167,Q176,Q178,Q190,Q197,Q200:Q201,Q208,Q210,Q212,Q216:Q218,Q220:Q222,Q227,Q233:Q234,Q236:Q238,Q246,Q251)</f>
        <v>322.49999999999994</v>
      </c>
      <c r="R118" s="111">
        <f t="shared" si="95"/>
        <v>310.95999999999998</v>
      </c>
      <c r="S118" s="111">
        <f t="shared" si="95"/>
        <v>304.24</v>
      </c>
      <c r="T118" s="111">
        <f t="shared" si="95"/>
        <v>264.44</v>
      </c>
      <c r="U118" s="111">
        <f t="shared" si="95"/>
        <v>322.94</v>
      </c>
      <c r="V118" s="111">
        <f t="shared" si="95"/>
        <v>326.39999999999998</v>
      </c>
      <c r="W118" s="111">
        <f t="shared" si="95"/>
        <v>339.74</v>
      </c>
      <c r="X118" s="111">
        <f t="shared" si="95"/>
        <v>396.09999999999997</v>
      </c>
      <c r="Y118" s="111">
        <f t="shared" ref="Y118:Z118" si="96">SUM(Y20,Y26,Y37:Y38,Y66,Y68:Y69,Y71,Y73,Y119:Y123,Y148,Y154,Y160,Y169,Y171,Y183,Y190,Y193:Y194,Y201,Y203,Y205,Y209:Y211,Y213:Y215,Y220,Y226:Y227,Y229:Y231,Y239,Y244)</f>
        <v>438.96</v>
      </c>
      <c r="Z118" s="111">
        <f t="shared" si="96"/>
        <v>430.2</v>
      </c>
      <c r="AA118" s="111">
        <f t="shared" si="95"/>
        <v>427.04</v>
      </c>
      <c r="AB118" s="111">
        <f t="shared" ref="AB118:AC118" si="97">SUM(AB22,AB28,AB31:AB32,AB66,AB68:AB69,AB71,AB73,AB119:AB123,AB155,AB161,AB167,AB176,AB178,AB190,AB197,AB200:AB201,AB208,AB210,AB212,AB216:AB218,AB220:AB222,AB227,AB233:AB234,AB236:AB238,AB246,AB251)</f>
        <v>384.88</v>
      </c>
      <c r="AC118" s="111">
        <f t="shared" si="97"/>
        <v>384.88</v>
      </c>
      <c r="AD118" s="111">
        <f t="shared" ref="AD118:AE118" si="98">SUM(AD22,AD28,AD31:AD32,AD66,AD68:AD69,AD71,AD73,AD119:AD123,AD155,AD161,AD167,AD176,AD178,AD190,AD197,AD200:AD201,AD208,AD210,AD212,AD216:AD218,AD220:AD222,AD227,AD233:AD234,AD236:AD238,AD246,AD251)</f>
        <v>333.12</v>
      </c>
      <c r="AE118" s="111">
        <f t="shared" si="98"/>
        <v>257.94</v>
      </c>
      <c r="AF118" s="111">
        <f t="shared" ref="AF118" si="99">SUM(AF22,AF28,AF31:AF32,AF66,AF68:AF69,AF71,AF73,AF119:AF123,AF155,AF161,AF167,AF176,AF178,AF190,AF197,AF200:AF201,AF208,AF210,AF212,AF216:AF218,AF220:AF222,AF227,AF233:AF234,AF236:AF238,AF246,AF251)</f>
        <v>178.74</v>
      </c>
      <c r="AG118" s="112"/>
      <c r="AH118" s="47">
        <f t="shared" si="36"/>
        <v>438.96</v>
      </c>
      <c r="AI118" s="48">
        <f t="shared" si="37"/>
        <v>42</v>
      </c>
    </row>
    <row r="119" spans="1:35" x14ac:dyDescent="0.25">
      <c r="A119" s="172" t="s">
        <v>118</v>
      </c>
      <c r="B119" s="113">
        <v>-3.8</v>
      </c>
      <c r="C119" s="113">
        <v>-10</v>
      </c>
      <c r="D119" s="113">
        <v>-10</v>
      </c>
      <c r="E119" s="113">
        <v>-10.8</v>
      </c>
      <c r="F119" s="113">
        <v>-8.4</v>
      </c>
      <c r="G119" s="113">
        <v>9.5</v>
      </c>
      <c r="H119" s="113">
        <v>16.5</v>
      </c>
      <c r="I119" s="113">
        <v>29.1</v>
      </c>
      <c r="J119" s="113">
        <v>40.5</v>
      </c>
      <c r="K119" s="113">
        <v>39.299999999999997</v>
      </c>
      <c r="L119" s="113">
        <v>31.1</v>
      </c>
      <c r="M119" s="113">
        <v>46.2</v>
      </c>
      <c r="N119" s="113">
        <v>28.5</v>
      </c>
      <c r="O119" s="113">
        <v>30.3</v>
      </c>
      <c r="P119" s="113">
        <v>27.5</v>
      </c>
      <c r="Q119" s="113">
        <v>26.7</v>
      </c>
      <c r="R119" s="113">
        <v>27.1</v>
      </c>
      <c r="S119" s="113">
        <v>25.5</v>
      </c>
      <c r="T119" s="113">
        <v>25.5</v>
      </c>
      <c r="U119" s="113">
        <v>23.2</v>
      </c>
      <c r="V119" s="113">
        <v>29.4</v>
      </c>
      <c r="W119" s="113">
        <v>28</v>
      </c>
      <c r="X119" s="113">
        <v>44.2</v>
      </c>
      <c r="Y119" s="113">
        <v>47</v>
      </c>
      <c r="Z119" s="113">
        <v>47</v>
      </c>
      <c r="AA119" s="113">
        <v>47</v>
      </c>
      <c r="AB119" s="113">
        <v>38.9</v>
      </c>
      <c r="AC119" s="113">
        <v>38.9</v>
      </c>
      <c r="AD119" s="113">
        <v>26.7</v>
      </c>
      <c r="AE119" s="113">
        <v>33.6</v>
      </c>
      <c r="AF119" s="113">
        <v>13</v>
      </c>
      <c r="AG119" s="114">
        <v>75</v>
      </c>
      <c r="AH119" s="47">
        <f t="shared" si="36"/>
        <v>47</v>
      </c>
      <c r="AI119" s="48">
        <f t="shared" si="37"/>
        <v>-10.8</v>
      </c>
    </row>
    <row r="120" spans="1:35" x14ac:dyDescent="0.25">
      <c r="A120" s="173" t="s">
        <v>119</v>
      </c>
      <c r="B120" s="115">
        <v>-6.6</v>
      </c>
      <c r="C120" s="115">
        <v>-16</v>
      </c>
      <c r="D120" s="115">
        <v>-15</v>
      </c>
      <c r="E120" s="115">
        <v>-14.8</v>
      </c>
      <c r="F120" s="115">
        <v>-11.5</v>
      </c>
      <c r="G120" s="115">
        <v>13</v>
      </c>
      <c r="H120" s="115">
        <v>20.7</v>
      </c>
      <c r="I120" s="115">
        <v>39</v>
      </c>
      <c r="J120" s="115">
        <v>55.6</v>
      </c>
      <c r="K120" s="115">
        <v>55.3</v>
      </c>
      <c r="L120" s="115">
        <v>42.1</v>
      </c>
      <c r="M120" s="115">
        <v>64.900000000000006</v>
      </c>
      <c r="N120" s="115">
        <v>38.799999999999997</v>
      </c>
      <c r="O120" s="115">
        <v>42.9</v>
      </c>
      <c r="P120" s="115">
        <v>36.4</v>
      </c>
      <c r="Q120" s="115">
        <v>33.6</v>
      </c>
      <c r="R120" s="115">
        <v>34.1</v>
      </c>
      <c r="S120" s="115">
        <v>31.9</v>
      </c>
      <c r="T120" s="115">
        <v>21.4</v>
      </c>
      <c r="U120" s="115">
        <v>28</v>
      </c>
      <c r="V120" s="115">
        <v>41.4</v>
      </c>
      <c r="W120" s="115">
        <v>39</v>
      </c>
      <c r="X120" s="115">
        <v>61</v>
      </c>
      <c r="Y120" s="115">
        <v>63.2</v>
      </c>
      <c r="Z120" s="115">
        <v>64</v>
      </c>
      <c r="AA120" s="115">
        <v>64</v>
      </c>
      <c r="AB120" s="115">
        <v>52.1</v>
      </c>
      <c r="AC120" s="115">
        <v>52.1</v>
      </c>
      <c r="AD120" s="115">
        <v>31.5</v>
      </c>
      <c r="AE120" s="115">
        <v>43</v>
      </c>
      <c r="AF120" s="115">
        <v>19.100000000000001</v>
      </c>
      <c r="AG120" s="114">
        <v>240</v>
      </c>
      <c r="AH120" s="47">
        <f t="shared" si="36"/>
        <v>64.900000000000006</v>
      </c>
      <c r="AI120" s="48">
        <f t="shared" si="37"/>
        <v>-16</v>
      </c>
    </row>
    <row r="121" spans="1:35" x14ac:dyDescent="0.25">
      <c r="A121" s="173" t="s">
        <v>120</v>
      </c>
      <c r="B121" s="115">
        <v>-30</v>
      </c>
      <c r="C121" s="115">
        <v>-32</v>
      </c>
      <c r="D121" s="115">
        <v>-34</v>
      </c>
      <c r="E121" s="115">
        <v>-41.9</v>
      </c>
      <c r="F121" s="115">
        <v>-38</v>
      </c>
      <c r="G121" s="115">
        <v>-32</v>
      </c>
      <c r="H121" s="115">
        <v>-23.2</v>
      </c>
      <c r="I121" s="115">
        <v>-21.8</v>
      </c>
      <c r="J121" s="115">
        <v>2.9</v>
      </c>
      <c r="K121" s="115">
        <v>17.5</v>
      </c>
      <c r="L121" s="115">
        <v>26.6</v>
      </c>
      <c r="M121" s="115">
        <v>24</v>
      </c>
      <c r="N121" s="115">
        <v>28</v>
      </c>
      <c r="O121" s="115">
        <f>16+19</f>
        <v>35</v>
      </c>
      <c r="P121" s="115">
        <f>11+12</f>
        <v>23</v>
      </c>
      <c r="Q121" s="115">
        <f>6+7.1</f>
        <v>13.1</v>
      </c>
      <c r="R121" s="115">
        <f>5+6</f>
        <v>11</v>
      </c>
      <c r="S121" s="115">
        <v>10.6</v>
      </c>
      <c r="T121" s="115">
        <v>20</v>
      </c>
      <c r="U121" s="115">
        <v>27</v>
      </c>
      <c r="V121" s="115">
        <v>28</v>
      </c>
      <c r="W121" s="115">
        <v>32</v>
      </c>
      <c r="X121" s="115">
        <v>43</v>
      </c>
      <c r="Y121" s="115">
        <v>53</v>
      </c>
      <c r="Z121" s="115">
        <v>50</v>
      </c>
      <c r="AA121" s="115">
        <v>50</v>
      </c>
      <c r="AB121" s="115">
        <v>43.1</v>
      </c>
      <c r="AC121" s="115">
        <v>43.1</v>
      </c>
      <c r="AD121" s="115">
        <v>35</v>
      </c>
      <c r="AE121" s="115">
        <v>-12</v>
      </c>
      <c r="AF121" s="115">
        <v>-30.8</v>
      </c>
      <c r="AG121" s="114">
        <v>240</v>
      </c>
      <c r="AH121" s="47">
        <f t="shared" si="36"/>
        <v>53</v>
      </c>
      <c r="AI121" s="48">
        <f t="shared" si="37"/>
        <v>-41.9</v>
      </c>
    </row>
    <row r="122" spans="1:35" ht="15.75" thickBot="1" x14ac:dyDescent="0.3">
      <c r="A122" s="173" t="s">
        <v>121</v>
      </c>
      <c r="B122" s="115">
        <v>-11</v>
      </c>
      <c r="C122" s="115">
        <v>-14</v>
      </c>
      <c r="D122" s="115">
        <v>-14</v>
      </c>
      <c r="E122" s="115">
        <v>-15.9</v>
      </c>
      <c r="F122" s="115">
        <v>-12.6</v>
      </c>
      <c r="G122" s="115">
        <v>-5.9</v>
      </c>
      <c r="H122" s="115">
        <v>-7.4</v>
      </c>
      <c r="I122" s="115">
        <v>-5.6</v>
      </c>
      <c r="J122" s="115">
        <v>7.9</v>
      </c>
      <c r="K122" s="115">
        <v>17.7</v>
      </c>
      <c r="L122" s="115">
        <v>18.600000000000001</v>
      </c>
      <c r="M122" s="115">
        <v>20</v>
      </c>
      <c r="N122" s="115">
        <v>17.3</v>
      </c>
      <c r="O122" s="115">
        <v>20.7</v>
      </c>
      <c r="P122" s="115">
        <v>8.4</v>
      </c>
      <c r="Q122" s="115">
        <v>2.4</v>
      </c>
      <c r="R122" s="115">
        <v>1.9</v>
      </c>
      <c r="S122" s="115">
        <v>1.9</v>
      </c>
      <c r="T122" s="115">
        <v>1</v>
      </c>
      <c r="U122" s="115">
        <v>5</v>
      </c>
      <c r="V122" s="115">
        <v>16.600000000000001</v>
      </c>
      <c r="W122" s="115">
        <v>18.399999999999999</v>
      </c>
      <c r="X122" s="115">
        <v>24</v>
      </c>
      <c r="Y122" s="115">
        <v>30</v>
      </c>
      <c r="Z122" s="115">
        <v>30</v>
      </c>
      <c r="AA122" s="115">
        <v>30</v>
      </c>
      <c r="AB122" s="115">
        <v>18.899999999999999</v>
      </c>
      <c r="AC122" s="115">
        <v>18.899999999999999</v>
      </c>
      <c r="AD122" s="115">
        <v>12.2</v>
      </c>
      <c r="AE122" s="115">
        <v>2.8</v>
      </c>
      <c r="AF122" s="115">
        <v>-3.5</v>
      </c>
      <c r="AG122" s="114">
        <v>60</v>
      </c>
      <c r="AH122" s="47">
        <f t="shared" si="36"/>
        <v>30</v>
      </c>
      <c r="AI122" s="48">
        <f t="shared" si="37"/>
        <v>-15.9</v>
      </c>
    </row>
    <row r="123" spans="1:35" x14ac:dyDescent="0.25">
      <c r="A123" s="172" t="s">
        <v>259</v>
      </c>
      <c r="B123" s="117">
        <v>110</v>
      </c>
      <c r="C123" s="117">
        <v>120</v>
      </c>
      <c r="D123" s="117">
        <v>140</v>
      </c>
      <c r="E123" s="117">
        <f>1.64*74.7</f>
        <v>122.508</v>
      </c>
      <c r="F123" s="117">
        <f>1.64*67.9</f>
        <v>111.35600000000001</v>
      </c>
      <c r="G123" s="117">
        <f>1.64*56.8</f>
        <v>93.151999999999987</v>
      </c>
      <c r="H123" s="117">
        <f>1.64*69.8</f>
        <v>114.47199999999999</v>
      </c>
      <c r="I123" s="117">
        <f>1.64*69.1</f>
        <v>113.32399999999998</v>
      </c>
      <c r="J123" s="117">
        <f>1.64*81.5</f>
        <v>133.66</v>
      </c>
      <c r="K123" s="117">
        <f>1.64*78.2</f>
        <v>128.24799999999999</v>
      </c>
      <c r="L123" s="117">
        <f>1.64*106.7</f>
        <v>174.988</v>
      </c>
      <c r="M123" s="117">
        <f>84*1.64</f>
        <v>137.76</v>
      </c>
      <c r="N123" s="117">
        <f>95*1.641</f>
        <v>155.89500000000001</v>
      </c>
      <c r="O123" s="117">
        <f>78*1.64</f>
        <v>127.91999999999999</v>
      </c>
      <c r="P123" s="117">
        <f>85*1.64</f>
        <v>139.4</v>
      </c>
      <c r="Q123" s="117">
        <f>84*1.64</f>
        <v>137.76</v>
      </c>
      <c r="R123" s="117">
        <f>78*1.64</f>
        <v>127.91999999999999</v>
      </c>
      <c r="S123" s="117">
        <f>79*1.6</f>
        <v>126.4</v>
      </c>
      <c r="T123" s="117">
        <v>96</v>
      </c>
      <c r="U123" s="117">
        <f>90*1.6</f>
        <v>144</v>
      </c>
      <c r="V123" s="117">
        <f>73.6*1.6</f>
        <v>117.75999999999999</v>
      </c>
      <c r="W123" s="117">
        <f>81*1.6</f>
        <v>129.6</v>
      </c>
      <c r="X123" s="117">
        <f>82.1*1.6</f>
        <v>131.35999999999999</v>
      </c>
      <c r="Y123" s="117">
        <v>150.56</v>
      </c>
      <c r="Z123" s="117">
        <f>90*1.6</f>
        <v>144</v>
      </c>
      <c r="AA123" s="117">
        <f>90*1.6</f>
        <v>144</v>
      </c>
      <c r="AB123" s="117">
        <f>87.4*1.6</f>
        <v>139.84</v>
      </c>
      <c r="AC123" s="117">
        <f>87.4*1.6</f>
        <v>139.84</v>
      </c>
      <c r="AD123" s="117">
        <f>84.8*1.6</f>
        <v>135.68</v>
      </c>
      <c r="AE123" s="117">
        <f>59.5*1.6</f>
        <v>95.2</v>
      </c>
      <c r="AF123" s="117">
        <f>53.5*1.6</f>
        <v>85.600000000000009</v>
      </c>
      <c r="AG123" s="118">
        <v>120</v>
      </c>
      <c r="AH123" s="47">
        <f t="shared" si="36"/>
        <v>174.988</v>
      </c>
      <c r="AI123" s="48">
        <f t="shared" si="37"/>
        <v>85.600000000000009</v>
      </c>
    </row>
    <row r="124" spans="1:35" x14ac:dyDescent="0.25">
      <c r="A124" s="173" t="s">
        <v>258</v>
      </c>
      <c r="B124" s="117">
        <v>80</v>
      </c>
      <c r="C124" s="117">
        <v>77</v>
      </c>
      <c r="D124" s="117">
        <v>83.7</v>
      </c>
      <c r="E124" s="117">
        <v>86.8</v>
      </c>
      <c r="F124" s="117">
        <v>80.8</v>
      </c>
      <c r="G124" s="117">
        <v>72</v>
      </c>
      <c r="H124" s="117">
        <v>81.400000000000006</v>
      </c>
      <c r="I124" s="117">
        <v>80.400000000000006</v>
      </c>
      <c r="J124" s="117">
        <v>90.4</v>
      </c>
      <c r="K124" s="117">
        <v>88.5</v>
      </c>
      <c r="L124" s="117">
        <v>107.2</v>
      </c>
      <c r="M124" s="117">
        <v>91.9</v>
      </c>
      <c r="N124" s="117">
        <v>99.8</v>
      </c>
      <c r="O124" s="117">
        <v>86.2</v>
      </c>
      <c r="P124" s="117">
        <v>92</v>
      </c>
      <c r="Q124" s="117">
        <v>92.4</v>
      </c>
      <c r="R124" s="117">
        <v>89</v>
      </c>
      <c r="S124" s="117">
        <v>90</v>
      </c>
      <c r="T124" s="117">
        <v>94</v>
      </c>
      <c r="U124" s="117">
        <v>98</v>
      </c>
      <c r="V124" s="117">
        <v>85</v>
      </c>
      <c r="W124" s="117">
        <v>91</v>
      </c>
      <c r="X124" s="117">
        <v>91</v>
      </c>
      <c r="Y124" s="117">
        <v>100</v>
      </c>
      <c r="Z124" s="117">
        <v>97</v>
      </c>
      <c r="AA124" s="117">
        <v>97</v>
      </c>
      <c r="AB124" s="117">
        <v>94</v>
      </c>
      <c r="AC124" s="117">
        <v>94</v>
      </c>
      <c r="AD124" s="117">
        <v>92.3</v>
      </c>
      <c r="AE124" s="117">
        <v>72.5</v>
      </c>
      <c r="AF124" s="117">
        <v>67.400000000000006</v>
      </c>
      <c r="AG124" s="118"/>
      <c r="AH124" s="47">
        <f t="shared" si="36"/>
        <v>107.2</v>
      </c>
      <c r="AI124" s="48">
        <f t="shared" si="37"/>
        <v>67.400000000000006</v>
      </c>
    </row>
    <row r="125" spans="1:35" x14ac:dyDescent="0.25">
      <c r="A125" s="173" t="s">
        <v>255</v>
      </c>
      <c r="B125" s="117">
        <v>59</v>
      </c>
      <c r="C125" s="117" t="s">
        <v>586</v>
      </c>
      <c r="D125" s="117">
        <v>75.599999999999994</v>
      </c>
      <c r="E125" s="117">
        <v>25.4</v>
      </c>
      <c r="F125" s="117">
        <v>70.900000000000006</v>
      </c>
      <c r="G125" s="117">
        <v>39.700000000000003</v>
      </c>
      <c r="H125" s="117">
        <v>30.1</v>
      </c>
      <c r="I125" s="117">
        <v>12.7</v>
      </c>
      <c r="J125" s="117">
        <v>-17.100000000000001</v>
      </c>
      <c r="K125" s="117">
        <v>-30.2</v>
      </c>
      <c r="L125" s="117">
        <v>-11.7</v>
      </c>
      <c r="M125" s="117">
        <v>-38.700000000000003</v>
      </c>
      <c r="N125" s="117">
        <v>-5.8</v>
      </c>
      <c r="O125" s="117">
        <v>-21.4</v>
      </c>
      <c r="P125" s="117">
        <v>0.8</v>
      </c>
      <c r="Q125" s="117">
        <v>5.9</v>
      </c>
      <c r="R125" s="117">
        <v>9.6</v>
      </c>
      <c r="S125" s="117">
        <v>12.4</v>
      </c>
      <c r="T125" s="117">
        <v>18</v>
      </c>
      <c r="U125" s="117">
        <v>8</v>
      </c>
      <c r="V125" s="117">
        <v>-19</v>
      </c>
      <c r="W125" s="117">
        <v>-15.3</v>
      </c>
      <c r="X125" s="117">
        <v>-46</v>
      </c>
      <c r="Y125" s="117">
        <v>-42</v>
      </c>
      <c r="Z125" s="117">
        <v>-40</v>
      </c>
      <c r="AA125" s="117">
        <v>-40</v>
      </c>
      <c r="AB125" s="117">
        <v>-28.4</v>
      </c>
      <c r="AC125" s="117">
        <v>-28.4</v>
      </c>
      <c r="AD125" s="117">
        <v>3</v>
      </c>
      <c r="AE125" s="117">
        <v>8.6999999999999993</v>
      </c>
      <c r="AF125" s="117">
        <v>39.5</v>
      </c>
      <c r="AG125" s="118"/>
      <c r="AH125" s="47">
        <f t="shared" si="36"/>
        <v>75.599999999999994</v>
      </c>
      <c r="AI125" s="48">
        <f t="shared" si="37"/>
        <v>-46</v>
      </c>
    </row>
    <row r="126" spans="1:35" ht="15.75" thickBot="1" x14ac:dyDescent="0.3">
      <c r="A126" s="173" t="s">
        <v>254</v>
      </c>
      <c r="B126" s="117">
        <v>92</v>
      </c>
      <c r="C126" s="117">
        <v>99.5</v>
      </c>
      <c r="D126" s="117">
        <v>98</v>
      </c>
      <c r="E126" s="117">
        <v>106.8</v>
      </c>
      <c r="F126" s="117">
        <v>93.6</v>
      </c>
      <c r="G126" s="117">
        <v>89.3</v>
      </c>
      <c r="H126" s="117">
        <v>91.4</v>
      </c>
      <c r="I126" s="117">
        <v>86.2</v>
      </c>
      <c r="J126" s="117">
        <v>85.8</v>
      </c>
      <c r="K126" s="117">
        <v>74.900000000000006</v>
      </c>
      <c r="L126" s="117">
        <v>95.3</v>
      </c>
      <c r="M126" s="117">
        <v>72.599999999999994</v>
      </c>
      <c r="N126" s="117">
        <v>91.4</v>
      </c>
      <c r="O126" s="117">
        <v>67.400000000000006</v>
      </c>
      <c r="P126" s="117">
        <v>85</v>
      </c>
      <c r="Q126" s="117">
        <v>85.1</v>
      </c>
      <c r="R126" s="117">
        <v>81.3</v>
      </c>
      <c r="S126" s="117">
        <v>89</v>
      </c>
      <c r="T126" s="117">
        <v>92</v>
      </c>
      <c r="U126" s="117">
        <v>94</v>
      </c>
      <c r="V126" s="117">
        <v>75</v>
      </c>
      <c r="W126" s="117">
        <v>79</v>
      </c>
      <c r="X126" s="117">
        <v>64</v>
      </c>
      <c r="Y126" s="117">
        <v>71</v>
      </c>
      <c r="Z126" s="117">
        <v>64.3</v>
      </c>
      <c r="AA126" s="117">
        <v>64.3</v>
      </c>
      <c r="AB126" s="117">
        <v>66.099999999999994</v>
      </c>
      <c r="AC126" s="117">
        <v>66.099999999999994</v>
      </c>
      <c r="AD126" s="117">
        <v>78</v>
      </c>
      <c r="AE126" s="117">
        <v>82</v>
      </c>
      <c r="AF126" s="117">
        <v>75.2</v>
      </c>
      <c r="AG126" s="114"/>
      <c r="AH126" s="47">
        <f t="shared" si="36"/>
        <v>106.8</v>
      </c>
      <c r="AI126" s="48">
        <f t="shared" si="37"/>
        <v>64</v>
      </c>
    </row>
    <row r="127" spans="1:35" x14ac:dyDescent="0.25">
      <c r="A127" s="172" t="s">
        <v>256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-6</v>
      </c>
      <c r="AA127" s="117">
        <v>-6</v>
      </c>
      <c r="AB127" s="117">
        <v>0</v>
      </c>
      <c r="AC127" s="117">
        <v>0</v>
      </c>
      <c r="AD127" s="117">
        <v>4.3</v>
      </c>
      <c r="AE127" s="117">
        <v>-4.9000000000000004</v>
      </c>
      <c r="AF127" s="117">
        <v>-1.6</v>
      </c>
      <c r="AG127" s="114"/>
      <c r="AH127" s="47">
        <f t="shared" si="36"/>
        <v>4.3</v>
      </c>
      <c r="AI127" s="48">
        <f t="shared" si="37"/>
        <v>-6</v>
      </c>
    </row>
    <row r="128" spans="1:35" x14ac:dyDescent="0.25">
      <c r="A128" s="173" t="s">
        <v>123</v>
      </c>
      <c r="B128" s="106">
        <v>-5.2</v>
      </c>
      <c r="C128" s="106">
        <v>-4</v>
      </c>
      <c r="D128" s="106">
        <v>-4</v>
      </c>
      <c r="E128" s="106">
        <v>0.9</v>
      </c>
      <c r="F128" s="106">
        <v>-5.2</v>
      </c>
      <c r="G128" s="106">
        <v>-11.3</v>
      </c>
      <c r="H128" s="106">
        <v>-16.100000000000001</v>
      </c>
      <c r="I128" s="106">
        <v>-21.9</v>
      </c>
      <c r="J128" s="106">
        <v>-39</v>
      </c>
      <c r="K128" s="106">
        <v>-40.700000000000003</v>
      </c>
      <c r="L128" s="106">
        <v>-43.3</v>
      </c>
      <c r="M128" s="106">
        <v>-34.4</v>
      </c>
      <c r="N128" s="106">
        <v>-30.5</v>
      </c>
      <c r="O128" s="106">
        <v>-24.6</v>
      </c>
      <c r="P128" s="106">
        <v>-16.2</v>
      </c>
      <c r="Q128" s="106">
        <v>-13.9</v>
      </c>
      <c r="R128" s="106">
        <v>-18.899999999999999</v>
      </c>
      <c r="S128" s="106">
        <v>-19.3</v>
      </c>
      <c r="T128" s="106">
        <v>-14</v>
      </c>
      <c r="U128" s="106">
        <v>-22</v>
      </c>
      <c r="V128" s="106">
        <v>-31</v>
      </c>
      <c r="W128" s="106">
        <v>-40</v>
      </c>
      <c r="X128" s="106">
        <v>-60</v>
      </c>
      <c r="Y128" s="106">
        <v>-59</v>
      </c>
      <c r="Z128" s="106">
        <v>-47</v>
      </c>
      <c r="AA128" s="106">
        <v>-47</v>
      </c>
      <c r="AB128" s="106">
        <v>-37.200000000000003</v>
      </c>
      <c r="AC128" s="106">
        <v>-37.200000000000003</v>
      </c>
      <c r="AD128" s="106">
        <v>-22.2</v>
      </c>
      <c r="AE128" s="106">
        <v>-17</v>
      </c>
      <c r="AF128" s="106">
        <v>-12.9</v>
      </c>
      <c r="AG128" s="114"/>
      <c r="AH128" s="47">
        <f t="shared" si="36"/>
        <v>0.9</v>
      </c>
      <c r="AI128" s="48">
        <f t="shared" si="37"/>
        <v>-60</v>
      </c>
    </row>
    <row r="129" spans="1:37" x14ac:dyDescent="0.25">
      <c r="A129" s="173" t="s">
        <v>260</v>
      </c>
      <c r="B129" s="106">
        <v>26</v>
      </c>
      <c r="C129" s="106">
        <v>24</v>
      </c>
      <c r="D129" s="106">
        <v>21</v>
      </c>
      <c r="E129" s="106">
        <v>26</v>
      </c>
      <c r="F129" s="106">
        <v>25.6</v>
      </c>
      <c r="G129" s="106">
        <v>27.7</v>
      </c>
      <c r="H129" s="106">
        <v>28.6</v>
      </c>
      <c r="I129" s="106">
        <v>29.3</v>
      </c>
      <c r="J129" s="106">
        <v>13.8</v>
      </c>
      <c r="K129" s="106">
        <v>11.7</v>
      </c>
      <c r="L129" s="106">
        <v>12.6</v>
      </c>
      <c r="M129" s="106">
        <v>12.5</v>
      </c>
      <c r="N129" s="106">
        <v>12.8</v>
      </c>
      <c r="O129" s="106">
        <v>12.6</v>
      </c>
      <c r="P129" s="106">
        <v>16</v>
      </c>
      <c r="Q129" s="106">
        <v>25.1</v>
      </c>
      <c r="R129" s="106">
        <v>25.5</v>
      </c>
      <c r="S129" s="106">
        <v>26</v>
      </c>
      <c r="T129" s="106">
        <v>26</v>
      </c>
      <c r="U129" s="106">
        <v>15</v>
      </c>
      <c r="V129" s="106">
        <v>12</v>
      </c>
      <c r="W129" s="106">
        <v>12</v>
      </c>
      <c r="X129" s="106">
        <v>12</v>
      </c>
      <c r="Y129" s="106">
        <v>12</v>
      </c>
      <c r="Z129" s="106">
        <v>11</v>
      </c>
      <c r="AA129" s="106">
        <v>11</v>
      </c>
      <c r="AB129" s="106">
        <v>10.1</v>
      </c>
      <c r="AC129" s="106">
        <v>10.1</v>
      </c>
      <c r="AD129" s="106">
        <v>16.2</v>
      </c>
      <c r="AE129" s="106">
        <v>16.2</v>
      </c>
      <c r="AF129" s="106">
        <v>23.3</v>
      </c>
      <c r="AG129" s="114"/>
      <c r="AH129" s="47">
        <f t="shared" si="36"/>
        <v>29.3</v>
      </c>
      <c r="AI129" s="48">
        <f t="shared" si="37"/>
        <v>10.1</v>
      </c>
    </row>
    <row r="130" spans="1:37" ht="15.75" thickBot="1" x14ac:dyDescent="0.3">
      <c r="A130" s="173" t="s">
        <v>257</v>
      </c>
      <c r="B130" s="106">
        <v>95</v>
      </c>
      <c r="C130" s="106">
        <v>95</v>
      </c>
      <c r="D130" s="106">
        <v>87</v>
      </c>
      <c r="E130" s="106">
        <v>94.5</v>
      </c>
      <c r="F130" s="106">
        <v>91.8</v>
      </c>
      <c r="G130" s="106">
        <v>97.9</v>
      </c>
      <c r="H130" s="106">
        <v>101.7</v>
      </c>
      <c r="I130" s="106">
        <v>105.3</v>
      </c>
      <c r="J130" s="106">
        <v>109.9</v>
      </c>
      <c r="K130" s="106">
        <v>96.4</v>
      </c>
      <c r="L130" s="106">
        <v>99.9</v>
      </c>
      <c r="M130" s="106">
        <v>84.9</v>
      </c>
      <c r="N130" s="106">
        <v>78.3</v>
      </c>
      <c r="O130" s="106">
        <v>69</v>
      </c>
      <c r="P130" s="106">
        <v>103.2</v>
      </c>
      <c r="Q130" s="106">
        <v>111.9</v>
      </c>
      <c r="R130" s="106">
        <v>108.7</v>
      </c>
      <c r="S130" s="106">
        <v>116</v>
      </c>
      <c r="T130" s="106">
        <v>105</v>
      </c>
      <c r="U130" s="106">
        <v>113</v>
      </c>
      <c r="V130" s="106">
        <v>89</v>
      </c>
      <c r="W130" s="106">
        <v>98</v>
      </c>
      <c r="X130" s="106">
        <v>123</v>
      </c>
      <c r="Y130" s="106">
        <v>105</v>
      </c>
      <c r="Z130" s="106">
        <v>94.3</v>
      </c>
      <c r="AA130" s="106">
        <v>94.3</v>
      </c>
      <c r="AB130" s="106">
        <v>98.7</v>
      </c>
      <c r="AC130" s="106">
        <v>98.7</v>
      </c>
      <c r="AD130" s="106">
        <v>104.6</v>
      </c>
      <c r="AE130" s="106">
        <v>105.8</v>
      </c>
      <c r="AF130" s="106">
        <v>99.2</v>
      </c>
      <c r="AG130" s="114"/>
      <c r="AH130" s="47">
        <f t="shared" si="36"/>
        <v>123</v>
      </c>
      <c r="AI130" s="48">
        <f t="shared" si="37"/>
        <v>69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06">
        <v>1984.1</v>
      </c>
      <c r="C132" s="106">
        <v>1984.4</v>
      </c>
      <c r="D132" s="106">
        <v>1984.61</v>
      </c>
      <c r="E132" s="106">
        <v>1984.85</v>
      </c>
      <c r="F132" s="106">
        <v>1985.08</v>
      </c>
      <c r="G132" s="106">
        <v>1985.32</v>
      </c>
      <c r="H132" s="106"/>
      <c r="I132" s="106">
        <v>1985.5</v>
      </c>
      <c r="J132" s="106"/>
      <c r="K132" s="106">
        <v>1985.4</v>
      </c>
      <c r="L132" s="106"/>
      <c r="M132" s="106">
        <v>1984.6</v>
      </c>
      <c r="N132" s="106">
        <v>1983.7</v>
      </c>
      <c r="O132" s="106">
        <v>1983.38</v>
      </c>
      <c r="P132" s="106">
        <v>1983.35</v>
      </c>
      <c r="Q132" s="106">
        <v>1983.5</v>
      </c>
      <c r="R132" s="106">
        <v>1983.68</v>
      </c>
      <c r="S132" s="106">
        <v>1983.82</v>
      </c>
      <c r="T132" s="106">
        <v>1983.9</v>
      </c>
      <c r="U132" s="106">
        <v>1984.22</v>
      </c>
      <c r="V132" s="106">
        <v>1984.6</v>
      </c>
      <c r="W132" s="106">
        <v>1984.52</v>
      </c>
      <c r="X132" s="106">
        <v>1984.58</v>
      </c>
      <c r="Y132" s="106"/>
      <c r="Z132" s="106">
        <v>1983.9</v>
      </c>
      <c r="AA132" s="106">
        <v>1983.48</v>
      </c>
      <c r="AB132" s="106">
        <v>1982.95</v>
      </c>
      <c r="AC132" s="106"/>
      <c r="AD132" s="106">
        <v>1982.91</v>
      </c>
      <c r="AE132" s="106">
        <v>1983.11</v>
      </c>
      <c r="AF132" s="106"/>
      <c r="AG132" s="149"/>
      <c r="AH132" s="47"/>
      <c r="AI132" s="48"/>
    </row>
    <row r="133" spans="1:37" x14ac:dyDescent="0.25">
      <c r="A133" s="185" t="s">
        <v>238</v>
      </c>
      <c r="B133" s="106">
        <v>520.70000000000005</v>
      </c>
      <c r="C133" s="106">
        <v>521.08000000000004</v>
      </c>
      <c r="D133" s="106">
        <v>521.4</v>
      </c>
      <c r="E133" s="106">
        <v>521.73</v>
      </c>
      <c r="F133" s="106">
        <v>522.07000000000005</v>
      </c>
      <c r="G133" s="106">
        <v>522.37</v>
      </c>
      <c r="H133" s="106"/>
      <c r="I133" s="106">
        <v>522.29999999999995</v>
      </c>
      <c r="J133" s="106"/>
      <c r="K133" s="106">
        <v>521.94000000000005</v>
      </c>
      <c r="L133" s="106"/>
      <c r="M133" s="106">
        <v>521.49</v>
      </c>
      <c r="N133" s="106">
        <v>521.08000000000004</v>
      </c>
      <c r="O133" s="106">
        <v>521.14</v>
      </c>
      <c r="P133" s="106">
        <v>521.26</v>
      </c>
      <c r="Q133" s="106">
        <v>521.32000000000005</v>
      </c>
      <c r="R133" s="106">
        <v>521.37</v>
      </c>
      <c r="S133" s="106">
        <v>521.41999999999996</v>
      </c>
      <c r="T133" s="106">
        <v>521.5</v>
      </c>
      <c r="U133" s="106">
        <v>521.57000000000005</v>
      </c>
      <c r="V133" s="106">
        <v>521.55999999999995</v>
      </c>
      <c r="W133" s="106">
        <v>521.55999999999995</v>
      </c>
      <c r="X133" s="106">
        <v>521.53</v>
      </c>
      <c r="Y133" s="106"/>
      <c r="Z133" s="106">
        <v>521.12</v>
      </c>
      <c r="AA133" s="106"/>
      <c r="AB133" s="106">
        <v>520.64</v>
      </c>
      <c r="AC133" s="106"/>
      <c r="AD133" s="106">
        <v>520.46</v>
      </c>
      <c r="AE133" s="106">
        <v>520.52</v>
      </c>
      <c r="AF133" s="106"/>
      <c r="AG133" s="149"/>
      <c r="AH133" s="47"/>
      <c r="AI133" s="48"/>
    </row>
    <row r="134" spans="1:37" x14ac:dyDescent="0.25">
      <c r="A134" s="185" t="s">
        <v>239</v>
      </c>
      <c r="B134" s="106">
        <v>623.88</v>
      </c>
      <c r="C134" s="106">
        <v>623.91999999999996</v>
      </c>
      <c r="D134" s="106">
        <v>623.96</v>
      </c>
      <c r="E134" s="106">
        <v>624.17999999999995</v>
      </c>
      <c r="F134" s="106">
        <v>624.63</v>
      </c>
      <c r="G134" s="106">
        <v>624.86</v>
      </c>
      <c r="H134" s="106"/>
      <c r="I134" s="106">
        <v>624.86</v>
      </c>
      <c r="J134" s="106"/>
      <c r="K134" s="106">
        <v>624.59</v>
      </c>
      <c r="L134" s="106"/>
      <c r="M134" s="106">
        <v>624.16999999999996</v>
      </c>
      <c r="N134" s="106">
        <v>623.72</v>
      </c>
      <c r="O134" s="106">
        <v>623.55999999999995</v>
      </c>
      <c r="P134" s="106">
        <v>623.21</v>
      </c>
      <c r="Q134" s="106">
        <v>622.91</v>
      </c>
      <c r="R134" s="106">
        <v>622.84</v>
      </c>
      <c r="S134" s="106">
        <v>622.79</v>
      </c>
      <c r="T134" s="106">
        <v>622.70000000000005</v>
      </c>
      <c r="U134" s="106">
        <v>622.79999999999995</v>
      </c>
      <c r="V134" s="106">
        <v>622.82000000000005</v>
      </c>
      <c r="W134" s="106">
        <v>622.86</v>
      </c>
      <c r="X134" s="106">
        <v>622.70000000000005</v>
      </c>
      <c r="Y134" s="106"/>
      <c r="Z134" s="106">
        <v>622.20000000000005</v>
      </c>
      <c r="AA134" s="106"/>
      <c r="AB134" s="106">
        <v>621.70000000000005</v>
      </c>
      <c r="AC134" s="106"/>
      <c r="AD134" s="106">
        <v>621.6</v>
      </c>
      <c r="AE134" s="106">
        <v>621.5</v>
      </c>
      <c r="AF134" s="106">
        <v>621.57000000000005</v>
      </c>
      <c r="AG134" s="149"/>
      <c r="AH134" s="47"/>
      <c r="AI134" s="48"/>
    </row>
    <row r="135" spans="1:37" x14ac:dyDescent="0.25">
      <c r="A135" s="185" t="s">
        <v>240</v>
      </c>
      <c r="B135" s="106">
        <v>335.15</v>
      </c>
      <c r="C135" s="106">
        <v>335.78</v>
      </c>
      <c r="D135" s="106">
        <v>336.16</v>
      </c>
      <c r="E135" s="106">
        <v>336.49</v>
      </c>
      <c r="F135" s="106">
        <v>336.67</v>
      </c>
      <c r="G135" s="106">
        <v>336.86</v>
      </c>
      <c r="H135" s="106"/>
      <c r="I135" s="106">
        <v>336.81</v>
      </c>
      <c r="J135" s="106"/>
      <c r="K135" s="106">
        <v>336.5</v>
      </c>
      <c r="L135" s="106"/>
      <c r="M135" s="106">
        <v>336.11</v>
      </c>
      <c r="N135" s="106">
        <v>335.61</v>
      </c>
      <c r="O135" s="106">
        <v>335.2</v>
      </c>
      <c r="P135" s="106">
        <v>334.93</v>
      </c>
      <c r="Q135" s="106">
        <v>334.67</v>
      </c>
      <c r="R135" s="106">
        <v>334.79</v>
      </c>
      <c r="S135" s="106">
        <v>335.07</v>
      </c>
      <c r="T135" s="106">
        <v>335.26</v>
      </c>
      <c r="U135" s="106">
        <v>335.42</v>
      </c>
      <c r="V135" s="106">
        <v>335.55</v>
      </c>
      <c r="W135" s="106">
        <v>335.63</v>
      </c>
      <c r="X135" s="106">
        <v>335.65</v>
      </c>
      <c r="Y135" s="106"/>
      <c r="Z135" s="106">
        <v>335.33</v>
      </c>
      <c r="AA135" s="106"/>
      <c r="AB135" s="106">
        <v>334.92</v>
      </c>
      <c r="AC135" s="106"/>
      <c r="AD135" s="106">
        <v>334.54</v>
      </c>
      <c r="AE135" s="106">
        <v>334.17</v>
      </c>
      <c r="AF135" s="106"/>
      <c r="AG135" s="149"/>
      <c r="AH135" s="47"/>
      <c r="AI135" s="48"/>
    </row>
    <row r="136" spans="1:37" x14ac:dyDescent="0.25">
      <c r="A136" s="185" t="s">
        <v>384</v>
      </c>
      <c r="B136" s="106">
        <v>886.3</v>
      </c>
      <c r="C136" s="106">
        <v>886.5</v>
      </c>
      <c r="D136" s="106">
        <v>886.9</v>
      </c>
      <c r="E136" s="106">
        <v>887.3</v>
      </c>
      <c r="F136" s="106">
        <v>887.4</v>
      </c>
      <c r="G136" s="106">
        <v>887.2</v>
      </c>
      <c r="H136" s="106"/>
      <c r="I136" s="106">
        <v>887</v>
      </c>
      <c r="J136" s="106"/>
      <c r="K136" s="106">
        <v>886.6</v>
      </c>
      <c r="L136" s="106"/>
      <c r="M136" s="106">
        <v>885.7</v>
      </c>
      <c r="N136" s="106">
        <v>884.5</v>
      </c>
      <c r="O136" s="106">
        <v>884.9</v>
      </c>
      <c r="P136" s="106">
        <v>885.4</v>
      </c>
      <c r="Q136" s="106">
        <v>885.9</v>
      </c>
      <c r="R136" s="106">
        <v>885.8</v>
      </c>
      <c r="S136" s="106">
        <v>885.7</v>
      </c>
      <c r="T136" s="106">
        <v>885.5</v>
      </c>
      <c r="U136" s="106">
        <v>885.4</v>
      </c>
      <c r="V136" s="106">
        <v>885.2</v>
      </c>
      <c r="W136" s="106">
        <v>885.3</v>
      </c>
      <c r="X136" s="106">
        <v>885.5</v>
      </c>
      <c r="Y136" s="106"/>
      <c r="Z136" s="106">
        <v>885</v>
      </c>
      <c r="AA136" s="106"/>
      <c r="AB136" s="106">
        <v>883.5</v>
      </c>
      <c r="AC136" s="106"/>
      <c r="AD136" s="106">
        <v>882</v>
      </c>
      <c r="AE136" s="106"/>
      <c r="AF136" s="106"/>
      <c r="AG136" s="149"/>
      <c r="AH136" s="47"/>
      <c r="AI136" s="48"/>
    </row>
    <row r="137" spans="1:37" ht="15.75" thickBot="1" x14ac:dyDescent="0.3">
      <c r="A137" s="185" t="s">
        <v>241</v>
      </c>
      <c r="B137" s="152">
        <v>1518.91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4"/>
      <c r="E139" s="124"/>
      <c r="F139" s="124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00">SUM(B139:B243)</f>
        <v>0</v>
      </c>
      <c r="C244" s="134">
        <f t="shared" si="100"/>
        <v>0</v>
      </c>
      <c r="D244" s="134">
        <f t="shared" si="100"/>
        <v>0</v>
      </c>
      <c r="E244" s="134">
        <f t="shared" si="100"/>
        <v>0</v>
      </c>
      <c r="F244" s="134">
        <f t="shared" si="100"/>
        <v>0</v>
      </c>
      <c r="G244" s="134">
        <f t="shared" si="100"/>
        <v>0</v>
      </c>
      <c r="H244" s="134">
        <f t="shared" si="100"/>
        <v>0</v>
      </c>
      <c r="I244" s="134">
        <f t="shared" si="100"/>
        <v>0</v>
      </c>
      <c r="J244" s="134">
        <f t="shared" si="100"/>
        <v>0</v>
      </c>
      <c r="K244" s="134">
        <f t="shared" si="100"/>
        <v>0</v>
      </c>
      <c r="L244" s="134">
        <f t="shared" si="100"/>
        <v>0</v>
      </c>
      <c r="M244" s="134">
        <f t="shared" si="100"/>
        <v>0</v>
      </c>
      <c r="N244" s="134">
        <f t="shared" si="100"/>
        <v>0</v>
      </c>
      <c r="O244" s="134">
        <f t="shared" si="100"/>
        <v>0</v>
      </c>
      <c r="P244" s="134">
        <f t="shared" si="100"/>
        <v>0</v>
      </c>
      <c r="Q244" s="134">
        <f t="shared" si="100"/>
        <v>0</v>
      </c>
      <c r="R244" s="134">
        <f t="shared" si="100"/>
        <v>0</v>
      </c>
      <c r="S244" s="134">
        <f t="shared" si="100"/>
        <v>0</v>
      </c>
      <c r="T244" s="134">
        <f t="shared" si="100"/>
        <v>0</v>
      </c>
      <c r="U244" s="134">
        <f t="shared" si="100"/>
        <v>0</v>
      </c>
      <c r="V244" s="134">
        <f t="shared" si="100"/>
        <v>0</v>
      </c>
      <c r="W244" s="134">
        <f t="shared" si="100"/>
        <v>0</v>
      </c>
      <c r="X244" s="134">
        <f t="shared" si="100"/>
        <v>0</v>
      </c>
      <c r="Y244" s="134">
        <f t="shared" si="100"/>
        <v>0</v>
      </c>
      <c r="Z244" s="134">
        <f t="shared" si="100"/>
        <v>0</v>
      </c>
      <c r="AA244" s="134">
        <f t="shared" si="100"/>
        <v>0</v>
      </c>
      <c r="AB244" s="134">
        <f t="shared" si="100"/>
        <v>0</v>
      </c>
      <c r="AC244" s="134">
        <f t="shared" si="100"/>
        <v>0</v>
      </c>
      <c r="AD244" s="134">
        <f t="shared" si="100"/>
        <v>0</v>
      </c>
      <c r="AE244" s="134">
        <f t="shared" si="100"/>
        <v>0</v>
      </c>
      <c r="AF244" s="135">
        <f t="shared" si="100"/>
        <v>0</v>
      </c>
      <c r="AG244" s="136">
        <f t="shared" si="10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01">AF246</f>
        <v>0.3</v>
      </c>
      <c r="C246" s="138">
        <v>0.3</v>
      </c>
      <c r="D246" s="138">
        <f t="shared" ref="D246:S251" si="102">C246</f>
        <v>0.3</v>
      </c>
      <c r="E246" s="138">
        <f t="shared" si="102"/>
        <v>0.3</v>
      </c>
      <c r="F246" s="138">
        <f t="shared" si="102"/>
        <v>0.3</v>
      </c>
      <c r="G246" s="138">
        <f t="shared" si="102"/>
        <v>0.3</v>
      </c>
      <c r="H246" s="138">
        <f t="shared" si="102"/>
        <v>0.3</v>
      </c>
      <c r="I246" s="138">
        <f t="shared" si="102"/>
        <v>0.3</v>
      </c>
      <c r="J246" s="138">
        <f t="shared" si="102"/>
        <v>0.3</v>
      </c>
      <c r="K246" s="138">
        <f t="shared" si="102"/>
        <v>0.3</v>
      </c>
      <c r="L246" s="138">
        <f t="shared" si="102"/>
        <v>0.3</v>
      </c>
      <c r="M246" s="138">
        <f t="shared" si="102"/>
        <v>0.3</v>
      </c>
      <c r="N246" s="138">
        <f t="shared" si="102"/>
        <v>0.3</v>
      </c>
      <c r="O246" s="138">
        <f t="shared" si="102"/>
        <v>0.3</v>
      </c>
      <c r="P246" s="138">
        <f t="shared" si="102"/>
        <v>0.3</v>
      </c>
      <c r="Q246" s="138">
        <f t="shared" si="102"/>
        <v>0.3</v>
      </c>
      <c r="R246" s="138">
        <f t="shared" si="102"/>
        <v>0.3</v>
      </c>
      <c r="S246" s="138">
        <f t="shared" si="102"/>
        <v>0.3</v>
      </c>
      <c r="T246" s="138">
        <f t="shared" ref="T246:AF251" si="103">S246</f>
        <v>0.3</v>
      </c>
      <c r="U246" s="138">
        <f t="shared" si="103"/>
        <v>0.3</v>
      </c>
      <c r="V246" s="138">
        <f t="shared" si="103"/>
        <v>0.3</v>
      </c>
      <c r="W246" s="138">
        <f t="shared" si="103"/>
        <v>0.3</v>
      </c>
      <c r="X246" s="138">
        <f t="shared" si="103"/>
        <v>0.3</v>
      </c>
      <c r="Y246" s="138">
        <f t="shared" si="103"/>
        <v>0.3</v>
      </c>
      <c r="Z246" s="138">
        <f t="shared" si="103"/>
        <v>0.3</v>
      </c>
      <c r="AA246" s="138">
        <f t="shared" si="103"/>
        <v>0.3</v>
      </c>
      <c r="AB246" s="138">
        <f t="shared" si="103"/>
        <v>0.3</v>
      </c>
      <c r="AC246" s="138">
        <f t="shared" si="103"/>
        <v>0.3</v>
      </c>
      <c r="AD246" s="138">
        <f t="shared" si="103"/>
        <v>0.3</v>
      </c>
      <c r="AE246" s="138">
        <f t="shared" si="103"/>
        <v>0.3</v>
      </c>
      <c r="AF246" s="138">
        <f t="shared" si="10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01"/>
        <v>0.4</v>
      </c>
      <c r="C247" s="126">
        <v>0.4</v>
      </c>
      <c r="D247" s="126">
        <f t="shared" si="102"/>
        <v>0.4</v>
      </c>
      <c r="E247" s="126">
        <f t="shared" si="102"/>
        <v>0.4</v>
      </c>
      <c r="F247" s="126">
        <f t="shared" si="102"/>
        <v>0.4</v>
      </c>
      <c r="G247" s="126">
        <f t="shared" si="102"/>
        <v>0.4</v>
      </c>
      <c r="H247" s="126">
        <f t="shared" si="102"/>
        <v>0.4</v>
      </c>
      <c r="I247" s="126">
        <f t="shared" si="102"/>
        <v>0.4</v>
      </c>
      <c r="J247" s="126">
        <f t="shared" si="102"/>
        <v>0.4</v>
      </c>
      <c r="K247" s="126">
        <f t="shared" si="102"/>
        <v>0.4</v>
      </c>
      <c r="L247" s="126">
        <f t="shared" si="102"/>
        <v>0.4</v>
      </c>
      <c r="M247" s="126">
        <f t="shared" si="102"/>
        <v>0.4</v>
      </c>
      <c r="N247" s="126">
        <f t="shared" si="102"/>
        <v>0.4</v>
      </c>
      <c r="O247" s="126">
        <f t="shared" si="102"/>
        <v>0.4</v>
      </c>
      <c r="P247" s="126">
        <f t="shared" si="102"/>
        <v>0.4</v>
      </c>
      <c r="Q247" s="126">
        <f t="shared" si="102"/>
        <v>0.4</v>
      </c>
      <c r="R247" s="126">
        <f t="shared" si="102"/>
        <v>0.4</v>
      </c>
      <c r="S247" s="126">
        <f t="shared" si="102"/>
        <v>0.4</v>
      </c>
      <c r="T247" s="126">
        <f t="shared" si="103"/>
        <v>0.4</v>
      </c>
      <c r="U247" s="126">
        <f t="shared" si="103"/>
        <v>0.4</v>
      </c>
      <c r="V247" s="126">
        <f t="shared" si="103"/>
        <v>0.4</v>
      </c>
      <c r="W247" s="126">
        <f t="shared" si="103"/>
        <v>0.4</v>
      </c>
      <c r="X247" s="126">
        <f t="shared" si="103"/>
        <v>0.4</v>
      </c>
      <c r="Y247" s="126">
        <f t="shared" si="103"/>
        <v>0.4</v>
      </c>
      <c r="Z247" s="126">
        <f t="shared" si="103"/>
        <v>0.4</v>
      </c>
      <c r="AA247" s="126">
        <f t="shared" si="103"/>
        <v>0.4</v>
      </c>
      <c r="AB247" s="126">
        <f t="shared" si="103"/>
        <v>0.4</v>
      </c>
      <c r="AC247" s="126">
        <f t="shared" si="103"/>
        <v>0.4</v>
      </c>
      <c r="AD247" s="126">
        <f t="shared" si="103"/>
        <v>0.4</v>
      </c>
      <c r="AE247" s="126">
        <f t="shared" si="103"/>
        <v>0.4</v>
      </c>
      <c r="AF247" s="126">
        <f t="shared" si="10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01"/>
        <v>1.5</v>
      </c>
      <c r="C248" s="126">
        <v>1.5</v>
      </c>
      <c r="D248" s="126">
        <f t="shared" si="102"/>
        <v>1.5</v>
      </c>
      <c r="E248" s="126">
        <f t="shared" si="102"/>
        <v>1.5</v>
      </c>
      <c r="F248" s="126">
        <f t="shared" si="102"/>
        <v>1.5</v>
      </c>
      <c r="G248" s="126">
        <f t="shared" si="102"/>
        <v>1.5</v>
      </c>
      <c r="H248" s="126">
        <f t="shared" si="102"/>
        <v>1.5</v>
      </c>
      <c r="I248" s="126">
        <f t="shared" si="102"/>
        <v>1.5</v>
      </c>
      <c r="J248" s="126">
        <f t="shared" si="102"/>
        <v>1.5</v>
      </c>
      <c r="K248" s="126">
        <f t="shared" si="102"/>
        <v>1.5</v>
      </c>
      <c r="L248" s="126">
        <f t="shared" si="102"/>
        <v>1.5</v>
      </c>
      <c r="M248" s="126">
        <f t="shared" si="102"/>
        <v>1.5</v>
      </c>
      <c r="N248" s="126">
        <f t="shared" si="102"/>
        <v>1.5</v>
      </c>
      <c r="O248" s="126">
        <f t="shared" si="102"/>
        <v>1.5</v>
      </c>
      <c r="P248" s="126">
        <f t="shared" si="102"/>
        <v>1.5</v>
      </c>
      <c r="Q248" s="126">
        <f t="shared" si="102"/>
        <v>1.5</v>
      </c>
      <c r="R248" s="126">
        <f t="shared" si="102"/>
        <v>1.5</v>
      </c>
      <c r="S248" s="126">
        <f t="shared" si="102"/>
        <v>1.5</v>
      </c>
      <c r="T248" s="126">
        <f t="shared" si="103"/>
        <v>1.5</v>
      </c>
      <c r="U248" s="126">
        <f t="shared" si="103"/>
        <v>1.5</v>
      </c>
      <c r="V248" s="126">
        <f t="shared" si="103"/>
        <v>1.5</v>
      </c>
      <c r="W248" s="126">
        <f t="shared" si="103"/>
        <v>1.5</v>
      </c>
      <c r="X248" s="126">
        <f t="shared" si="103"/>
        <v>1.5</v>
      </c>
      <c r="Y248" s="126">
        <f t="shared" si="103"/>
        <v>1.5</v>
      </c>
      <c r="Z248" s="126">
        <f t="shared" si="103"/>
        <v>1.5</v>
      </c>
      <c r="AA248" s="126">
        <f t="shared" si="103"/>
        <v>1.5</v>
      </c>
      <c r="AB248" s="126">
        <f t="shared" si="103"/>
        <v>1.5</v>
      </c>
      <c r="AC248" s="126">
        <f t="shared" si="103"/>
        <v>1.5</v>
      </c>
      <c r="AD248" s="126">
        <f t="shared" si="103"/>
        <v>1.5</v>
      </c>
      <c r="AE248" s="126">
        <f t="shared" si="103"/>
        <v>1.5</v>
      </c>
      <c r="AF248" s="126">
        <f t="shared" si="10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01"/>
        <v>0.3</v>
      </c>
      <c r="C249" s="126">
        <v>0.3</v>
      </c>
      <c r="D249" s="126">
        <f t="shared" si="102"/>
        <v>0.3</v>
      </c>
      <c r="E249" s="126">
        <f t="shared" si="102"/>
        <v>0.3</v>
      </c>
      <c r="F249" s="126">
        <f t="shared" si="102"/>
        <v>0.3</v>
      </c>
      <c r="G249" s="126">
        <f t="shared" si="102"/>
        <v>0.3</v>
      </c>
      <c r="H249" s="126">
        <f t="shared" si="102"/>
        <v>0.3</v>
      </c>
      <c r="I249" s="126">
        <f t="shared" si="102"/>
        <v>0.3</v>
      </c>
      <c r="J249" s="126">
        <f t="shared" si="102"/>
        <v>0.3</v>
      </c>
      <c r="K249" s="126">
        <f t="shared" si="102"/>
        <v>0.3</v>
      </c>
      <c r="L249" s="126">
        <f t="shared" si="102"/>
        <v>0.3</v>
      </c>
      <c r="M249" s="126">
        <f t="shared" si="102"/>
        <v>0.3</v>
      </c>
      <c r="N249" s="126">
        <f t="shared" si="102"/>
        <v>0.3</v>
      </c>
      <c r="O249" s="126">
        <f t="shared" si="102"/>
        <v>0.3</v>
      </c>
      <c r="P249" s="126">
        <f t="shared" si="102"/>
        <v>0.3</v>
      </c>
      <c r="Q249" s="126">
        <f t="shared" si="102"/>
        <v>0.3</v>
      </c>
      <c r="R249" s="126">
        <f t="shared" si="102"/>
        <v>0.3</v>
      </c>
      <c r="S249" s="126">
        <f t="shared" si="102"/>
        <v>0.3</v>
      </c>
      <c r="T249" s="126">
        <f t="shared" si="103"/>
        <v>0.3</v>
      </c>
      <c r="U249" s="126">
        <f t="shared" si="103"/>
        <v>0.3</v>
      </c>
      <c r="V249" s="126">
        <f t="shared" si="103"/>
        <v>0.3</v>
      </c>
      <c r="W249" s="126">
        <f t="shared" si="103"/>
        <v>0.3</v>
      </c>
      <c r="X249" s="126">
        <f t="shared" si="103"/>
        <v>0.3</v>
      </c>
      <c r="Y249" s="126">
        <f t="shared" si="103"/>
        <v>0.3</v>
      </c>
      <c r="Z249" s="126">
        <f t="shared" si="103"/>
        <v>0.3</v>
      </c>
      <c r="AA249" s="126">
        <f t="shared" si="103"/>
        <v>0.3</v>
      </c>
      <c r="AB249" s="126">
        <f t="shared" si="103"/>
        <v>0.3</v>
      </c>
      <c r="AC249" s="126">
        <f t="shared" si="103"/>
        <v>0.3</v>
      </c>
      <c r="AD249" s="126">
        <f t="shared" si="103"/>
        <v>0.3</v>
      </c>
      <c r="AE249" s="126">
        <f t="shared" si="103"/>
        <v>0.3</v>
      </c>
      <c r="AF249" s="126">
        <f t="shared" si="10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01"/>
        <v>0.4</v>
      </c>
      <c r="C250" s="126">
        <v>0.4</v>
      </c>
      <c r="D250" s="126">
        <f t="shared" si="102"/>
        <v>0.4</v>
      </c>
      <c r="E250" s="126">
        <f t="shared" si="102"/>
        <v>0.4</v>
      </c>
      <c r="F250" s="126">
        <f t="shared" si="102"/>
        <v>0.4</v>
      </c>
      <c r="G250" s="126">
        <f t="shared" si="102"/>
        <v>0.4</v>
      </c>
      <c r="H250" s="126">
        <f t="shared" si="102"/>
        <v>0.4</v>
      </c>
      <c r="I250" s="126">
        <f t="shared" si="102"/>
        <v>0.4</v>
      </c>
      <c r="J250" s="126">
        <f t="shared" si="102"/>
        <v>0.4</v>
      </c>
      <c r="K250" s="126">
        <f t="shared" si="102"/>
        <v>0.4</v>
      </c>
      <c r="L250" s="126">
        <f t="shared" si="102"/>
        <v>0.4</v>
      </c>
      <c r="M250" s="126">
        <f t="shared" si="102"/>
        <v>0.4</v>
      </c>
      <c r="N250" s="126">
        <f t="shared" si="102"/>
        <v>0.4</v>
      </c>
      <c r="O250" s="126">
        <f t="shared" si="102"/>
        <v>0.4</v>
      </c>
      <c r="P250" s="126">
        <f t="shared" si="102"/>
        <v>0.4</v>
      </c>
      <c r="Q250" s="126">
        <f t="shared" si="102"/>
        <v>0.4</v>
      </c>
      <c r="R250" s="126">
        <f t="shared" si="102"/>
        <v>0.4</v>
      </c>
      <c r="S250" s="126">
        <f t="shared" si="102"/>
        <v>0.4</v>
      </c>
      <c r="T250" s="126">
        <f t="shared" si="103"/>
        <v>0.4</v>
      </c>
      <c r="U250" s="126">
        <f t="shared" si="103"/>
        <v>0.4</v>
      </c>
      <c r="V250" s="126">
        <f t="shared" si="103"/>
        <v>0.4</v>
      </c>
      <c r="W250" s="126">
        <f t="shared" si="103"/>
        <v>0.4</v>
      </c>
      <c r="X250" s="126">
        <f t="shared" si="103"/>
        <v>0.4</v>
      </c>
      <c r="Y250" s="126">
        <f t="shared" si="103"/>
        <v>0.4</v>
      </c>
      <c r="Z250" s="126">
        <f t="shared" si="103"/>
        <v>0.4</v>
      </c>
      <c r="AA250" s="126">
        <f t="shared" si="103"/>
        <v>0.4</v>
      </c>
      <c r="AB250" s="126">
        <f t="shared" si="103"/>
        <v>0.4</v>
      </c>
      <c r="AC250" s="126">
        <f t="shared" si="103"/>
        <v>0.4</v>
      </c>
      <c r="AD250" s="126">
        <f t="shared" si="103"/>
        <v>0.4</v>
      </c>
      <c r="AE250" s="126">
        <f t="shared" si="103"/>
        <v>0.4</v>
      </c>
      <c r="AF250" s="126">
        <f t="shared" si="10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01"/>
        <v>0.64</v>
      </c>
      <c r="C251" s="130">
        <v>0.64</v>
      </c>
      <c r="D251" s="130">
        <f t="shared" si="102"/>
        <v>0.64</v>
      </c>
      <c r="E251" s="130">
        <f t="shared" si="102"/>
        <v>0.64</v>
      </c>
      <c r="F251" s="130">
        <f t="shared" si="102"/>
        <v>0.64</v>
      </c>
      <c r="G251" s="130">
        <f t="shared" si="102"/>
        <v>0.64</v>
      </c>
      <c r="H251" s="130">
        <f t="shared" si="102"/>
        <v>0.64</v>
      </c>
      <c r="I251" s="130">
        <f t="shared" si="102"/>
        <v>0.64</v>
      </c>
      <c r="J251" s="130">
        <f t="shared" si="102"/>
        <v>0.64</v>
      </c>
      <c r="K251" s="130">
        <f t="shared" si="102"/>
        <v>0.64</v>
      </c>
      <c r="L251" s="130">
        <f t="shared" si="102"/>
        <v>0.64</v>
      </c>
      <c r="M251" s="130">
        <f t="shared" si="102"/>
        <v>0.64</v>
      </c>
      <c r="N251" s="130">
        <f t="shared" si="102"/>
        <v>0.64</v>
      </c>
      <c r="O251" s="130">
        <f t="shared" si="102"/>
        <v>0.64</v>
      </c>
      <c r="P251" s="130">
        <f t="shared" si="102"/>
        <v>0.64</v>
      </c>
      <c r="Q251" s="130">
        <f t="shared" si="102"/>
        <v>0.64</v>
      </c>
      <c r="R251" s="130">
        <f t="shared" si="102"/>
        <v>0.64</v>
      </c>
      <c r="S251" s="130">
        <f t="shared" si="102"/>
        <v>0.64</v>
      </c>
      <c r="T251" s="130">
        <f t="shared" si="103"/>
        <v>0.64</v>
      </c>
      <c r="U251" s="130">
        <f t="shared" si="103"/>
        <v>0.64</v>
      </c>
      <c r="V251" s="130">
        <f t="shared" si="103"/>
        <v>0.64</v>
      </c>
      <c r="W251" s="130">
        <f t="shared" si="103"/>
        <v>0.64</v>
      </c>
      <c r="X251" s="130">
        <f t="shared" si="103"/>
        <v>0.64</v>
      </c>
      <c r="Y251" s="130">
        <f t="shared" si="103"/>
        <v>0.64</v>
      </c>
      <c r="Z251" s="130">
        <f t="shared" si="103"/>
        <v>0.64</v>
      </c>
      <c r="AA251" s="130">
        <f t="shared" si="103"/>
        <v>0.64</v>
      </c>
      <c r="AB251" s="130">
        <f t="shared" si="103"/>
        <v>0.64</v>
      </c>
      <c r="AC251" s="130">
        <f t="shared" si="103"/>
        <v>0.64</v>
      </c>
      <c r="AD251" s="130">
        <f t="shared" si="103"/>
        <v>0.64</v>
      </c>
      <c r="AE251" s="130">
        <f t="shared" si="103"/>
        <v>0.64</v>
      </c>
      <c r="AF251" s="130">
        <f t="shared" si="10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04">SUM(B246:B251)</f>
        <v>3.54</v>
      </c>
      <c r="C252" s="134">
        <f t="shared" si="104"/>
        <v>3.54</v>
      </c>
      <c r="D252" s="134">
        <f t="shared" si="104"/>
        <v>3.54</v>
      </c>
      <c r="E252" s="134">
        <f t="shared" si="104"/>
        <v>3.54</v>
      </c>
      <c r="F252" s="134">
        <f t="shared" si="104"/>
        <v>3.54</v>
      </c>
      <c r="G252" s="134">
        <f t="shared" si="104"/>
        <v>3.54</v>
      </c>
      <c r="H252" s="134">
        <f t="shared" si="104"/>
        <v>3.54</v>
      </c>
      <c r="I252" s="134">
        <f t="shared" si="104"/>
        <v>3.54</v>
      </c>
      <c r="J252" s="134">
        <f t="shared" si="104"/>
        <v>3.54</v>
      </c>
      <c r="K252" s="134">
        <f t="shared" si="104"/>
        <v>3.54</v>
      </c>
      <c r="L252" s="134">
        <f t="shared" si="104"/>
        <v>3.54</v>
      </c>
      <c r="M252" s="134">
        <f t="shared" si="104"/>
        <v>3.54</v>
      </c>
      <c r="N252" s="134">
        <f t="shared" si="104"/>
        <v>3.54</v>
      </c>
      <c r="O252" s="134">
        <f t="shared" si="104"/>
        <v>3.54</v>
      </c>
      <c r="P252" s="134">
        <f t="shared" si="104"/>
        <v>3.54</v>
      </c>
      <c r="Q252" s="134">
        <f t="shared" si="104"/>
        <v>3.54</v>
      </c>
      <c r="R252" s="134">
        <f t="shared" si="104"/>
        <v>3.54</v>
      </c>
      <c r="S252" s="134">
        <f t="shared" si="104"/>
        <v>3.54</v>
      </c>
      <c r="T252" s="134">
        <f t="shared" si="104"/>
        <v>3.54</v>
      </c>
      <c r="U252" s="134">
        <f t="shared" si="104"/>
        <v>3.54</v>
      </c>
      <c r="V252" s="134">
        <f t="shared" si="104"/>
        <v>3.54</v>
      </c>
      <c r="W252" s="134">
        <f t="shared" si="104"/>
        <v>3.54</v>
      </c>
      <c r="X252" s="134">
        <f t="shared" si="104"/>
        <v>3.54</v>
      </c>
      <c r="Y252" s="134">
        <f t="shared" si="104"/>
        <v>3.54</v>
      </c>
      <c r="Z252" s="134">
        <f t="shared" si="104"/>
        <v>3.54</v>
      </c>
      <c r="AA252" s="134">
        <f t="shared" si="104"/>
        <v>3.54</v>
      </c>
      <c r="AB252" s="134">
        <f t="shared" si="104"/>
        <v>3.54</v>
      </c>
      <c r="AC252" s="134">
        <f t="shared" si="104"/>
        <v>3.54</v>
      </c>
      <c r="AD252" s="134">
        <f t="shared" si="104"/>
        <v>3.54</v>
      </c>
      <c r="AE252" s="134">
        <f t="shared" si="104"/>
        <v>3.54</v>
      </c>
      <c r="AF252" s="134">
        <f t="shared" si="104"/>
        <v>3.54</v>
      </c>
      <c r="AG252" s="143">
        <f t="shared" si="10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1791.09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1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2080/10/1)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105">B99</f>
        <v>1157.29</v>
      </c>
      <c r="U261" s="165">
        <f t="shared" si="105"/>
        <v>1199.29</v>
      </c>
      <c r="V261" s="165">
        <f t="shared" si="105"/>
        <v>1160.8899999999999</v>
      </c>
      <c r="W261" s="165">
        <f t="shared" si="105"/>
        <v>1167.69</v>
      </c>
      <c r="X261" s="165">
        <f t="shared" si="105"/>
        <v>1185.19</v>
      </c>
      <c r="Y261" s="165">
        <f t="shared" si="105"/>
        <v>1224.8899999999999</v>
      </c>
      <c r="Z261" s="165">
        <f t="shared" si="105"/>
        <v>1342.59</v>
      </c>
      <c r="AA261" s="165">
        <f t="shared" si="105"/>
        <v>1325.69</v>
      </c>
      <c r="AB261" s="165">
        <f t="shared" si="105"/>
        <v>1572.71</v>
      </c>
      <c r="AC261" s="165">
        <f t="shared" si="105"/>
        <v>1507.31</v>
      </c>
      <c r="AD261" s="165">
        <f t="shared" si="105"/>
        <v>1529.89</v>
      </c>
      <c r="AE261" s="165">
        <f t="shared" si="105"/>
        <v>1791.09</v>
      </c>
      <c r="AF261" s="165">
        <f t="shared" si="105"/>
        <v>1589.59</v>
      </c>
      <c r="AG261" s="165">
        <f t="shared" si="105"/>
        <v>1584.99</v>
      </c>
      <c r="AH261" s="165">
        <f t="shared" si="105"/>
        <v>1388.19</v>
      </c>
      <c r="AI261" s="165">
        <f t="shared" si="105"/>
        <v>1496.79</v>
      </c>
      <c r="AJ261" s="165">
        <f t="shared" si="105"/>
        <v>1479.5900000000001</v>
      </c>
      <c r="AK261" s="165">
        <f t="shared" si="105"/>
        <v>1473.0900000000001</v>
      </c>
      <c r="AL261" s="165">
        <f t="shared" si="105"/>
        <v>1504.79</v>
      </c>
      <c r="AM261" s="165">
        <f t="shared" si="105"/>
        <v>1462.49</v>
      </c>
      <c r="AN261" s="165">
        <f t="shared" si="105"/>
        <v>1331.69</v>
      </c>
      <c r="AO261" s="165">
        <f t="shared" si="105"/>
        <v>1528.69</v>
      </c>
      <c r="AP261" s="165">
        <f t="shared" si="105"/>
        <v>1707.19</v>
      </c>
      <c r="AQ261" s="165">
        <f t="shared" si="105"/>
        <v>1808.99</v>
      </c>
      <c r="AR261" s="165">
        <f t="shared" si="105"/>
        <v>1770.95</v>
      </c>
      <c r="AS261" s="165">
        <f t="shared" si="105"/>
        <v>1743.29</v>
      </c>
      <c r="AT261" s="165">
        <f t="shared" si="105"/>
        <v>1697.99</v>
      </c>
      <c r="AU261" s="165">
        <f t="shared" si="105"/>
        <v>1746.5900000000001</v>
      </c>
      <c r="AV261" s="165">
        <f t="shared" si="105"/>
        <v>1542.79</v>
      </c>
      <c r="AW261" s="165">
        <f t="shared" si="105"/>
        <v>1363.29</v>
      </c>
      <c r="AX261" s="165">
        <f t="shared" si="105"/>
        <v>1235.0900000000001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06">C251</f>
        <v>0.64</v>
      </c>
      <c r="C282" s="168">
        <f t="shared" si="106"/>
        <v>0.64</v>
      </c>
      <c r="D282" s="168">
        <f t="shared" si="106"/>
        <v>0.64</v>
      </c>
      <c r="E282" s="168">
        <f t="shared" si="106"/>
        <v>0.64</v>
      </c>
      <c r="F282" s="168">
        <f t="shared" si="106"/>
        <v>0.64</v>
      </c>
      <c r="G282" s="168">
        <f t="shared" si="106"/>
        <v>0.64</v>
      </c>
      <c r="H282" s="168">
        <f t="shared" si="106"/>
        <v>0.64</v>
      </c>
      <c r="I282" s="168">
        <f t="shared" si="106"/>
        <v>0.64</v>
      </c>
      <c r="J282" s="168">
        <f t="shared" si="106"/>
        <v>0.64</v>
      </c>
      <c r="K282" s="168">
        <f t="shared" si="106"/>
        <v>0.64</v>
      </c>
      <c r="L282" s="168">
        <f t="shared" si="106"/>
        <v>0.64</v>
      </c>
      <c r="M282" s="168">
        <f t="shared" si="106"/>
        <v>0.64</v>
      </c>
      <c r="N282" s="168">
        <f t="shared" si="106"/>
        <v>0.64</v>
      </c>
      <c r="O282" s="168">
        <f t="shared" si="106"/>
        <v>0.64</v>
      </c>
      <c r="P282" s="168">
        <f t="shared" si="106"/>
        <v>0.64</v>
      </c>
      <c r="Q282" s="168">
        <f t="shared" si="106"/>
        <v>0.64</v>
      </c>
      <c r="R282" s="168">
        <f t="shared" si="106"/>
        <v>0.64</v>
      </c>
      <c r="S282" s="168">
        <f t="shared" si="106"/>
        <v>0.64</v>
      </c>
      <c r="T282" s="168">
        <f t="shared" si="106"/>
        <v>0.64</v>
      </c>
      <c r="U282" s="168">
        <f t="shared" si="106"/>
        <v>0.64</v>
      </c>
      <c r="V282" s="168">
        <f t="shared" si="106"/>
        <v>0.64</v>
      </c>
      <c r="W282" s="168">
        <f t="shared" si="106"/>
        <v>0.64</v>
      </c>
      <c r="X282" s="168">
        <f t="shared" si="106"/>
        <v>0.64</v>
      </c>
      <c r="Y282" s="168">
        <f t="shared" si="106"/>
        <v>0.64</v>
      </c>
      <c r="Z282" s="168">
        <f t="shared" si="106"/>
        <v>0.64</v>
      </c>
      <c r="AA282" s="168">
        <f t="shared" si="106"/>
        <v>0.64</v>
      </c>
      <c r="AB282" s="168">
        <f t="shared" si="106"/>
        <v>0.64</v>
      </c>
      <c r="AC282" s="168">
        <f t="shared" si="106"/>
        <v>0.64</v>
      </c>
      <c r="AD282" s="168">
        <f t="shared" si="106"/>
        <v>0.64</v>
      </c>
      <c r="AE282" s="168">
        <f t="shared" si="10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690" priority="1">
      <formula>$AH11=0</formula>
    </cfRule>
  </conditionalFormatting>
  <conditionalFormatting sqref="A132:A253">
    <cfRule type="expression" dxfId="4689" priority="6">
      <formula>$AH132=0</formula>
    </cfRule>
  </conditionalFormatting>
  <conditionalFormatting sqref="B8 M8 S8 AB8">
    <cfRule type="expression" dxfId="4688" priority="115">
      <formula>AND(C$9&gt;=8/24,C$9&lt;14/24)</formula>
    </cfRule>
    <cfRule type="expression" dxfId="4687" priority="116">
      <formula>C$9&lt;8/24</formula>
    </cfRule>
    <cfRule type="expression" dxfId="4686" priority="114">
      <formula>AND(C$9&gt;=14/24,C$9&lt;20/24)</formula>
    </cfRule>
  </conditionalFormatting>
  <conditionalFormatting sqref="B63:I74 J64:J74 K66:K74 K69:L71 M70:X71">
    <cfRule type="expression" dxfId="4685" priority="21">
      <formula>B$9&gt;=20/24</formula>
    </cfRule>
    <cfRule type="expression" dxfId="4684" priority="22">
      <formula>AND(B$9&gt;=14/24,B$9&lt;20/24)</formula>
    </cfRule>
    <cfRule type="expression" dxfId="4683" priority="23">
      <formula>AND(B$9&gt;=8/24,B$9&lt;14/24)</formula>
    </cfRule>
    <cfRule type="expression" dxfId="4682" priority="24">
      <formula>B$9&lt;8/24</formula>
    </cfRule>
  </conditionalFormatting>
  <conditionalFormatting sqref="B56:N56 O56:AF57 N57">
    <cfRule type="expression" dxfId="4681" priority="63">
      <formula>B$9&lt;8/24</formula>
    </cfRule>
  </conditionalFormatting>
  <conditionalFormatting sqref="B9:AF52">
    <cfRule type="expression" dxfId="4680" priority="26">
      <formula>B$9&gt;=20/24</formula>
    </cfRule>
    <cfRule type="expression" dxfId="4679" priority="27">
      <formula>AND(B$9&gt;=14/24,B$9&lt;20/24)</formula>
    </cfRule>
    <cfRule type="expression" dxfId="4678" priority="28">
      <formula>AND(B$9&gt;=8/24,B$9&lt;14/24)</formula>
    </cfRule>
    <cfRule type="expression" dxfId="4677" priority="29">
      <formula>B$9&lt;8/24</formula>
    </cfRule>
  </conditionalFormatting>
  <conditionalFormatting sqref="B11:AF54">
    <cfRule type="expression" dxfId="4676" priority="15">
      <formula>B11&gt;$AG11</formula>
    </cfRule>
  </conditionalFormatting>
  <conditionalFormatting sqref="B53:AF54">
    <cfRule type="expression" dxfId="4675" priority="11">
      <formula>B$9&gt;=20/24</formula>
    </cfRule>
    <cfRule type="expression" dxfId="4674" priority="12">
      <formula>AND(B$9&gt;=14/24,B$9&lt;20/24)</formula>
    </cfRule>
    <cfRule type="expression" dxfId="4673" priority="13">
      <formula>AND(B$9&gt;=8/24,B$9&lt;14/24)</formula>
    </cfRule>
    <cfRule type="expression" dxfId="4672" priority="14">
      <formula>B$9&lt;8/24</formula>
    </cfRule>
  </conditionalFormatting>
  <conditionalFormatting sqref="B55:AF55">
    <cfRule type="expression" dxfId="4671" priority="35">
      <formula>B55&gt;$AG55</formula>
    </cfRule>
  </conditionalFormatting>
  <conditionalFormatting sqref="B55:AF57">
    <cfRule type="expression" dxfId="4670" priority="31">
      <formula>B$9&gt;=20/24</formula>
    </cfRule>
    <cfRule type="expression" dxfId="4669" priority="32">
      <formula>AND(B$9&gt;=14/24,B$9&lt;20/24)</formula>
    </cfRule>
    <cfRule type="expression" dxfId="4668" priority="33">
      <formula>AND(B$9&gt;=8/24,B$9&lt;14/24)</formula>
    </cfRule>
  </conditionalFormatting>
  <conditionalFormatting sqref="B56:AF61">
    <cfRule type="expression" dxfId="4667" priority="30">
      <formula>B56&gt;$AG56</formula>
    </cfRule>
  </conditionalFormatting>
  <conditionalFormatting sqref="B59:AF61">
    <cfRule type="expression" dxfId="4666" priority="44">
      <formula>B$9&lt;8/24</formula>
    </cfRule>
    <cfRule type="expression" dxfId="4665" priority="43">
      <formula>AND(B$9&gt;=8/24,B$9&lt;14/24)</formula>
    </cfRule>
    <cfRule type="expression" dxfId="4664" priority="42">
      <formula>AND(B$9&gt;=14/24,B$9&lt;20/24)</formula>
    </cfRule>
    <cfRule type="expression" dxfId="4663" priority="41">
      <formula>B$9&gt;=20/24</formula>
    </cfRule>
  </conditionalFormatting>
  <conditionalFormatting sqref="B63:AF74">
    <cfRule type="expression" dxfId="4662" priority="20">
      <formula>B63&gt;$AG63</formula>
    </cfRule>
  </conditionalFormatting>
  <conditionalFormatting sqref="B77:AF79">
    <cfRule type="expression" dxfId="4661" priority="46">
      <formula>B$9&gt;=20/24</formula>
    </cfRule>
    <cfRule type="expression" dxfId="4660" priority="47">
      <formula>AND(B$9&gt;=14/24,B$9&lt;20/24)</formula>
    </cfRule>
    <cfRule type="expression" dxfId="4659" priority="48">
      <formula>AND(B$9&gt;=8/24,B$9&lt;14/24)</formula>
    </cfRule>
    <cfRule type="expression" dxfId="4658" priority="49">
      <formula>B$9&lt;8/24</formula>
    </cfRule>
    <cfRule type="expression" dxfId="4657" priority="45">
      <formula>B77&gt;$AG77</formula>
    </cfRule>
  </conditionalFormatting>
  <conditionalFormatting sqref="B81:AF99">
    <cfRule type="expression" dxfId="4656" priority="18">
      <formula>AND(B$9&gt;=8/24,B$9&lt;14/24)</formula>
    </cfRule>
    <cfRule type="expression" dxfId="4655" priority="16">
      <formula>B$9&gt;=20/24</formula>
    </cfRule>
    <cfRule type="expression" dxfId="4654" priority="19">
      <formula>B$9&lt;8/24</formula>
    </cfRule>
    <cfRule type="expression" dxfId="4653" priority="17">
      <formula>AND(B$9&gt;=14/24,B$9&lt;20/24)</formula>
    </cfRule>
  </conditionalFormatting>
  <conditionalFormatting sqref="B101:AF117">
    <cfRule type="expression" dxfId="4652" priority="9">
      <formula>AND(B$9&gt;=8/24,B$9&lt;14/24)</formula>
    </cfRule>
    <cfRule type="expression" dxfId="4651" priority="10">
      <formula>B$9&lt;8/24</formula>
    </cfRule>
    <cfRule type="expression" dxfId="4650" priority="8">
      <formula>AND(B$9&gt;=14/24,B$9&lt;20/24)</formula>
    </cfRule>
    <cfRule type="expression" dxfId="4649" priority="7">
      <formula>B$9&gt;=20/24</formula>
    </cfRule>
  </conditionalFormatting>
  <conditionalFormatting sqref="B119:AF137">
    <cfRule type="expression" dxfId="4648" priority="2">
      <formula>B$9&gt;=20/24</formula>
    </cfRule>
    <cfRule type="expression" dxfId="4647" priority="3">
      <formula>AND(B$9&gt;=14/24,B$9&lt;20/24)</formula>
    </cfRule>
    <cfRule type="expression" dxfId="4646" priority="4">
      <formula>AND(B$9&gt;=8/24,B$9&lt;14/24)</formula>
    </cfRule>
    <cfRule type="expression" dxfId="4645" priority="5">
      <formula>B$9&lt;8/24</formula>
    </cfRule>
  </conditionalFormatting>
  <conditionalFormatting sqref="B244:AF244 B246:B252 D246:AF252 U260:AF260">
    <cfRule type="expression" dxfId="4644" priority="110">
      <formula>B$9&lt;8/24</formula>
    </cfRule>
    <cfRule type="expression" dxfId="4643" priority="109">
      <formula>AND(B$9&gt;=8/24,B$9&lt;14/24)</formula>
    </cfRule>
    <cfRule type="expression" dxfId="4642" priority="107">
      <formula>B$9&gt;=20/24</formula>
    </cfRule>
    <cfRule type="expression" dxfId="4641" priority="108">
      <formula>AND(B$9&gt;=14/24,B$9&lt;20/24)</formula>
    </cfRule>
  </conditionalFormatting>
  <conditionalFormatting sqref="B62:AG62">
    <cfRule type="expression" dxfId="4640" priority="50">
      <formula>B62&gt;$AG62</formula>
    </cfRule>
    <cfRule type="expression" dxfId="4639" priority="51">
      <formula>B$9&gt;=20/24</formula>
    </cfRule>
    <cfRule type="expression" dxfId="4638" priority="52">
      <formula>AND(B$9&gt;=14/24,B$9&lt;20/24)</formula>
    </cfRule>
    <cfRule type="expression" dxfId="4637" priority="53">
      <formula>AND(B$9&gt;=8/24,B$9&lt;14/24)</formula>
    </cfRule>
    <cfRule type="expression" dxfId="4636" priority="54">
      <formula>B$9&lt;8/24</formula>
    </cfRule>
  </conditionalFormatting>
  <conditionalFormatting sqref="B75:AG76 B80:AG80">
    <cfRule type="expression" dxfId="4635" priority="36">
      <formula>B75&gt;$AG75</formula>
    </cfRule>
  </conditionalFormatting>
  <conditionalFormatting sqref="B80:AG80">
    <cfRule type="expression" dxfId="4634" priority="39">
      <formula>AND(B$9&gt;=8/24,B$9&lt;14/24)</formula>
    </cfRule>
    <cfRule type="expression" dxfId="4633" priority="40">
      <formula>B$9&lt;8/24</formula>
    </cfRule>
    <cfRule type="expression" dxfId="4632" priority="37">
      <formula>B$9&gt;=20/24</formula>
    </cfRule>
    <cfRule type="expression" dxfId="4631" priority="38">
      <formula>AND(B$9&gt;=14/24,B$9&lt;20/24)</formula>
    </cfRule>
  </conditionalFormatting>
  <conditionalFormatting sqref="J63:L65">
    <cfRule type="expression" dxfId="4630" priority="91">
      <formula>J$9&lt;8/24</formula>
    </cfRule>
    <cfRule type="expression" dxfId="4629" priority="90">
      <formula>AND(J$9&gt;=8/24,J$9&lt;14/24)</formula>
    </cfRule>
    <cfRule type="expression" dxfId="4628" priority="89">
      <formula>AND(J$9&gt;=14/24,J$9&lt;20/24)</formula>
    </cfRule>
    <cfRule type="expression" dxfId="4627" priority="88">
      <formula>J$9&gt;=20/24</formula>
    </cfRule>
  </conditionalFormatting>
  <conditionalFormatting sqref="J68:X68">
    <cfRule type="expression" dxfId="4626" priority="67">
      <formula>AND(J$9&gt;=8/24,J$9&lt;14/24)</formula>
    </cfRule>
    <cfRule type="expression" dxfId="4625" priority="68">
      <formula>J$9&lt;8/24</formula>
    </cfRule>
    <cfRule type="expression" dxfId="4624" priority="65">
      <formula>J$9&gt;=20/24</formula>
    </cfRule>
    <cfRule type="expression" dxfId="4623" priority="66">
      <formula>AND(J$9&gt;=14/24,J$9&lt;20/24)</formula>
    </cfRule>
  </conditionalFormatting>
  <conditionalFormatting sqref="J69:AF74">
    <cfRule type="expression" dxfId="4622" priority="55">
      <formula>J$9&gt;=20/24</formula>
    </cfRule>
    <cfRule type="expression" dxfId="4621" priority="57">
      <formula>AND(J$9&gt;=8/24,J$9&lt;14/24)</formula>
    </cfRule>
    <cfRule type="expression" dxfId="4620" priority="58">
      <formula>J$9&lt;8/24</formula>
    </cfRule>
    <cfRule type="expression" dxfId="4619" priority="56">
      <formula>AND(J$9&gt;=14/24,J$9&lt;20/24)</formula>
    </cfRule>
  </conditionalFormatting>
  <conditionalFormatting sqref="M63:X67">
    <cfRule type="expression" dxfId="4618" priority="95">
      <formula>M$9&lt;8/24</formula>
    </cfRule>
    <cfRule type="expression" dxfId="4617" priority="92">
      <formula>M$9&gt;=20/24</formula>
    </cfRule>
    <cfRule type="expression" dxfId="4616" priority="93">
      <formula>AND(M$9&gt;=14/24,M$9&lt;20/24)</formula>
    </cfRule>
    <cfRule type="expression" dxfId="4615" priority="94">
      <formula>AND(M$9&gt;=8/24,M$9&lt;14/24)</formula>
    </cfRule>
  </conditionalFormatting>
  <conditionalFormatting sqref="N55:AF56 B55:M57">
    <cfRule type="expression" dxfId="4614" priority="34">
      <formula>B$9&lt;8/24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613" priority="113">
      <formula>C$9&gt;=20/24</formula>
    </cfRule>
  </conditionalFormatting>
  <conditionalFormatting sqref="S8">
    <cfRule type="expression" dxfId="4612" priority="102">
      <formula>AND(U$9&gt;=8/24,U$9&lt;14/24)</formula>
    </cfRule>
    <cfRule type="expression" dxfId="4611" priority="103">
      <formula>U$9&lt;8/24</formula>
    </cfRule>
    <cfRule type="expression" dxfId="4610" priority="100">
      <formula>U$9&gt;=20/24</formula>
    </cfRule>
    <cfRule type="expression" dxfId="4609" priority="101">
      <formula>AND(U$9&gt;=14/24,U$9&lt;20/24)</formula>
    </cfRule>
  </conditionalFormatting>
  <conditionalFormatting sqref="S63:AF68">
    <cfRule type="expression" dxfId="4608" priority="62">
      <formula>S$9&lt;8/24</formula>
    </cfRule>
    <cfRule type="expression" dxfId="4607" priority="61">
      <formula>AND(S$9&gt;=8/24,S$9&lt;14/24)</formula>
    </cfRule>
    <cfRule type="expression" dxfId="4606" priority="60">
      <formula>AND(S$9&gt;=14/24,S$9&lt;20/24)</formula>
    </cfRule>
    <cfRule type="expression" dxfId="4605" priority="59">
      <formula>S$9&gt;=20/24</formula>
    </cfRule>
  </conditionalFormatting>
  <conditionalFormatting sqref="T260">
    <cfRule type="expression" dxfId="4604" priority="128">
      <formula>AX$9&lt;8/24</formula>
    </cfRule>
    <cfRule type="expression" dxfId="4603" priority="125">
      <formula>AX$9&gt;=20/24</formula>
    </cfRule>
    <cfRule type="expression" dxfId="4602" priority="126">
      <formula>AND(AX$9&gt;=14/24,AX$9&lt;20/24)</formula>
    </cfRule>
    <cfRule type="expression" dxfId="4601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600" priority="96">
      <formula>AD$9&gt;=20/24</formula>
    </cfRule>
    <cfRule type="expression" dxfId="4599" priority="97">
      <formula>AND(AD$9&gt;=14/24,AD$9&lt;20/24)</formula>
    </cfRule>
    <cfRule type="expression" dxfId="4598" priority="98">
      <formula>AND(AD$9&gt;=8/24,AD$9&lt;14/24)</formula>
    </cfRule>
    <cfRule type="expression" dxfId="4597" priority="99">
      <formula>AD$9&lt;8/24</formula>
    </cfRule>
  </conditionalFormatting>
  <conditionalFormatting sqref="AG58">
    <cfRule type="expression" dxfId="4596" priority="83">
      <formula>AG58&gt;$AG58</formula>
    </cfRule>
  </conditionalFormatting>
  <conditionalFormatting sqref="AG97">
    <cfRule type="expression" dxfId="4595" priority="84">
      <formula>AG$9&gt;=20/24</formula>
    </cfRule>
    <cfRule type="expression" dxfId="4594" priority="86">
      <formula>AND(AG$9&gt;=8/24,AG$9&lt;14/24)</formula>
    </cfRule>
    <cfRule type="expression" dxfId="4593" priority="85">
      <formula>AND(AG$9&gt;=14/24,AG$9&lt;20/24)</formula>
    </cfRule>
    <cfRule type="expression" dxfId="4592" priority="87">
      <formula>AG$9&lt;8/24</formula>
    </cfRule>
  </conditionalFormatting>
  <conditionalFormatting sqref="AG260">
    <cfRule type="expression" dxfId="4591" priority="118">
      <formula>AND(B$9&gt;=14/24,B$9&lt;20/24)</formula>
    </cfRule>
    <cfRule type="expression" dxfId="4590" priority="120">
      <formula>B$9&lt;8/24</formula>
    </cfRule>
    <cfRule type="expression" dxfId="4589" priority="119">
      <formula>AND(B$9&gt;=8/24,B$9&lt;14/24)</formula>
    </cfRule>
    <cfRule type="expression" dxfId="4588" priority="117">
      <formula>B$9&gt;=20/24</formula>
    </cfRule>
  </conditionalFormatting>
  <conditionalFormatting sqref="AH260:AX260">
    <cfRule type="expression" dxfId="4587" priority="121">
      <formula>AG$9&gt;=20/24</formula>
    </cfRule>
    <cfRule type="expression" dxfId="4586" priority="122">
      <formula>AND(AG$9&gt;=14/24,AG$9&lt;20/24)</formula>
    </cfRule>
    <cfRule type="expression" dxfId="4585" priority="123">
      <formula>AND(AG$9&gt;=8/24,AG$9&lt;14/24)</formula>
    </cfRule>
    <cfRule type="expression" dxfId="4584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583" priority="130">
      <formula>AJ$9&gt;=20/24</formula>
    </cfRule>
    <cfRule type="expression" dxfId="4582" priority="131">
      <formula>AND(AJ$9&gt;=14/24,AJ$9&lt;20/24)</formula>
    </cfRule>
    <cfRule type="expression" dxfId="4581" priority="132">
      <formula>AND(AJ$9&gt;=8/24,AJ$9&lt;14/24)</formula>
    </cfRule>
    <cfRule type="expression" dxfId="4580" priority="133">
      <formula>AJ$9&lt;8/24</formula>
    </cfRule>
  </conditionalFormatting>
  <conditionalFormatting sqref="AL88:AN88 AL94:AN94">
    <cfRule type="expression" dxfId="4579" priority="79">
      <formula>AL$9&lt;8/24</formula>
    </cfRule>
    <cfRule type="expression" dxfId="4578" priority="77">
      <formula>AND(AL$9&gt;=14/24,AL$9&lt;20/24)</formula>
    </cfRule>
    <cfRule type="expression" dxfId="4577" priority="76">
      <formula>AL$9&gt;=20/24</formula>
    </cfRule>
    <cfRule type="expression" dxfId="4576" priority="78">
      <formula>AND(AL$9&gt;=8/24,AL$9&lt;14/24)</formula>
    </cfRule>
  </conditionalFormatting>
  <conditionalFormatting sqref="AN89:AN92">
    <cfRule type="expression" dxfId="4575" priority="75">
      <formula>AN$9&lt;8/24</formula>
    </cfRule>
    <cfRule type="expression" dxfId="4574" priority="74">
      <formula>AND(AN$9&gt;=8/24,AN$9&lt;14/24)</formula>
    </cfRule>
    <cfRule type="expression" dxfId="4573" priority="73">
      <formula>AND(AN$9&gt;=14/24,AN$9&lt;20/24)</formula>
    </cfRule>
    <cfRule type="expression" dxfId="4572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6B1B-D8B8-4222-A80D-6A448017EAE6}">
  <dimension ref="A1:CJ293"/>
  <sheetViews>
    <sheetView zoomScale="106" workbookViewId="0">
      <pane xSplit="1" ySplit="10" topLeftCell="B11" activePane="bottomRight" state="frozen"/>
      <selection activeCell="Z63" sqref="Z63"/>
      <selection pane="topRight" activeCell="Z63" sqref="Z63"/>
      <selection pane="bottomLeft" activeCell="Z63" sqref="Z63"/>
      <selection pane="bottomRight" activeCell="B7" sqref="B7:AF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11" style="1" customWidth="1"/>
    <col min="12" max="12" width="6" style="1" bestFit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2080/10/2</v>
      </c>
      <c r="C4" s="272"/>
      <c r="D4" s="272"/>
      <c r="E4" s="273" t="str">
        <f ca="1">"2080/"&amp;"10/"&amp;INT(MID(CELL("filename",G6),FIND("]",CELL("filename",G6))+1,200))</f>
        <v>2080/10/2</v>
      </c>
      <c r="F4" s="273"/>
      <c r="G4" s="273"/>
      <c r="H4" s="273" t="str">
        <f ca="1">TEXT(E4,"dddd")</f>
        <v>Wednesday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590.1</v>
      </c>
      <c r="C5" s="30">
        <f t="shared" si="0"/>
        <v>546.70000000000005</v>
      </c>
      <c r="D5" s="30">
        <f t="shared" si="0"/>
        <v>547.29999999999995</v>
      </c>
      <c r="E5" s="30">
        <f t="shared" si="0"/>
        <v>566.30000000000007</v>
      </c>
      <c r="F5" s="30">
        <f t="shared" si="0"/>
        <v>624.9</v>
      </c>
      <c r="G5" s="30">
        <f t="shared" si="0"/>
        <v>609.20000000000005</v>
      </c>
      <c r="H5" s="30">
        <f t="shared" si="0"/>
        <v>635</v>
      </c>
      <c r="I5" s="30">
        <f t="shared" si="0"/>
        <v>595.29999999999995</v>
      </c>
      <c r="J5" s="30">
        <f t="shared" si="0"/>
        <v>479.99999999999994</v>
      </c>
      <c r="K5" s="30">
        <f t="shared" si="0"/>
        <v>435.4</v>
      </c>
      <c r="L5" s="30">
        <f t="shared" si="0"/>
        <v>350.5</v>
      </c>
      <c r="M5" s="30">
        <f t="shared" si="0"/>
        <v>476.90000000000009</v>
      </c>
      <c r="N5" s="30">
        <f t="shared" si="0"/>
        <v>540.9</v>
      </c>
      <c r="O5" s="30">
        <f t="shared" si="0"/>
        <v>519.5</v>
      </c>
      <c r="P5" s="30">
        <f t="shared" si="0"/>
        <v>724.8</v>
      </c>
      <c r="Q5" s="30">
        <f t="shared" si="0"/>
        <v>721.4</v>
      </c>
      <c r="R5" s="30">
        <f t="shared" si="0"/>
        <v>722.5</v>
      </c>
      <c r="S5" s="30">
        <f t="shared" si="0"/>
        <v>813.5</v>
      </c>
      <c r="T5" s="30">
        <f t="shared" si="0"/>
        <v>720</v>
      </c>
      <c r="U5" s="30">
        <f t="shared" si="0"/>
        <v>572.70000000000005</v>
      </c>
      <c r="V5" s="30">
        <f t="shared" si="0"/>
        <v>584.6</v>
      </c>
      <c r="W5" s="30">
        <f t="shared" si="0"/>
        <v>587.5</v>
      </c>
      <c r="X5" s="30">
        <f t="shared" si="0"/>
        <v>618.1</v>
      </c>
      <c r="Y5" s="30">
        <f t="shared" si="0"/>
        <v>537.79999999999995</v>
      </c>
      <c r="Z5" s="30">
        <f t="shared" si="0"/>
        <v>552.4</v>
      </c>
      <c r="AA5" s="30">
        <f t="shared" si="0"/>
        <v>539.30000000000007</v>
      </c>
      <c r="AB5" s="30">
        <f t="shared" si="0"/>
        <v>563.79999999999995</v>
      </c>
      <c r="AC5" s="30">
        <f t="shared" si="0"/>
        <v>588.29999999999995</v>
      </c>
      <c r="AD5" s="30">
        <f t="shared" si="0"/>
        <v>678.1</v>
      </c>
      <c r="AE5" s="30">
        <f t="shared" si="0"/>
        <v>663.1</v>
      </c>
      <c r="AF5" s="30">
        <f>B92</f>
        <v>555.6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1796MW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Load=1150</v>
      </c>
      <c r="B7" s="35">
        <f>B100</f>
        <v>1190.79</v>
      </c>
      <c r="C7" s="35">
        <f t="shared" ref="C7:AF7" si="1">C100</f>
        <v>1194.69</v>
      </c>
      <c r="D7" s="35">
        <f t="shared" si="1"/>
        <v>1151.29</v>
      </c>
      <c r="E7" s="35">
        <f t="shared" si="1"/>
        <v>1149.8899999999999</v>
      </c>
      <c r="F7" s="35">
        <f t="shared" si="1"/>
        <v>1168.69</v>
      </c>
      <c r="G7" s="35">
        <f t="shared" si="1"/>
        <v>1266.5900000000001</v>
      </c>
      <c r="H7" s="35">
        <f t="shared" si="1"/>
        <v>1340.39</v>
      </c>
      <c r="I7" s="35">
        <f t="shared" si="1"/>
        <v>1433.79</v>
      </c>
      <c r="J7" s="35">
        <f t="shared" si="1"/>
        <v>1588.8899999999999</v>
      </c>
      <c r="K7" s="35">
        <f t="shared" si="1"/>
        <v>1719.8899999999999</v>
      </c>
      <c r="L7" s="35">
        <f t="shared" si="1"/>
        <v>1795.79</v>
      </c>
      <c r="M7" s="35">
        <f t="shared" si="1"/>
        <v>1717.59</v>
      </c>
      <c r="N7" s="35">
        <f t="shared" si="1"/>
        <v>1704.09</v>
      </c>
      <c r="O7" s="35">
        <f t="shared" si="1"/>
        <v>1650.79</v>
      </c>
      <c r="P7" s="35">
        <f t="shared" si="1"/>
        <v>1577.19</v>
      </c>
      <c r="Q7" s="35">
        <f t="shared" si="1"/>
        <v>1558.19</v>
      </c>
      <c r="R7" s="35">
        <f t="shared" si="1"/>
        <v>1565.99</v>
      </c>
      <c r="S7" s="35">
        <f t="shared" si="1"/>
        <v>1525.5900000000001</v>
      </c>
      <c r="T7" s="35">
        <f t="shared" si="1"/>
        <v>1601.5900000000001</v>
      </c>
      <c r="U7" s="35">
        <f t="shared" si="1"/>
        <v>1503.5900000000001</v>
      </c>
      <c r="V7" s="35">
        <f t="shared" si="1"/>
        <v>1307.49</v>
      </c>
      <c r="W7" s="35">
        <f t="shared" si="1"/>
        <v>1513.99</v>
      </c>
      <c r="X7" s="35">
        <f t="shared" si="1"/>
        <v>1672.8899999999999</v>
      </c>
      <c r="Y7" s="35">
        <f t="shared" si="1"/>
        <v>1847.19</v>
      </c>
      <c r="Z7" s="35">
        <f t="shared" si="1"/>
        <v>1803.85</v>
      </c>
      <c r="AA7" s="35">
        <f t="shared" si="1"/>
        <v>1728.0900000000001</v>
      </c>
      <c r="AB7" s="35">
        <f t="shared" si="1"/>
        <v>1683.5900000000001</v>
      </c>
      <c r="AC7" s="35">
        <f t="shared" si="1"/>
        <v>1649.79</v>
      </c>
      <c r="AD7" s="35">
        <f t="shared" si="1"/>
        <v>1353.99</v>
      </c>
      <c r="AE7" s="35">
        <f t="shared" si="1"/>
        <v>1355.69</v>
      </c>
      <c r="AF7" s="35">
        <f t="shared" si="1"/>
        <v>1268.99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28.3</v>
      </c>
      <c r="C11" s="45">
        <v>28.3</v>
      </c>
      <c r="D11" s="45">
        <v>28.3</v>
      </c>
      <c r="E11" s="45">
        <v>28.3</v>
      </c>
      <c r="F11" s="45">
        <v>28.3</v>
      </c>
      <c r="G11" s="45">
        <v>28.3</v>
      </c>
      <c r="H11" s="45">
        <v>28.3</v>
      </c>
      <c r="I11" s="45">
        <v>28.3</v>
      </c>
      <c r="J11" s="45">
        <v>28.3</v>
      </c>
      <c r="K11" s="45">
        <v>28.3</v>
      </c>
      <c r="L11" s="45">
        <v>28.3</v>
      </c>
      <c r="M11" s="45">
        <v>28.3</v>
      </c>
      <c r="N11" s="45">
        <v>28.3</v>
      </c>
      <c r="O11" s="45">
        <v>28.3</v>
      </c>
      <c r="P11" s="45">
        <v>28.3</v>
      </c>
      <c r="Q11" s="45">
        <v>28.3</v>
      </c>
      <c r="R11" s="45">
        <v>28.3</v>
      </c>
      <c r="S11" s="45">
        <v>28.3</v>
      </c>
      <c r="T11" s="45">
        <v>28.3</v>
      </c>
      <c r="U11" s="45">
        <v>28.3</v>
      </c>
      <c r="V11" s="45">
        <v>28.3</v>
      </c>
      <c r="W11" s="45">
        <v>28.3</v>
      </c>
      <c r="X11" s="45">
        <v>28</v>
      </c>
      <c r="Y11" s="45">
        <v>28</v>
      </c>
      <c r="Z11" s="45">
        <v>28</v>
      </c>
      <c r="AA11" s="45">
        <v>28</v>
      </c>
      <c r="AB11" s="45">
        <v>28.4</v>
      </c>
      <c r="AC11" s="45">
        <v>29.1</v>
      </c>
      <c r="AD11" s="45">
        <v>29.1</v>
      </c>
      <c r="AE11" s="45">
        <v>29.1</v>
      </c>
      <c r="AF11" s="45">
        <v>29.8</v>
      </c>
      <c r="AG11" s="46">
        <v>86</v>
      </c>
      <c r="AH11" s="47">
        <f t="shared" ref="AH11:AH84" si="2">MAX(B11:AF11)</f>
        <v>29.8</v>
      </c>
      <c r="AI11" s="48">
        <f t="shared" ref="AI11:AI84" si="3">MIN(B11:AF11)</f>
        <v>28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10.3</v>
      </c>
      <c r="C13" s="45">
        <v>10.3</v>
      </c>
      <c r="D13" s="45">
        <v>10.3</v>
      </c>
      <c r="E13" s="45">
        <v>10.3</v>
      </c>
      <c r="F13" s="45">
        <v>10.3</v>
      </c>
      <c r="G13" s="45">
        <v>10.3</v>
      </c>
      <c r="H13" s="45">
        <v>10.3</v>
      </c>
      <c r="I13" s="45">
        <v>10.3</v>
      </c>
      <c r="J13" s="45">
        <v>10.3</v>
      </c>
      <c r="K13" s="45">
        <v>10.3</v>
      </c>
      <c r="L13" s="45">
        <v>10.3</v>
      </c>
      <c r="M13" s="45">
        <v>10.3</v>
      </c>
      <c r="N13" s="45">
        <v>10.3</v>
      </c>
      <c r="O13" s="45">
        <v>10.3</v>
      </c>
      <c r="P13" s="45">
        <v>10.3</v>
      </c>
      <c r="Q13" s="45">
        <v>10.3</v>
      </c>
      <c r="R13" s="45">
        <v>10.3</v>
      </c>
      <c r="S13" s="45">
        <v>10.3</v>
      </c>
      <c r="T13" s="45">
        <v>10.3</v>
      </c>
      <c r="U13" s="45">
        <v>10.3</v>
      </c>
      <c r="V13" s="45">
        <v>10.3</v>
      </c>
      <c r="W13" s="45">
        <v>10.3</v>
      </c>
      <c r="X13" s="45">
        <v>10.3</v>
      </c>
      <c r="Y13" s="45">
        <v>10.3</v>
      </c>
      <c r="Z13" s="45">
        <v>10.3</v>
      </c>
      <c r="AA13" s="45">
        <v>10.3</v>
      </c>
      <c r="AB13" s="45">
        <v>10.3</v>
      </c>
      <c r="AC13" s="45">
        <v>10.3</v>
      </c>
      <c r="AD13" s="45">
        <v>10.3</v>
      </c>
      <c r="AE13" s="45">
        <v>10.3</v>
      </c>
      <c r="AF13" s="45">
        <v>10.3</v>
      </c>
      <c r="AG13" s="49">
        <v>54</v>
      </c>
      <c r="AH13" s="47">
        <f t="shared" si="2"/>
        <v>10.3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15.3</v>
      </c>
      <c r="C14" s="45">
        <v>15.3</v>
      </c>
      <c r="D14" s="45">
        <v>15.3</v>
      </c>
      <c r="E14" s="45">
        <v>15.3</v>
      </c>
      <c r="F14" s="45">
        <v>15.3</v>
      </c>
      <c r="G14" s="45">
        <v>15.3</v>
      </c>
      <c r="H14" s="45">
        <v>15.3</v>
      </c>
      <c r="I14" s="45">
        <v>15.3</v>
      </c>
      <c r="J14" s="45">
        <v>15.3</v>
      </c>
      <c r="K14" s="45">
        <v>15.3</v>
      </c>
      <c r="L14" s="45">
        <v>15.3</v>
      </c>
      <c r="M14" s="45">
        <v>15.3</v>
      </c>
      <c r="N14" s="45">
        <v>15.3</v>
      </c>
      <c r="O14" s="45">
        <v>15.3</v>
      </c>
      <c r="P14" s="45">
        <v>15.3</v>
      </c>
      <c r="Q14" s="45">
        <v>15.3</v>
      </c>
      <c r="R14" s="45">
        <v>15.3</v>
      </c>
      <c r="S14" s="45">
        <v>15.3</v>
      </c>
      <c r="T14" s="45">
        <v>15.3</v>
      </c>
      <c r="U14" s="45">
        <v>15.3</v>
      </c>
      <c r="V14" s="45">
        <v>15.3</v>
      </c>
      <c r="W14" s="45">
        <v>15.3</v>
      </c>
      <c r="X14" s="45">
        <v>15.3</v>
      </c>
      <c r="Y14" s="45">
        <v>15.3</v>
      </c>
      <c r="Z14" s="45">
        <v>15.3</v>
      </c>
      <c r="AA14" s="45">
        <v>15.3</v>
      </c>
      <c r="AB14" s="45">
        <v>15.3</v>
      </c>
      <c r="AC14" s="45">
        <v>15.3</v>
      </c>
      <c r="AD14" s="45">
        <v>15.3</v>
      </c>
      <c r="AE14" s="45">
        <v>16.5</v>
      </c>
      <c r="AF14" s="45">
        <v>16.5</v>
      </c>
      <c r="AG14" s="46">
        <v>52.4</v>
      </c>
      <c r="AH14" s="47">
        <f t="shared" si="2"/>
        <v>16.5</v>
      </c>
      <c r="AI14" s="48">
        <f t="shared" si="3"/>
        <v>15.3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29.1</v>
      </c>
      <c r="C15" s="45">
        <v>29.1</v>
      </c>
      <c r="D15" s="45">
        <v>29.1</v>
      </c>
      <c r="E15" s="45">
        <v>29.1</v>
      </c>
      <c r="F15" s="45">
        <v>29.1</v>
      </c>
      <c r="G15" s="45">
        <v>29.1</v>
      </c>
      <c r="H15" s="45">
        <v>29.1</v>
      </c>
      <c r="I15" s="45">
        <v>29.1</v>
      </c>
      <c r="J15" s="45">
        <v>29.1</v>
      </c>
      <c r="K15" s="45">
        <v>29.1</v>
      </c>
      <c r="L15" s="45">
        <v>29.1</v>
      </c>
      <c r="M15" s="45">
        <v>29.1</v>
      </c>
      <c r="N15" s="45">
        <v>29.1</v>
      </c>
      <c r="O15" s="45">
        <v>29.1</v>
      </c>
      <c r="P15" s="45">
        <v>29.1</v>
      </c>
      <c r="Q15" s="45">
        <v>29.1</v>
      </c>
      <c r="R15" s="45">
        <v>29.1</v>
      </c>
      <c r="S15" s="45">
        <v>29.1</v>
      </c>
      <c r="T15" s="45">
        <v>29.1</v>
      </c>
      <c r="U15" s="45">
        <v>29.1</v>
      </c>
      <c r="V15" s="45">
        <v>29.1</v>
      </c>
      <c r="W15" s="45">
        <v>29.1</v>
      </c>
      <c r="X15" s="45">
        <v>29.1</v>
      </c>
      <c r="Y15" s="45">
        <v>29.1</v>
      </c>
      <c r="Z15" s="45">
        <v>29.1</v>
      </c>
      <c r="AA15" s="45">
        <v>29.1</v>
      </c>
      <c r="AB15" s="45">
        <v>29.1</v>
      </c>
      <c r="AC15" s="45">
        <v>29.1</v>
      </c>
      <c r="AD15" s="45">
        <v>29.1</v>
      </c>
      <c r="AE15" s="45">
        <v>29.1</v>
      </c>
      <c r="AF15" s="45">
        <v>29.1</v>
      </c>
      <c r="AG15" s="49">
        <v>50</v>
      </c>
      <c r="AH15" s="47">
        <f t="shared" si="2"/>
        <v>29.1</v>
      </c>
      <c r="AI15" s="48">
        <f t="shared" si="3"/>
        <v>29.1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16.600000000000001</v>
      </c>
      <c r="C16" s="45">
        <v>16.600000000000001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16.600000000000001</v>
      </c>
      <c r="AC16" s="45">
        <v>16.600000000000001</v>
      </c>
      <c r="AD16" s="45">
        <v>16.600000000000001</v>
      </c>
      <c r="AE16" s="45">
        <v>17.3</v>
      </c>
      <c r="AF16" s="45">
        <v>17.3</v>
      </c>
      <c r="AG16" s="49">
        <v>45</v>
      </c>
      <c r="AH16" s="47">
        <f t="shared" si="2"/>
        <v>17.3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7</v>
      </c>
      <c r="Y18" s="45">
        <v>7</v>
      </c>
      <c r="Z18" s="45">
        <v>7</v>
      </c>
      <c r="AA18" s="45">
        <v>7</v>
      </c>
      <c r="AB18" s="45">
        <v>7</v>
      </c>
      <c r="AC18" s="45">
        <v>7</v>
      </c>
      <c r="AD18" s="45">
        <v>7</v>
      </c>
      <c r="AE18" s="45">
        <v>7</v>
      </c>
      <c r="AF18" s="45">
        <v>7</v>
      </c>
      <c r="AG18" s="49">
        <v>42</v>
      </c>
      <c r="AH18" s="47">
        <f t="shared" si="2"/>
        <v>8</v>
      </c>
      <c r="AI18" s="48">
        <f t="shared" si="3"/>
        <v>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8.8000000000000007</v>
      </c>
      <c r="C22" s="45">
        <v>8.8000000000000007</v>
      </c>
      <c r="D22" s="45">
        <v>8.8000000000000007</v>
      </c>
      <c r="E22" s="45">
        <v>8.8000000000000007</v>
      </c>
      <c r="F22" s="45">
        <v>8.8000000000000007</v>
      </c>
      <c r="G22" s="45">
        <v>8.8000000000000007</v>
      </c>
      <c r="H22" s="45">
        <v>8.8000000000000007</v>
      </c>
      <c r="I22" s="45">
        <v>8.8000000000000007</v>
      </c>
      <c r="J22" s="45">
        <v>8.8000000000000007</v>
      </c>
      <c r="K22" s="45">
        <v>8.8000000000000007</v>
      </c>
      <c r="L22" s="45">
        <v>8.8000000000000007</v>
      </c>
      <c r="M22" s="45">
        <v>8.8000000000000007</v>
      </c>
      <c r="N22" s="45">
        <v>8.8000000000000007</v>
      </c>
      <c r="O22" s="45">
        <v>8.8000000000000007</v>
      </c>
      <c r="P22" s="45">
        <v>8.8000000000000007</v>
      </c>
      <c r="Q22" s="45">
        <v>8.8000000000000007</v>
      </c>
      <c r="R22" s="45">
        <v>8.8000000000000007</v>
      </c>
      <c r="S22" s="45">
        <v>8.8000000000000007</v>
      </c>
      <c r="T22" s="45">
        <v>8.8000000000000007</v>
      </c>
      <c r="U22" s="45">
        <v>8.8000000000000007</v>
      </c>
      <c r="V22" s="45">
        <v>8.8000000000000007</v>
      </c>
      <c r="W22" s="45">
        <v>8.8000000000000007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8.8000000000000007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8.6999999999999993</v>
      </c>
      <c r="AF24" s="45">
        <v>8.6999999999999993</v>
      </c>
      <c r="AG24" s="49">
        <v>28</v>
      </c>
      <c r="AH24" s="47">
        <f t="shared" si="2"/>
        <v>8.6999999999999993</v>
      </c>
      <c r="AI24" s="48">
        <f t="shared" si="3"/>
        <v>7.2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6.7</v>
      </c>
      <c r="C25" s="45">
        <v>6.7</v>
      </c>
      <c r="D25" s="45">
        <v>6.7</v>
      </c>
      <c r="E25" s="45">
        <v>6.7</v>
      </c>
      <c r="F25" s="45">
        <v>6.7</v>
      </c>
      <c r="G25" s="45">
        <v>6.7</v>
      </c>
      <c r="H25" s="45">
        <v>6.7</v>
      </c>
      <c r="I25" s="45">
        <v>6.7</v>
      </c>
      <c r="J25" s="45">
        <v>6.7</v>
      </c>
      <c r="K25" s="45">
        <v>6.7</v>
      </c>
      <c r="L25" s="45">
        <v>6.7</v>
      </c>
      <c r="M25" s="45">
        <v>6.7</v>
      </c>
      <c r="N25" s="45">
        <v>6.7</v>
      </c>
      <c r="O25" s="45">
        <v>6.7</v>
      </c>
      <c r="P25" s="45">
        <v>6.7</v>
      </c>
      <c r="Q25" s="45">
        <v>6.7</v>
      </c>
      <c r="R25" s="45">
        <v>6.7</v>
      </c>
      <c r="S25" s="45">
        <v>6.7</v>
      </c>
      <c r="T25" s="45">
        <v>6.7</v>
      </c>
      <c r="U25" s="45">
        <v>6.7</v>
      </c>
      <c r="V25" s="45">
        <v>6.7</v>
      </c>
      <c r="W25" s="45">
        <v>6.7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6.4</v>
      </c>
      <c r="AF25" s="45">
        <v>6.4</v>
      </c>
      <c r="AG25" s="52">
        <v>30</v>
      </c>
      <c r="AH25" s="47">
        <f t="shared" si="2"/>
        <v>7</v>
      </c>
      <c r="AI25" s="48">
        <f t="shared" si="3"/>
        <v>6.4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8.1999999999999993</v>
      </c>
      <c r="C26" s="45">
        <v>8.1999999999999993</v>
      </c>
      <c r="D26" s="45">
        <v>8.1999999999999993</v>
      </c>
      <c r="E26" s="45">
        <v>8.1999999999999993</v>
      </c>
      <c r="F26" s="45">
        <v>8.1999999999999993</v>
      </c>
      <c r="G26" s="45">
        <v>8.1999999999999993</v>
      </c>
      <c r="H26" s="45">
        <v>8.1999999999999993</v>
      </c>
      <c r="I26" s="45">
        <v>8.1999999999999993</v>
      </c>
      <c r="J26" s="45">
        <v>8.1999999999999993</v>
      </c>
      <c r="K26" s="45">
        <v>8.1999999999999993</v>
      </c>
      <c r="L26" s="45">
        <v>8.1999999999999993</v>
      </c>
      <c r="M26" s="45">
        <v>8.1999999999999993</v>
      </c>
      <c r="N26" s="45">
        <v>8.1999999999999993</v>
      </c>
      <c r="O26" s="45">
        <v>8.1999999999999993</v>
      </c>
      <c r="P26" s="45">
        <v>8.1999999999999993</v>
      </c>
      <c r="Q26" s="45">
        <v>8.1999999999999993</v>
      </c>
      <c r="R26" s="45">
        <v>8.1999999999999993</v>
      </c>
      <c r="S26" s="45">
        <v>8.1999999999999993</v>
      </c>
      <c r="T26" s="45">
        <v>8.1999999999999993</v>
      </c>
      <c r="U26" s="45">
        <v>8.1999999999999993</v>
      </c>
      <c r="V26" s="45">
        <v>8.1999999999999993</v>
      </c>
      <c r="W26" s="45">
        <v>8.1999999999999993</v>
      </c>
      <c r="X26" s="45">
        <v>8.5</v>
      </c>
      <c r="Y26" s="45">
        <v>8.5</v>
      </c>
      <c r="Z26" s="45">
        <v>8.5</v>
      </c>
      <c r="AA26" s="45">
        <v>8.5</v>
      </c>
      <c r="AB26" s="45">
        <v>8.5</v>
      </c>
      <c r="AC26" s="45">
        <v>8.5</v>
      </c>
      <c r="AD26" s="45">
        <v>8.5</v>
      </c>
      <c r="AE26" s="45">
        <v>6.5</v>
      </c>
      <c r="AF26" s="45">
        <v>6.5</v>
      </c>
      <c r="AG26" s="49">
        <v>25</v>
      </c>
      <c r="AH26" s="47">
        <f t="shared" si="2"/>
        <v>8.5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7.4</v>
      </c>
      <c r="P29" s="45">
        <v>7.4</v>
      </c>
      <c r="Q29" s="45">
        <v>7.4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7.2</v>
      </c>
      <c r="AF29" s="45">
        <v>7.2</v>
      </c>
      <c r="AG29" s="49">
        <v>25</v>
      </c>
      <c r="AH29" s="47">
        <f t="shared" si="2"/>
        <v>7.4</v>
      </c>
      <c r="AI29" s="48">
        <f t="shared" si="3"/>
        <v>7.2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7.2</v>
      </c>
      <c r="C30" s="45">
        <v>7.2</v>
      </c>
      <c r="D30" s="45">
        <v>7.2</v>
      </c>
      <c r="E30" s="45">
        <v>7.2</v>
      </c>
      <c r="F30" s="45">
        <v>7.2</v>
      </c>
      <c r="G30" s="45">
        <v>7.2</v>
      </c>
      <c r="H30" s="45">
        <v>7.2</v>
      </c>
      <c r="I30" s="45">
        <v>7.2</v>
      </c>
      <c r="J30" s="45">
        <v>7.2</v>
      </c>
      <c r="K30" s="45">
        <v>7.2</v>
      </c>
      <c r="L30" s="45">
        <v>7.2</v>
      </c>
      <c r="M30" s="45">
        <v>7.2</v>
      </c>
      <c r="N30" s="45">
        <v>7.2</v>
      </c>
      <c r="O30" s="45">
        <v>7.2</v>
      </c>
      <c r="P30" s="45">
        <v>7.2</v>
      </c>
      <c r="Q30" s="45">
        <v>7.2</v>
      </c>
      <c r="R30" s="45">
        <v>7.2</v>
      </c>
      <c r="S30" s="45">
        <v>7.2</v>
      </c>
      <c r="T30" s="45">
        <v>7.2</v>
      </c>
      <c r="U30" s="45">
        <v>7.2</v>
      </c>
      <c r="V30" s="45">
        <v>7.2</v>
      </c>
      <c r="W30" s="45">
        <v>7.2</v>
      </c>
      <c r="X30" s="45">
        <v>7.2</v>
      </c>
      <c r="Y30" s="45">
        <v>7.2</v>
      </c>
      <c r="Z30" s="45">
        <v>7.2</v>
      </c>
      <c r="AA30" s="45">
        <v>7.2</v>
      </c>
      <c r="AB30" s="45">
        <v>7.2</v>
      </c>
      <c r="AC30" s="45">
        <v>7.2</v>
      </c>
      <c r="AD30" s="45">
        <v>7.2</v>
      </c>
      <c r="AE30" s="45">
        <v>7.6</v>
      </c>
      <c r="AF30" s="45">
        <v>7.6</v>
      </c>
      <c r="AG30" s="49">
        <v>23.5</v>
      </c>
      <c r="AH30" s="47">
        <f t="shared" si="2"/>
        <v>7.6</v>
      </c>
      <c r="AI30" s="48">
        <f t="shared" si="3"/>
        <v>7.2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6.3</v>
      </c>
      <c r="C34" s="45">
        <v>6.3</v>
      </c>
      <c r="D34" s="45">
        <v>6.3</v>
      </c>
      <c r="E34" s="45">
        <v>6.3</v>
      </c>
      <c r="F34" s="45">
        <v>6.3</v>
      </c>
      <c r="G34" s="45">
        <v>6.3</v>
      </c>
      <c r="H34" s="45">
        <v>6.3</v>
      </c>
      <c r="I34" s="45">
        <v>6.3</v>
      </c>
      <c r="J34" s="45">
        <v>6.3</v>
      </c>
      <c r="K34" s="45">
        <v>6.3</v>
      </c>
      <c r="L34" s="45">
        <v>6.3</v>
      </c>
      <c r="M34" s="45">
        <v>6.3</v>
      </c>
      <c r="N34" s="45">
        <v>6.3</v>
      </c>
      <c r="O34" s="45">
        <v>6.3</v>
      </c>
      <c r="P34" s="45">
        <v>6.3</v>
      </c>
      <c r="Q34" s="45">
        <v>6.3</v>
      </c>
      <c r="R34" s="45">
        <v>6.3</v>
      </c>
      <c r="S34" s="45">
        <v>6.3</v>
      </c>
      <c r="T34" s="45">
        <v>6.3</v>
      </c>
      <c r="U34" s="45">
        <v>6.3</v>
      </c>
      <c r="V34" s="45">
        <v>6.3</v>
      </c>
      <c r="W34" s="45">
        <v>6.3</v>
      </c>
      <c r="X34" s="45">
        <v>6.3</v>
      </c>
      <c r="Y34" s="45">
        <v>6.3</v>
      </c>
      <c r="Z34" s="45">
        <v>6.3</v>
      </c>
      <c r="AA34" s="45">
        <v>6.3</v>
      </c>
      <c r="AB34" s="45">
        <v>6.3</v>
      </c>
      <c r="AC34" s="45">
        <v>6.3</v>
      </c>
      <c r="AD34" s="45">
        <v>6.3</v>
      </c>
      <c r="AE34" s="45">
        <v>10.4</v>
      </c>
      <c r="AF34" s="45">
        <v>10.4</v>
      </c>
      <c r="AG34" s="49">
        <v>22</v>
      </c>
      <c r="AH34" s="47">
        <f t="shared" si="2"/>
        <v>10.4</v>
      </c>
      <c r="AI34" s="48">
        <f t="shared" si="3"/>
        <v>6.3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15</v>
      </c>
      <c r="C57" s="57">
        <v>15</v>
      </c>
      <c r="D57" s="57">
        <v>15</v>
      </c>
      <c r="E57" s="57">
        <f>16.6+7.2</f>
        <v>23.8</v>
      </c>
      <c r="F57" s="57">
        <f>16.7+7</f>
        <v>23.7</v>
      </c>
      <c r="G57" s="57">
        <f t="shared" ref="G57:S57" si="4">6.2+14.8</f>
        <v>21</v>
      </c>
      <c r="H57" s="57">
        <f t="shared" si="4"/>
        <v>21</v>
      </c>
      <c r="I57" s="57">
        <f t="shared" si="4"/>
        <v>21</v>
      </c>
      <c r="J57" s="57">
        <f t="shared" si="4"/>
        <v>21</v>
      </c>
      <c r="K57" s="57">
        <f t="shared" si="4"/>
        <v>21</v>
      </c>
      <c r="L57" s="57">
        <f t="shared" si="4"/>
        <v>21</v>
      </c>
      <c r="M57" s="57">
        <f t="shared" si="4"/>
        <v>21</v>
      </c>
      <c r="N57" s="57">
        <f t="shared" si="4"/>
        <v>21</v>
      </c>
      <c r="O57" s="57">
        <f t="shared" si="4"/>
        <v>21</v>
      </c>
      <c r="P57" s="57">
        <f t="shared" si="4"/>
        <v>21</v>
      </c>
      <c r="Q57" s="57">
        <f t="shared" si="4"/>
        <v>21</v>
      </c>
      <c r="R57" s="57">
        <f t="shared" si="4"/>
        <v>21</v>
      </c>
      <c r="S57" s="57">
        <f t="shared" si="4"/>
        <v>21</v>
      </c>
      <c r="T57" s="57">
        <v>23.6</v>
      </c>
      <c r="U57" s="57">
        <v>23.6</v>
      </c>
      <c r="V57" s="57">
        <v>23</v>
      </c>
      <c r="W57" s="57">
        <v>21</v>
      </c>
      <c r="X57" s="57">
        <v>18.7</v>
      </c>
      <c r="Y57" s="57">
        <v>18.7</v>
      </c>
      <c r="Z57" s="57">
        <v>17</v>
      </c>
      <c r="AA57" s="57">
        <v>13.7</v>
      </c>
      <c r="AB57" s="57">
        <f>14.9+6.9</f>
        <v>21.8</v>
      </c>
      <c r="AC57" s="57">
        <f>14.9+6</f>
        <v>20.9</v>
      </c>
      <c r="AD57" s="57">
        <f>14.9+6.2</f>
        <v>21.1</v>
      </c>
      <c r="AE57" s="57">
        <f>6.6+15.4</f>
        <v>22</v>
      </c>
      <c r="AF57" s="57">
        <f>6.8+15.7</f>
        <v>22.5</v>
      </c>
      <c r="AG57" s="55">
        <v>240</v>
      </c>
      <c r="AH57" s="47">
        <f t="shared" si="2"/>
        <v>23.8</v>
      </c>
      <c r="AI57" s="48">
        <f t="shared" si="3"/>
        <v>13.7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481.65</v>
      </c>
      <c r="C58" s="60">
        <f t="shared" si="5"/>
        <v>481.65</v>
      </c>
      <c r="D58" s="60">
        <f t="shared" ref="D58" si="6">SUM(D11:D56)</f>
        <v>481.65</v>
      </c>
      <c r="E58" s="60">
        <f t="shared" ref="E58:AD58" si="7">SUM(E11:E56)</f>
        <v>481.65</v>
      </c>
      <c r="F58" s="60">
        <f t="shared" si="7"/>
        <v>481.65</v>
      </c>
      <c r="G58" s="60">
        <f t="shared" si="7"/>
        <v>481.65</v>
      </c>
      <c r="H58" s="60">
        <f t="shared" si="7"/>
        <v>481.65</v>
      </c>
      <c r="I58" s="60">
        <f t="shared" si="7"/>
        <v>481.65</v>
      </c>
      <c r="J58" s="60">
        <f t="shared" si="7"/>
        <v>481.65</v>
      </c>
      <c r="K58" s="60">
        <f t="shared" si="7"/>
        <v>481.65</v>
      </c>
      <c r="L58" s="60">
        <f t="shared" si="7"/>
        <v>481.65</v>
      </c>
      <c r="M58" s="60">
        <f t="shared" si="7"/>
        <v>481.65</v>
      </c>
      <c r="N58" s="60">
        <f t="shared" si="7"/>
        <v>481.65</v>
      </c>
      <c r="O58" s="60">
        <f t="shared" si="7"/>
        <v>481.65</v>
      </c>
      <c r="P58" s="60">
        <f t="shared" si="7"/>
        <v>481.65</v>
      </c>
      <c r="Q58" s="60">
        <f t="shared" si="7"/>
        <v>481.65</v>
      </c>
      <c r="R58" s="60">
        <f t="shared" si="7"/>
        <v>481.65</v>
      </c>
      <c r="S58" s="60">
        <f t="shared" si="7"/>
        <v>481.65</v>
      </c>
      <c r="T58" s="60">
        <f t="shared" si="7"/>
        <v>481.65</v>
      </c>
      <c r="U58" s="60">
        <f t="shared" ref="U58" si="8">SUM(U11:U56)</f>
        <v>481.65</v>
      </c>
      <c r="V58" s="60">
        <f t="shared" si="7"/>
        <v>481.65</v>
      </c>
      <c r="W58" s="60">
        <f t="shared" si="7"/>
        <v>481.65</v>
      </c>
      <c r="X58" s="60">
        <f t="shared" si="7"/>
        <v>479.95</v>
      </c>
      <c r="Y58" s="60">
        <f>SUM(Y11:Y56)</f>
        <v>479.95</v>
      </c>
      <c r="Z58" s="60">
        <f>SUM(Z11:Z56)</f>
        <v>479.95</v>
      </c>
      <c r="AA58" s="60">
        <f t="shared" si="7"/>
        <v>479.95</v>
      </c>
      <c r="AB58" s="60">
        <f t="shared" si="7"/>
        <v>480.34999999999997</v>
      </c>
      <c r="AC58" s="60">
        <f t="shared" si="7"/>
        <v>481.05</v>
      </c>
      <c r="AD58" s="60">
        <f t="shared" si="7"/>
        <v>481.05</v>
      </c>
      <c r="AE58" s="60">
        <f t="shared" ref="AE58:AF58" si="9">SUM(AE11:AE56)</f>
        <v>486.15</v>
      </c>
      <c r="AF58" s="60">
        <f t="shared" si="9"/>
        <v>486.84999999999997</v>
      </c>
      <c r="AG58" s="61">
        <f>SUM(AG14:AG56)</f>
        <v>1042.4000000000001</v>
      </c>
      <c r="AH58" s="47">
        <f t="shared" si="2"/>
        <v>486.84999999999997</v>
      </c>
      <c r="AI58" s="48">
        <f t="shared" si="3"/>
        <v>479.95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15</v>
      </c>
      <c r="I59" s="45">
        <v>40</v>
      </c>
      <c r="J59" s="45">
        <v>150</v>
      </c>
      <c r="K59" s="45">
        <v>250</v>
      </c>
      <c r="L59" s="45">
        <v>210</v>
      </c>
      <c r="M59" s="45">
        <v>230</v>
      </c>
      <c r="N59" s="63">
        <v>140</v>
      </c>
      <c r="O59" s="63">
        <v>70</v>
      </c>
      <c r="P59" s="63">
        <v>76</v>
      </c>
      <c r="Q59" s="63">
        <v>76</v>
      </c>
      <c r="R59" s="63">
        <v>76</v>
      </c>
      <c r="S59" s="45">
        <v>36</v>
      </c>
      <c r="T59" s="45">
        <v>30</v>
      </c>
      <c r="U59" s="45">
        <v>30</v>
      </c>
      <c r="V59" s="45">
        <v>15</v>
      </c>
      <c r="W59" s="45">
        <v>60</v>
      </c>
      <c r="X59" s="45">
        <v>100</v>
      </c>
      <c r="Y59" s="45">
        <v>150</v>
      </c>
      <c r="Z59" s="45">
        <v>150</v>
      </c>
      <c r="AA59" s="45">
        <v>160</v>
      </c>
      <c r="AB59" s="45">
        <v>150</v>
      </c>
      <c r="AC59" s="45">
        <v>105</v>
      </c>
      <c r="AD59" s="45">
        <v>70</v>
      </c>
      <c r="AE59" s="45">
        <v>30</v>
      </c>
      <c r="AF59" s="45">
        <v>0</v>
      </c>
      <c r="AG59" s="52">
        <v>456</v>
      </c>
      <c r="AH59" s="47">
        <f t="shared" si="2"/>
        <v>250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10.199999999999999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C62" si="10">SUM(B59:B61)</f>
        <v>40.200000000000003</v>
      </c>
      <c r="C62" s="60">
        <f t="shared" si="10"/>
        <v>40.200000000000003</v>
      </c>
      <c r="D62" s="60">
        <f t="shared" ref="D62" si="11">SUM(D59:D61)</f>
        <v>40.200000000000003</v>
      </c>
      <c r="E62" s="60">
        <f t="shared" ref="E62:AG62" si="12">SUM(E59:E61)</f>
        <v>40.200000000000003</v>
      </c>
      <c r="F62" s="60">
        <f t="shared" si="12"/>
        <v>40.200000000000003</v>
      </c>
      <c r="G62" s="60">
        <f t="shared" si="12"/>
        <v>40.200000000000003</v>
      </c>
      <c r="H62" s="60">
        <f t="shared" si="12"/>
        <v>55.2</v>
      </c>
      <c r="I62" s="60">
        <f t="shared" si="12"/>
        <v>80.2</v>
      </c>
      <c r="J62" s="60">
        <f t="shared" si="12"/>
        <v>190.2</v>
      </c>
      <c r="K62" s="60">
        <f t="shared" si="12"/>
        <v>290.2</v>
      </c>
      <c r="L62" s="60">
        <f t="shared" si="12"/>
        <v>250.2</v>
      </c>
      <c r="M62" s="60">
        <f t="shared" si="12"/>
        <v>270.2</v>
      </c>
      <c r="N62" s="60">
        <f t="shared" si="12"/>
        <v>180.2</v>
      </c>
      <c r="O62" s="60">
        <f t="shared" si="12"/>
        <v>110.2</v>
      </c>
      <c r="P62" s="60">
        <f t="shared" si="12"/>
        <v>116.2</v>
      </c>
      <c r="Q62" s="60">
        <f t="shared" si="12"/>
        <v>116.2</v>
      </c>
      <c r="R62" s="60">
        <f t="shared" si="12"/>
        <v>116.2</v>
      </c>
      <c r="S62" s="60">
        <f t="shared" si="12"/>
        <v>76.2</v>
      </c>
      <c r="T62" s="60">
        <f t="shared" si="12"/>
        <v>70.2</v>
      </c>
      <c r="U62" s="60">
        <f t="shared" ref="U62" si="13">SUM(U59:U61)</f>
        <v>70.2</v>
      </c>
      <c r="V62" s="60">
        <f t="shared" si="12"/>
        <v>55.2</v>
      </c>
      <c r="W62" s="60">
        <f t="shared" si="12"/>
        <v>100.2</v>
      </c>
      <c r="X62" s="60">
        <f t="shared" si="12"/>
        <v>140.19999999999999</v>
      </c>
      <c r="Y62" s="60">
        <f>SUM(Y59:Y61)</f>
        <v>190.2</v>
      </c>
      <c r="Z62" s="60">
        <f>SUM(Z59:Z61)</f>
        <v>190.2</v>
      </c>
      <c r="AA62" s="60">
        <f t="shared" si="12"/>
        <v>200.2</v>
      </c>
      <c r="AB62" s="60">
        <f t="shared" si="12"/>
        <v>190.2</v>
      </c>
      <c r="AC62" s="60">
        <f t="shared" si="12"/>
        <v>145.19999999999999</v>
      </c>
      <c r="AD62" s="60">
        <f t="shared" si="12"/>
        <v>110.2</v>
      </c>
      <c r="AE62" s="60">
        <f t="shared" ref="AE62:AF62" si="14">SUM(AE59:AE61)</f>
        <v>70.2</v>
      </c>
      <c r="AF62" s="60">
        <f t="shared" si="14"/>
        <v>40.200000000000003</v>
      </c>
      <c r="AG62" s="61">
        <f t="shared" si="12"/>
        <v>538.1</v>
      </c>
      <c r="AH62" s="47">
        <f t="shared" si="2"/>
        <v>290.2</v>
      </c>
      <c r="AI62" s="48">
        <f t="shared" si="3"/>
        <v>40.200000000000003</v>
      </c>
      <c r="AK62" s="50"/>
    </row>
    <row r="63" spans="1:88" x14ac:dyDescent="0.25">
      <c r="A63" s="44" t="s">
        <v>63</v>
      </c>
      <c r="B63" s="45">
        <v>30.6</v>
      </c>
      <c r="C63" s="45">
        <v>0</v>
      </c>
      <c r="D63" s="45">
        <v>0</v>
      </c>
      <c r="E63" s="45">
        <v>0</v>
      </c>
      <c r="F63" s="45">
        <v>0</v>
      </c>
      <c r="G63" s="45">
        <v>30.6</v>
      </c>
      <c r="H63" s="45">
        <v>70</v>
      </c>
      <c r="I63" s="45">
        <v>70.7</v>
      </c>
      <c r="J63" s="45">
        <v>100</v>
      </c>
      <c r="K63" s="45">
        <v>112</v>
      </c>
      <c r="L63" s="45">
        <v>111.9</v>
      </c>
      <c r="M63" s="45">
        <v>111.4</v>
      </c>
      <c r="N63" s="45">
        <v>81.5</v>
      </c>
      <c r="O63" s="45">
        <v>80.8</v>
      </c>
      <c r="P63" s="45">
        <v>97.6</v>
      </c>
      <c r="Q63" s="45">
        <v>97</v>
      </c>
      <c r="R63" s="45">
        <v>97</v>
      </c>
      <c r="S63" s="45">
        <v>97.7</v>
      </c>
      <c r="T63" s="45">
        <v>86.2</v>
      </c>
      <c r="U63" s="45">
        <v>86.2</v>
      </c>
      <c r="V63" s="45">
        <v>60.8</v>
      </c>
      <c r="W63" s="45">
        <v>60.8</v>
      </c>
      <c r="X63" s="45">
        <v>60.8</v>
      </c>
      <c r="Y63" s="45">
        <v>60.8</v>
      </c>
      <c r="Z63" s="45">
        <v>71</v>
      </c>
      <c r="AA63" s="45">
        <v>61</v>
      </c>
      <c r="AB63" s="45">
        <v>60.7</v>
      </c>
      <c r="AC63" s="45">
        <v>60.5</v>
      </c>
      <c r="AD63" s="45">
        <v>30.5</v>
      </c>
      <c r="AE63" s="45">
        <v>0</v>
      </c>
      <c r="AF63" s="45">
        <v>0</v>
      </c>
      <c r="AG63" s="52">
        <v>144</v>
      </c>
      <c r="AH63" s="47">
        <f t="shared" si="2"/>
        <v>112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32</v>
      </c>
      <c r="J64" s="65">
        <v>60</v>
      </c>
      <c r="K64" s="65">
        <v>60</v>
      </c>
      <c r="L64" s="65">
        <v>60</v>
      </c>
      <c r="M64" s="65">
        <v>60</v>
      </c>
      <c r="N64" s="65">
        <v>60</v>
      </c>
      <c r="O64" s="65">
        <v>35</v>
      </c>
      <c r="P64" s="65">
        <v>35</v>
      </c>
      <c r="Q64" s="65">
        <v>35</v>
      </c>
      <c r="R64" s="65">
        <v>35</v>
      </c>
      <c r="S64" s="45">
        <v>35</v>
      </c>
      <c r="T64" s="45">
        <v>35</v>
      </c>
      <c r="U64" s="45">
        <v>35</v>
      </c>
      <c r="V64" s="45">
        <v>25</v>
      </c>
      <c r="W64" s="45">
        <v>25</v>
      </c>
      <c r="X64" s="45">
        <v>50</v>
      </c>
      <c r="Y64" s="45">
        <v>65</v>
      </c>
      <c r="Z64" s="45">
        <v>65</v>
      </c>
      <c r="AA64" s="45">
        <v>35</v>
      </c>
      <c r="AB64" s="45">
        <v>25</v>
      </c>
      <c r="AC64" s="45">
        <v>25</v>
      </c>
      <c r="AD64" s="65">
        <v>25</v>
      </c>
      <c r="AE64" s="65">
        <v>0</v>
      </c>
      <c r="AF64" s="65">
        <v>0</v>
      </c>
      <c r="AG64" s="55">
        <v>70</v>
      </c>
      <c r="AH64" s="47">
        <f t="shared" si="2"/>
        <v>65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35.6</v>
      </c>
      <c r="I65" s="65">
        <v>45.5</v>
      </c>
      <c r="J65" s="65">
        <v>68</v>
      </c>
      <c r="K65" s="65">
        <v>52.6</v>
      </c>
      <c r="L65" s="65">
        <v>60.5</v>
      </c>
      <c r="M65" s="65">
        <v>61.2</v>
      </c>
      <c r="N65" s="65">
        <v>61.2</v>
      </c>
      <c r="O65" s="65">
        <v>57.5</v>
      </c>
      <c r="P65" s="65">
        <v>44.4</v>
      </c>
      <c r="Q65" s="65">
        <v>20.7</v>
      </c>
      <c r="R65" s="65">
        <v>21.9</v>
      </c>
      <c r="S65" s="45">
        <v>22</v>
      </c>
      <c r="T65" s="45">
        <v>22</v>
      </c>
      <c r="U65" s="45">
        <v>22</v>
      </c>
      <c r="V65" s="45">
        <v>16.600000000000001</v>
      </c>
      <c r="W65" s="45">
        <v>16.600000000000001</v>
      </c>
      <c r="X65" s="45">
        <v>49.5</v>
      </c>
      <c r="Y65" s="45">
        <v>67.2</v>
      </c>
      <c r="Z65" s="45">
        <v>57</v>
      </c>
      <c r="AA65" s="45">
        <v>44</v>
      </c>
      <c r="AB65" s="45">
        <v>33</v>
      </c>
      <c r="AC65" s="45">
        <v>33</v>
      </c>
      <c r="AD65" s="65">
        <v>32.4</v>
      </c>
      <c r="AE65" s="65">
        <v>32.4</v>
      </c>
      <c r="AF65" s="65">
        <v>0</v>
      </c>
      <c r="AG65" s="55">
        <v>69</v>
      </c>
      <c r="AH65" s="47">
        <f t="shared" si="2"/>
        <v>68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41.3</v>
      </c>
      <c r="C66" s="65">
        <v>41.3</v>
      </c>
      <c r="D66" s="65">
        <v>41.3</v>
      </c>
      <c r="E66" s="65">
        <v>39.299999999999997</v>
      </c>
      <c r="F66" s="65">
        <v>39.1</v>
      </c>
      <c r="G66" s="65">
        <v>37.799999999999997</v>
      </c>
      <c r="H66" s="65">
        <v>37.299999999999997</v>
      </c>
      <c r="I66" s="65">
        <v>37.299999999999997</v>
      </c>
      <c r="J66" s="65">
        <v>37.299999999999997</v>
      </c>
      <c r="K66" s="57">
        <v>37</v>
      </c>
      <c r="L66" s="57">
        <v>39.1</v>
      </c>
      <c r="M66" s="65">
        <v>39.1</v>
      </c>
      <c r="N66" s="65">
        <v>39.1</v>
      </c>
      <c r="O66" s="65">
        <v>39.799999999999997</v>
      </c>
      <c r="P66" s="65">
        <v>38.299999999999997</v>
      </c>
      <c r="Q66" s="65">
        <v>38.299999999999997</v>
      </c>
      <c r="R66" s="65">
        <v>38.299999999999997</v>
      </c>
      <c r="S66" s="45">
        <v>38.299999999999997</v>
      </c>
      <c r="T66" s="45">
        <v>38.299999999999997</v>
      </c>
      <c r="U66" s="45">
        <v>38.299999999999997</v>
      </c>
      <c r="V66" s="45">
        <v>38.299999999999997</v>
      </c>
      <c r="W66" s="45">
        <v>38.299999999999997</v>
      </c>
      <c r="X66" s="45">
        <v>38.299999999999997</v>
      </c>
      <c r="Y66" s="45">
        <v>38.299999999999997</v>
      </c>
      <c r="Z66" s="45">
        <v>38.299999999999997</v>
      </c>
      <c r="AA66" s="45">
        <v>38.299999999999997</v>
      </c>
      <c r="AB66" s="45">
        <v>38.299999999999997</v>
      </c>
      <c r="AC66" s="45">
        <v>37</v>
      </c>
      <c r="AD66" s="65">
        <v>37.299999999999997</v>
      </c>
      <c r="AE66" s="65">
        <v>39.1</v>
      </c>
      <c r="AF66" s="65">
        <v>39.1</v>
      </c>
      <c r="AG66" s="55">
        <v>60</v>
      </c>
      <c r="AH66" s="47">
        <f t="shared" si="2"/>
        <v>41.3</v>
      </c>
      <c r="AI66" s="48">
        <f t="shared" si="3"/>
        <v>37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10</v>
      </c>
      <c r="J67" s="65">
        <v>15</v>
      </c>
      <c r="K67" s="57">
        <v>15</v>
      </c>
      <c r="L67" s="57">
        <v>15</v>
      </c>
      <c r="M67" s="65">
        <v>23</v>
      </c>
      <c r="N67" s="65">
        <v>23</v>
      </c>
      <c r="O67" s="65">
        <v>0</v>
      </c>
      <c r="P67" s="65">
        <v>0</v>
      </c>
      <c r="Q67" s="65">
        <v>0</v>
      </c>
      <c r="R67" s="65">
        <v>10</v>
      </c>
      <c r="S67" s="45">
        <v>10</v>
      </c>
      <c r="T67" s="45">
        <v>10</v>
      </c>
      <c r="U67" s="45">
        <v>10</v>
      </c>
      <c r="V67" s="45">
        <v>0</v>
      </c>
      <c r="W67" s="45">
        <v>0</v>
      </c>
      <c r="X67" s="45">
        <v>10</v>
      </c>
      <c r="Y67" s="45">
        <v>23</v>
      </c>
      <c r="Z67" s="45">
        <v>28</v>
      </c>
      <c r="AA67" s="45">
        <v>28</v>
      </c>
      <c r="AB67" s="45">
        <v>27.5</v>
      </c>
      <c r="AC67" s="45">
        <v>15</v>
      </c>
      <c r="AD67" s="65">
        <v>10</v>
      </c>
      <c r="AE67" s="65">
        <v>10</v>
      </c>
      <c r="AF67" s="6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0.6</v>
      </c>
      <c r="M68" s="65">
        <v>1.3</v>
      </c>
      <c r="N68" s="65">
        <v>1.3</v>
      </c>
      <c r="O68" s="65">
        <v>5.7</v>
      </c>
      <c r="P68" s="65">
        <v>5.3</v>
      </c>
      <c r="Q68" s="65">
        <v>5.3</v>
      </c>
      <c r="R68" s="65">
        <v>5.3</v>
      </c>
      <c r="S68" s="45">
        <v>3</v>
      </c>
      <c r="T68" s="45">
        <v>5.5</v>
      </c>
      <c r="U68" s="45">
        <v>2</v>
      </c>
      <c r="V68" s="45">
        <v>0.6</v>
      </c>
      <c r="W68" s="45">
        <v>0.2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5.7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10.8</v>
      </c>
      <c r="C71" s="65">
        <v>10.8</v>
      </c>
      <c r="D71" s="65">
        <v>10.8</v>
      </c>
      <c r="E71" s="65">
        <v>10.8</v>
      </c>
      <c r="F71" s="65">
        <v>10.8</v>
      </c>
      <c r="G71" s="65">
        <v>10.8</v>
      </c>
      <c r="H71" s="65">
        <v>10.8</v>
      </c>
      <c r="I71" s="65">
        <v>10.8</v>
      </c>
      <c r="J71" s="65">
        <v>10.8</v>
      </c>
      <c r="K71" s="65">
        <v>10.8</v>
      </c>
      <c r="L71" s="65">
        <v>10.8</v>
      </c>
      <c r="M71" s="65">
        <v>8.9</v>
      </c>
      <c r="N71" s="65">
        <v>8.9</v>
      </c>
      <c r="O71" s="65">
        <v>8.9</v>
      </c>
      <c r="P71" s="65">
        <v>8.9</v>
      </c>
      <c r="Q71" s="65">
        <v>8.9</v>
      </c>
      <c r="R71" s="65">
        <v>8.9</v>
      </c>
      <c r="S71" s="65">
        <v>8.9</v>
      </c>
      <c r="T71" s="65">
        <v>8.9</v>
      </c>
      <c r="U71" s="65">
        <v>8.9</v>
      </c>
      <c r="V71" s="65">
        <v>8.9</v>
      </c>
      <c r="W71" s="65">
        <v>8.9</v>
      </c>
      <c r="X71" s="65">
        <v>8.9</v>
      </c>
      <c r="Y71" s="65">
        <v>8.9</v>
      </c>
      <c r="Z71" s="65">
        <v>8.9</v>
      </c>
      <c r="AA71" s="65">
        <v>8.9</v>
      </c>
      <c r="AB71" s="65">
        <v>8.9</v>
      </c>
      <c r="AC71" s="65">
        <v>8.9</v>
      </c>
      <c r="AD71" s="65">
        <v>8.9</v>
      </c>
      <c r="AE71" s="65">
        <v>9.3000000000000007</v>
      </c>
      <c r="AF71" s="65">
        <v>9.3000000000000007</v>
      </c>
      <c r="AG71" s="55">
        <v>14.1</v>
      </c>
      <c r="AH71" s="47">
        <f t="shared" si="2"/>
        <v>10.8</v>
      </c>
      <c r="AI71" s="48">
        <f t="shared" si="3"/>
        <v>8.9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3.6</v>
      </c>
      <c r="C72" s="65">
        <v>3.6</v>
      </c>
      <c r="D72" s="65">
        <v>3.6</v>
      </c>
      <c r="E72" s="65">
        <v>3.6</v>
      </c>
      <c r="F72" s="65">
        <v>3.6</v>
      </c>
      <c r="G72" s="65">
        <v>3.6</v>
      </c>
      <c r="H72" s="65">
        <v>3.6</v>
      </c>
      <c r="I72" s="65">
        <v>3.6</v>
      </c>
      <c r="J72" s="65">
        <v>3.6</v>
      </c>
      <c r="K72" s="65">
        <v>3.6</v>
      </c>
      <c r="L72" s="65">
        <v>3.6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3.4</v>
      </c>
      <c r="AF72" s="65">
        <v>3.4</v>
      </c>
      <c r="AG72" s="55">
        <v>14</v>
      </c>
      <c r="AH72" s="47">
        <f t="shared" si="2"/>
        <v>3.6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5">SUM(B63:B75)</f>
        <v>113.34</v>
      </c>
      <c r="C76" s="60">
        <f t="shared" si="15"/>
        <v>82.74</v>
      </c>
      <c r="D76" s="60">
        <f t="shared" ref="D76" si="16">SUM(D63:D75)</f>
        <v>82.74</v>
      </c>
      <c r="E76" s="60">
        <f t="shared" ref="E76:AG76" si="17">SUM(E63:E75)</f>
        <v>80.739999999999995</v>
      </c>
      <c r="F76" s="60">
        <f t="shared" si="17"/>
        <v>80.540000000000006</v>
      </c>
      <c r="G76" s="60">
        <f t="shared" si="17"/>
        <v>119.84</v>
      </c>
      <c r="H76" s="60">
        <f t="shared" si="17"/>
        <v>194.33999999999997</v>
      </c>
      <c r="I76" s="60">
        <f t="shared" si="17"/>
        <v>236.94</v>
      </c>
      <c r="J76" s="60">
        <f t="shared" si="17"/>
        <v>321.74000000000007</v>
      </c>
      <c r="K76" s="60">
        <f t="shared" si="17"/>
        <v>318.04000000000008</v>
      </c>
      <c r="L76" s="60">
        <f t="shared" si="17"/>
        <v>328.54000000000008</v>
      </c>
      <c r="M76" s="60">
        <f t="shared" si="17"/>
        <v>335.24000000000007</v>
      </c>
      <c r="N76" s="60">
        <f t="shared" si="17"/>
        <v>305.33999999999997</v>
      </c>
      <c r="O76" s="60">
        <f t="shared" si="17"/>
        <v>258.04000000000002</v>
      </c>
      <c r="P76" s="60">
        <f t="shared" si="17"/>
        <v>259.84000000000009</v>
      </c>
      <c r="Q76" s="60">
        <f t="shared" si="17"/>
        <v>235.54000000000002</v>
      </c>
      <c r="R76" s="60">
        <f t="shared" si="17"/>
        <v>246.74</v>
      </c>
      <c r="S76" s="60">
        <f t="shared" si="17"/>
        <v>245.24</v>
      </c>
      <c r="T76" s="60">
        <f t="shared" si="17"/>
        <v>236.24</v>
      </c>
      <c r="U76" s="60">
        <f t="shared" ref="U76" si="18">SUM(U63:U75)</f>
        <v>232.74</v>
      </c>
      <c r="V76" s="60">
        <f t="shared" si="17"/>
        <v>180.54</v>
      </c>
      <c r="W76" s="60">
        <f t="shared" si="17"/>
        <v>180.14</v>
      </c>
      <c r="X76" s="60">
        <f t="shared" si="17"/>
        <v>247.84000000000003</v>
      </c>
      <c r="Y76" s="60">
        <f>SUM(Y63:Y75)</f>
        <v>293.54000000000002</v>
      </c>
      <c r="Z76" s="60">
        <f>SUM(Z63:Z75)</f>
        <v>300.5</v>
      </c>
      <c r="AA76" s="60">
        <f t="shared" si="17"/>
        <v>245.54000000000002</v>
      </c>
      <c r="AB76" s="60">
        <f t="shared" si="17"/>
        <v>223.74</v>
      </c>
      <c r="AC76" s="60">
        <f t="shared" si="17"/>
        <v>209.74</v>
      </c>
      <c r="AD76" s="60">
        <f t="shared" si="17"/>
        <v>174.44</v>
      </c>
      <c r="AE76" s="60">
        <f t="shared" ref="AE76" si="19">SUM(AE63:AE75)</f>
        <v>121.24000000000001</v>
      </c>
      <c r="AF76" s="60">
        <f t="shared" si="17"/>
        <v>78.840000000000018</v>
      </c>
      <c r="AG76" s="61">
        <f t="shared" si="17"/>
        <v>489.91</v>
      </c>
      <c r="AH76" s="47">
        <f t="shared" si="2"/>
        <v>335.24000000000007</v>
      </c>
      <c r="AI76" s="48">
        <f t="shared" si="3"/>
        <v>78.840000000000018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>
        <v>20</v>
      </c>
      <c r="V77" s="45">
        <v>11.4</v>
      </c>
      <c r="W77" s="45">
        <v>11.4</v>
      </c>
      <c r="X77" s="45">
        <v>11.4</v>
      </c>
      <c r="Y77" s="45">
        <v>10.9</v>
      </c>
      <c r="Z77" s="45">
        <v>10.9</v>
      </c>
      <c r="AA77" s="45">
        <v>0</v>
      </c>
      <c r="AB77" s="45"/>
      <c r="AC77" s="45"/>
      <c r="AD77" s="45"/>
      <c r="AE77" s="45"/>
      <c r="AF77" s="45"/>
      <c r="AG77" s="52">
        <v>60</v>
      </c>
      <c r="AH77" s="47">
        <f t="shared" si="2"/>
        <v>20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>
        <v>10</v>
      </c>
      <c r="V78" s="65">
        <v>4.4000000000000004</v>
      </c>
      <c r="W78" s="65">
        <v>4.4000000000000004</v>
      </c>
      <c r="X78" s="65">
        <v>4.4000000000000004</v>
      </c>
      <c r="Y78" s="65">
        <v>3.3</v>
      </c>
      <c r="Z78" s="65">
        <v>3.3</v>
      </c>
      <c r="AA78" s="65">
        <v>0</v>
      </c>
      <c r="AB78" s="65"/>
      <c r="AC78" s="65"/>
      <c r="AD78" s="65"/>
      <c r="AE78" s="65"/>
      <c r="AF78" s="65"/>
      <c r="AG78" s="55">
        <v>32</v>
      </c>
      <c r="AH78" s="47">
        <f t="shared" si="2"/>
        <v>10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>
        <v>3</v>
      </c>
      <c r="V79" s="67">
        <v>1.6</v>
      </c>
      <c r="W79" s="67">
        <v>1.6</v>
      </c>
      <c r="X79" s="67">
        <v>1.6</v>
      </c>
      <c r="Y79" s="67">
        <v>1.2</v>
      </c>
      <c r="Z79" s="67">
        <v>1.2</v>
      </c>
      <c r="AA79" s="67">
        <v>0</v>
      </c>
      <c r="AB79" s="67"/>
      <c r="AC79" s="67"/>
      <c r="AD79" s="67"/>
      <c r="AE79" s="67"/>
      <c r="AF79" s="67"/>
      <c r="AG79" s="68">
        <v>14</v>
      </c>
      <c r="AH79" s="47">
        <f t="shared" si="2"/>
        <v>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20">B77+B78+B79</f>
        <v>0</v>
      </c>
      <c r="C80" s="60">
        <f t="shared" si="20"/>
        <v>0</v>
      </c>
      <c r="D80" s="60">
        <f t="shared" ref="D80" si="21">D77+D78+D79</f>
        <v>0</v>
      </c>
      <c r="E80" s="60">
        <f t="shared" ref="E80:AF80" si="22">E77+E78+E79</f>
        <v>0</v>
      </c>
      <c r="F80" s="60">
        <f t="shared" si="22"/>
        <v>0</v>
      </c>
      <c r="G80" s="60">
        <f t="shared" si="22"/>
        <v>0</v>
      </c>
      <c r="H80" s="60">
        <f t="shared" si="22"/>
        <v>0</v>
      </c>
      <c r="I80" s="60">
        <f t="shared" si="22"/>
        <v>0</v>
      </c>
      <c r="J80" s="60">
        <f t="shared" si="22"/>
        <v>0</v>
      </c>
      <c r="K80" s="60">
        <f t="shared" si="22"/>
        <v>0</v>
      </c>
      <c r="L80" s="60">
        <f t="shared" si="22"/>
        <v>0</v>
      </c>
      <c r="M80" s="60">
        <f t="shared" si="22"/>
        <v>0</v>
      </c>
      <c r="N80" s="60">
        <f t="shared" si="22"/>
        <v>0</v>
      </c>
      <c r="O80" s="60">
        <f t="shared" si="22"/>
        <v>0</v>
      </c>
      <c r="P80" s="60">
        <f t="shared" si="22"/>
        <v>0</v>
      </c>
      <c r="Q80" s="60">
        <f t="shared" si="22"/>
        <v>0</v>
      </c>
      <c r="R80" s="60">
        <f t="shared" si="22"/>
        <v>0</v>
      </c>
      <c r="S80" s="60">
        <f t="shared" si="22"/>
        <v>0</v>
      </c>
      <c r="T80" s="60">
        <f t="shared" si="22"/>
        <v>0</v>
      </c>
      <c r="U80" s="60">
        <v>0</v>
      </c>
      <c r="V80" s="60">
        <f t="shared" si="22"/>
        <v>17.400000000000002</v>
      </c>
      <c r="W80" s="60">
        <f t="shared" si="22"/>
        <v>17.400000000000002</v>
      </c>
      <c r="X80" s="60">
        <f t="shared" si="22"/>
        <v>17.400000000000002</v>
      </c>
      <c r="Y80" s="60">
        <f>Y77+Y78+Y79</f>
        <v>15.399999999999999</v>
      </c>
      <c r="Z80" s="60">
        <f>Z77+Z78+Z79</f>
        <v>15.399999999999999</v>
      </c>
      <c r="AA80" s="60">
        <f t="shared" si="22"/>
        <v>0</v>
      </c>
      <c r="AB80" s="60">
        <f t="shared" si="22"/>
        <v>0</v>
      </c>
      <c r="AC80" s="60">
        <f t="shared" si="22"/>
        <v>0</v>
      </c>
      <c r="AD80" s="60">
        <f t="shared" si="22"/>
        <v>0</v>
      </c>
      <c r="AE80" s="60">
        <f t="shared" ref="AE80" si="23">AE77+AE78+AE79</f>
        <v>0</v>
      </c>
      <c r="AF80" s="60">
        <f t="shared" si="22"/>
        <v>0</v>
      </c>
      <c r="AG80" s="61">
        <f>SUM(AG77:AG79)</f>
        <v>106</v>
      </c>
      <c r="AH80" s="47">
        <f t="shared" si="2"/>
        <v>17.400000000000002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64.5</v>
      </c>
      <c r="C81" s="45">
        <v>71.3</v>
      </c>
      <c r="D81" s="45">
        <v>69</v>
      </c>
      <c r="E81" s="45">
        <v>70.7</v>
      </c>
      <c r="F81" s="45">
        <v>69.3</v>
      </c>
      <c r="G81" s="45">
        <v>72.7</v>
      </c>
      <c r="H81" s="45">
        <v>64</v>
      </c>
      <c r="I81" s="45">
        <v>71.099999999999994</v>
      </c>
      <c r="J81" s="45">
        <v>66.3</v>
      </c>
      <c r="K81" s="45">
        <v>62.6</v>
      </c>
      <c r="L81" s="45">
        <v>64.8</v>
      </c>
      <c r="M81" s="45">
        <v>47.6</v>
      </c>
      <c r="N81" s="45">
        <v>50.6</v>
      </c>
      <c r="O81" s="45">
        <v>61.9</v>
      </c>
      <c r="P81" s="45">
        <v>61.5</v>
      </c>
      <c r="Q81" s="45">
        <v>71</v>
      </c>
      <c r="R81" s="45">
        <v>71.599999999999994</v>
      </c>
      <c r="S81" s="45">
        <v>68.5</v>
      </c>
      <c r="T81" s="45">
        <v>68.7</v>
      </c>
      <c r="U81" s="45">
        <v>62</v>
      </c>
      <c r="V81" s="45">
        <v>54.7</v>
      </c>
      <c r="W81" s="45">
        <v>63.6</v>
      </c>
      <c r="X81" s="45">
        <v>60.3</v>
      </c>
      <c r="Y81" s="45">
        <v>66</v>
      </c>
      <c r="Z81" s="45">
        <v>72.8</v>
      </c>
      <c r="AA81" s="45">
        <v>60.4</v>
      </c>
      <c r="AB81" s="45">
        <v>55.7</v>
      </c>
      <c r="AC81" s="45">
        <v>64</v>
      </c>
      <c r="AD81" s="45">
        <v>62</v>
      </c>
      <c r="AE81" s="45">
        <v>64.3</v>
      </c>
      <c r="AF81" s="45">
        <v>69.2</v>
      </c>
      <c r="AG81" s="52"/>
      <c r="AH81" s="47">
        <f t="shared" si="2"/>
        <v>72.8</v>
      </c>
      <c r="AI81" s="48">
        <f t="shared" si="3"/>
        <v>47.6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/>
      <c r="AC82" s="65"/>
      <c r="AD82" s="65"/>
      <c r="AE82" s="65">
        <v>0</v>
      </c>
      <c r="AF82" s="65">
        <v>0</v>
      </c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426.2</v>
      </c>
      <c r="C83" s="65">
        <v>442.8</v>
      </c>
      <c r="D83" s="65">
        <v>404.3</v>
      </c>
      <c r="E83" s="65">
        <v>405.6</v>
      </c>
      <c r="F83" s="65">
        <v>419.6</v>
      </c>
      <c r="G83" s="65">
        <v>429.2</v>
      </c>
      <c r="H83" s="65">
        <v>440.2</v>
      </c>
      <c r="I83" s="65">
        <v>455.5</v>
      </c>
      <c r="J83" s="65">
        <v>361</v>
      </c>
      <c r="K83" s="65">
        <v>243.1</v>
      </c>
      <c r="L83" s="65">
        <v>262</v>
      </c>
      <c r="M83" s="65">
        <v>200</v>
      </c>
      <c r="N83" s="65">
        <v>287.8</v>
      </c>
      <c r="O83" s="65">
        <v>362</v>
      </c>
      <c r="P83" s="65">
        <v>333</v>
      </c>
      <c r="Q83" s="65">
        <v>413</v>
      </c>
      <c r="R83" s="65">
        <v>407</v>
      </c>
      <c r="S83" s="65">
        <v>420</v>
      </c>
      <c r="T83" s="65">
        <v>486</v>
      </c>
      <c r="U83" s="65">
        <v>430</v>
      </c>
      <c r="V83" s="65">
        <v>381</v>
      </c>
      <c r="W83" s="65">
        <v>386</v>
      </c>
      <c r="X83" s="65">
        <v>369</v>
      </c>
      <c r="Y83" s="65">
        <v>388</v>
      </c>
      <c r="Z83" s="65">
        <v>335</v>
      </c>
      <c r="AA83" s="65">
        <v>372</v>
      </c>
      <c r="AB83" s="65">
        <v>361.6</v>
      </c>
      <c r="AC83" s="65">
        <v>378.2</v>
      </c>
      <c r="AD83" s="65">
        <v>398.7</v>
      </c>
      <c r="AE83" s="65">
        <v>392.8</v>
      </c>
      <c r="AF83" s="65">
        <v>407.4</v>
      </c>
      <c r="AG83" s="75"/>
      <c r="AH83" s="47">
        <f t="shared" si="2"/>
        <v>486</v>
      </c>
      <c r="AI83" s="48">
        <f t="shared" si="3"/>
        <v>200</v>
      </c>
      <c r="AK83" s="50"/>
    </row>
    <row r="84" spans="1:40" x14ac:dyDescent="0.25">
      <c r="A84" s="54" t="s">
        <v>84</v>
      </c>
      <c r="B84" s="65">
        <v>41.7</v>
      </c>
      <c r="C84" s="65">
        <v>52</v>
      </c>
      <c r="D84" s="65">
        <v>49.4</v>
      </c>
      <c r="E84" s="76">
        <v>52</v>
      </c>
      <c r="F84" s="76">
        <v>57</v>
      </c>
      <c r="G84" s="76">
        <v>5</v>
      </c>
      <c r="H84" s="76">
        <v>5</v>
      </c>
      <c r="I84" s="76">
        <v>5</v>
      </c>
      <c r="J84" s="76">
        <v>5</v>
      </c>
      <c r="K84" s="76">
        <v>5</v>
      </c>
      <c r="L84" s="76">
        <v>5</v>
      </c>
      <c r="M84" s="76">
        <v>5</v>
      </c>
      <c r="N84" s="76">
        <v>29.6</v>
      </c>
      <c r="O84" s="76">
        <v>28.6</v>
      </c>
      <c r="P84" s="76">
        <v>35</v>
      </c>
      <c r="Q84" s="76">
        <v>57</v>
      </c>
      <c r="R84" s="76">
        <v>60</v>
      </c>
      <c r="S84" s="76">
        <v>62</v>
      </c>
      <c r="T84" s="76">
        <v>60</v>
      </c>
      <c r="U84" s="76">
        <v>53</v>
      </c>
      <c r="V84" s="76">
        <v>30</v>
      </c>
      <c r="W84" s="76">
        <v>30</v>
      </c>
      <c r="X84" s="76">
        <v>35</v>
      </c>
      <c r="Y84" s="76">
        <v>35</v>
      </c>
      <c r="Z84" s="76">
        <v>30</v>
      </c>
      <c r="AA84" s="76">
        <v>25</v>
      </c>
      <c r="AB84" s="76">
        <v>26.8</v>
      </c>
      <c r="AC84" s="76">
        <v>25.9</v>
      </c>
      <c r="AD84" s="65">
        <v>25</v>
      </c>
      <c r="AE84" s="65">
        <v>21.5</v>
      </c>
      <c r="AF84" s="76">
        <v>20.3</v>
      </c>
      <c r="AG84" s="75"/>
      <c r="AH84" s="47">
        <f t="shared" si="2"/>
        <v>62</v>
      </c>
      <c r="AI84" s="48">
        <f t="shared" si="3"/>
        <v>5</v>
      </c>
      <c r="AK84" s="50"/>
    </row>
    <row r="85" spans="1:40" x14ac:dyDescent="0.25">
      <c r="A85" s="54" t="s">
        <v>85</v>
      </c>
      <c r="B85" s="45">
        <v>23.2</v>
      </c>
      <c r="C85" s="45">
        <v>24</v>
      </c>
      <c r="D85" s="45">
        <v>24</v>
      </c>
      <c r="E85" s="45">
        <v>19</v>
      </c>
      <c r="F85" s="45">
        <v>20.399999999999999</v>
      </c>
      <c r="G85" s="45">
        <v>118</v>
      </c>
      <c r="H85" s="45">
        <v>100</v>
      </c>
      <c r="I85" s="45">
        <v>103.4</v>
      </c>
      <c r="J85" s="45">
        <v>83</v>
      </c>
      <c r="K85" s="45">
        <v>97.6</v>
      </c>
      <c r="L85" s="45">
        <v>39</v>
      </c>
      <c r="M85" s="45">
        <v>40</v>
      </c>
      <c r="N85" s="45">
        <v>38</v>
      </c>
      <c r="O85" s="45">
        <v>16.3</v>
      </c>
      <c r="P85" s="45">
        <v>16</v>
      </c>
      <c r="Q85" s="45">
        <v>110</v>
      </c>
      <c r="R85" s="45">
        <v>109</v>
      </c>
      <c r="S85" s="45">
        <v>94</v>
      </c>
      <c r="T85" s="45">
        <v>126</v>
      </c>
      <c r="U85" s="45">
        <v>110</v>
      </c>
      <c r="V85" s="45">
        <v>60</v>
      </c>
      <c r="W85" s="45">
        <v>56</v>
      </c>
      <c r="X85" s="45">
        <v>74</v>
      </c>
      <c r="Y85" s="45">
        <v>74</v>
      </c>
      <c r="Z85" s="45">
        <v>44</v>
      </c>
      <c r="AA85" s="45">
        <v>42</v>
      </c>
      <c r="AB85" s="45">
        <v>42</v>
      </c>
      <c r="AC85" s="45">
        <v>41.6</v>
      </c>
      <c r="AD85" s="45">
        <v>42.6</v>
      </c>
      <c r="AE85" s="45">
        <f>69*2</f>
        <v>138</v>
      </c>
      <c r="AF85" s="45">
        <v>100.5</v>
      </c>
      <c r="AG85" s="75"/>
      <c r="AH85" s="47">
        <f t="shared" ref="AH85:AH130" si="24">MAX(B85:AF85)</f>
        <v>138</v>
      </c>
      <c r="AI85" s="48">
        <f t="shared" ref="AI85:AI130" si="25">MIN(B85:AF85)</f>
        <v>16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>
        <v>0</v>
      </c>
      <c r="R86" s="77">
        <v>0</v>
      </c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4"/>
        <v>0</v>
      </c>
      <c r="AI86" s="48">
        <f t="shared" si="25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>
        <v>0</v>
      </c>
      <c r="R87" s="77"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4"/>
        <v>0</v>
      </c>
      <c r="AI87" s="48">
        <f t="shared" si="25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>
        <v>0</v>
      </c>
      <c r="R88" s="77"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4"/>
        <v>0</v>
      </c>
      <c r="AI88" s="48">
        <f t="shared" si="25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>
        <v>0</v>
      </c>
      <c r="R89" s="77"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4"/>
        <v>0</v>
      </c>
      <c r="AI89" s="48">
        <f t="shared" si="25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>
        <v>0</v>
      </c>
      <c r="R90" s="77"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4"/>
        <v>0</v>
      </c>
      <c r="AI90" s="48">
        <f t="shared" si="25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0</v>
      </c>
      <c r="C91" s="77">
        <v>0</v>
      </c>
      <c r="D91" s="77">
        <v>0</v>
      </c>
      <c r="E91" s="77"/>
      <c r="F91" s="77">
        <v>0</v>
      </c>
      <c r="G91" s="77">
        <v>0</v>
      </c>
      <c r="H91" s="77"/>
      <c r="I91" s="77"/>
      <c r="J91" s="77">
        <v>80</v>
      </c>
      <c r="K91" s="77">
        <v>71.7</v>
      </c>
      <c r="L91" s="77">
        <v>64.599999999999994</v>
      </c>
      <c r="M91" s="77">
        <v>57.9</v>
      </c>
      <c r="N91" s="77">
        <v>70.900000000000006</v>
      </c>
      <c r="O91" s="77">
        <v>72.099999999999994</v>
      </c>
      <c r="P91" s="77">
        <v>74</v>
      </c>
      <c r="Q91" s="77">
        <v>73.8</v>
      </c>
      <c r="R91" s="77">
        <v>73.8</v>
      </c>
      <c r="S91" s="77">
        <v>78</v>
      </c>
      <c r="T91" s="77">
        <v>72.8</v>
      </c>
      <c r="U91" s="77">
        <v>65</v>
      </c>
      <c r="V91" s="77">
        <v>47</v>
      </c>
      <c r="W91" s="77">
        <v>49</v>
      </c>
      <c r="X91" s="77">
        <v>49.2</v>
      </c>
      <c r="Y91" s="77">
        <v>55.1</v>
      </c>
      <c r="Z91" s="77">
        <v>56</v>
      </c>
      <c r="AA91" s="77">
        <v>53</v>
      </c>
      <c r="AB91" s="77">
        <v>53.2</v>
      </c>
      <c r="AC91" s="77">
        <v>54.1</v>
      </c>
      <c r="AD91" s="77">
        <v>60</v>
      </c>
      <c r="AE91" s="77">
        <v>61.5</v>
      </c>
      <c r="AF91" s="77">
        <v>65.7</v>
      </c>
      <c r="AG91" s="85"/>
      <c r="AH91" s="47">
        <f t="shared" si="24"/>
        <v>80</v>
      </c>
      <c r="AI91" s="48">
        <f t="shared" si="25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26">SUMIF(B81:B91,"&gt;0")</f>
        <v>555.6</v>
      </c>
      <c r="C92" s="60">
        <f t="shared" si="26"/>
        <v>590.1</v>
      </c>
      <c r="D92" s="60">
        <f t="shared" ref="D92" si="27">SUMIF(D81:D91,"&gt;0")</f>
        <v>546.70000000000005</v>
      </c>
      <c r="E92" s="60">
        <f t="shared" ref="E92:AF92" si="28">SUMIF(E81:E91,"&gt;0")</f>
        <v>547.29999999999995</v>
      </c>
      <c r="F92" s="60">
        <f t="shared" si="28"/>
        <v>566.30000000000007</v>
      </c>
      <c r="G92" s="60">
        <f t="shared" si="28"/>
        <v>624.9</v>
      </c>
      <c r="H92" s="60">
        <f t="shared" si="28"/>
        <v>609.20000000000005</v>
      </c>
      <c r="I92" s="60">
        <f t="shared" si="28"/>
        <v>635</v>
      </c>
      <c r="J92" s="60">
        <f t="shared" si="28"/>
        <v>595.29999999999995</v>
      </c>
      <c r="K92" s="60">
        <f t="shared" si="28"/>
        <v>479.99999999999994</v>
      </c>
      <c r="L92" s="60">
        <f t="shared" si="28"/>
        <v>435.4</v>
      </c>
      <c r="M92" s="60">
        <f t="shared" si="28"/>
        <v>350.5</v>
      </c>
      <c r="N92" s="60">
        <f t="shared" si="28"/>
        <v>476.90000000000009</v>
      </c>
      <c r="O92" s="60">
        <f t="shared" si="28"/>
        <v>540.9</v>
      </c>
      <c r="P92" s="60">
        <f t="shared" si="28"/>
        <v>519.5</v>
      </c>
      <c r="Q92" s="60">
        <f t="shared" si="28"/>
        <v>724.8</v>
      </c>
      <c r="R92" s="60">
        <f t="shared" si="28"/>
        <v>721.4</v>
      </c>
      <c r="S92" s="60">
        <f t="shared" si="28"/>
        <v>722.5</v>
      </c>
      <c r="T92" s="60">
        <f t="shared" si="28"/>
        <v>813.5</v>
      </c>
      <c r="U92" s="60">
        <f t="shared" ref="U92" si="29">SUMIF(U81:U91,"&gt;0")</f>
        <v>720</v>
      </c>
      <c r="V92" s="60">
        <f t="shared" si="28"/>
        <v>572.70000000000005</v>
      </c>
      <c r="W92" s="60">
        <f t="shared" si="28"/>
        <v>584.6</v>
      </c>
      <c r="X92" s="60">
        <f t="shared" si="28"/>
        <v>587.5</v>
      </c>
      <c r="Y92" s="60">
        <f>SUMIF(Y81:Y91,"&gt;0")</f>
        <v>618.1</v>
      </c>
      <c r="Z92" s="60">
        <f>SUMIF(Z81:Z91,"&gt;0")</f>
        <v>537.79999999999995</v>
      </c>
      <c r="AA92" s="60">
        <f t="shared" si="28"/>
        <v>552.4</v>
      </c>
      <c r="AB92" s="60">
        <f t="shared" si="28"/>
        <v>539.30000000000007</v>
      </c>
      <c r="AC92" s="60">
        <f t="shared" si="28"/>
        <v>563.79999999999995</v>
      </c>
      <c r="AD92" s="60">
        <f t="shared" si="28"/>
        <v>588.29999999999995</v>
      </c>
      <c r="AE92" s="60">
        <f t="shared" si="28"/>
        <v>678.1</v>
      </c>
      <c r="AF92" s="60">
        <f t="shared" si="28"/>
        <v>663.1</v>
      </c>
      <c r="AG92" s="88">
        <f>SUM(AG81:AG91)</f>
        <v>0</v>
      </c>
      <c r="AH92" s="47">
        <f t="shared" si="24"/>
        <v>813.5</v>
      </c>
      <c r="AI92" s="48">
        <f t="shared" si="25"/>
        <v>350.5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4"/>
        <v>0</v>
      </c>
      <c r="AI93" s="48">
        <f t="shared" si="25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4"/>
        <v>0</v>
      </c>
      <c r="AI94" s="48">
        <f t="shared" si="25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4"/>
        <v>0</v>
      </c>
      <c r="AI95" s="48">
        <f t="shared" si="25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4"/>
        <v>0</v>
      </c>
      <c r="AI96" s="48">
        <f t="shared" si="25"/>
        <v>0</v>
      </c>
    </row>
    <row r="97" spans="1:37" ht="15.75" thickBot="1" x14ac:dyDescent="0.3">
      <c r="A97" s="74" t="s">
        <v>99</v>
      </c>
      <c r="B97" s="95">
        <f t="shared" ref="B97:C97" si="30">B58+B62+B80+B76+B92+B96</f>
        <v>1190.79</v>
      </c>
      <c r="C97" s="95">
        <f t="shared" si="30"/>
        <v>1194.69</v>
      </c>
      <c r="D97" s="95">
        <f t="shared" ref="D97" si="31">D58+D62+D80+D76+D92+D96</f>
        <v>1151.29</v>
      </c>
      <c r="E97" s="95">
        <f t="shared" ref="E97:AG97" si="32">E58+E62+E80+E76+E92+E96</f>
        <v>1149.8899999999999</v>
      </c>
      <c r="F97" s="95">
        <f t="shared" si="32"/>
        <v>1168.69</v>
      </c>
      <c r="G97" s="95">
        <f t="shared" si="32"/>
        <v>1266.5900000000001</v>
      </c>
      <c r="H97" s="95">
        <f t="shared" si="32"/>
        <v>1340.39</v>
      </c>
      <c r="I97" s="95">
        <f t="shared" si="32"/>
        <v>1433.79</v>
      </c>
      <c r="J97" s="95">
        <f t="shared" si="32"/>
        <v>1588.8899999999999</v>
      </c>
      <c r="K97" s="95">
        <f t="shared" si="32"/>
        <v>1569.8899999999999</v>
      </c>
      <c r="L97" s="95">
        <f t="shared" si="32"/>
        <v>1495.79</v>
      </c>
      <c r="M97" s="95">
        <f t="shared" si="32"/>
        <v>1437.59</v>
      </c>
      <c r="N97" s="95">
        <f t="shared" si="32"/>
        <v>1444.09</v>
      </c>
      <c r="O97" s="95">
        <f t="shared" si="32"/>
        <v>1390.79</v>
      </c>
      <c r="P97" s="95">
        <f t="shared" si="32"/>
        <v>1377.19</v>
      </c>
      <c r="Q97" s="95">
        <f t="shared" si="32"/>
        <v>1558.19</v>
      </c>
      <c r="R97" s="95">
        <f t="shared" si="32"/>
        <v>1565.99</v>
      </c>
      <c r="S97" s="95">
        <f t="shared" si="32"/>
        <v>1525.5900000000001</v>
      </c>
      <c r="T97" s="95">
        <f t="shared" si="32"/>
        <v>1601.5900000000001</v>
      </c>
      <c r="U97" s="95">
        <f t="shared" ref="U97" si="33">U58+U62+U80+U76+U92+U96</f>
        <v>1504.5900000000001</v>
      </c>
      <c r="V97" s="95">
        <f t="shared" si="32"/>
        <v>1307.49</v>
      </c>
      <c r="W97" s="95">
        <f t="shared" si="32"/>
        <v>1363.99</v>
      </c>
      <c r="X97" s="95">
        <f t="shared" si="32"/>
        <v>1472.8899999999999</v>
      </c>
      <c r="Y97" s="95">
        <f>Y58+Y62+Y80+Y76+Y92+Y96</f>
        <v>1597.19</v>
      </c>
      <c r="Z97" s="95">
        <f>Z58+Z62+Z80+Z76+Z92+Z96</f>
        <v>1523.85</v>
      </c>
      <c r="AA97" s="95">
        <f t="shared" si="32"/>
        <v>1478.0900000000001</v>
      </c>
      <c r="AB97" s="95">
        <f t="shared" si="32"/>
        <v>1433.5900000000001</v>
      </c>
      <c r="AC97" s="95">
        <f t="shared" si="32"/>
        <v>1399.79</v>
      </c>
      <c r="AD97" s="95">
        <f t="shared" si="32"/>
        <v>1353.99</v>
      </c>
      <c r="AE97" s="95">
        <f t="shared" si="32"/>
        <v>1355.69</v>
      </c>
      <c r="AF97" s="95">
        <f t="shared" si="32"/>
        <v>1268.99</v>
      </c>
      <c r="AG97" s="61">
        <f t="shared" si="32"/>
        <v>2231.81</v>
      </c>
      <c r="AH97" s="47">
        <f t="shared" si="24"/>
        <v>1601.5900000000001</v>
      </c>
      <c r="AI97" s="48">
        <f t="shared" si="25"/>
        <v>1149.8899999999999</v>
      </c>
    </row>
    <row r="98" spans="1:37" ht="15.75" thickBot="1" x14ac:dyDescent="0.3">
      <c r="A98" s="96" t="s">
        <v>100</v>
      </c>
      <c r="B98" s="97">
        <v>0</v>
      </c>
      <c r="C98" s="97">
        <v>0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0</v>
      </c>
      <c r="J98" s="97">
        <v>0</v>
      </c>
      <c r="K98" s="97">
        <v>150</v>
      </c>
      <c r="L98" s="97">
        <v>300</v>
      </c>
      <c r="M98" s="97">
        <v>280</v>
      </c>
      <c r="N98" s="97">
        <v>260</v>
      </c>
      <c r="O98" s="97">
        <v>260</v>
      </c>
      <c r="P98" s="97">
        <v>200</v>
      </c>
      <c r="Q98" s="97"/>
      <c r="R98" s="97"/>
      <c r="S98" s="97"/>
      <c r="T98" s="97"/>
      <c r="U98" s="97"/>
      <c r="V98" s="97"/>
      <c r="W98" s="97">
        <v>150</v>
      </c>
      <c r="X98" s="97">
        <v>200</v>
      </c>
      <c r="Y98" s="97">
        <v>250</v>
      </c>
      <c r="Z98" s="97">
        <v>280</v>
      </c>
      <c r="AA98" s="97">
        <v>250</v>
      </c>
      <c r="AB98" s="97">
        <v>250</v>
      </c>
      <c r="AC98" s="97">
        <v>250</v>
      </c>
      <c r="AD98" s="97"/>
      <c r="AE98" s="97"/>
      <c r="AF98" s="97"/>
      <c r="AG98" s="88"/>
      <c r="AH98" s="47">
        <f t="shared" si="24"/>
        <v>300</v>
      </c>
      <c r="AI98" s="48">
        <f t="shared" si="25"/>
        <v>0</v>
      </c>
    </row>
    <row r="99" spans="1:37" ht="15.75" thickBot="1" x14ac:dyDescent="0.3">
      <c r="A99" s="74" t="s">
        <v>101</v>
      </c>
      <c r="B99" s="95">
        <f t="shared" ref="B99:C99" si="34">B97+B98</f>
        <v>1190.79</v>
      </c>
      <c r="C99" s="95">
        <f t="shared" si="34"/>
        <v>1194.69</v>
      </c>
      <c r="D99" s="95">
        <f t="shared" ref="D99" si="35">D97+D98</f>
        <v>1151.29</v>
      </c>
      <c r="E99" s="95">
        <f t="shared" ref="E99:AF99" si="36">E97+E98</f>
        <v>1149.8899999999999</v>
      </c>
      <c r="F99" s="95">
        <f t="shared" si="36"/>
        <v>1168.69</v>
      </c>
      <c r="G99" s="95">
        <f t="shared" si="36"/>
        <v>1266.5900000000001</v>
      </c>
      <c r="H99" s="95">
        <f t="shared" si="36"/>
        <v>1340.39</v>
      </c>
      <c r="I99" s="95">
        <f t="shared" si="36"/>
        <v>1433.79</v>
      </c>
      <c r="J99" s="95">
        <f t="shared" si="36"/>
        <v>1588.8899999999999</v>
      </c>
      <c r="K99" s="95">
        <f t="shared" si="36"/>
        <v>1719.8899999999999</v>
      </c>
      <c r="L99" s="95">
        <f t="shared" si="36"/>
        <v>1795.79</v>
      </c>
      <c r="M99" s="95">
        <f t="shared" si="36"/>
        <v>1717.59</v>
      </c>
      <c r="N99" s="95">
        <f t="shared" si="36"/>
        <v>1704.09</v>
      </c>
      <c r="O99" s="95">
        <f t="shared" si="36"/>
        <v>1650.79</v>
      </c>
      <c r="P99" s="95">
        <f t="shared" si="36"/>
        <v>1577.19</v>
      </c>
      <c r="Q99" s="95">
        <f t="shared" si="36"/>
        <v>1558.19</v>
      </c>
      <c r="R99" s="95">
        <f t="shared" si="36"/>
        <v>1565.99</v>
      </c>
      <c r="S99" s="95">
        <f t="shared" si="36"/>
        <v>1525.5900000000001</v>
      </c>
      <c r="T99" s="95">
        <f t="shared" si="36"/>
        <v>1601.5900000000001</v>
      </c>
      <c r="U99" s="95">
        <f t="shared" ref="U99" si="37">U97+U98</f>
        <v>1504.5900000000001</v>
      </c>
      <c r="V99" s="95">
        <f t="shared" si="36"/>
        <v>1307.49</v>
      </c>
      <c r="W99" s="95">
        <f t="shared" si="36"/>
        <v>1513.99</v>
      </c>
      <c r="X99" s="95">
        <f t="shared" si="36"/>
        <v>1672.8899999999999</v>
      </c>
      <c r="Y99" s="95">
        <f>Y97+Y98</f>
        <v>1847.19</v>
      </c>
      <c r="Z99" s="95">
        <f>Z97+Z98</f>
        <v>1803.85</v>
      </c>
      <c r="AA99" s="95">
        <f t="shared" si="36"/>
        <v>1728.0900000000001</v>
      </c>
      <c r="AB99" s="95">
        <f t="shared" si="36"/>
        <v>1683.5900000000001</v>
      </c>
      <c r="AC99" s="95">
        <f t="shared" si="36"/>
        <v>1649.79</v>
      </c>
      <c r="AD99" s="95">
        <f t="shared" si="36"/>
        <v>1353.99</v>
      </c>
      <c r="AE99" s="95">
        <f t="shared" si="36"/>
        <v>1355.69</v>
      </c>
      <c r="AF99" s="95">
        <f t="shared" si="36"/>
        <v>1268.99</v>
      </c>
      <c r="AG99" s="88">
        <f>AG96+AG92+AG80+AG76+AG58+AG98</f>
        <v>1693.71</v>
      </c>
      <c r="AH99" s="47">
        <f t="shared" si="24"/>
        <v>1847.19</v>
      </c>
      <c r="AI99" s="48">
        <f t="shared" si="25"/>
        <v>1149.8899999999999</v>
      </c>
    </row>
    <row r="100" spans="1:37" ht="15.75" thickBot="1" x14ac:dyDescent="0.3">
      <c r="A100" s="74" t="s">
        <v>102</v>
      </c>
      <c r="B100" s="95">
        <f t="shared" ref="B100:C100" si="38">B99-(B107)</f>
        <v>1190.79</v>
      </c>
      <c r="C100" s="95">
        <f t="shared" si="38"/>
        <v>1194.69</v>
      </c>
      <c r="D100" s="95">
        <f t="shared" ref="D100" si="39">D99-(D107)</f>
        <v>1151.29</v>
      </c>
      <c r="E100" s="95">
        <f t="shared" ref="E100:M100" si="40">E99-(E107)</f>
        <v>1149.8899999999999</v>
      </c>
      <c r="F100" s="95">
        <f t="shared" si="40"/>
        <v>1168.69</v>
      </c>
      <c r="G100" s="95">
        <f t="shared" si="40"/>
        <v>1266.5900000000001</v>
      </c>
      <c r="H100" s="95">
        <f t="shared" si="40"/>
        <v>1340.39</v>
      </c>
      <c r="I100" s="95">
        <f t="shared" si="40"/>
        <v>1433.79</v>
      </c>
      <c r="J100" s="95">
        <f t="shared" si="40"/>
        <v>1588.8899999999999</v>
      </c>
      <c r="K100" s="95">
        <f t="shared" si="40"/>
        <v>1719.8899999999999</v>
      </c>
      <c r="L100" s="95">
        <f t="shared" si="40"/>
        <v>1795.79</v>
      </c>
      <c r="M100" s="95">
        <f t="shared" si="40"/>
        <v>1717.59</v>
      </c>
      <c r="N100" s="95">
        <f>N99-(N107)</f>
        <v>1704.09</v>
      </c>
      <c r="O100" s="95">
        <f t="shared" ref="O100:AF100" si="41">O99-(O107)</f>
        <v>1650.79</v>
      </c>
      <c r="P100" s="95">
        <f t="shared" si="41"/>
        <v>1577.19</v>
      </c>
      <c r="Q100" s="95">
        <f t="shared" si="41"/>
        <v>1558.19</v>
      </c>
      <c r="R100" s="95">
        <f t="shared" si="41"/>
        <v>1565.99</v>
      </c>
      <c r="S100" s="95">
        <f t="shared" si="41"/>
        <v>1525.5900000000001</v>
      </c>
      <c r="T100" s="95">
        <f t="shared" si="41"/>
        <v>1601.5900000000001</v>
      </c>
      <c r="U100" s="95">
        <f t="shared" ref="U100" si="42">U99-(U107)</f>
        <v>1503.5900000000001</v>
      </c>
      <c r="V100" s="95">
        <f t="shared" si="41"/>
        <v>1307.49</v>
      </c>
      <c r="W100" s="95">
        <f t="shared" si="41"/>
        <v>1513.99</v>
      </c>
      <c r="X100" s="95">
        <f t="shared" si="41"/>
        <v>1672.8899999999999</v>
      </c>
      <c r="Y100" s="95">
        <f t="shared" si="41"/>
        <v>1847.19</v>
      </c>
      <c r="Z100" s="95">
        <f t="shared" si="41"/>
        <v>1803.85</v>
      </c>
      <c r="AA100" s="95">
        <f t="shared" si="41"/>
        <v>1728.0900000000001</v>
      </c>
      <c r="AB100" s="95">
        <f t="shared" si="41"/>
        <v>1683.5900000000001</v>
      </c>
      <c r="AC100" s="95">
        <f t="shared" si="41"/>
        <v>1649.79</v>
      </c>
      <c r="AD100" s="95">
        <f t="shared" si="41"/>
        <v>1353.99</v>
      </c>
      <c r="AE100" s="95">
        <f t="shared" si="41"/>
        <v>1355.69</v>
      </c>
      <c r="AF100" s="95">
        <f t="shared" si="41"/>
        <v>1268.99</v>
      </c>
      <c r="AG100" s="88"/>
      <c r="AH100" s="47">
        <f t="shared" si="24"/>
        <v>1847.19</v>
      </c>
      <c r="AI100" s="48">
        <f t="shared" si="25"/>
        <v>1149.8899999999999</v>
      </c>
    </row>
    <row r="101" spans="1:37" x14ac:dyDescent="0.25">
      <c r="A101" s="44" t="s">
        <v>84</v>
      </c>
      <c r="B101" s="76">
        <f t="shared" ref="B101:C101" si="43">IF(B84&lt;0,B84*-1,0)</f>
        <v>0</v>
      </c>
      <c r="C101" s="76">
        <f t="shared" si="43"/>
        <v>0</v>
      </c>
      <c r="D101" s="76">
        <f t="shared" ref="D101" si="44">IF(D84&lt;0,D84*-1,0)</f>
        <v>0</v>
      </c>
      <c r="E101" s="76">
        <f t="shared" ref="E101:AF101" si="45">IF(E84&lt;0,E84*-1,0)</f>
        <v>0</v>
      </c>
      <c r="F101" s="76">
        <f t="shared" si="45"/>
        <v>0</v>
      </c>
      <c r="G101" s="76">
        <f t="shared" si="45"/>
        <v>0</v>
      </c>
      <c r="H101" s="76">
        <f t="shared" si="45"/>
        <v>0</v>
      </c>
      <c r="I101" s="76">
        <f t="shared" si="45"/>
        <v>0</v>
      </c>
      <c r="J101" s="76">
        <f t="shared" si="45"/>
        <v>0</v>
      </c>
      <c r="K101" s="76">
        <f t="shared" si="45"/>
        <v>0</v>
      </c>
      <c r="L101" s="76">
        <f t="shared" si="45"/>
        <v>0</v>
      </c>
      <c r="M101" s="76">
        <f t="shared" si="45"/>
        <v>0</v>
      </c>
      <c r="N101" s="76">
        <f t="shared" si="45"/>
        <v>0</v>
      </c>
      <c r="O101" s="76">
        <f t="shared" si="45"/>
        <v>0</v>
      </c>
      <c r="P101" s="76">
        <f t="shared" si="45"/>
        <v>0</v>
      </c>
      <c r="Q101" s="76">
        <f t="shared" si="45"/>
        <v>0</v>
      </c>
      <c r="R101" s="76">
        <f t="shared" si="45"/>
        <v>0</v>
      </c>
      <c r="S101" s="76">
        <f t="shared" si="45"/>
        <v>0</v>
      </c>
      <c r="T101" s="76">
        <f t="shared" si="45"/>
        <v>0</v>
      </c>
      <c r="U101" s="76">
        <f t="shared" ref="U101" si="46">IF(U84&lt;0,U84*-1,0)</f>
        <v>0</v>
      </c>
      <c r="V101" s="76">
        <f t="shared" si="45"/>
        <v>0</v>
      </c>
      <c r="W101" s="76">
        <f t="shared" si="45"/>
        <v>0</v>
      </c>
      <c r="X101" s="76">
        <f t="shared" si="45"/>
        <v>0</v>
      </c>
      <c r="Y101" s="76">
        <f t="shared" si="45"/>
        <v>0</v>
      </c>
      <c r="Z101" s="76">
        <f t="shared" si="45"/>
        <v>0</v>
      </c>
      <c r="AA101" s="76">
        <f t="shared" si="45"/>
        <v>0</v>
      </c>
      <c r="AB101" s="76">
        <f t="shared" si="45"/>
        <v>0</v>
      </c>
      <c r="AC101" s="76">
        <f t="shared" si="45"/>
        <v>0</v>
      </c>
      <c r="AD101" s="76">
        <f t="shared" si="45"/>
        <v>0</v>
      </c>
      <c r="AE101" s="76">
        <f t="shared" si="45"/>
        <v>0</v>
      </c>
      <c r="AF101" s="76">
        <f t="shared" si="45"/>
        <v>0</v>
      </c>
      <c r="AG101" s="52"/>
      <c r="AH101" s="47">
        <f t="shared" si="24"/>
        <v>0</v>
      </c>
      <c r="AI101" s="48">
        <f t="shared" si="25"/>
        <v>0</v>
      </c>
    </row>
    <row r="102" spans="1:37" x14ac:dyDescent="0.25">
      <c r="A102" s="54" t="s">
        <v>82</v>
      </c>
      <c r="B102" s="76">
        <f t="shared" ref="B102:C102" si="47">IF(B82&lt;0,B82*-1,0)</f>
        <v>0</v>
      </c>
      <c r="C102" s="76">
        <f t="shared" si="47"/>
        <v>0</v>
      </c>
      <c r="D102" s="76">
        <f t="shared" ref="D102" si="48">IF(D82&lt;0,D82*-1,0)</f>
        <v>0</v>
      </c>
      <c r="E102" s="76">
        <f t="shared" ref="E102:AF102" si="49">IF(E82&lt;0,E82*-1,0)</f>
        <v>0</v>
      </c>
      <c r="F102" s="76">
        <f t="shared" si="49"/>
        <v>0</v>
      </c>
      <c r="G102" s="76">
        <f t="shared" si="49"/>
        <v>0</v>
      </c>
      <c r="H102" s="76">
        <f t="shared" si="49"/>
        <v>0</v>
      </c>
      <c r="I102" s="76">
        <f t="shared" si="49"/>
        <v>0</v>
      </c>
      <c r="J102" s="76">
        <f t="shared" si="49"/>
        <v>0</v>
      </c>
      <c r="K102" s="76">
        <f t="shared" si="49"/>
        <v>0</v>
      </c>
      <c r="L102" s="76">
        <f t="shared" si="49"/>
        <v>0</v>
      </c>
      <c r="M102" s="76">
        <f t="shared" si="49"/>
        <v>0</v>
      </c>
      <c r="N102" s="76">
        <f t="shared" si="49"/>
        <v>0</v>
      </c>
      <c r="O102" s="76">
        <f t="shared" si="49"/>
        <v>0</v>
      </c>
      <c r="P102" s="76">
        <f t="shared" si="49"/>
        <v>0</v>
      </c>
      <c r="Q102" s="76">
        <f t="shared" si="49"/>
        <v>0</v>
      </c>
      <c r="R102" s="76">
        <f t="shared" si="49"/>
        <v>0</v>
      </c>
      <c r="S102" s="76">
        <f t="shared" si="49"/>
        <v>0</v>
      </c>
      <c r="T102" s="76">
        <f t="shared" si="49"/>
        <v>0</v>
      </c>
      <c r="U102" s="76">
        <f t="shared" ref="U102" si="50">IF(U82&lt;0,U82*-1,0)</f>
        <v>0</v>
      </c>
      <c r="V102" s="76">
        <f t="shared" si="49"/>
        <v>0</v>
      </c>
      <c r="W102" s="76">
        <f t="shared" si="49"/>
        <v>0</v>
      </c>
      <c r="X102" s="76">
        <f t="shared" si="49"/>
        <v>0</v>
      </c>
      <c r="Y102" s="76">
        <f t="shared" si="49"/>
        <v>0</v>
      </c>
      <c r="Z102" s="76">
        <f t="shared" si="49"/>
        <v>0</v>
      </c>
      <c r="AA102" s="76">
        <f t="shared" si="49"/>
        <v>0</v>
      </c>
      <c r="AB102" s="76">
        <f t="shared" si="49"/>
        <v>0</v>
      </c>
      <c r="AC102" s="76">
        <f t="shared" si="49"/>
        <v>0</v>
      </c>
      <c r="AD102" s="76">
        <f t="shared" si="49"/>
        <v>0</v>
      </c>
      <c r="AE102" s="76">
        <f t="shared" si="49"/>
        <v>0</v>
      </c>
      <c r="AF102" s="76">
        <f t="shared" si="49"/>
        <v>0</v>
      </c>
      <c r="AG102" s="55"/>
      <c r="AH102" s="47">
        <f t="shared" si="24"/>
        <v>0</v>
      </c>
      <c r="AI102" s="48">
        <f t="shared" si="25"/>
        <v>0</v>
      </c>
    </row>
    <row r="103" spans="1:37" x14ac:dyDescent="0.25">
      <c r="A103" s="84" t="s">
        <v>103</v>
      </c>
      <c r="B103" s="76">
        <f t="shared" ref="B103:C103" si="51">IF(B85&lt;0,B85*-1,0)</f>
        <v>0</v>
      </c>
      <c r="C103" s="76">
        <f t="shared" si="51"/>
        <v>0</v>
      </c>
      <c r="D103" s="76">
        <f t="shared" ref="D103" si="52">IF(D85&lt;0,D85*-1,0)</f>
        <v>0</v>
      </c>
      <c r="E103" s="76">
        <f t="shared" ref="E103:AF103" si="53">IF(E85&lt;0,E85*-1,0)</f>
        <v>0</v>
      </c>
      <c r="F103" s="76">
        <f t="shared" si="53"/>
        <v>0</v>
      </c>
      <c r="G103" s="76">
        <f t="shared" si="53"/>
        <v>0</v>
      </c>
      <c r="H103" s="76">
        <f t="shared" si="53"/>
        <v>0</v>
      </c>
      <c r="I103" s="76">
        <f t="shared" si="53"/>
        <v>0</v>
      </c>
      <c r="J103" s="76">
        <f t="shared" si="53"/>
        <v>0</v>
      </c>
      <c r="K103" s="76">
        <f t="shared" si="53"/>
        <v>0</v>
      </c>
      <c r="L103" s="76">
        <f t="shared" si="53"/>
        <v>0</v>
      </c>
      <c r="M103" s="76">
        <f t="shared" si="53"/>
        <v>0</v>
      </c>
      <c r="N103" s="76">
        <f t="shared" si="53"/>
        <v>0</v>
      </c>
      <c r="O103" s="76">
        <f t="shared" si="53"/>
        <v>0</v>
      </c>
      <c r="P103" s="76">
        <f t="shared" si="53"/>
        <v>0</v>
      </c>
      <c r="Q103" s="76">
        <f t="shared" si="53"/>
        <v>0</v>
      </c>
      <c r="R103" s="76">
        <f t="shared" si="53"/>
        <v>0</v>
      </c>
      <c r="S103" s="76">
        <f t="shared" si="53"/>
        <v>0</v>
      </c>
      <c r="T103" s="76">
        <f t="shared" si="53"/>
        <v>0</v>
      </c>
      <c r="U103" s="76">
        <f t="shared" ref="U103" si="54">IF(U85&lt;0,U85*-1,0)</f>
        <v>0</v>
      </c>
      <c r="V103" s="76">
        <f t="shared" si="53"/>
        <v>0</v>
      </c>
      <c r="W103" s="76">
        <f t="shared" si="53"/>
        <v>0</v>
      </c>
      <c r="X103" s="76">
        <f t="shared" si="53"/>
        <v>0</v>
      </c>
      <c r="Y103" s="76">
        <f t="shared" si="53"/>
        <v>0</v>
      </c>
      <c r="Z103" s="76">
        <f t="shared" si="53"/>
        <v>0</v>
      </c>
      <c r="AA103" s="76">
        <f t="shared" si="53"/>
        <v>0</v>
      </c>
      <c r="AB103" s="76">
        <f t="shared" si="53"/>
        <v>0</v>
      </c>
      <c r="AC103" s="76">
        <f t="shared" si="53"/>
        <v>0</v>
      </c>
      <c r="AD103" s="76">
        <f t="shared" si="53"/>
        <v>0</v>
      </c>
      <c r="AE103" s="76">
        <f t="shared" si="53"/>
        <v>0</v>
      </c>
      <c r="AF103" s="76">
        <f t="shared" si="53"/>
        <v>0</v>
      </c>
      <c r="AG103" s="98"/>
      <c r="AH103" s="47">
        <f t="shared" si="24"/>
        <v>0</v>
      </c>
      <c r="AI103" s="48">
        <f t="shared" si="25"/>
        <v>0</v>
      </c>
    </row>
    <row r="104" spans="1:37" x14ac:dyDescent="0.25">
      <c r="A104" s="84" t="s">
        <v>104</v>
      </c>
      <c r="B104" s="76">
        <f t="shared" ref="B104:C104" si="55">IF(B83&lt;0,B83*-1,0)</f>
        <v>0</v>
      </c>
      <c r="C104" s="76">
        <f t="shared" si="55"/>
        <v>0</v>
      </c>
      <c r="D104" s="76">
        <f t="shared" ref="D104" si="56">IF(D83&lt;0,D83*-1,0)</f>
        <v>0</v>
      </c>
      <c r="E104" s="76">
        <f t="shared" ref="E104:AF104" si="57">IF(E83&lt;0,E83*-1,0)</f>
        <v>0</v>
      </c>
      <c r="F104" s="76">
        <f t="shared" si="57"/>
        <v>0</v>
      </c>
      <c r="G104" s="76">
        <f t="shared" si="57"/>
        <v>0</v>
      </c>
      <c r="H104" s="76">
        <f t="shared" si="57"/>
        <v>0</v>
      </c>
      <c r="I104" s="76">
        <f t="shared" si="57"/>
        <v>0</v>
      </c>
      <c r="J104" s="76">
        <f t="shared" si="57"/>
        <v>0</v>
      </c>
      <c r="K104" s="76">
        <f t="shared" si="57"/>
        <v>0</v>
      </c>
      <c r="L104" s="76">
        <f t="shared" si="57"/>
        <v>0</v>
      </c>
      <c r="M104" s="76">
        <f t="shared" si="57"/>
        <v>0</v>
      </c>
      <c r="N104" s="76">
        <f t="shared" si="57"/>
        <v>0</v>
      </c>
      <c r="O104" s="76">
        <f t="shared" si="57"/>
        <v>0</v>
      </c>
      <c r="P104" s="76">
        <f t="shared" si="57"/>
        <v>0</v>
      </c>
      <c r="Q104" s="76">
        <f t="shared" si="57"/>
        <v>0</v>
      </c>
      <c r="R104" s="76">
        <f t="shared" si="57"/>
        <v>0</v>
      </c>
      <c r="S104" s="76">
        <f t="shared" si="57"/>
        <v>0</v>
      </c>
      <c r="T104" s="76">
        <f t="shared" si="57"/>
        <v>0</v>
      </c>
      <c r="U104" s="76">
        <f t="shared" ref="U104" si="58">IF(U83&lt;0,U83*-1,0)</f>
        <v>0</v>
      </c>
      <c r="V104" s="76">
        <f t="shared" si="57"/>
        <v>0</v>
      </c>
      <c r="W104" s="76">
        <f t="shared" si="57"/>
        <v>0</v>
      </c>
      <c r="X104" s="76">
        <f t="shared" si="57"/>
        <v>0</v>
      </c>
      <c r="Y104" s="76">
        <f t="shared" si="57"/>
        <v>0</v>
      </c>
      <c r="Z104" s="76">
        <f t="shared" si="57"/>
        <v>0</v>
      </c>
      <c r="AA104" s="76">
        <f t="shared" si="57"/>
        <v>0</v>
      </c>
      <c r="AB104" s="76">
        <f t="shared" si="57"/>
        <v>0</v>
      </c>
      <c r="AC104" s="76">
        <f t="shared" si="57"/>
        <v>0</v>
      </c>
      <c r="AD104" s="76">
        <f t="shared" si="57"/>
        <v>0</v>
      </c>
      <c r="AE104" s="76">
        <f t="shared" si="57"/>
        <v>0</v>
      </c>
      <c r="AF104" s="76">
        <f t="shared" si="57"/>
        <v>0</v>
      </c>
      <c r="AG104" s="98"/>
      <c r="AH104" s="47">
        <f t="shared" si="24"/>
        <v>0</v>
      </c>
      <c r="AI104" s="48">
        <f t="shared" si="25"/>
        <v>0</v>
      </c>
    </row>
    <row r="105" spans="1:37" x14ac:dyDescent="0.25">
      <c r="A105" s="84" t="s">
        <v>81</v>
      </c>
      <c r="B105" s="76">
        <f t="shared" ref="B105:C105" si="59">IF(B81&lt;0,B81*-1,0)</f>
        <v>0</v>
      </c>
      <c r="C105" s="76">
        <f t="shared" si="59"/>
        <v>0</v>
      </c>
      <c r="D105" s="76">
        <f t="shared" ref="D105" si="60">IF(D81&lt;0,D81*-1,0)</f>
        <v>0</v>
      </c>
      <c r="E105" s="76">
        <f t="shared" ref="E105:AF105" si="61">IF(E81&lt;0,E81*-1,0)</f>
        <v>0</v>
      </c>
      <c r="F105" s="76">
        <f t="shared" si="61"/>
        <v>0</v>
      </c>
      <c r="G105" s="76">
        <f t="shared" si="61"/>
        <v>0</v>
      </c>
      <c r="H105" s="76">
        <f t="shared" si="61"/>
        <v>0</v>
      </c>
      <c r="I105" s="76">
        <f t="shared" si="61"/>
        <v>0</v>
      </c>
      <c r="J105" s="76">
        <f t="shared" si="61"/>
        <v>0</v>
      </c>
      <c r="K105" s="76">
        <f t="shared" si="61"/>
        <v>0</v>
      </c>
      <c r="L105" s="76">
        <f t="shared" si="61"/>
        <v>0</v>
      </c>
      <c r="M105" s="76">
        <f t="shared" si="61"/>
        <v>0</v>
      </c>
      <c r="N105" s="76">
        <f t="shared" si="61"/>
        <v>0</v>
      </c>
      <c r="O105" s="76">
        <f t="shared" si="61"/>
        <v>0</v>
      </c>
      <c r="P105" s="76">
        <f t="shared" si="61"/>
        <v>0</v>
      </c>
      <c r="Q105" s="76">
        <f t="shared" si="61"/>
        <v>0</v>
      </c>
      <c r="R105" s="76">
        <f t="shared" si="61"/>
        <v>0</v>
      </c>
      <c r="S105" s="76">
        <f t="shared" si="61"/>
        <v>0</v>
      </c>
      <c r="T105" s="76">
        <f t="shared" si="61"/>
        <v>0</v>
      </c>
      <c r="U105" s="76">
        <f t="shared" ref="U105" si="62">IF(U81&lt;0,U81*-1,0)</f>
        <v>0</v>
      </c>
      <c r="V105" s="76">
        <f t="shared" si="61"/>
        <v>0</v>
      </c>
      <c r="W105" s="76">
        <f t="shared" si="61"/>
        <v>0</v>
      </c>
      <c r="X105" s="76">
        <f t="shared" si="61"/>
        <v>0</v>
      </c>
      <c r="Y105" s="76">
        <f t="shared" si="61"/>
        <v>0</v>
      </c>
      <c r="Z105" s="76">
        <f t="shared" si="61"/>
        <v>0</v>
      </c>
      <c r="AA105" s="76">
        <f t="shared" si="61"/>
        <v>0</v>
      </c>
      <c r="AB105" s="76">
        <f t="shared" si="61"/>
        <v>0</v>
      </c>
      <c r="AC105" s="76">
        <f t="shared" si="61"/>
        <v>0</v>
      </c>
      <c r="AD105" s="76">
        <f t="shared" si="61"/>
        <v>0</v>
      </c>
      <c r="AE105" s="76">
        <f t="shared" si="61"/>
        <v>0</v>
      </c>
      <c r="AF105" s="76">
        <f t="shared" si="61"/>
        <v>0</v>
      </c>
      <c r="AG105" s="98"/>
      <c r="AH105" s="47">
        <f t="shared" si="24"/>
        <v>0</v>
      </c>
      <c r="AI105" s="48">
        <f t="shared" si="25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1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4"/>
        <v>1</v>
      </c>
      <c r="AI106" s="48">
        <f t="shared" si="25"/>
        <v>0</v>
      </c>
    </row>
    <row r="107" spans="1:37" ht="15.75" thickBot="1" x14ac:dyDescent="0.3">
      <c r="A107" s="99" t="s">
        <v>106</v>
      </c>
      <c r="B107" s="60">
        <f t="shared" ref="B107:C107" si="63">SUM(B101:B106)</f>
        <v>0</v>
      </c>
      <c r="C107" s="60">
        <f t="shared" si="63"/>
        <v>0</v>
      </c>
      <c r="D107" s="60">
        <f t="shared" ref="D107" si="64">SUM(D101:D106)</f>
        <v>0</v>
      </c>
      <c r="E107" s="60">
        <f t="shared" ref="E107:AF107" si="65">SUM(E101:E106)</f>
        <v>0</v>
      </c>
      <c r="F107" s="60">
        <f t="shared" si="65"/>
        <v>0</v>
      </c>
      <c r="G107" s="60">
        <f t="shared" si="65"/>
        <v>0</v>
      </c>
      <c r="H107" s="60">
        <f t="shared" si="65"/>
        <v>0</v>
      </c>
      <c r="I107" s="60">
        <f t="shared" si="65"/>
        <v>0</v>
      </c>
      <c r="J107" s="60">
        <f t="shared" si="65"/>
        <v>0</v>
      </c>
      <c r="K107" s="60">
        <f t="shared" si="65"/>
        <v>0</v>
      </c>
      <c r="L107" s="60">
        <f t="shared" si="65"/>
        <v>0</v>
      </c>
      <c r="M107" s="60">
        <f t="shared" si="65"/>
        <v>0</v>
      </c>
      <c r="N107" s="60">
        <f t="shared" si="65"/>
        <v>0</v>
      </c>
      <c r="O107" s="60">
        <f t="shared" si="65"/>
        <v>0</v>
      </c>
      <c r="P107" s="60">
        <f t="shared" si="65"/>
        <v>0</v>
      </c>
      <c r="Q107" s="60">
        <f t="shared" si="65"/>
        <v>0</v>
      </c>
      <c r="R107" s="60">
        <f t="shared" si="65"/>
        <v>0</v>
      </c>
      <c r="S107" s="60">
        <f t="shared" si="65"/>
        <v>0</v>
      </c>
      <c r="T107" s="60">
        <f t="shared" si="65"/>
        <v>0</v>
      </c>
      <c r="U107" s="60">
        <f t="shared" ref="U107" si="66">SUM(U101:U106)</f>
        <v>1</v>
      </c>
      <c r="V107" s="60">
        <f t="shared" si="65"/>
        <v>0</v>
      </c>
      <c r="W107" s="60">
        <f t="shared" si="65"/>
        <v>0</v>
      </c>
      <c r="X107" s="60">
        <f t="shared" si="65"/>
        <v>0</v>
      </c>
      <c r="Y107" s="60">
        <f t="shared" si="65"/>
        <v>0</v>
      </c>
      <c r="Z107" s="60">
        <f t="shared" si="65"/>
        <v>0</v>
      </c>
      <c r="AA107" s="60">
        <f t="shared" si="65"/>
        <v>0</v>
      </c>
      <c r="AB107" s="60">
        <f t="shared" si="65"/>
        <v>0</v>
      </c>
      <c r="AC107" s="60">
        <f t="shared" si="65"/>
        <v>0</v>
      </c>
      <c r="AD107" s="60">
        <f t="shared" si="65"/>
        <v>0</v>
      </c>
      <c r="AE107" s="60">
        <f t="shared" si="65"/>
        <v>0</v>
      </c>
      <c r="AF107" s="60">
        <f t="shared" si="65"/>
        <v>0</v>
      </c>
      <c r="AG107" s="88"/>
      <c r="AH107" s="47">
        <f t="shared" si="24"/>
        <v>1</v>
      </c>
      <c r="AI107" s="48">
        <f t="shared" si="25"/>
        <v>0</v>
      </c>
      <c r="AK107" s="50"/>
    </row>
    <row r="108" spans="1:37" ht="15.75" thickBot="1" x14ac:dyDescent="0.3">
      <c r="A108" s="74" t="s">
        <v>107</v>
      </c>
      <c r="B108" s="60">
        <f t="shared" ref="B108:C108" si="67">B92-B107</f>
        <v>555.6</v>
      </c>
      <c r="C108" s="60">
        <f t="shared" si="67"/>
        <v>590.1</v>
      </c>
      <c r="D108" s="60">
        <f t="shared" ref="D108" si="68">D92-D107</f>
        <v>546.70000000000005</v>
      </c>
      <c r="E108" s="60">
        <f t="shared" ref="E108:AF108" si="69">E92-E107</f>
        <v>547.29999999999995</v>
      </c>
      <c r="F108" s="60">
        <f t="shared" si="69"/>
        <v>566.30000000000007</v>
      </c>
      <c r="G108" s="60">
        <f t="shared" si="69"/>
        <v>624.9</v>
      </c>
      <c r="H108" s="60">
        <f t="shared" si="69"/>
        <v>609.20000000000005</v>
      </c>
      <c r="I108" s="60">
        <f t="shared" si="69"/>
        <v>635</v>
      </c>
      <c r="J108" s="60">
        <f t="shared" si="69"/>
        <v>595.29999999999995</v>
      </c>
      <c r="K108" s="60">
        <f t="shared" si="69"/>
        <v>479.99999999999994</v>
      </c>
      <c r="L108" s="60">
        <f t="shared" si="69"/>
        <v>435.4</v>
      </c>
      <c r="M108" s="60">
        <f t="shared" si="69"/>
        <v>350.5</v>
      </c>
      <c r="N108" s="60">
        <f t="shared" si="69"/>
        <v>476.90000000000009</v>
      </c>
      <c r="O108" s="60">
        <f t="shared" si="69"/>
        <v>540.9</v>
      </c>
      <c r="P108" s="60">
        <f t="shared" si="69"/>
        <v>519.5</v>
      </c>
      <c r="Q108" s="60">
        <f t="shared" si="69"/>
        <v>724.8</v>
      </c>
      <c r="R108" s="60">
        <f t="shared" si="69"/>
        <v>721.4</v>
      </c>
      <c r="S108" s="60">
        <f t="shared" si="69"/>
        <v>722.5</v>
      </c>
      <c r="T108" s="60">
        <f t="shared" si="69"/>
        <v>813.5</v>
      </c>
      <c r="U108" s="60">
        <f t="shared" ref="U108" si="70">U92-U107</f>
        <v>719</v>
      </c>
      <c r="V108" s="60">
        <f t="shared" si="69"/>
        <v>572.70000000000005</v>
      </c>
      <c r="W108" s="60">
        <f t="shared" si="69"/>
        <v>584.6</v>
      </c>
      <c r="X108" s="60">
        <f t="shared" si="69"/>
        <v>587.5</v>
      </c>
      <c r="Y108" s="60">
        <f>Y92-Y107</f>
        <v>618.1</v>
      </c>
      <c r="Z108" s="60">
        <f>Z92-Z107</f>
        <v>537.79999999999995</v>
      </c>
      <c r="AA108" s="60">
        <f t="shared" si="69"/>
        <v>552.4</v>
      </c>
      <c r="AB108" s="60">
        <f t="shared" si="69"/>
        <v>539.30000000000007</v>
      </c>
      <c r="AC108" s="60">
        <f t="shared" si="69"/>
        <v>563.79999999999995</v>
      </c>
      <c r="AD108" s="60">
        <f t="shared" si="69"/>
        <v>588.29999999999995</v>
      </c>
      <c r="AE108" s="60">
        <f t="shared" si="69"/>
        <v>678.1</v>
      </c>
      <c r="AF108" s="60">
        <f t="shared" si="69"/>
        <v>663.1</v>
      </c>
      <c r="AG108" s="88"/>
      <c r="AH108" s="47">
        <f t="shared" si="24"/>
        <v>813.5</v>
      </c>
      <c r="AI108" s="48">
        <f t="shared" si="25"/>
        <v>350.5</v>
      </c>
    </row>
    <row r="109" spans="1:37" x14ac:dyDescent="0.25">
      <c r="A109" s="100" t="s">
        <v>108</v>
      </c>
      <c r="B109" s="101">
        <v>50.03</v>
      </c>
      <c r="C109" s="101">
        <v>49.97</v>
      </c>
      <c r="D109" s="101">
        <v>49.94</v>
      </c>
      <c r="E109" s="101">
        <v>49.948</v>
      </c>
      <c r="F109" s="101">
        <v>49.945</v>
      </c>
      <c r="G109" s="101">
        <v>50.011000000000003</v>
      </c>
      <c r="H109" s="101">
        <v>49.966999999999999</v>
      </c>
      <c r="I109" s="101">
        <v>49.826999999999998</v>
      </c>
      <c r="J109" s="101">
        <v>50.042999999999999</v>
      </c>
      <c r="K109" s="101">
        <v>50.109000000000002</v>
      </c>
      <c r="L109" s="101">
        <v>49.960999999999999</v>
      </c>
      <c r="M109" s="101">
        <v>50.06</v>
      </c>
      <c r="N109" s="101">
        <v>50.075000000000003</v>
      </c>
      <c r="O109" s="101">
        <v>49.981999999999999</v>
      </c>
      <c r="P109" s="101">
        <v>50.030999999999999</v>
      </c>
      <c r="Q109" s="101">
        <v>50.093000000000004</v>
      </c>
      <c r="R109" s="101">
        <v>49.975999999999999</v>
      </c>
      <c r="S109" s="101">
        <v>50.04</v>
      </c>
      <c r="T109" s="101">
        <v>49.959000000000003</v>
      </c>
      <c r="U109" s="101">
        <v>49.959000000000003</v>
      </c>
      <c r="V109" s="101">
        <v>50.052999999999997</v>
      </c>
      <c r="W109" s="101">
        <v>50.1</v>
      </c>
      <c r="X109" s="101">
        <v>49.99</v>
      </c>
      <c r="Y109" s="101">
        <v>50.042000000000002</v>
      </c>
      <c r="Z109" s="101">
        <v>49.963999999999999</v>
      </c>
      <c r="AA109" s="101">
        <v>50.026000000000003</v>
      </c>
      <c r="AB109" s="101">
        <v>50.057000000000002</v>
      </c>
      <c r="AC109" s="101">
        <v>50.017000000000003</v>
      </c>
      <c r="AD109" s="101">
        <v>50.02</v>
      </c>
      <c r="AE109" s="101">
        <v>49.99</v>
      </c>
      <c r="AF109" s="101">
        <v>50.05</v>
      </c>
      <c r="AG109" s="102"/>
      <c r="AH109" s="47">
        <f t="shared" si="24"/>
        <v>50.109000000000002</v>
      </c>
      <c r="AI109" s="48">
        <f t="shared" si="25"/>
        <v>49.826999999999998</v>
      </c>
    </row>
    <row r="110" spans="1:37" x14ac:dyDescent="0.25">
      <c r="A110" s="103" t="s">
        <v>109</v>
      </c>
      <c r="B110" s="65">
        <v>127.8</v>
      </c>
      <c r="C110" s="65">
        <v>127</v>
      </c>
      <c r="D110" s="65">
        <v>127</v>
      </c>
      <c r="E110" s="65">
        <v>128.30000000000001</v>
      </c>
      <c r="F110" s="65">
        <v>127.8</v>
      </c>
      <c r="G110" s="65">
        <v>127.4</v>
      </c>
      <c r="H110" s="65">
        <v>126.8</v>
      </c>
      <c r="I110" s="65">
        <v>125.3</v>
      </c>
      <c r="J110" s="65">
        <v>125.4</v>
      </c>
      <c r="K110" s="65">
        <v>127.7</v>
      </c>
      <c r="L110" s="65">
        <v>126.1</v>
      </c>
      <c r="M110" s="65">
        <v>125.8</v>
      </c>
      <c r="N110" s="65">
        <v>128.69999999999999</v>
      </c>
      <c r="O110" s="65">
        <v>124.6</v>
      </c>
      <c r="P110" s="65">
        <v>128.80000000000001</v>
      </c>
      <c r="Q110" s="65">
        <v>121.9</v>
      </c>
      <c r="R110" s="65">
        <v>122.9</v>
      </c>
      <c r="S110" s="65">
        <v>122.4</v>
      </c>
      <c r="T110" s="65">
        <v>121.1</v>
      </c>
      <c r="U110" s="65">
        <v>121.1</v>
      </c>
      <c r="V110" s="65">
        <v>128.30000000000001</v>
      </c>
      <c r="W110" s="65">
        <v>127.3</v>
      </c>
      <c r="X110" s="65">
        <v>127.9</v>
      </c>
      <c r="Y110" s="65">
        <v>127.3</v>
      </c>
      <c r="Z110" s="65">
        <v>127.8</v>
      </c>
      <c r="AA110" s="65">
        <v>129.5</v>
      </c>
      <c r="AB110" s="65">
        <v>129</v>
      </c>
      <c r="AC110" s="65">
        <v>130.30000000000001</v>
      </c>
      <c r="AD110" s="65">
        <v>128.36000000000001</v>
      </c>
      <c r="AE110" s="65">
        <v>128.5</v>
      </c>
      <c r="AF110" s="65">
        <v>128.6</v>
      </c>
      <c r="AG110" s="104"/>
      <c r="AH110" s="47">
        <f t="shared" si="24"/>
        <v>130.30000000000001</v>
      </c>
      <c r="AI110" s="48">
        <f t="shared" si="25"/>
        <v>121.1</v>
      </c>
    </row>
    <row r="111" spans="1:37" x14ac:dyDescent="0.25">
      <c r="A111" s="103" t="s">
        <v>110</v>
      </c>
      <c r="B111" s="65">
        <v>131.9</v>
      </c>
      <c r="C111" s="65">
        <v>131.19999999999999</v>
      </c>
      <c r="D111" s="65">
        <v>131.19999999999999</v>
      </c>
      <c r="E111" s="65">
        <v>132.4</v>
      </c>
      <c r="F111" s="65">
        <v>132.19999999999999</v>
      </c>
      <c r="G111" s="65">
        <v>131.30000000000001</v>
      </c>
      <c r="H111" s="65">
        <v>130.19999999999999</v>
      </c>
      <c r="I111" s="65">
        <v>128.69999999999999</v>
      </c>
      <c r="J111" s="65">
        <v>128.5</v>
      </c>
      <c r="K111" s="65">
        <v>128.9</v>
      </c>
      <c r="L111" s="65">
        <v>128</v>
      </c>
      <c r="M111" s="65">
        <v>127.6</v>
      </c>
      <c r="N111" s="65">
        <v>130.6</v>
      </c>
      <c r="O111" s="65">
        <v>125.7</v>
      </c>
      <c r="P111" s="65">
        <v>130.5</v>
      </c>
      <c r="Q111" s="65">
        <v>124.3</v>
      </c>
      <c r="R111" s="65">
        <v>125.9</v>
      </c>
      <c r="S111" s="65">
        <v>125.3</v>
      </c>
      <c r="T111" s="65">
        <v>124</v>
      </c>
      <c r="U111" s="65">
        <v>124</v>
      </c>
      <c r="V111" s="65">
        <v>129.5</v>
      </c>
      <c r="W111" s="65">
        <v>128.9</v>
      </c>
      <c r="X111" s="65">
        <v>130</v>
      </c>
      <c r="Y111" s="65">
        <v>129.30000000000001</v>
      </c>
      <c r="Z111" s="65">
        <v>129.4</v>
      </c>
      <c r="AA111" s="65">
        <v>131.4</v>
      </c>
      <c r="AB111" s="65">
        <v>131.1</v>
      </c>
      <c r="AC111" s="65">
        <v>132.19999999999999</v>
      </c>
      <c r="AD111" s="65">
        <v>130.5</v>
      </c>
      <c r="AE111" s="65">
        <v>130.69999999999999</v>
      </c>
      <c r="AF111" s="65">
        <v>132.1</v>
      </c>
      <c r="AG111" s="104"/>
      <c r="AH111" s="47">
        <f t="shared" si="24"/>
        <v>132.4</v>
      </c>
      <c r="AI111" s="48">
        <f t="shared" si="25"/>
        <v>124</v>
      </c>
    </row>
    <row r="112" spans="1:37" x14ac:dyDescent="0.25">
      <c r="A112" s="103" t="s">
        <v>111</v>
      </c>
      <c r="B112" s="65">
        <v>127.7</v>
      </c>
      <c r="C112" s="65">
        <v>129.4</v>
      </c>
      <c r="D112" s="65">
        <v>129.4</v>
      </c>
      <c r="E112" s="65">
        <v>127.5</v>
      </c>
      <c r="F112" s="65">
        <v>127.4</v>
      </c>
      <c r="G112" s="65">
        <v>128.80000000000001</v>
      </c>
      <c r="H112" s="65">
        <v>125.7</v>
      </c>
      <c r="I112" s="65">
        <v>127.5</v>
      </c>
      <c r="J112" s="65">
        <v>124.9</v>
      </c>
      <c r="K112" s="65">
        <v>127.3</v>
      </c>
      <c r="L112" s="65">
        <v>128.4</v>
      </c>
      <c r="M112" s="65">
        <v>128</v>
      </c>
      <c r="N112" s="65">
        <v>128</v>
      </c>
      <c r="O112" s="65">
        <v>128.30000000000001</v>
      </c>
      <c r="P112" s="65">
        <v>126.5</v>
      </c>
      <c r="Q112" s="65">
        <v>126.3</v>
      </c>
      <c r="R112" s="65">
        <v>127.9</v>
      </c>
      <c r="S112" s="65">
        <v>124</v>
      </c>
      <c r="T112" s="65">
        <v>126.5</v>
      </c>
      <c r="U112" s="65">
        <v>126.5</v>
      </c>
      <c r="V112" s="65">
        <v>130.80000000000001</v>
      </c>
      <c r="W112" s="65">
        <v>128.5</v>
      </c>
      <c r="X112" s="65">
        <v>128.5</v>
      </c>
      <c r="Y112" s="65">
        <v>127.3</v>
      </c>
      <c r="Z112" s="65">
        <v>128.5</v>
      </c>
      <c r="AA112" s="65">
        <v>128.30000000000001</v>
      </c>
      <c r="AB112" s="65">
        <v>128.19999999999999</v>
      </c>
      <c r="AC112" s="65">
        <v>126.8</v>
      </c>
      <c r="AD112" s="65">
        <v>130</v>
      </c>
      <c r="AE112" s="65">
        <v>126.9</v>
      </c>
      <c r="AF112" s="65">
        <v>129.6</v>
      </c>
      <c r="AG112" s="104"/>
      <c r="AH112" s="47">
        <f t="shared" si="24"/>
        <v>130.80000000000001</v>
      </c>
      <c r="AI112" s="48">
        <f t="shared" si="25"/>
        <v>124</v>
      </c>
    </row>
    <row r="113" spans="1:35" x14ac:dyDescent="0.25">
      <c r="A113" s="105" t="s">
        <v>112</v>
      </c>
      <c r="B113" s="65">
        <v>129.9</v>
      </c>
      <c r="C113" s="65">
        <v>132.4</v>
      </c>
      <c r="D113" s="65">
        <v>132.4</v>
      </c>
      <c r="E113" s="65">
        <v>130.19999999999999</v>
      </c>
      <c r="F113" s="65">
        <v>130.6</v>
      </c>
      <c r="G113" s="65">
        <v>130</v>
      </c>
      <c r="H113" s="65">
        <v>125.9</v>
      </c>
      <c r="I113" s="65">
        <v>128.4</v>
      </c>
      <c r="J113" s="65">
        <v>127</v>
      </c>
      <c r="K113" s="65">
        <v>128.6</v>
      </c>
      <c r="L113" s="65">
        <v>127.9</v>
      </c>
      <c r="M113" s="65">
        <v>127.4</v>
      </c>
      <c r="N113" s="65">
        <v>127.4</v>
      </c>
      <c r="O113" s="65">
        <v>128.19999999999999</v>
      </c>
      <c r="P113" s="65">
        <v>127.8</v>
      </c>
      <c r="Q113" s="65">
        <v>128.19999999999999</v>
      </c>
      <c r="R113" s="65">
        <v>131.19999999999999</v>
      </c>
      <c r="S113" s="65">
        <v>126.4</v>
      </c>
      <c r="T113" s="65">
        <v>128</v>
      </c>
      <c r="U113" s="65">
        <v>128</v>
      </c>
      <c r="V113" s="65">
        <v>131.4</v>
      </c>
      <c r="W113" s="65">
        <v>129.5</v>
      </c>
      <c r="X113" s="65">
        <v>128.4</v>
      </c>
      <c r="Y113" s="65">
        <v>127.4</v>
      </c>
      <c r="Z113" s="65">
        <v>129.4</v>
      </c>
      <c r="AA113" s="65">
        <v>129.6</v>
      </c>
      <c r="AB113" s="65">
        <v>130.9</v>
      </c>
      <c r="AC113" s="65">
        <v>129.69999999999999</v>
      </c>
      <c r="AD113" s="65">
        <v>132.9</v>
      </c>
      <c r="AE113" s="65">
        <v>129.9</v>
      </c>
      <c r="AF113" s="65">
        <v>132.1</v>
      </c>
      <c r="AG113" s="104"/>
      <c r="AH113" s="47">
        <f t="shared" si="24"/>
        <v>132.9</v>
      </c>
      <c r="AI113" s="48">
        <f t="shared" si="25"/>
        <v>125.9</v>
      </c>
    </row>
    <row r="114" spans="1:35" x14ac:dyDescent="0.25">
      <c r="A114" s="105" t="s">
        <v>113</v>
      </c>
      <c r="B114" s="106">
        <v>134.4</v>
      </c>
      <c r="C114" s="106">
        <v>131.4</v>
      </c>
      <c r="D114" s="106">
        <v>131.4</v>
      </c>
      <c r="E114" s="106">
        <v>130.9</v>
      </c>
      <c r="F114" s="106">
        <v>131.69999999999999</v>
      </c>
      <c r="G114" s="106">
        <v>130.30000000000001</v>
      </c>
      <c r="H114" s="106">
        <v>133.4</v>
      </c>
      <c r="I114" s="106">
        <v>131.6</v>
      </c>
      <c r="J114" s="106">
        <v>134.80000000000001</v>
      </c>
      <c r="K114" s="106">
        <v>134.6</v>
      </c>
      <c r="L114" s="106">
        <v>133.80000000000001</v>
      </c>
      <c r="M114" s="106">
        <v>132.9</v>
      </c>
      <c r="N114" s="106">
        <v>132.6</v>
      </c>
      <c r="O114" s="106">
        <v>130.19999999999999</v>
      </c>
      <c r="P114" s="106">
        <v>132.30000000000001</v>
      </c>
      <c r="Q114" s="106">
        <v>131.30000000000001</v>
      </c>
      <c r="R114" s="106">
        <v>131.80000000000001</v>
      </c>
      <c r="S114" s="106">
        <v>132.4</v>
      </c>
      <c r="T114" s="106">
        <v>132.80000000000001</v>
      </c>
      <c r="U114" s="106">
        <v>132.80000000000001</v>
      </c>
      <c r="V114" s="106">
        <v>133.69999999999999</v>
      </c>
      <c r="W114" s="106">
        <v>133.4</v>
      </c>
      <c r="X114" s="106">
        <v>133.30000000000001</v>
      </c>
      <c r="Y114" s="106">
        <v>132.6</v>
      </c>
      <c r="Z114" s="106">
        <v>133.1</v>
      </c>
      <c r="AA114" s="106">
        <v>134.9</v>
      </c>
      <c r="AB114" s="106">
        <v>135.30000000000001</v>
      </c>
      <c r="AC114" s="106">
        <v>136.1</v>
      </c>
      <c r="AD114" s="106">
        <v>134.19999999999999</v>
      </c>
      <c r="AE114" s="106">
        <v>131.80000000000001</v>
      </c>
      <c r="AF114" s="106">
        <v>134.19999999999999</v>
      </c>
      <c r="AG114" s="107"/>
      <c r="AH114" s="47">
        <f t="shared" si="24"/>
        <v>136.1</v>
      </c>
      <c r="AI114" s="48">
        <f t="shared" si="25"/>
        <v>130.19999999999999</v>
      </c>
    </row>
    <row r="115" spans="1:35" x14ac:dyDescent="0.25">
      <c r="A115" s="103" t="s">
        <v>114</v>
      </c>
      <c r="B115" s="65">
        <v>125.4</v>
      </c>
      <c r="C115" s="65">
        <v>124.6</v>
      </c>
      <c r="D115" s="65">
        <v>124.6</v>
      </c>
      <c r="E115" s="65">
        <v>126.2</v>
      </c>
      <c r="F115" s="65">
        <v>135.5</v>
      </c>
      <c r="G115" s="65">
        <v>126.8</v>
      </c>
      <c r="H115" s="65">
        <v>134.6</v>
      </c>
      <c r="I115" s="65">
        <v>126.2</v>
      </c>
      <c r="J115" s="65">
        <v>133.5</v>
      </c>
      <c r="K115" s="65">
        <v>134</v>
      </c>
      <c r="L115" s="65">
        <v>131.1</v>
      </c>
      <c r="M115" s="65">
        <v>130.30000000000001</v>
      </c>
      <c r="N115" s="65">
        <v>135.30000000000001</v>
      </c>
      <c r="O115" s="65">
        <v>126.4</v>
      </c>
      <c r="P115" s="65">
        <v>133.19999999999999</v>
      </c>
      <c r="Q115" s="65">
        <v>127.2</v>
      </c>
      <c r="R115" s="65">
        <v>129.6</v>
      </c>
      <c r="S115" s="65">
        <v>130</v>
      </c>
      <c r="T115" s="65">
        <v>129.1</v>
      </c>
      <c r="U115" s="65">
        <v>129.1</v>
      </c>
      <c r="V115" s="65">
        <v>132.30000000000001</v>
      </c>
      <c r="W115" s="65">
        <v>130.5</v>
      </c>
      <c r="X115" s="65">
        <v>128</v>
      </c>
      <c r="Y115" s="65">
        <v>132.5</v>
      </c>
      <c r="Z115" s="65">
        <v>136.4</v>
      </c>
      <c r="AA115" s="65">
        <v>132.4</v>
      </c>
      <c r="AB115" s="65">
        <v>134.69999999999999</v>
      </c>
      <c r="AC115" s="65">
        <v>135.6</v>
      </c>
      <c r="AD115" s="65">
        <v>134.4</v>
      </c>
      <c r="AE115" s="65">
        <v>133.4</v>
      </c>
      <c r="AF115" s="65">
        <v>130.6</v>
      </c>
      <c r="AG115" s="104"/>
      <c r="AH115" s="47">
        <f t="shared" si="24"/>
        <v>136.4</v>
      </c>
      <c r="AI115" s="48">
        <f t="shared" si="25"/>
        <v>124.6</v>
      </c>
    </row>
    <row r="116" spans="1:35" ht="15.75" thickBot="1" x14ac:dyDescent="0.3">
      <c r="A116" s="103" t="s">
        <v>115</v>
      </c>
      <c r="B116" s="92">
        <v>66.2</v>
      </c>
      <c r="C116" s="92">
        <v>66.2</v>
      </c>
      <c r="D116" s="92">
        <v>66.2</v>
      </c>
      <c r="E116" s="92">
        <v>66.7</v>
      </c>
      <c r="F116" s="92">
        <v>66.5</v>
      </c>
      <c r="G116" s="92">
        <v>66.2</v>
      </c>
      <c r="H116" s="92">
        <v>65.8</v>
      </c>
      <c r="I116" s="92">
        <v>64.7</v>
      </c>
      <c r="J116" s="92">
        <v>64.900000000000006</v>
      </c>
      <c r="K116" s="92">
        <v>65</v>
      </c>
      <c r="L116" s="92">
        <v>64</v>
      </c>
      <c r="M116" s="92">
        <v>63.8</v>
      </c>
      <c r="N116" s="92">
        <v>65.400000000000006</v>
      </c>
      <c r="O116" s="92">
        <v>63</v>
      </c>
      <c r="P116" s="92">
        <v>65.400000000000006</v>
      </c>
      <c r="Q116" s="92">
        <v>62.5</v>
      </c>
      <c r="R116" s="92">
        <v>63.1</v>
      </c>
      <c r="S116" s="92">
        <v>63.2</v>
      </c>
      <c r="T116" s="92">
        <v>62.5</v>
      </c>
      <c r="U116" s="92">
        <v>62.5</v>
      </c>
      <c r="V116" s="92">
        <v>65.099999999999994</v>
      </c>
      <c r="W116" s="92">
        <v>64.8</v>
      </c>
      <c r="X116" s="92">
        <v>65.2</v>
      </c>
      <c r="Y116" s="92">
        <v>64.900000000000006</v>
      </c>
      <c r="Z116" s="92">
        <v>64.7</v>
      </c>
      <c r="AA116" s="92">
        <v>66</v>
      </c>
      <c r="AB116" s="92">
        <v>65.5</v>
      </c>
      <c r="AC116" s="92">
        <v>66.2</v>
      </c>
      <c r="AD116" s="92">
        <v>65.3</v>
      </c>
      <c r="AE116" s="92">
        <v>65.599999999999994</v>
      </c>
      <c r="AF116" s="92">
        <v>66.5</v>
      </c>
      <c r="AG116" s="108"/>
      <c r="AH116" s="47">
        <f t="shared" si="24"/>
        <v>66.7</v>
      </c>
      <c r="AI116" s="48">
        <f t="shared" si="25"/>
        <v>62.5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4"/>
        <v>0</v>
      </c>
      <c r="AI117" s="48">
        <f t="shared" si="25"/>
        <v>0</v>
      </c>
    </row>
    <row r="118" spans="1:35" ht="15.75" thickBot="1" x14ac:dyDescent="0.3">
      <c r="A118" s="110" t="s">
        <v>117</v>
      </c>
      <c r="B118" s="111">
        <f t="shared" ref="B118:C118" si="71">SUM(B22,B28,B31:B32,B66,B68:B69,B71,B73,B119:B123,B155,B161,B167,B176,B178,B190,B197,B200:B201,B208,B210,B212,B216:B218,B220:B222,B227,B233:B234,B236:B238,B246,B251)</f>
        <v>156.36000000000001</v>
      </c>
      <c r="C118" s="111">
        <f t="shared" si="71"/>
        <v>148.88</v>
      </c>
      <c r="D118" s="111">
        <f t="shared" ref="D118" si="72">SUM(D22,D28,D31:D32,D66,D68:D69,D71,D73,D119:D123,D155,D161,D167,D176,D178,D190,D197,D200:D201,D208,D210,D212,D216:D218,D220:D222,D227,D233:D234,D236:D238,D246,D251)</f>
        <v>135.29999999999998</v>
      </c>
      <c r="E118" s="111">
        <f t="shared" ref="E118:O118" si="73">SUM(E22,E28,E31:E32,E66,E68:E69,E71,E73,E119:E123,E155,E161,E167,E176,E178,E190,E197,E200:E201,E208,E210,E212,E216:E218,E220:E222,E227,E233:E234,E236:E238,E246,E251)</f>
        <v>132.417</v>
      </c>
      <c r="F118" s="111">
        <f t="shared" si="73"/>
        <v>136.76999999999998</v>
      </c>
      <c r="G118" s="111">
        <f t="shared" si="73"/>
        <v>172.09899999999999</v>
      </c>
      <c r="H118" s="111">
        <f t="shared" si="73"/>
        <v>208.30899999999997</v>
      </c>
      <c r="I118" s="111">
        <f t="shared" si="73"/>
        <v>240.90999999999997</v>
      </c>
      <c r="J118" s="111">
        <f t="shared" si="73"/>
        <v>309.39799999999997</v>
      </c>
      <c r="K118" s="111">
        <f t="shared" si="73"/>
        <v>361.81099999999998</v>
      </c>
      <c r="L118" s="111">
        <f t="shared" si="73"/>
        <v>404.94799999999998</v>
      </c>
      <c r="M118" s="111">
        <f t="shared" si="73"/>
        <v>424.15600000000001</v>
      </c>
      <c r="N118" s="111">
        <f t="shared" si="73"/>
        <v>407.40100000000001</v>
      </c>
      <c r="O118" s="111">
        <f t="shared" si="73"/>
        <v>439.14</v>
      </c>
      <c r="P118" s="111">
        <v>42</v>
      </c>
      <c r="Q118" s="111">
        <f t="shared" ref="Q118:AC118" si="74">SUM(Q22,Q28,Q31:Q32,Q66,Q68:Q69,Q71,Q73,Q119:Q123,Q155,Q161,Q167,Q176,Q178,Q190,Q197,Q200:Q201,Q208,Q210,Q212,Q216:Q218,Q220:Q222,Q227,Q233:Q234,Q236:Q238,Q246,Q251)</f>
        <v>397.70400000000001</v>
      </c>
      <c r="R118" s="111">
        <f t="shared" si="74"/>
        <v>388.334</v>
      </c>
      <c r="S118" s="111">
        <f t="shared" si="74"/>
        <v>372.44</v>
      </c>
      <c r="T118" s="111">
        <f t="shared" si="74"/>
        <v>371.14000000000004</v>
      </c>
      <c r="U118" s="111">
        <f t="shared" ref="U118" si="75">SUM(U22,U28,U31:U32,U66,U68:U69,U71,U73,U119:U123,U155,U161,U167,U176,U178,U190,U197,U200:U201,U208,U210,U212,U216:U218,U220:U222,U227,U233:U234,U236:U238,U246,U251)</f>
        <v>367.64000000000004</v>
      </c>
      <c r="V118" s="111">
        <f t="shared" si="74"/>
        <v>358.14</v>
      </c>
      <c r="W118" s="111">
        <f t="shared" si="74"/>
        <v>366.54</v>
      </c>
      <c r="X118" s="111">
        <f t="shared" si="74"/>
        <v>393.74</v>
      </c>
      <c r="Y118" s="111">
        <f t="shared" ref="Y118:Z118" si="76">SUM(Y20,Y26,Y37:Y38,Y66,Y68:Y69,Y71,Y73,Y119:Y123,Y148,Y154,Y160,Y169,Y171,Y183,Y190,Y193:Y194,Y201,Y203,Y205,Y209:Y211,Y213:Y215,Y220,Y226:Y227,Y229:Y231,Y239,Y244)</f>
        <v>445.5</v>
      </c>
      <c r="Z118" s="111">
        <f t="shared" si="76"/>
        <v>443.5</v>
      </c>
      <c r="AA118" s="111">
        <f t="shared" si="74"/>
        <v>416.74</v>
      </c>
      <c r="AB118" s="111">
        <f t="shared" si="74"/>
        <v>399.26</v>
      </c>
      <c r="AC118" s="111">
        <f t="shared" si="74"/>
        <v>386.16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265.08</v>
      </c>
      <c r="AF118" s="111">
        <f>SUM(AF22,AF28,AF31:AF32,AF66,AF68:AF69,AF71,AF73,AF119:AF123,AF155,AF161,AF167,AF176,AF178,AF190,AF197,AF200:AF201,AF208,AF210,AF212,AF216:AF218,AF220:AF222,AF227,AF233:AF234,AF236:AF238,AF246,AF251)</f>
        <v>191.66</v>
      </c>
      <c r="AG118" s="112"/>
      <c r="AH118" s="47">
        <f t="shared" si="24"/>
        <v>445.5</v>
      </c>
      <c r="AI118" s="48">
        <f t="shared" si="25"/>
        <v>42</v>
      </c>
    </row>
    <row r="119" spans="1:35" x14ac:dyDescent="0.25">
      <c r="A119" s="172" t="s">
        <v>118</v>
      </c>
      <c r="B119" s="113">
        <v>-0.6</v>
      </c>
      <c r="C119" s="113">
        <v>-5.7</v>
      </c>
      <c r="D119" s="113">
        <v>-10.3</v>
      </c>
      <c r="E119" s="113">
        <v>-9.1</v>
      </c>
      <c r="F119" s="113">
        <v>-8.1</v>
      </c>
      <c r="G119" s="113">
        <v>-15</v>
      </c>
      <c r="H119" s="113">
        <v>2.2999999999999998</v>
      </c>
      <c r="I119" s="113">
        <v>4</v>
      </c>
      <c r="J119" s="113">
        <v>29.2</v>
      </c>
      <c r="K119" s="113">
        <v>28.6</v>
      </c>
      <c r="L119" s="113">
        <v>35.4</v>
      </c>
      <c r="M119" s="113">
        <v>36.4</v>
      </c>
      <c r="N119" s="113">
        <v>44.3</v>
      </c>
      <c r="O119" s="113">
        <v>40.9</v>
      </c>
      <c r="P119" s="113">
        <v>44</v>
      </c>
      <c r="Q119" s="113">
        <v>37.200000000000003</v>
      </c>
      <c r="R119" s="113">
        <v>36.200000000000003</v>
      </c>
      <c r="S119" s="113">
        <v>36</v>
      </c>
      <c r="T119" s="113">
        <v>31.8</v>
      </c>
      <c r="U119" s="113">
        <v>31.8</v>
      </c>
      <c r="V119" s="113">
        <v>27.2</v>
      </c>
      <c r="W119" s="113">
        <v>26.3</v>
      </c>
      <c r="X119" s="113">
        <v>34.299999999999997</v>
      </c>
      <c r="Y119" s="113">
        <v>40.1</v>
      </c>
      <c r="Z119" s="113">
        <v>37.9</v>
      </c>
      <c r="AA119" s="113">
        <v>32.700000000000003</v>
      </c>
      <c r="AB119" s="113">
        <v>28.9</v>
      </c>
      <c r="AC119" s="113">
        <v>31.2</v>
      </c>
      <c r="AD119" s="113">
        <v>29.8</v>
      </c>
      <c r="AE119" s="113">
        <v>7.6</v>
      </c>
      <c r="AF119" s="113">
        <v>-2.4</v>
      </c>
      <c r="AG119" s="114">
        <v>75</v>
      </c>
      <c r="AH119" s="47">
        <f t="shared" si="24"/>
        <v>44.3</v>
      </c>
      <c r="AI119" s="48">
        <f t="shared" si="25"/>
        <v>-15</v>
      </c>
    </row>
    <row r="120" spans="1:35" x14ac:dyDescent="0.25">
      <c r="A120" s="173" t="s">
        <v>119</v>
      </c>
      <c r="B120" s="115">
        <v>-1.2</v>
      </c>
      <c r="C120" s="115">
        <v>-7.3</v>
      </c>
      <c r="D120" s="115">
        <v>-13.8</v>
      </c>
      <c r="E120" s="115">
        <v>-12.9</v>
      </c>
      <c r="F120" s="115">
        <v>-10.199999999999999</v>
      </c>
      <c r="G120" s="115">
        <v>-20.399999999999999</v>
      </c>
      <c r="H120" s="115">
        <v>1.4</v>
      </c>
      <c r="I120" s="115">
        <v>3.4</v>
      </c>
      <c r="J120" s="115">
        <v>39.6</v>
      </c>
      <c r="K120" s="115">
        <v>39.799999999999997</v>
      </c>
      <c r="L120" s="115">
        <v>47.6</v>
      </c>
      <c r="M120" s="115">
        <v>48.9</v>
      </c>
      <c r="N120" s="115">
        <v>61.4</v>
      </c>
      <c r="O120" s="115">
        <v>54.6</v>
      </c>
      <c r="P120" s="115">
        <v>61.2</v>
      </c>
      <c r="Q120" s="115">
        <v>48</v>
      </c>
      <c r="R120" s="115">
        <v>46.9</v>
      </c>
      <c r="S120" s="115">
        <v>47</v>
      </c>
      <c r="T120" s="115">
        <v>40.200000000000003</v>
      </c>
      <c r="U120" s="115">
        <v>40.200000000000003</v>
      </c>
      <c r="V120" s="115">
        <v>38.9</v>
      </c>
      <c r="W120" s="115">
        <v>36.200000000000003</v>
      </c>
      <c r="X120" s="115">
        <v>45</v>
      </c>
      <c r="Y120" s="115">
        <v>53.1</v>
      </c>
      <c r="Z120" s="115">
        <v>49.3</v>
      </c>
      <c r="AA120" s="115">
        <v>43.7</v>
      </c>
      <c r="AB120" s="115">
        <v>38.5</v>
      </c>
      <c r="AC120" s="115">
        <v>42.8</v>
      </c>
      <c r="AD120" s="115">
        <v>35.200000000000003</v>
      </c>
      <c r="AE120" s="115">
        <v>5.9</v>
      </c>
      <c r="AF120" s="115">
        <v>-5.4</v>
      </c>
      <c r="AG120" s="114">
        <v>240</v>
      </c>
      <c r="AH120" s="47">
        <f t="shared" si="24"/>
        <v>61.4</v>
      </c>
      <c r="AI120" s="48">
        <f t="shared" si="25"/>
        <v>-20.399999999999999</v>
      </c>
    </row>
    <row r="121" spans="1:35" x14ac:dyDescent="0.25">
      <c r="A121" s="173" t="s">
        <v>120</v>
      </c>
      <c r="B121" s="115">
        <v>-38.4</v>
      </c>
      <c r="C121" s="115">
        <v>-37.9</v>
      </c>
      <c r="D121" s="115">
        <v>-36</v>
      </c>
      <c r="E121" s="115">
        <v>-36</v>
      </c>
      <c r="F121" s="115">
        <v>-40.1</v>
      </c>
      <c r="G121" s="115">
        <v>-8.1999999999999993</v>
      </c>
      <c r="H121" s="115">
        <v>-5.7</v>
      </c>
      <c r="I121" s="115">
        <v>-0.5</v>
      </c>
      <c r="J121" s="115">
        <v>7.3</v>
      </c>
      <c r="K121" s="115">
        <v>34.200000000000003</v>
      </c>
      <c r="L121" s="115">
        <v>52.9</v>
      </c>
      <c r="M121" s="115">
        <v>60</v>
      </c>
      <c r="N121" s="115">
        <v>24</v>
      </c>
      <c r="O121" s="115">
        <v>51.7</v>
      </c>
      <c r="P121" s="115">
        <v>25</v>
      </c>
      <c r="Q121" s="115">
        <v>40</v>
      </c>
      <c r="R121" s="115">
        <v>35.6</v>
      </c>
      <c r="S121" s="115">
        <v>31</v>
      </c>
      <c r="T121" s="115">
        <v>34</v>
      </c>
      <c r="U121" s="115">
        <v>34</v>
      </c>
      <c r="V121" s="115">
        <v>47</v>
      </c>
      <c r="W121" s="115">
        <v>50</v>
      </c>
      <c r="X121" s="115">
        <v>78</v>
      </c>
      <c r="Y121" s="115">
        <v>79</v>
      </c>
      <c r="Z121" s="115">
        <v>82</v>
      </c>
      <c r="AA121" s="115">
        <v>65</v>
      </c>
      <c r="AB121" s="115">
        <f>29+34</f>
        <v>63</v>
      </c>
      <c r="AC121" s="115">
        <f>25+29.4</f>
        <v>54.4</v>
      </c>
      <c r="AD121" s="115">
        <f>28.8+33.1</f>
        <v>61.900000000000006</v>
      </c>
      <c r="AE121" s="115">
        <f>9.8+11.8</f>
        <v>21.6</v>
      </c>
      <c r="AF121" s="115">
        <f>-1.9-2.4</f>
        <v>-4.3</v>
      </c>
      <c r="AG121" s="114">
        <v>240</v>
      </c>
      <c r="AH121" s="47">
        <f t="shared" si="24"/>
        <v>82</v>
      </c>
      <c r="AI121" s="48">
        <f t="shared" si="25"/>
        <v>-40.1</v>
      </c>
    </row>
    <row r="122" spans="1:35" ht="15.75" thickBot="1" x14ac:dyDescent="0.3">
      <c r="A122" s="173" t="s">
        <v>121</v>
      </c>
      <c r="B122" s="115">
        <v>-9.5</v>
      </c>
      <c r="C122" s="115">
        <v>-9.8000000000000007</v>
      </c>
      <c r="D122" s="115">
        <v>-9.6999999999999993</v>
      </c>
      <c r="E122" s="115">
        <v>-13.6</v>
      </c>
      <c r="F122" s="115">
        <v>-13.7</v>
      </c>
      <c r="G122" s="115">
        <v>-5.4</v>
      </c>
      <c r="H122" s="115">
        <v>-5.4</v>
      </c>
      <c r="I122" s="115">
        <v>-2.4</v>
      </c>
      <c r="J122" s="115">
        <v>0.8</v>
      </c>
      <c r="K122" s="115">
        <v>18.7</v>
      </c>
      <c r="L122" s="115">
        <v>26</v>
      </c>
      <c r="M122" s="115">
        <v>28</v>
      </c>
      <c r="N122" s="115">
        <v>21</v>
      </c>
      <c r="O122" s="115">
        <v>24.3</v>
      </c>
      <c r="P122" s="115">
        <v>23.3</v>
      </c>
      <c r="Q122" s="115">
        <v>11.1</v>
      </c>
      <c r="R122" s="115">
        <v>9.9</v>
      </c>
      <c r="S122" s="115">
        <v>5</v>
      </c>
      <c r="T122" s="115">
        <v>6</v>
      </c>
      <c r="U122" s="115">
        <v>6</v>
      </c>
      <c r="V122" s="115">
        <v>29.2</v>
      </c>
      <c r="W122" s="115">
        <v>29</v>
      </c>
      <c r="X122" s="115">
        <v>35</v>
      </c>
      <c r="Y122" s="115">
        <v>37</v>
      </c>
      <c r="Z122" s="115">
        <v>38</v>
      </c>
      <c r="AA122" s="115">
        <v>29.1</v>
      </c>
      <c r="AB122" s="115">
        <v>26.9</v>
      </c>
      <c r="AC122" s="115">
        <v>25.3</v>
      </c>
      <c r="AD122" s="115">
        <v>16.2</v>
      </c>
      <c r="AE122" s="115">
        <v>6.7</v>
      </c>
      <c r="AF122" s="115">
        <v>-2.4</v>
      </c>
      <c r="AG122" s="114">
        <v>60</v>
      </c>
      <c r="AH122" s="47">
        <f t="shared" si="24"/>
        <v>38</v>
      </c>
      <c r="AI122" s="48">
        <f t="shared" si="25"/>
        <v>-13.7</v>
      </c>
    </row>
    <row r="123" spans="1:35" x14ac:dyDescent="0.25">
      <c r="A123" s="172" t="s">
        <v>259</v>
      </c>
      <c r="B123" s="117">
        <f>69.2*1.6</f>
        <v>110.72000000000001</v>
      </c>
      <c r="C123" s="117">
        <f>71.4*1.6</f>
        <v>114.24000000000001</v>
      </c>
      <c r="D123" s="117">
        <f>68.6*1.6</f>
        <v>109.75999999999999</v>
      </c>
      <c r="E123" s="117">
        <f>67.9*1.63</f>
        <v>110.67700000000001</v>
      </c>
      <c r="F123" s="117">
        <f>71*1.63</f>
        <v>115.72999999999999</v>
      </c>
      <c r="G123" s="117">
        <f>79.3*1.63</f>
        <v>129.25899999999999</v>
      </c>
      <c r="H123" s="117">
        <f>76.3*1.63</f>
        <v>124.36899999999999</v>
      </c>
      <c r="I123" s="117">
        <f>89*1.63</f>
        <v>145.07</v>
      </c>
      <c r="J123" s="117">
        <f>86.6*1.63</f>
        <v>141.15799999999999</v>
      </c>
      <c r="K123" s="117">
        <f>91.7*1.63</f>
        <v>149.471</v>
      </c>
      <c r="L123" s="117">
        <f>91.6*1.63</f>
        <v>149.30799999999999</v>
      </c>
      <c r="M123" s="117">
        <f>94.8*1.67</f>
        <v>158.316</v>
      </c>
      <c r="N123" s="117">
        <f>98.3*1.67</f>
        <v>164.161</v>
      </c>
      <c r="O123" s="117">
        <v>170</v>
      </c>
      <c r="P123" s="117">
        <f>89.8*1.67</f>
        <v>149.96599999999998</v>
      </c>
      <c r="Q123" s="117">
        <f>99.2*1.67</f>
        <v>165.66399999999999</v>
      </c>
      <c r="R123" s="117">
        <f>98.2*1.67</f>
        <v>163.994</v>
      </c>
      <c r="S123" s="117">
        <v>160</v>
      </c>
      <c r="T123" s="117">
        <f>102*1.6</f>
        <v>163.20000000000002</v>
      </c>
      <c r="U123" s="117">
        <f>102*1.6</f>
        <v>163.20000000000002</v>
      </c>
      <c r="V123" s="117">
        <f>78*1.6</f>
        <v>124.80000000000001</v>
      </c>
      <c r="W123" s="117">
        <f>84*1.6</f>
        <v>134.4</v>
      </c>
      <c r="X123" s="117">
        <f>70*1.6</f>
        <v>112</v>
      </c>
      <c r="Y123" s="117">
        <v>142.4</v>
      </c>
      <c r="Z123" s="117">
        <f>89*1.6</f>
        <v>142.4</v>
      </c>
      <c r="AA123" s="117">
        <f>98*1.6</f>
        <v>156.80000000000001</v>
      </c>
      <c r="AB123" s="117">
        <f>93*1.64</f>
        <v>152.51999999999998</v>
      </c>
      <c r="AC123" s="117">
        <f>88*1.64</f>
        <v>144.32</v>
      </c>
      <c r="AD123" s="117">
        <f>73*1.64</f>
        <v>119.72</v>
      </c>
      <c r="AE123" s="117">
        <f>82.9*1.6</f>
        <v>132.64000000000001</v>
      </c>
      <c r="AF123" s="117">
        <f>72.2*1.6</f>
        <v>115.52000000000001</v>
      </c>
      <c r="AG123" s="118">
        <v>120</v>
      </c>
      <c r="AH123" s="47">
        <f t="shared" si="24"/>
        <v>170</v>
      </c>
      <c r="AI123" s="48">
        <f t="shared" si="25"/>
        <v>109.75999999999999</v>
      </c>
    </row>
    <row r="124" spans="1:35" x14ac:dyDescent="0.25">
      <c r="A124" s="173" t="s">
        <v>258</v>
      </c>
      <c r="B124" s="117">
        <v>81.400000000000006</v>
      </c>
      <c r="C124" s="117">
        <v>82.5</v>
      </c>
      <c r="D124" s="117">
        <v>78.8</v>
      </c>
      <c r="E124" s="117">
        <v>80.8</v>
      </c>
      <c r="F124" s="117">
        <v>82.2</v>
      </c>
      <c r="G124" s="117">
        <v>88.8</v>
      </c>
      <c r="H124" s="117">
        <v>86.1</v>
      </c>
      <c r="I124" s="117">
        <v>95.9</v>
      </c>
      <c r="J124" s="117">
        <v>94.6</v>
      </c>
      <c r="K124" s="117">
        <v>99.3</v>
      </c>
      <c r="L124" s="117">
        <v>98.6</v>
      </c>
      <c r="M124" s="117">
        <v>100.9</v>
      </c>
      <c r="N124" s="117">
        <v>103.4</v>
      </c>
      <c r="O124" s="117">
        <v>96.8</v>
      </c>
      <c r="P124" s="117">
        <v>96.7</v>
      </c>
      <c r="Q124" s="117">
        <v>104.3</v>
      </c>
      <c r="R124" s="117">
        <v>102.9</v>
      </c>
      <c r="S124" s="117">
        <v>98</v>
      </c>
      <c r="T124" s="117">
        <v>106.4</v>
      </c>
      <c r="U124" s="117">
        <v>106.4</v>
      </c>
      <c r="V124" s="117">
        <v>88</v>
      </c>
      <c r="W124" s="117">
        <v>93.1</v>
      </c>
      <c r="X124" s="117">
        <v>81</v>
      </c>
      <c r="Y124" s="117">
        <v>95.4</v>
      </c>
      <c r="Z124" s="117">
        <v>96</v>
      </c>
      <c r="AA124" s="117">
        <v>102.4</v>
      </c>
      <c r="AB124" s="117">
        <v>98.7</v>
      </c>
      <c r="AC124" s="117">
        <v>95</v>
      </c>
      <c r="AD124" s="117">
        <v>83.5</v>
      </c>
      <c r="AE124" s="117">
        <v>92.1</v>
      </c>
      <c r="AF124" s="117">
        <v>83.3</v>
      </c>
      <c r="AG124" s="118"/>
      <c r="AH124" s="47"/>
      <c r="AI124" s="48"/>
    </row>
    <row r="125" spans="1:35" x14ac:dyDescent="0.25">
      <c r="A125" s="173" t="s">
        <v>255</v>
      </c>
      <c r="B125" s="117">
        <v>77.3</v>
      </c>
      <c r="C125" s="117">
        <v>28</v>
      </c>
      <c r="D125" s="117">
        <v>21.4</v>
      </c>
      <c r="E125" s="117">
        <v>73</v>
      </c>
      <c r="F125" s="117">
        <v>71.7</v>
      </c>
      <c r="G125" s="117">
        <v>68</v>
      </c>
      <c r="H125" s="117">
        <v>44.8</v>
      </c>
      <c r="I125" s="117">
        <v>43.4</v>
      </c>
      <c r="J125" s="117">
        <v>0.5</v>
      </c>
      <c r="K125" s="117">
        <v>-16.899999999999999</v>
      </c>
      <c r="L125" s="117">
        <v>-30.2</v>
      </c>
      <c r="M125" s="117">
        <v>-31.6</v>
      </c>
      <c r="N125" s="117">
        <v>-26.4</v>
      </c>
      <c r="O125" s="117">
        <v>-38.299999999999997</v>
      </c>
      <c r="P125" s="117">
        <v>-27.3</v>
      </c>
      <c r="Q125" s="117">
        <v>-9.9</v>
      </c>
      <c r="R125" s="117">
        <v>-7.7</v>
      </c>
      <c r="S125" s="117">
        <v>8</v>
      </c>
      <c r="T125" s="117">
        <v>-1.7</v>
      </c>
      <c r="U125" s="117">
        <v>-1.7</v>
      </c>
      <c r="V125" s="117">
        <v>-16.3</v>
      </c>
      <c r="W125" s="117">
        <v>-14</v>
      </c>
      <c r="X125" s="117">
        <v>-51.4</v>
      </c>
      <c r="Y125" s="117">
        <v>-55.3</v>
      </c>
      <c r="Z125" s="117">
        <v>-55</v>
      </c>
      <c r="AA125" s="117">
        <v>-30</v>
      </c>
      <c r="AB125" s="117">
        <v>-27.5</v>
      </c>
      <c r="AC125" s="117">
        <v>-27</v>
      </c>
      <c r="AD125" s="117">
        <v>-26.9</v>
      </c>
      <c r="AE125" s="117">
        <v>35.799999999999997</v>
      </c>
      <c r="AF125" s="117">
        <v>57.9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75.2</v>
      </c>
      <c r="C126" s="117">
        <v>102</v>
      </c>
      <c r="D126" s="117">
        <v>93.5</v>
      </c>
      <c r="E126" s="117">
        <v>91.1</v>
      </c>
      <c r="F126" s="117">
        <v>98.4</v>
      </c>
      <c r="G126" s="117">
        <v>85.6</v>
      </c>
      <c r="H126" s="117">
        <v>84.7</v>
      </c>
      <c r="I126" s="117">
        <v>91.5</v>
      </c>
      <c r="J126" s="117">
        <v>84.2</v>
      </c>
      <c r="K126" s="117">
        <v>80.7</v>
      </c>
      <c r="L126" s="117">
        <v>96.7</v>
      </c>
      <c r="M126" s="117">
        <v>96</v>
      </c>
      <c r="N126" s="117">
        <v>50.7</v>
      </c>
      <c r="O126" s="117">
        <v>76.2</v>
      </c>
      <c r="P126" s="117">
        <v>71.400000000000006</v>
      </c>
      <c r="Q126" s="117">
        <v>94.6</v>
      </c>
      <c r="R126" s="117">
        <v>95</v>
      </c>
      <c r="S126" s="117">
        <v>90</v>
      </c>
      <c r="T126" s="117">
        <v>104.1</v>
      </c>
      <c r="U126" s="117">
        <v>104.1</v>
      </c>
      <c r="V126" s="117">
        <v>77</v>
      </c>
      <c r="W126" s="117">
        <v>75.3</v>
      </c>
      <c r="X126" s="117">
        <v>89.3</v>
      </c>
      <c r="Y126" s="117">
        <v>100</v>
      </c>
      <c r="Z126" s="117">
        <v>102</v>
      </c>
      <c r="AA126" s="117">
        <v>98</v>
      </c>
      <c r="AB126" s="117">
        <v>87</v>
      </c>
      <c r="AC126" s="117">
        <v>72.5</v>
      </c>
      <c r="AD126" s="117">
        <v>91.5</v>
      </c>
      <c r="AE126" s="117">
        <v>79.599999999999994</v>
      </c>
      <c r="AF126" s="117">
        <v>76.7</v>
      </c>
      <c r="AG126" s="114"/>
      <c r="AH126" s="47">
        <f t="shared" si="24"/>
        <v>104.1</v>
      </c>
      <c r="AI126" s="48">
        <f t="shared" si="25"/>
        <v>50.7</v>
      </c>
    </row>
    <row r="127" spans="1:35" x14ac:dyDescent="0.25">
      <c r="A127" s="172" t="s">
        <v>587</v>
      </c>
      <c r="B127" s="117">
        <v>7.7</v>
      </c>
      <c r="C127" s="117">
        <v>19.100000000000001</v>
      </c>
      <c r="D127" s="117">
        <v>23.2</v>
      </c>
      <c r="E127" s="117">
        <v>22.1</v>
      </c>
      <c r="F127" s="117">
        <v>19.2</v>
      </c>
      <c r="G127" s="117">
        <v>32</v>
      </c>
      <c r="H127" s="117">
        <v>28.7</v>
      </c>
      <c r="I127" s="117">
        <v>31.5</v>
      </c>
      <c r="J127" s="117">
        <v>8.6</v>
      </c>
      <c r="K127" s="117">
        <v>10.8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-13.4</v>
      </c>
      <c r="R127" s="117">
        <v>-13.3</v>
      </c>
      <c r="S127" s="117">
        <v>-15</v>
      </c>
      <c r="T127" s="117">
        <v>-8.1</v>
      </c>
      <c r="U127" s="117">
        <v>-8.1</v>
      </c>
      <c r="V127" s="117">
        <v>-6</v>
      </c>
      <c r="W127" s="117">
        <v>-5.0999999999999996</v>
      </c>
      <c r="X127" s="117">
        <v>-3.7</v>
      </c>
      <c r="Y127" s="117">
        <v>1</v>
      </c>
      <c r="Z127" s="117">
        <v>0</v>
      </c>
      <c r="AA127" s="117">
        <v>-1.3</v>
      </c>
      <c r="AB127" s="117">
        <v>-2.6</v>
      </c>
      <c r="AC127" s="117">
        <v>-3.8</v>
      </c>
      <c r="AD127" s="117">
        <v>2.1</v>
      </c>
      <c r="AE127" s="117">
        <v>15.9</v>
      </c>
      <c r="AF127" s="106">
        <v>18.399999999999999</v>
      </c>
      <c r="AG127" s="114"/>
      <c r="AH127" s="47">
        <f t="shared" si="24"/>
        <v>32</v>
      </c>
      <c r="AI127" s="48">
        <f t="shared" si="25"/>
        <v>-15</v>
      </c>
    </row>
    <row r="128" spans="1:35" x14ac:dyDescent="0.25">
      <c r="A128" s="173" t="s">
        <v>123</v>
      </c>
      <c r="B128" s="106">
        <v>-10.5</v>
      </c>
      <c r="C128" s="106">
        <v>-7.5</v>
      </c>
      <c r="D128" s="106">
        <v>-5.9</v>
      </c>
      <c r="E128" s="106">
        <v>-4.9000000000000004</v>
      </c>
      <c r="F128" s="106">
        <v>-5.7</v>
      </c>
      <c r="G128" s="106">
        <v>-13.3</v>
      </c>
      <c r="H128" s="106">
        <v>-18.7</v>
      </c>
      <c r="I128" s="106">
        <v>-27.6</v>
      </c>
      <c r="J128" s="106">
        <v>-41.1</v>
      </c>
      <c r="K128" s="106">
        <v>-45.2</v>
      </c>
      <c r="L128" s="106">
        <v>-46.2</v>
      </c>
      <c r="M128" s="106">
        <v>-43.8</v>
      </c>
      <c r="N128" s="106">
        <v>-38.5</v>
      </c>
      <c r="O128" s="106">
        <v>-29.4</v>
      </c>
      <c r="P128" s="106">
        <v>-19.5</v>
      </c>
      <c r="Q128" s="106">
        <v>-22.4</v>
      </c>
      <c r="R128" s="106">
        <v>-18.7</v>
      </c>
      <c r="S128" s="106">
        <v>-21</v>
      </c>
      <c r="T128" s="106">
        <v>-20</v>
      </c>
      <c r="U128" s="106">
        <v>-20</v>
      </c>
      <c r="V128" s="106">
        <v>-32</v>
      </c>
      <c r="W128" s="106">
        <v>-37.1</v>
      </c>
      <c r="X128" s="106">
        <v>-47</v>
      </c>
      <c r="Y128" s="106">
        <v>-50.3</v>
      </c>
      <c r="Z128" s="106">
        <v>-43.7</v>
      </c>
      <c r="AA128" s="106">
        <v>-41</v>
      </c>
      <c r="AB128" s="106">
        <v>-27.2</v>
      </c>
      <c r="AC128" s="106">
        <v>-25.5</v>
      </c>
      <c r="AD128" s="106">
        <v>-21.2</v>
      </c>
      <c r="AE128" s="106">
        <v>-13.6</v>
      </c>
      <c r="AF128" s="106">
        <v>-10</v>
      </c>
      <c r="AG128" s="114"/>
      <c r="AH128" s="47">
        <f t="shared" si="24"/>
        <v>-4.9000000000000004</v>
      </c>
      <c r="AI128" s="48">
        <f t="shared" si="25"/>
        <v>-50.3</v>
      </c>
    </row>
    <row r="129" spans="1:37" x14ac:dyDescent="0.25">
      <c r="A129" s="173" t="s">
        <v>260</v>
      </c>
      <c r="B129" s="106">
        <v>23.3</v>
      </c>
      <c r="C129" s="106">
        <v>24</v>
      </c>
      <c r="D129" s="106">
        <v>23.8</v>
      </c>
      <c r="E129" s="106">
        <v>23.1</v>
      </c>
      <c r="F129" s="106">
        <v>25.4</v>
      </c>
      <c r="G129" s="106">
        <v>26.7</v>
      </c>
      <c r="H129" s="106">
        <v>27.6</v>
      </c>
      <c r="I129" s="106">
        <v>27.6</v>
      </c>
      <c r="J129" s="106">
        <v>29.7</v>
      </c>
      <c r="K129" s="106">
        <v>11.8</v>
      </c>
      <c r="L129" s="106">
        <v>11.7</v>
      </c>
      <c r="M129" s="106">
        <v>11.9</v>
      </c>
      <c r="N129" s="106">
        <v>12.2</v>
      </c>
      <c r="O129" s="106">
        <v>11.4</v>
      </c>
      <c r="P129" s="106">
        <v>14.5</v>
      </c>
      <c r="Q129" s="106">
        <v>25.4</v>
      </c>
      <c r="R129" s="106">
        <v>30.1</v>
      </c>
      <c r="S129" s="106">
        <v>-32</v>
      </c>
      <c r="T129" s="106">
        <v>32</v>
      </c>
      <c r="U129" s="106">
        <v>32</v>
      </c>
      <c r="V129" s="106">
        <v>10.7</v>
      </c>
      <c r="W129" s="106">
        <v>11</v>
      </c>
      <c r="X129" s="106">
        <v>12</v>
      </c>
      <c r="Y129" s="106">
        <v>12.4</v>
      </c>
      <c r="Z129" s="106">
        <v>12</v>
      </c>
      <c r="AA129" s="106">
        <v>11</v>
      </c>
      <c r="AB129" s="106">
        <v>10.199999999999999</v>
      </c>
      <c r="AC129" s="106">
        <v>9.9</v>
      </c>
      <c r="AD129" s="106">
        <v>10</v>
      </c>
      <c r="AE129" s="106">
        <v>17.3</v>
      </c>
      <c r="AF129" s="106">
        <v>26.1</v>
      </c>
      <c r="AG129" s="114"/>
      <c r="AH129" s="47">
        <f t="shared" si="24"/>
        <v>32</v>
      </c>
      <c r="AI129" s="48">
        <f t="shared" si="25"/>
        <v>-32</v>
      </c>
    </row>
    <row r="130" spans="1:37" ht="15.75" thickBot="1" x14ac:dyDescent="0.3">
      <c r="A130" s="173" t="s">
        <v>257</v>
      </c>
      <c r="B130" s="106">
        <v>100.5</v>
      </c>
      <c r="C130" s="106">
        <v>91.5</v>
      </c>
      <c r="D130" s="106">
        <v>93.2</v>
      </c>
      <c r="E130" s="106">
        <v>91.8</v>
      </c>
      <c r="F130" s="106">
        <v>91.1</v>
      </c>
      <c r="G130" s="106">
        <v>94.2</v>
      </c>
      <c r="H130" s="106">
        <v>101.4</v>
      </c>
      <c r="I130" s="106">
        <v>107.5</v>
      </c>
      <c r="J130" s="106">
        <v>121.2</v>
      </c>
      <c r="K130" s="106">
        <v>108.1</v>
      </c>
      <c r="L130" s="106">
        <v>89.3</v>
      </c>
      <c r="M130" s="106">
        <v>88.1</v>
      </c>
      <c r="N130" s="106">
        <v>89.2</v>
      </c>
      <c r="O130" s="106">
        <v>93.74</v>
      </c>
      <c r="P130" s="106">
        <v>97.4</v>
      </c>
      <c r="Q130" s="106">
        <v>99.5</v>
      </c>
      <c r="R130" s="106">
        <v>95.1</v>
      </c>
      <c r="S130" s="106">
        <v>104</v>
      </c>
      <c r="T130" s="106">
        <v>103</v>
      </c>
      <c r="U130" s="106">
        <v>103</v>
      </c>
      <c r="V130" s="106">
        <v>90</v>
      </c>
      <c r="W130" s="106">
        <v>98.3</v>
      </c>
      <c r="X130" s="106">
        <v>110</v>
      </c>
      <c r="Y130" s="106">
        <v>112.4</v>
      </c>
      <c r="Z130" s="106">
        <v>105.2</v>
      </c>
      <c r="AA130" s="106">
        <v>120</v>
      </c>
      <c r="AB130" s="106">
        <v>111.6</v>
      </c>
      <c r="AC130" s="106">
        <v>108.2</v>
      </c>
      <c r="AD130" s="106">
        <v>107.5</v>
      </c>
      <c r="AE130" s="106">
        <v>103.2</v>
      </c>
      <c r="AF130" s="106">
        <v>95.8</v>
      </c>
      <c r="AG130" s="114"/>
      <c r="AH130" s="47">
        <f t="shared" si="24"/>
        <v>121.2</v>
      </c>
      <c r="AI130" s="48">
        <f t="shared" si="25"/>
        <v>88.1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/>
      <c r="C132" s="147"/>
      <c r="D132" s="147">
        <v>1984.22</v>
      </c>
      <c r="E132" s="147">
        <v>1984.48</v>
      </c>
      <c r="F132" s="147">
        <v>1984.7</v>
      </c>
      <c r="G132" s="147">
        <v>1984.92</v>
      </c>
      <c r="H132" s="147"/>
      <c r="I132" s="147">
        <v>1985.12</v>
      </c>
      <c r="J132" s="147"/>
      <c r="K132" s="117">
        <v>1984.92</v>
      </c>
      <c r="L132" s="147"/>
      <c r="M132" s="186">
        <v>1984.42</v>
      </c>
      <c r="N132" s="186">
        <v>1983.82</v>
      </c>
      <c r="O132" s="186">
        <v>1983.7</v>
      </c>
      <c r="P132" s="186">
        <v>1983.8</v>
      </c>
      <c r="Q132" s="186">
        <v>1983.79</v>
      </c>
      <c r="R132" s="186">
        <v>1983.79</v>
      </c>
      <c r="S132" s="147">
        <v>1983.79</v>
      </c>
      <c r="T132" s="147">
        <v>1983.88</v>
      </c>
      <c r="U132" s="147">
        <v>1984</v>
      </c>
      <c r="V132" s="147">
        <v>1984.15</v>
      </c>
      <c r="W132" s="147">
        <v>1984.25</v>
      </c>
      <c r="X132" s="147">
        <v>1984.25</v>
      </c>
      <c r="Y132" s="147">
        <v>1984.2</v>
      </c>
      <c r="Z132" s="147">
        <v>1984.1</v>
      </c>
      <c r="AA132" s="147">
        <v>1983.98</v>
      </c>
      <c r="AB132" s="147">
        <v>1983.95</v>
      </c>
      <c r="AC132" s="147"/>
      <c r="AD132" s="147">
        <v>1983.77</v>
      </c>
      <c r="AE132" s="147">
        <v>1983.85</v>
      </c>
      <c r="AF132" s="148">
        <v>1984.08</v>
      </c>
      <c r="AG132" s="149"/>
      <c r="AH132" s="47"/>
      <c r="AI132" s="48"/>
    </row>
    <row r="133" spans="1:37" x14ac:dyDescent="0.25">
      <c r="A133" s="185" t="s">
        <v>238</v>
      </c>
      <c r="B133" s="150"/>
      <c r="C133" s="150"/>
      <c r="D133" s="150">
        <v>521.36</v>
      </c>
      <c r="E133" s="150">
        <v>521.72</v>
      </c>
      <c r="F133" s="150">
        <v>522.02</v>
      </c>
      <c r="G133" s="150">
        <v>522.34</v>
      </c>
      <c r="H133" s="150"/>
      <c r="I133" s="150">
        <v>522.32000000000005</v>
      </c>
      <c r="J133" s="150"/>
      <c r="K133" s="117">
        <v>522.09</v>
      </c>
      <c r="L133" s="150"/>
      <c r="M133" s="187">
        <v>521.74</v>
      </c>
      <c r="N133" s="187">
        <v>521.47</v>
      </c>
      <c r="O133" s="187">
        <v>521.38</v>
      </c>
      <c r="P133" s="187">
        <v>521.17999999999995</v>
      </c>
      <c r="Q133" s="187">
        <v>520.9</v>
      </c>
      <c r="R133" s="187">
        <v>520.64</v>
      </c>
      <c r="S133" s="150">
        <v>520.34</v>
      </c>
      <c r="T133" s="150">
        <v>520.07000000000005</v>
      </c>
      <c r="U133" s="150">
        <v>519.83000000000004</v>
      </c>
      <c r="V133" s="150">
        <v>519.78</v>
      </c>
      <c r="W133" s="150">
        <v>519.78</v>
      </c>
      <c r="X133" s="150">
        <v>519.72</v>
      </c>
      <c r="Y133" s="150"/>
      <c r="Z133" s="150">
        <v>519.64</v>
      </c>
      <c r="AA133" s="150">
        <v>519.58000000000004</v>
      </c>
      <c r="AB133" s="150">
        <v>519.55999999999995</v>
      </c>
      <c r="AC133" s="150"/>
      <c r="AD133" s="150">
        <v>519.55999999999995</v>
      </c>
      <c r="AE133" s="150">
        <v>519.83000000000004</v>
      </c>
      <c r="AF133" s="151">
        <v>520.34</v>
      </c>
      <c r="AG133" s="149"/>
      <c r="AH133" s="47"/>
      <c r="AI133" s="48"/>
    </row>
    <row r="134" spans="1:37" x14ac:dyDescent="0.25">
      <c r="A134" s="185" t="s">
        <v>239</v>
      </c>
      <c r="B134" s="150">
        <v>622.05999999999995</v>
      </c>
      <c r="C134" s="150">
        <v>622.65</v>
      </c>
      <c r="D134" s="150">
        <v>623.21</v>
      </c>
      <c r="E134" s="150">
        <v>623.21</v>
      </c>
      <c r="F134" s="150">
        <v>623.89</v>
      </c>
      <c r="G134" s="150">
        <v>624.29999999999995</v>
      </c>
      <c r="H134" s="150"/>
      <c r="I134" s="150">
        <v>624.4</v>
      </c>
      <c r="J134" s="150"/>
      <c r="K134" s="117">
        <v>624.14</v>
      </c>
      <c r="L134" s="150"/>
      <c r="M134" s="187">
        <v>623.66999999999996</v>
      </c>
      <c r="N134" s="187">
        <v>623.30999999999995</v>
      </c>
      <c r="O134" s="187">
        <v>623.12</v>
      </c>
      <c r="P134" s="187">
        <v>623.14</v>
      </c>
      <c r="Q134" s="187">
        <v>623.04999999999995</v>
      </c>
      <c r="R134" s="187">
        <v>622.98</v>
      </c>
      <c r="S134" s="150">
        <v>622.80999999999995</v>
      </c>
      <c r="T134" s="150">
        <v>622.79999999999995</v>
      </c>
      <c r="U134" s="150">
        <v>622.70000000000005</v>
      </c>
      <c r="V134" s="150">
        <v>622.74</v>
      </c>
      <c r="W134" s="150">
        <v>622.79999999999995</v>
      </c>
      <c r="X134" s="150">
        <v>622.72</v>
      </c>
      <c r="Y134" s="150"/>
      <c r="Z134" s="150">
        <v>622.13</v>
      </c>
      <c r="AA134" s="150">
        <v>621.88</v>
      </c>
      <c r="AB134" s="150">
        <v>621.79999999999995</v>
      </c>
      <c r="AC134" s="150"/>
      <c r="AD134" s="150">
        <v>621.89</v>
      </c>
      <c r="AE134" s="150">
        <v>622.1</v>
      </c>
      <c r="AF134" s="151">
        <v>622.78</v>
      </c>
      <c r="AG134" s="149"/>
      <c r="AH134" s="47"/>
      <c r="AI134" s="48"/>
    </row>
    <row r="135" spans="1:37" x14ac:dyDescent="0.25">
      <c r="A135" s="185" t="s">
        <v>240</v>
      </c>
      <c r="B135" s="150">
        <v>334.72</v>
      </c>
      <c r="C135" s="150">
        <v>335.28</v>
      </c>
      <c r="D135" s="150">
        <v>335.67</v>
      </c>
      <c r="E135" s="150">
        <v>336.06</v>
      </c>
      <c r="F135" s="150">
        <v>336.35</v>
      </c>
      <c r="G135" s="150">
        <v>336.61</v>
      </c>
      <c r="H135" s="150"/>
      <c r="I135" s="150">
        <v>336.65</v>
      </c>
      <c r="J135" s="150"/>
      <c r="K135" s="117">
        <v>336.39</v>
      </c>
      <c r="L135" s="150"/>
      <c r="M135" s="187">
        <v>336.01</v>
      </c>
      <c r="N135" s="187">
        <v>335.63</v>
      </c>
      <c r="O135" s="187">
        <v>335.01</v>
      </c>
      <c r="P135" s="187">
        <v>334.58</v>
      </c>
      <c r="Q135" s="187">
        <v>334.17</v>
      </c>
      <c r="R135" s="187">
        <v>334.17</v>
      </c>
      <c r="S135" s="150">
        <v>334.42</v>
      </c>
      <c r="T135" s="150">
        <v>334.97</v>
      </c>
      <c r="U135" s="150">
        <v>335.16</v>
      </c>
      <c r="V135" s="150">
        <v>335.34</v>
      </c>
      <c r="W135" s="150">
        <v>335.45</v>
      </c>
      <c r="X135" s="150">
        <v>335.54</v>
      </c>
      <c r="Y135" s="150"/>
      <c r="Z135" s="150">
        <v>335.28</v>
      </c>
      <c r="AA135" s="150">
        <v>335.17</v>
      </c>
      <c r="AB135" s="150">
        <v>335.14</v>
      </c>
      <c r="AC135" s="150"/>
      <c r="AD135" s="150">
        <v>335.19</v>
      </c>
      <c r="AE135" s="150">
        <v>335.23</v>
      </c>
      <c r="AF135" s="151">
        <v>335.39</v>
      </c>
      <c r="AG135" s="149"/>
      <c r="AH135" s="47"/>
      <c r="AI135" s="48"/>
    </row>
    <row r="136" spans="1:37" x14ac:dyDescent="0.25">
      <c r="A136" s="185" t="s">
        <v>384</v>
      </c>
      <c r="B136" s="150"/>
      <c r="C136" s="150"/>
      <c r="D136" s="150">
        <v>885.2</v>
      </c>
      <c r="E136" s="150"/>
      <c r="F136" s="150">
        <v>886.2</v>
      </c>
      <c r="G136" s="150">
        <v>886.5</v>
      </c>
      <c r="H136" s="150"/>
      <c r="I136" s="150">
        <v>886.4</v>
      </c>
      <c r="J136" s="150"/>
      <c r="K136" s="117">
        <v>886.1</v>
      </c>
      <c r="L136" s="150"/>
      <c r="M136" s="187">
        <v>885.5</v>
      </c>
      <c r="N136" s="187">
        <v>884.4</v>
      </c>
      <c r="O136" s="187">
        <v>883.8</v>
      </c>
      <c r="P136" s="187">
        <v>884.6</v>
      </c>
      <c r="Q136" s="187">
        <v>885.2</v>
      </c>
      <c r="R136" s="187">
        <v>885.6</v>
      </c>
      <c r="S136" s="150">
        <v>885.5</v>
      </c>
      <c r="T136" s="150">
        <v>885.2</v>
      </c>
      <c r="U136" s="150">
        <v>885.1</v>
      </c>
      <c r="V136" s="150">
        <v>885.4</v>
      </c>
      <c r="W136" s="150">
        <v>885.7</v>
      </c>
      <c r="X136" s="150">
        <v>885.7</v>
      </c>
      <c r="Y136" s="150"/>
      <c r="Z136" s="150">
        <v>884.9</v>
      </c>
      <c r="AA136" s="150"/>
      <c r="AB136" s="150">
        <v>882.7</v>
      </c>
      <c r="AC136" s="150"/>
      <c r="AD136" s="150">
        <v>882.2</v>
      </c>
      <c r="AE136" s="150">
        <v>882.1</v>
      </c>
      <c r="AF136" s="151">
        <v>882.5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1518.95</v>
      </c>
      <c r="C137" s="152"/>
      <c r="D137" s="152"/>
      <c r="E137" s="152"/>
      <c r="F137" s="152"/>
      <c r="G137" s="152">
        <v>1518.96</v>
      </c>
      <c r="H137" s="152"/>
      <c r="I137" s="152"/>
      <c r="J137" s="152"/>
      <c r="K137" s="152"/>
      <c r="L137" s="152"/>
      <c r="M137" s="188">
        <v>1518.96</v>
      </c>
      <c r="N137" s="188"/>
      <c r="O137" s="188">
        <v>1518.96</v>
      </c>
      <c r="P137" s="188"/>
      <c r="Q137" s="188"/>
      <c r="R137" s="188">
        <v>1518.97</v>
      </c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77">SUM(B139:B243)</f>
        <v>0</v>
      </c>
      <c r="C244" s="134">
        <f t="shared" si="77"/>
        <v>0</v>
      </c>
      <c r="D244" s="134">
        <f t="shared" si="77"/>
        <v>0</v>
      </c>
      <c r="E244" s="134">
        <f t="shared" si="77"/>
        <v>0</v>
      </c>
      <c r="F244" s="134">
        <f t="shared" si="77"/>
        <v>0</v>
      </c>
      <c r="G244" s="134">
        <f t="shared" si="77"/>
        <v>0</v>
      </c>
      <c r="H244" s="134">
        <f t="shared" si="77"/>
        <v>0</v>
      </c>
      <c r="I244" s="134">
        <f t="shared" si="77"/>
        <v>0</v>
      </c>
      <c r="J244" s="134">
        <f t="shared" si="77"/>
        <v>0</v>
      </c>
      <c r="K244" s="134">
        <f t="shared" si="77"/>
        <v>0</v>
      </c>
      <c r="L244" s="134">
        <f t="shared" si="77"/>
        <v>0</v>
      </c>
      <c r="M244" s="134">
        <f t="shared" si="77"/>
        <v>0</v>
      </c>
      <c r="N244" s="134">
        <f t="shared" si="77"/>
        <v>0</v>
      </c>
      <c r="O244" s="134">
        <f t="shared" si="77"/>
        <v>0</v>
      </c>
      <c r="P244" s="134">
        <f t="shared" si="77"/>
        <v>0</v>
      </c>
      <c r="Q244" s="134">
        <f t="shared" si="77"/>
        <v>0</v>
      </c>
      <c r="R244" s="134">
        <f t="shared" si="77"/>
        <v>0</v>
      </c>
      <c r="S244" s="134">
        <f t="shared" si="77"/>
        <v>0</v>
      </c>
      <c r="T244" s="134">
        <f t="shared" si="77"/>
        <v>0</v>
      </c>
      <c r="U244" s="134">
        <f t="shared" si="77"/>
        <v>0</v>
      </c>
      <c r="V244" s="134">
        <f t="shared" si="77"/>
        <v>0</v>
      </c>
      <c r="W244" s="134">
        <f t="shared" si="77"/>
        <v>0</v>
      </c>
      <c r="X244" s="134">
        <f t="shared" si="77"/>
        <v>0</v>
      </c>
      <c r="Y244" s="134">
        <f t="shared" si="77"/>
        <v>0</v>
      </c>
      <c r="Z244" s="134">
        <f t="shared" si="77"/>
        <v>0</v>
      </c>
      <c r="AA244" s="134">
        <f t="shared" si="77"/>
        <v>0</v>
      </c>
      <c r="AB244" s="134">
        <f t="shared" si="77"/>
        <v>0</v>
      </c>
      <c r="AC244" s="134">
        <f t="shared" si="77"/>
        <v>0</v>
      </c>
      <c r="AD244" s="134">
        <f t="shared" si="77"/>
        <v>0</v>
      </c>
      <c r="AE244" s="134">
        <f t="shared" si="77"/>
        <v>0</v>
      </c>
      <c r="AF244" s="135">
        <f t="shared" si="77"/>
        <v>0</v>
      </c>
      <c r="AG244" s="136">
        <f t="shared" si="7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78">AF246</f>
        <v>0.3</v>
      </c>
      <c r="C246" s="138">
        <v>0.3</v>
      </c>
      <c r="D246" s="138">
        <f t="shared" ref="D246:S251" si="79">C246</f>
        <v>0.3</v>
      </c>
      <c r="E246" s="138">
        <f t="shared" si="79"/>
        <v>0.3</v>
      </c>
      <c r="F246" s="138">
        <f t="shared" si="79"/>
        <v>0.3</v>
      </c>
      <c r="G246" s="138">
        <f t="shared" si="79"/>
        <v>0.3</v>
      </c>
      <c r="H246" s="138">
        <f t="shared" si="79"/>
        <v>0.3</v>
      </c>
      <c r="I246" s="138">
        <f t="shared" si="79"/>
        <v>0.3</v>
      </c>
      <c r="J246" s="138">
        <f t="shared" si="79"/>
        <v>0.3</v>
      </c>
      <c r="K246" s="138">
        <f t="shared" si="79"/>
        <v>0.3</v>
      </c>
      <c r="L246" s="138">
        <f t="shared" si="79"/>
        <v>0.3</v>
      </c>
      <c r="M246" s="138">
        <f t="shared" si="79"/>
        <v>0.3</v>
      </c>
      <c r="N246" s="138">
        <f t="shared" si="79"/>
        <v>0.3</v>
      </c>
      <c r="O246" s="138">
        <f t="shared" si="79"/>
        <v>0.3</v>
      </c>
      <c r="P246" s="138">
        <f t="shared" si="79"/>
        <v>0.3</v>
      </c>
      <c r="Q246" s="138">
        <f t="shared" si="79"/>
        <v>0.3</v>
      </c>
      <c r="R246" s="138">
        <f t="shared" si="79"/>
        <v>0.3</v>
      </c>
      <c r="S246" s="138">
        <f t="shared" si="79"/>
        <v>0.3</v>
      </c>
      <c r="T246" s="138">
        <f t="shared" ref="T246:AF251" si="80">S246</f>
        <v>0.3</v>
      </c>
      <c r="U246" s="138">
        <f t="shared" si="80"/>
        <v>0.3</v>
      </c>
      <c r="V246" s="138">
        <f t="shared" si="80"/>
        <v>0.3</v>
      </c>
      <c r="W246" s="138">
        <f t="shared" si="80"/>
        <v>0.3</v>
      </c>
      <c r="X246" s="138">
        <f t="shared" si="80"/>
        <v>0.3</v>
      </c>
      <c r="Y246" s="138">
        <f t="shared" si="80"/>
        <v>0.3</v>
      </c>
      <c r="Z246" s="138">
        <f t="shared" si="80"/>
        <v>0.3</v>
      </c>
      <c r="AA246" s="138">
        <f t="shared" si="80"/>
        <v>0.3</v>
      </c>
      <c r="AB246" s="138">
        <f t="shared" si="80"/>
        <v>0.3</v>
      </c>
      <c r="AC246" s="138">
        <f t="shared" si="80"/>
        <v>0.3</v>
      </c>
      <c r="AD246" s="138">
        <f t="shared" si="80"/>
        <v>0.3</v>
      </c>
      <c r="AE246" s="138">
        <f t="shared" si="80"/>
        <v>0.3</v>
      </c>
      <c r="AF246" s="138">
        <f t="shared" si="8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78"/>
        <v>0.4</v>
      </c>
      <c r="C247" s="126">
        <v>0.4</v>
      </c>
      <c r="D247" s="126">
        <f t="shared" si="79"/>
        <v>0.4</v>
      </c>
      <c r="E247" s="126">
        <f t="shared" si="79"/>
        <v>0.4</v>
      </c>
      <c r="F247" s="126">
        <f t="shared" si="79"/>
        <v>0.4</v>
      </c>
      <c r="G247" s="126">
        <f t="shared" si="79"/>
        <v>0.4</v>
      </c>
      <c r="H247" s="126">
        <f t="shared" si="79"/>
        <v>0.4</v>
      </c>
      <c r="I247" s="126">
        <f t="shared" si="79"/>
        <v>0.4</v>
      </c>
      <c r="J247" s="126">
        <f t="shared" si="79"/>
        <v>0.4</v>
      </c>
      <c r="K247" s="126">
        <f t="shared" si="79"/>
        <v>0.4</v>
      </c>
      <c r="L247" s="126">
        <f t="shared" si="79"/>
        <v>0.4</v>
      </c>
      <c r="M247" s="126">
        <f t="shared" si="79"/>
        <v>0.4</v>
      </c>
      <c r="N247" s="126">
        <f t="shared" si="79"/>
        <v>0.4</v>
      </c>
      <c r="O247" s="126">
        <f t="shared" si="79"/>
        <v>0.4</v>
      </c>
      <c r="P247" s="126">
        <f t="shared" si="79"/>
        <v>0.4</v>
      </c>
      <c r="Q247" s="126">
        <f t="shared" si="79"/>
        <v>0.4</v>
      </c>
      <c r="R247" s="126">
        <f t="shared" si="79"/>
        <v>0.4</v>
      </c>
      <c r="S247" s="126">
        <f t="shared" si="79"/>
        <v>0.4</v>
      </c>
      <c r="T247" s="126">
        <f t="shared" si="80"/>
        <v>0.4</v>
      </c>
      <c r="U247" s="126">
        <f t="shared" si="80"/>
        <v>0.4</v>
      </c>
      <c r="V247" s="126">
        <f t="shared" si="80"/>
        <v>0.4</v>
      </c>
      <c r="W247" s="126">
        <f t="shared" si="80"/>
        <v>0.4</v>
      </c>
      <c r="X247" s="126">
        <f t="shared" si="80"/>
        <v>0.4</v>
      </c>
      <c r="Y247" s="126">
        <f t="shared" si="80"/>
        <v>0.4</v>
      </c>
      <c r="Z247" s="126">
        <f t="shared" si="80"/>
        <v>0.4</v>
      </c>
      <c r="AA247" s="126">
        <f t="shared" si="80"/>
        <v>0.4</v>
      </c>
      <c r="AB247" s="126">
        <f t="shared" si="80"/>
        <v>0.4</v>
      </c>
      <c r="AC247" s="126">
        <f t="shared" si="80"/>
        <v>0.4</v>
      </c>
      <c r="AD247" s="126">
        <f t="shared" si="80"/>
        <v>0.4</v>
      </c>
      <c r="AE247" s="126">
        <f t="shared" si="80"/>
        <v>0.4</v>
      </c>
      <c r="AF247" s="126">
        <f t="shared" si="8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78"/>
        <v>1.5</v>
      </c>
      <c r="C248" s="126">
        <v>1.5</v>
      </c>
      <c r="D248" s="126">
        <f t="shared" si="79"/>
        <v>1.5</v>
      </c>
      <c r="E248" s="126">
        <f t="shared" si="79"/>
        <v>1.5</v>
      </c>
      <c r="F248" s="126">
        <f t="shared" si="79"/>
        <v>1.5</v>
      </c>
      <c r="G248" s="126">
        <f t="shared" si="79"/>
        <v>1.5</v>
      </c>
      <c r="H248" s="126">
        <f t="shared" si="79"/>
        <v>1.5</v>
      </c>
      <c r="I248" s="126">
        <f t="shared" si="79"/>
        <v>1.5</v>
      </c>
      <c r="J248" s="126">
        <f t="shared" si="79"/>
        <v>1.5</v>
      </c>
      <c r="K248" s="126">
        <f t="shared" si="79"/>
        <v>1.5</v>
      </c>
      <c r="L248" s="126">
        <f t="shared" si="79"/>
        <v>1.5</v>
      </c>
      <c r="M248" s="126">
        <f t="shared" si="79"/>
        <v>1.5</v>
      </c>
      <c r="N248" s="126">
        <f t="shared" si="79"/>
        <v>1.5</v>
      </c>
      <c r="O248" s="126">
        <f t="shared" si="79"/>
        <v>1.5</v>
      </c>
      <c r="P248" s="126">
        <f t="shared" si="79"/>
        <v>1.5</v>
      </c>
      <c r="Q248" s="126">
        <f t="shared" si="79"/>
        <v>1.5</v>
      </c>
      <c r="R248" s="126">
        <f t="shared" si="79"/>
        <v>1.5</v>
      </c>
      <c r="S248" s="126">
        <f t="shared" si="79"/>
        <v>1.5</v>
      </c>
      <c r="T248" s="126">
        <f t="shared" si="80"/>
        <v>1.5</v>
      </c>
      <c r="U248" s="126">
        <f t="shared" si="80"/>
        <v>1.5</v>
      </c>
      <c r="V248" s="126">
        <f t="shared" si="80"/>
        <v>1.5</v>
      </c>
      <c r="W248" s="126">
        <f t="shared" si="80"/>
        <v>1.5</v>
      </c>
      <c r="X248" s="126">
        <f t="shared" si="80"/>
        <v>1.5</v>
      </c>
      <c r="Y248" s="126">
        <f t="shared" si="80"/>
        <v>1.5</v>
      </c>
      <c r="Z248" s="126">
        <f t="shared" si="80"/>
        <v>1.5</v>
      </c>
      <c r="AA248" s="126">
        <f t="shared" si="80"/>
        <v>1.5</v>
      </c>
      <c r="AB248" s="126">
        <f t="shared" si="80"/>
        <v>1.5</v>
      </c>
      <c r="AC248" s="126">
        <f t="shared" si="80"/>
        <v>1.5</v>
      </c>
      <c r="AD248" s="126">
        <f t="shared" si="80"/>
        <v>1.5</v>
      </c>
      <c r="AE248" s="126">
        <f t="shared" si="80"/>
        <v>1.5</v>
      </c>
      <c r="AF248" s="126">
        <f t="shared" si="8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78"/>
        <v>0.3</v>
      </c>
      <c r="C249" s="126">
        <v>0.3</v>
      </c>
      <c r="D249" s="126">
        <f t="shared" si="79"/>
        <v>0.3</v>
      </c>
      <c r="E249" s="126">
        <f t="shared" si="79"/>
        <v>0.3</v>
      </c>
      <c r="F249" s="126">
        <f t="shared" si="79"/>
        <v>0.3</v>
      </c>
      <c r="G249" s="126">
        <f t="shared" si="79"/>
        <v>0.3</v>
      </c>
      <c r="H249" s="126">
        <f t="shared" si="79"/>
        <v>0.3</v>
      </c>
      <c r="I249" s="126">
        <f t="shared" si="79"/>
        <v>0.3</v>
      </c>
      <c r="J249" s="126">
        <f t="shared" si="79"/>
        <v>0.3</v>
      </c>
      <c r="K249" s="126">
        <f t="shared" si="79"/>
        <v>0.3</v>
      </c>
      <c r="L249" s="126">
        <f t="shared" si="79"/>
        <v>0.3</v>
      </c>
      <c r="M249" s="126">
        <f t="shared" si="79"/>
        <v>0.3</v>
      </c>
      <c r="N249" s="126">
        <f t="shared" si="79"/>
        <v>0.3</v>
      </c>
      <c r="O249" s="126">
        <f t="shared" si="79"/>
        <v>0.3</v>
      </c>
      <c r="P249" s="126">
        <f t="shared" si="79"/>
        <v>0.3</v>
      </c>
      <c r="Q249" s="126">
        <f t="shared" si="79"/>
        <v>0.3</v>
      </c>
      <c r="R249" s="126">
        <f t="shared" si="79"/>
        <v>0.3</v>
      </c>
      <c r="S249" s="126">
        <f t="shared" si="79"/>
        <v>0.3</v>
      </c>
      <c r="T249" s="126">
        <f t="shared" si="80"/>
        <v>0.3</v>
      </c>
      <c r="U249" s="126">
        <f t="shared" si="80"/>
        <v>0.3</v>
      </c>
      <c r="V249" s="126">
        <f t="shared" si="80"/>
        <v>0.3</v>
      </c>
      <c r="W249" s="126">
        <f t="shared" si="80"/>
        <v>0.3</v>
      </c>
      <c r="X249" s="126">
        <f t="shared" si="80"/>
        <v>0.3</v>
      </c>
      <c r="Y249" s="126">
        <f t="shared" si="80"/>
        <v>0.3</v>
      </c>
      <c r="Z249" s="126">
        <f t="shared" si="80"/>
        <v>0.3</v>
      </c>
      <c r="AA249" s="126">
        <f t="shared" si="80"/>
        <v>0.3</v>
      </c>
      <c r="AB249" s="126">
        <f t="shared" si="80"/>
        <v>0.3</v>
      </c>
      <c r="AC249" s="126">
        <f t="shared" si="80"/>
        <v>0.3</v>
      </c>
      <c r="AD249" s="126">
        <f t="shared" si="80"/>
        <v>0.3</v>
      </c>
      <c r="AE249" s="126">
        <f t="shared" si="80"/>
        <v>0.3</v>
      </c>
      <c r="AF249" s="126">
        <f t="shared" si="8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78"/>
        <v>0.4</v>
      </c>
      <c r="C250" s="126">
        <v>0.4</v>
      </c>
      <c r="D250" s="126">
        <f t="shared" si="79"/>
        <v>0.4</v>
      </c>
      <c r="E250" s="126">
        <f t="shared" si="79"/>
        <v>0.4</v>
      </c>
      <c r="F250" s="126">
        <f t="shared" si="79"/>
        <v>0.4</v>
      </c>
      <c r="G250" s="126">
        <f t="shared" si="79"/>
        <v>0.4</v>
      </c>
      <c r="H250" s="126">
        <f t="shared" si="79"/>
        <v>0.4</v>
      </c>
      <c r="I250" s="126">
        <f t="shared" si="79"/>
        <v>0.4</v>
      </c>
      <c r="J250" s="126">
        <f t="shared" si="79"/>
        <v>0.4</v>
      </c>
      <c r="K250" s="126">
        <f t="shared" si="79"/>
        <v>0.4</v>
      </c>
      <c r="L250" s="126">
        <f t="shared" si="79"/>
        <v>0.4</v>
      </c>
      <c r="M250" s="126">
        <f t="shared" si="79"/>
        <v>0.4</v>
      </c>
      <c r="N250" s="126">
        <f t="shared" si="79"/>
        <v>0.4</v>
      </c>
      <c r="O250" s="126">
        <f t="shared" si="79"/>
        <v>0.4</v>
      </c>
      <c r="P250" s="126">
        <f t="shared" si="79"/>
        <v>0.4</v>
      </c>
      <c r="Q250" s="126">
        <f t="shared" si="79"/>
        <v>0.4</v>
      </c>
      <c r="R250" s="126">
        <f t="shared" si="79"/>
        <v>0.4</v>
      </c>
      <c r="S250" s="126">
        <f t="shared" si="79"/>
        <v>0.4</v>
      </c>
      <c r="T250" s="126">
        <f t="shared" si="80"/>
        <v>0.4</v>
      </c>
      <c r="U250" s="126">
        <f t="shared" si="80"/>
        <v>0.4</v>
      </c>
      <c r="V250" s="126">
        <f t="shared" si="80"/>
        <v>0.4</v>
      </c>
      <c r="W250" s="126">
        <f t="shared" si="80"/>
        <v>0.4</v>
      </c>
      <c r="X250" s="126">
        <f t="shared" si="80"/>
        <v>0.4</v>
      </c>
      <c r="Y250" s="126">
        <f t="shared" si="80"/>
        <v>0.4</v>
      </c>
      <c r="Z250" s="126">
        <f t="shared" si="80"/>
        <v>0.4</v>
      </c>
      <c r="AA250" s="126">
        <f t="shared" si="80"/>
        <v>0.4</v>
      </c>
      <c r="AB250" s="126">
        <f t="shared" si="80"/>
        <v>0.4</v>
      </c>
      <c r="AC250" s="126">
        <f t="shared" si="80"/>
        <v>0.4</v>
      </c>
      <c r="AD250" s="126">
        <f t="shared" si="80"/>
        <v>0.4</v>
      </c>
      <c r="AE250" s="126">
        <f t="shared" si="80"/>
        <v>0.4</v>
      </c>
      <c r="AF250" s="126">
        <f t="shared" si="8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78"/>
        <v>0.64</v>
      </c>
      <c r="C251" s="130">
        <v>0.64</v>
      </c>
      <c r="D251" s="130">
        <f t="shared" si="79"/>
        <v>0.64</v>
      </c>
      <c r="E251" s="130">
        <f t="shared" si="79"/>
        <v>0.64</v>
      </c>
      <c r="F251" s="130">
        <f t="shared" si="79"/>
        <v>0.64</v>
      </c>
      <c r="G251" s="130">
        <f t="shared" si="79"/>
        <v>0.64</v>
      </c>
      <c r="H251" s="130">
        <f t="shared" si="79"/>
        <v>0.64</v>
      </c>
      <c r="I251" s="130">
        <f t="shared" si="79"/>
        <v>0.64</v>
      </c>
      <c r="J251" s="130">
        <f t="shared" si="79"/>
        <v>0.64</v>
      </c>
      <c r="K251" s="130">
        <f t="shared" si="79"/>
        <v>0.64</v>
      </c>
      <c r="L251" s="130">
        <f t="shared" si="79"/>
        <v>0.64</v>
      </c>
      <c r="M251" s="130">
        <f t="shared" si="79"/>
        <v>0.64</v>
      </c>
      <c r="N251" s="130">
        <f t="shared" si="79"/>
        <v>0.64</v>
      </c>
      <c r="O251" s="130">
        <f t="shared" si="79"/>
        <v>0.64</v>
      </c>
      <c r="P251" s="130">
        <f t="shared" si="79"/>
        <v>0.64</v>
      </c>
      <c r="Q251" s="130">
        <f t="shared" si="79"/>
        <v>0.64</v>
      </c>
      <c r="R251" s="130">
        <f t="shared" si="79"/>
        <v>0.64</v>
      </c>
      <c r="S251" s="130">
        <f t="shared" si="79"/>
        <v>0.64</v>
      </c>
      <c r="T251" s="130">
        <f t="shared" si="80"/>
        <v>0.64</v>
      </c>
      <c r="U251" s="130">
        <f t="shared" si="80"/>
        <v>0.64</v>
      </c>
      <c r="V251" s="130">
        <f t="shared" si="80"/>
        <v>0.64</v>
      </c>
      <c r="W251" s="130">
        <f t="shared" si="80"/>
        <v>0.64</v>
      </c>
      <c r="X251" s="130">
        <f t="shared" si="80"/>
        <v>0.64</v>
      </c>
      <c r="Y251" s="130">
        <f t="shared" si="80"/>
        <v>0.64</v>
      </c>
      <c r="Z251" s="130">
        <f t="shared" si="80"/>
        <v>0.64</v>
      </c>
      <c r="AA251" s="130">
        <f t="shared" si="80"/>
        <v>0.64</v>
      </c>
      <c r="AB251" s="130">
        <f t="shared" si="80"/>
        <v>0.64</v>
      </c>
      <c r="AC251" s="130">
        <f t="shared" si="80"/>
        <v>0.64</v>
      </c>
      <c r="AD251" s="130">
        <f t="shared" si="80"/>
        <v>0.64</v>
      </c>
      <c r="AE251" s="130">
        <f t="shared" si="80"/>
        <v>0.64</v>
      </c>
      <c r="AF251" s="130">
        <f t="shared" si="8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81">SUM(B246:B251)</f>
        <v>3.54</v>
      </c>
      <c r="C252" s="134">
        <f t="shared" si="81"/>
        <v>3.54</v>
      </c>
      <c r="D252" s="134">
        <f t="shared" si="81"/>
        <v>3.54</v>
      </c>
      <c r="E252" s="134">
        <f t="shared" si="81"/>
        <v>3.54</v>
      </c>
      <c r="F252" s="134">
        <f t="shared" si="81"/>
        <v>3.54</v>
      </c>
      <c r="G252" s="134">
        <f t="shared" si="81"/>
        <v>3.54</v>
      </c>
      <c r="H252" s="134">
        <f t="shared" si="81"/>
        <v>3.54</v>
      </c>
      <c r="I252" s="134">
        <f t="shared" si="81"/>
        <v>3.54</v>
      </c>
      <c r="J252" s="134">
        <f t="shared" si="81"/>
        <v>3.54</v>
      </c>
      <c r="K252" s="134">
        <f t="shared" si="81"/>
        <v>3.54</v>
      </c>
      <c r="L252" s="134">
        <f t="shared" si="81"/>
        <v>3.54</v>
      </c>
      <c r="M252" s="134">
        <f t="shared" si="81"/>
        <v>3.54</v>
      </c>
      <c r="N252" s="134">
        <f t="shared" si="81"/>
        <v>3.54</v>
      </c>
      <c r="O252" s="134">
        <f t="shared" si="81"/>
        <v>3.54</v>
      </c>
      <c r="P252" s="134">
        <f t="shared" si="81"/>
        <v>3.54</v>
      </c>
      <c r="Q252" s="134">
        <f t="shared" si="81"/>
        <v>3.54</v>
      </c>
      <c r="R252" s="134">
        <f t="shared" si="81"/>
        <v>3.54</v>
      </c>
      <c r="S252" s="134">
        <f t="shared" si="81"/>
        <v>3.54</v>
      </c>
      <c r="T252" s="134">
        <f t="shared" si="81"/>
        <v>3.54</v>
      </c>
      <c r="U252" s="134">
        <f t="shared" si="81"/>
        <v>3.54</v>
      </c>
      <c r="V252" s="134">
        <f t="shared" si="81"/>
        <v>3.54</v>
      </c>
      <c r="W252" s="134">
        <f t="shared" si="81"/>
        <v>3.54</v>
      </c>
      <c r="X252" s="134">
        <f t="shared" si="81"/>
        <v>3.54</v>
      </c>
      <c r="Y252" s="134">
        <f t="shared" si="81"/>
        <v>3.54</v>
      </c>
      <c r="Z252" s="134">
        <f t="shared" si="81"/>
        <v>3.54</v>
      </c>
      <c r="AA252" s="134">
        <f t="shared" si="81"/>
        <v>3.54</v>
      </c>
      <c r="AB252" s="134">
        <f t="shared" si="81"/>
        <v>3.54</v>
      </c>
      <c r="AC252" s="134">
        <f t="shared" si="81"/>
        <v>3.54</v>
      </c>
      <c r="AD252" s="134">
        <f t="shared" si="81"/>
        <v>3.54</v>
      </c>
      <c r="AE252" s="134">
        <f t="shared" si="81"/>
        <v>3.54</v>
      </c>
      <c r="AF252" s="134">
        <f t="shared" si="81"/>
        <v>3.54</v>
      </c>
      <c r="AG252" s="143">
        <f t="shared" si="8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1795.79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2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2080/10/2)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82">B99</f>
        <v>1190.79</v>
      </c>
      <c r="U261" s="165">
        <f t="shared" si="82"/>
        <v>1194.69</v>
      </c>
      <c r="V261" s="165">
        <f t="shared" si="82"/>
        <v>1151.29</v>
      </c>
      <c r="W261" s="165">
        <f t="shared" si="82"/>
        <v>1149.8899999999999</v>
      </c>
      <c r="X261" s="165">
        <f t="shared" si="82"/>
        <v>1168.69</v>
      </c>
      <c r="Y261" s="165">
        <f t="shared" si="82"/>
        <v>1266.5900000000001</v>
      </c>
      <c r="Z261" s="165">
        <f t="shared" si="82"/>
        <v>1340.39</v>
      </c>
      <c r="AA261" s="165">
        <f t="shared" si="82"/>
        <v>1433.79</v>
      </c>
      <c r="AB261" s="165">
        <f t="shared" si="82"/>
        <v>1588.8899999999999</v>
      </c>
      <c r="AC261" s="165">
        <f t="shared" si="82"/>
        <v>1719.8899999999999</v>
      </c>
      <c r="AD261" s="165">
        <f t="shared" si="82"/>
        <v>1795.79</v>
      </c>
      <c r="AE261" s="165">
        <f t="shared" si="82"/>
        <v>1717.59</v>
      </c>
      <c r="AF261" s="165">
        <f t="shared" si="82"/>
        <v>1704.09</v>
      </c>
      <c r="AG261" s="165">
        <f t="shared" si="82"/>
        <v>1650.79</v>
      </c>
      <c r="AH261" s="165">
        <f t="shared" si="82"/>
        <v>1577.19</v>
      </c>
      <c r="AI261" s="165">
        <f t="shared" si="82"/>
        <v>1558.19</v>
      </c>
      <c r="AJ261" s="165">
        <f t="shared" si="82"/>
        <v>1565.99</v>
      </c>
      <c r="AK261" s="165">
        <f t="shared" si="82"/>
        <v>1525.5900000000001</v>
      </c>
      <c r="AL261" s="165">
        <f t="shared" si="82"/>
        <v>1601.5900000000001</v>
      </c>
      <c r="AM261" s="165">
        <f t="shared" si="82"/>
        <v>1504.5900000000001</v>
      </c>
      <c r="AN261" s="165">
        <f t="shared" si="82"/>
        <v>1307.49</v>
      </c>
      <c r="AO261" s="165">
        <f t="shared" si="82"/>
        <v>1513.99</v>
      </c>
      <c r="AP261" s="165">
        <f t="shared" si="82"/>
        <v>1672.8899999999999</v>
      </c>
      <c r="AQ261" s="165">
        <f t="shared" si="82"/>
        <v>1847.19</v>
      </c>
      <c r="AR261" s="165">
        <f t="shared" si="82"/>
        <v>1803.85</v>
      </c>
      <c r="AS261" s="165">
        <f t="shared" si="82"/>
        <v>1728.0900000000001</v>
      </c>
      <c r="AT261" s="165">
        <f t="shared" si="82"/>
        <v>1683.5900000000001</v>
      </c>
      <c r="AU261" s="165">
        <f t="shared" si="82"/>
        <v>1649.79</v>
      </c>
      <c r="AV261" s="165">
        <f t="shared" si="82"/>
        <v>1353.99</v>
      </c>
      <c r="AW261" s="165">
        <f t="shared" si="82"/>
        <v>1355.69</v>
      </c>
      <c r="AX261" s="165">
        <f t="shared" si="82"/>
        <v>1268.99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83">C251</f>
        <v>0.64</v>
      </c>
      <c r="C282" s="168">
        <f t="shared" si="83"/>
        <v>0.64</v>
      </c>
      <c r="D282" s="168">
        <f t="shared" si="83"/>
        <v>0.64</v>
      </c>
      <c r="E282" s="168">
        <f t="shared" si="83"/>
        <v>0.64</v>
      </c>
      <c r="F282" s="168">
        <f t="shared" si="83"/>
        <v>0.64</v>
      </c>
      <c r="G282" s="168">
        <f t="shared" si="83"/>
        <v>0.64</v>
      </c>
      <c r="H282" s="168">
        <f t="shared" si="83"/>
        <v>0.64</v>
      </c>
      <c r="I282" s="168">
        <f t="shared" si="83"/>
        <v>0.64</v>
      </c>
      <c r="J282" s="168">
        <f t="shared" si="83"/>
        <v>0.64</v>
      </c>
      <c r="K282" s="168">
        <f t="shared" si="83"/>
        <v>0.64</v>
      </c>
      <c r="L282" s="168">
        <f t="shared" si="83"/>
        <v>0.64</v>
      </c>
      <c r="M282" s="168">
        <f t="shared" si="83"/>
        <v>0.64</v>
      </c>
      <c r="N282" s="168">
        <f t="shared" si="83"/>
        <v>0.64</v>
      </c>
      <c r="O282" s="168">
        <f t="shared" si="83"/>
        <v>0.64</v>
      </c>
      <c r="P282" s="168">
        <f t="shared" si="83"/>
        <v>0.64</v>
      </c>
      <c r="Q282" s="168">
        <f t="shared" si="83"/>
        <v>0.64</v>
      </c>
      <c r="R282" s="168">
        <f t="shared" si="83"/>
        <v>0.64</v>
      </c>
      <c r="S282" s="168">
        <f t="shared" si="83"/>
        <v>0.64</v>
      </c>
      <c r="T282" s="168">
        <f t="shared" si="83"/>
        <v>0.64</v>
      </c>
      <c r="U282" s="168">
        <f t="shared" si="83"/>
        <v>0.64</v>
      </c>
      <c r="V282" s="168">
        <f t="shared" si="83"/>
        <v>0.64</v>
      </c>
      <c r="W282" s="168">
        <f t="shared" si="83"/>
        <v>0.64</v>
      </c>
      <c r="X282" s="168">
        <f t="shared" si="83"/>
        <v>0.64</v>
      </c>
      <c r="Y282" s="168">
        <f t="shared" si="83"/>
        <v>0.64</v>
      </c>
      <c r="Z282" s="168">
        <f t="shared" si="83"/>
        <v>0.64</v>
      </c>
      <c r="AA282" s="168">
        <f t="shared" si="83"/>
        <v>0.64</v>
      </c>
      <c r="AB282" s="168">
        <f t="shared" si="83"/>
        <v>0.64</v>
      </c>
      <c r="AC282" s="168">
        <f t="shared" si="83"/>
        <v>0.64</v>
      </c>
      <c r="AD282" s="168">
        <f t="shared" si="83"/>
        <v>0.64</v>
      </c>
      <c r="AE282" s="168">
        <f t="shared" si="83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36" type="noConversion"/>
  <conditionalFormatting sqref="A11:A130">
    <cfRule type="expression" dxfId="4571" priority="1">
      <formula>$AH11=0</formula>
    </cfRule>
  </conditionalFormatting>
  <conditionalFormatting sqref="A132:A253">
    <cfRule type="expression" dxfId="4570" priority="6">
      <formula>$AH132=0</formula>
    </cfRule>
  </conditionalFormatting>
  <conditionalFormatting sqref="B8 M8 S8 AB8">
    <cfRule type="expression" dxfId="4569" priority="115">
      <formula>AND(C$9&gt;=8/24,C$9&lt;14/24)</formula>
    </cfRule>
    <cfRule type="expression" dxfId="4568" priority="116">
      <formula>C$9&lt;8/24</formula>
    </cfRule>
    <cfRule type="expression" dxfId="4567" priority="114">
      <formula>AND(C$9&gt;=14/24,C$9&lt;20/24)</formula>
    </cfRule>
  </conditionalFormatting>
  <conditionalFormatting sqref="B63:I74 J64:J74 K68:K74 K69:L71 L69:L74">
    <cfRule type="expression" dxfId="4566" priority="21">
      <formula>B$9&gt;=20/24</formula>
    </cfRule>
    <cfRule type="expression" dxfId="4565" priority="22">
      <formula>AND(B$9&gt;=14/24,B$9&lt;20/24)</formula>
    </cfRule>
    <cfRule type="expression" dxfId="4564" priority="23">
      <formula>AND(B$9&gt;=8/24,B$9&lt;14/24)</formula>
    </cfRule>
    <cfRule type="expression" dxfId="4563" priority="24">
      <formula>B$9&lt;8/24</formula>
    </cfRule>
  </conditionalFormatting>
  <conditionalFormatting sqref="B56:AD56 AE56:AF57 AB57:AD57">
    <cfRule type="expression" dxfId="4562" priority="63">
      <formula>B$9&lt;8/24</formula>
    </cfRule>
  </conditionalFormatting>
  <conditionalFormatting sqref="B9:AF52">
    <cfRule type="expression" dxfId="4561" priority="26">
      <formula>B$9&gt;=20/24</formula>
    </cfRule>
    <cfRule type="expression" dxfId="4560" priority="27">
      <formula>AND(B$9&gt;=14/24,B$9&lt;20/24)</formula>
    </cfRule>
    <cfRule type="expression" dxfId="4559" priority="28">
      <formula>AND(B$9&gt;=8/24,B$9&lt;14/24)</formula>
    </cfRule>
    <cfRule type="expression" dxfId="4558" priority="29">
      <formula>B$9&lt;8/24</formula>
    </cfRule>
  </conditionalFormatting>
  <conditionalFormatting sqref="B11:AF54">
    <cfRule type="expression" dxfId="4557" priority="15">
      <formula>B11&gt;$AG11</formula>
    </cfRule>
  </conditionalFormatting>
  <conditionalFormatting sqref="B53:AF54">
    <cfRule type="expression" dxfId="4556" priority="11">
      <formula>B$9&gt;=20/24</formula>
    </cfRule>
    <cfRule type="expression" dxfId="4555" priority="12">
      <formula>AND(B$9&gt;=14/24,B$9&lt;20/24)</formula>
    </cfRule>
    <cfRule type="expression" dxfId="4554" priority="13">
      <formula>AND(B$9&gt;=8/24,B$9&lt;14/24)</formula>
    </cfRule>
    <cfRule type="expression" dxfId="4553" priority="14">
      <formula>B$9&lt;8/24</formula>
    </cfRule>
  </conditionalFormatting>
  <conditionalFormatting sqref="B55:AF55">
    <cfRule type="expression" dxfId="4552" priority="35">
      <formula>B55&gt;$AG55</formula>
    </cfRule>
  </conditionalFormatting>
  <conditionalFormatting sqref="B55:AF57">
    <cfRule type="expression" dxfId="4551" priority="31">
      <formula>B$9&gt;=20/24</formula>
    </cfRule>
    <cfRule type="expression" dxfId="4550" priority="32">
      <formula>AND(B$9&gt;=14/24,B$9&lt;20/24)</formula>
    </cfRule>
    <cfRule type="expression" dxfId="4549" priority="33">
      <formula>AND(B$9&gt;=8/24,B$9&lt;14/24)</formula>
    </cfRule>
  </conditionalFormatting>
  <conditionalFormatting sqref="B56:AF61">
    <cfRule type="expression" dxfId="4548" priority="30">
      <formula>B56&gt;$AG56</formula>
    </cfRule>
  </conditionalFormatting>
  <conditionalFormatting sqref="B59:AF61">
    <cfRule type="expression" dxfId="4547" priority="44">
      <formula>B$9&lt;8/24</formula>
    </cfRule>
    <cfRule type="expression" dxfId="4546" priority="43">
      <formula>AND(B$9&gt;=8/24,B$9&lt;14/24)</formula>
    </cfRule>
    <cfRule type="expression" dxfId="4545" priority="42">
      <formula>AND(B$9&gt;=14/24,B$9&lt;20/24)</formula>
    </cfRule>
    <cfRule type="expression" dxfId="4544" priority="41">
      <formula>B$9&gt;=20/24</formula>
    </cfRule>
  </conditionalFormatting>
  <conditionalFormatting sqref="B63:AF74">
    <cfRule type="expression" dxfId="4543" priority="20">
      <formula>B63&gt;$AG63</formula>
    </cfRule>
  </conditionalFormatting>
  <conditionalFormatting sqref="B77:AF79">
    <cfRule type="expression" dxfId="4542" priority="46">
      <formula>B$9&gt;=20/24</formula>
    </cfRule>
    <cfRule type="expression" dxfId="4541" priority="47">
      <formula>AND(B$9&gt;=14/24,B$9&lt;20/24)</formula>
    </cfRule>
    <cfRule type="expression" dxfId="4540" priority="48">
      <formula>AND(B$9&gt;=8/24,B$9&lt;14/24)</formula>
    </cfRule>
    <cfRule type="expression" dxfId="4539" priority="49">
      <formula>B$9&lt;8/24</formula>
    </cfRule>
    <cfRule type="expression" dxfId="4538" priority="45">
      <formula>B77&gt;$AG77</formula>
    </cfRule>
  </conditionalFormatting>
  <conditionalFormatting sqref="B81:AF99">
    <cfRule type="expression" dxfId="4537" priority="18">
      <formula>AND(B$9&gt;=8/24,B$9&lt;14/24)</formula>
    </cfRule>
    <cfRule type="expression" dxfId="4536" priority="16">
      <formula>B$9&gt;=20/24</formula>
    </cfRule>
    <cfRule type="expression" dxfId="4535" priority="19">
      <formula>B$9&lt;8/24</formula>
    </cfRule>
    <cfRule type="expression" dxfId="4534" priority="17">
      <formula>AND(B$9&gt;=14/24,B$9&lt;20/24)</formula>
    </cfRule>
  </conditionalFormatting>
  <conditionalFormatting sqref="B101:AF117">
    <cfRule type="expression" dxfId="4533" priority="9">
      <formula>AND(B$9&gt;=8/24,B$9&lt;14/24)</formula>
    </cfRule>
    <cfRule type="expression" dxfId="4532" priority="10">
      <formula>B$9&lt;8/24</formula>
    </cfRule>
    <cfRule type="expression" dxfId="4531" priority="8">
      <formula>AND(B$9&gt;=14/24,B$9&lt;20/24)</formula>
    </cfRule>
    <cfRule type="expression" dxfId="4530" priority="7">
      <formula>B$9&gt;=20/24</formula>
    </cfRule>
  </conditionalFormatting>
  <conditionalFormatting sqref="B119:AF137">
    <cfRule type="expression" dxfId="4529" priority="2">
      <formula>B$9&gt;=20/24</formula>
    </cfRule>
    <cfRule type="expression" dxfId="4528" priority="3">
      <formula>AND(B$9&gt;=14/24,B$9&lt;20/24)</formula>
    </cfRule>
    <cfRule type="expression" dxfId="4527" priority="4">
      <formula>AND(B$9&gt;=8/24,B$9&lt;14/24)</formula>
    </cfRule>
    <cfRule type="expression" dxfId="4526" priority="5">
      <formula>B$9&lt;8/24</formula>
    </cfRule>
  </conditionalFormatting>
  <conditionalFormatting sqref="B244:AF244 B246:B252 D246:AF252 U260:AF260">
    <cfRule type="expression" dxfId="4525" priority="110">
      <formula>B$9&lt;8/24</formula>
    </cfRule>
    <cfRule type="expression" dxfId="4524" priority="109">
      <formula>AND(B$9&gt;=8/24,B$9&lt;14/24)</formula>
    </cfRule>
    <cfRule type="expression" dxfId="4523" priority="107">
      <formula>B$9&gt;=20/24</formula>
    </cfRule>
    <cfRule type="expression" dxfId="4522" priority="108">
      <formula>AND(B$9&gt;=14/24,B$9&lt;20/24)</formula>
    </cfRule>
  </conditionalFormatting>
  <conditionalFormatting sqref="B62:AG62">
    <cfRule type="expression" dxfId="4521" priority="50">
      <formula>B62&gt;$AG62</formula>
    </cfRule>
    <cfRule type="expression" dxfId="4520" priority="51">
      <formula>B$9&gt;=20/24</formula>
    </cfRule>
    <cfRule type="expression" dxfId="4519" priority="52">
      <formula>AND(B$9&gt;=14/24,B$9&lt;20/24)</formula>
    </cfRule>
    <cfRule type="expression" dxfId="4518" priority="53">
      <formula>AND(B$9&gt;=8/24,B$9&lt;14/24)</formula>
    </cfRule>
    <cfRule type="expression" dxfId="4517" priority="54">
      <formula>B$9&lt;8/24</formula>
    </cfRule>
  </conditionalFormatting>
  <conditionalFormatting sqref="B75:AG76 B80:AG80">
    <cfRule type="expression" dxfId="4516" priority="36">
      <formula>B75&gt;$AG75</formula>
    </cfRule>
  </conditionalFormatting>
  <conditionalFormatting sqref="B80:AG80">
    <cfRule type="expression" dxfId="4515" priority="39">
      <formula>AND(B$9&gt;=8/24,B$9&lt;14/24)</formula>
    </cfRule>
    <cfRule type="expression" dxfId="4514" priority="40">
      <formula>B$9&lt;8/24</formula>
    </cfRule>
    <cfRule type="expression" dxfId="4513" priority="37">
      <formula>B$9&gt;=20/24</formula>
    </cfRule>
    <cfRule type="expression" dxfId="4512" priority="38">
      <formula>AND(B$9&gt;=14/24,B$9&lt;20/24)</formula>
    </cfRule>
  </conditionalFormatting>
  <conditionalFormatting sqref="F63:L65">
    <cfRule type="expression" dxfId="4511" priority="91">
      <formula>F$9&lt;8/24</formula>
    </cfRule>
    <cfRule type="expression" dxfId="4510" priority="90">
      <formula>AND(F$9&gt;=8/24,F$9&lt;14/24)</formula>
    </cfRule>
    <cfRule type="expression" dxfId="4509" priority="89">
      <formula>AND(F$9&gt;=14/24,F$9&lt;20/24)</formula>
    </cfRule>
    <cfRule type="expression" dxfId="4508" priority="88">
      <formula>F$9&gt;=20/24</formula>
    </cfRule>
  </conditionalFormatting>
  <conditionalFormatting sqref="F68:R68">
    <cfRule type="expression" dxfId="4507" priority="67">
      <formula>AND(F$9&gt;=8/24,F$9&lt;14/24)</formula>
    </cfRule>
    <cfRule type="expression" dxfId="4506" priority="68">
      <formula>F$9&lt;8/24</formula>
    </cfRule>
    <cfRule type="expression" dxfId="4505" priority="65">
      <formula>F$9&gt;=20/24</formula>
    </cfRule>
    <cfRule type="expression" dxfId="4504" priority="66">
      <formula>AND(F$9&gt;=14/24,F$9&lt;20/24)</formula>
    </cfRule>
  </conditionalFormatting>
  <conditionalFormatting sqref="F69:AF74">
    <cfRule type="expression" dxfId="4503" priority="55">
      <formula>F$9&gt;=20/24</formula>
    </cfRule>
    <cfRule type="expression" dxfId="4502" priority="57">
      <formula>AND(F$9&gt;=8/24,F$9&lt;14/24)</formula>
    </cfRule>
    <cfRule type="expression" dxfId="4501" priority="58">
      <formula>F$9&lt;8/24</formula>
    </cfRule>
    <cfRule type="expression" dxfId="4500" priority="56">
      <formula>AND(F$9&gt;=14/24,F$9&lt;20/24)</formula>
    </cfRule>
  </conditionalFormatting>
  <conditionalFormatting sqref="M63:R67">
    <cfRule type="expression" dxfId="4499" priority="95">
      <formula>M$9&lt;8/24</formula>
    </cfRule>
    <cfRule type="expression" dxfId="4498" priority="92">
      <formula>M$9&gt;=20/24</formula>
    </cfRule>
    <cfRule type="expression" dxfId="4497" priority="93">
      <formula>AND(M$9&gt;=14/24,M$9&lt;20/24)</formula>
    </cfRule>
    <cfRule type="expression" dxfId="4496" priority="94">
      <formula>AND(M$9&gt;=8/24,M$9&lt;14/24)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495" priority="113">
      <formula>C$9&gt;=20/24</formula>
    </cfRule>
  </conditionalFormatting>
  <conditionalFormatting sqref="S8">
    <cfRule type="expression" dxfId="4494" priority="102">
      <formula>AND(U$9&gt;=8/24,U$9&lt;14/24)</formula>
    </cfRule>
    <cfRule type="expression" dxfId="4493" priority="103">
      <formula>U$9&lt;8/24</formula>
    </cfRule>
    <cfRule type="expression" dxfId="4492" priority="100">
      <formula>U$9&gt;=20/24</formula>
    </cfRule>
    <cfRule type="expression" dxfId="4491" priority="101">
      <formula>AND(U$9&gt;=14/24,U$9&lt;20/24)</formula>
    </cfRule>
  </conditionalFormatting>
  <conditionalFormatting sqref="S63:AF68">
    <cfRule type="expression" dxfId="4490" priority="62">
      <formula>S$9&lt;8/24</formula>
    </cfRule>
    <cfRule type="expression" dxfId="4489" priority="61">
      <formula>AND(S$9&gt;=8/24,S$9&lt;14/24)</formula>
    </cfRule>
    <cfRule type="expression" dxfId="4488" priority="60">
      <formula>AND(S$9&gt;=14/24,S$9&lt;20/24)</formula>
    </cfRule>
    <cfRule type="expression" dxfId="4487" priority="59">
      <formula>S$9&gt;=20/24</formula>
    </cfRule>
  </conditionalFormatting>
  <conditionalFormatting sqref="T260">
    <cfRule type="expression" dxfId="4486" priority="128">
      <formula>AX$9&lt;8/24</formula>
    </cfRule>
    <cfRule type="expression" dxfId="4485" priority="125">
      <formula>AX$9&gt;=20/24</formula>
    </cfRule>
    <cfRule type="expression" dxfId="4484" priority="126">
      <formula>AND(AX$9&gt;=14/24,AX$9&lt;20/24)</formula>
    </cfRule>
    <cfRule type="expression" dxfId="4483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482" priority="96">
      <formula>AD$9&gt;=20/24</formula>
    </cfRule>
    <cfRule type="expression" dxfId="4481" priority="97">
      <formula>AND(AD$9&gt;=14/24,AD$9&lt;20/24)</formula>
    </cfRule>
    <cfRule type="expression" dxfId="4480" priority="98">
      <formula>AND(AD$9&gt;=8/24,AD$9&lt;14/24)</formula>
    </cfRule>
    <cfRule type="expression" dxfId="4479" priority="99">
      <formula>AD$9&lt;8/24</formula>
    </cfRule>
  </conditionalFormatting>
  <conditionalFormatting sqref="AB55:AF56 B55:AA57">
    <cfRule type="expression" dxfId="4478" priority="34">
      <formula>B$9&lt;8/24</formula>
    </cfRule>
  </conditionalFormatting>
  <conditionalFormatting sqref="AG58">
    <cfRule type="expression" dxfId="4477" priority="83">
      <formula>AG58&gt;$AG58</formula>
    </cfRule>
  </conditionalFormatting>
  <conditionalFormatting sqref="AG97">
    <cfRule type="expression" dxfId="4476" priority="84">
      <formula>AG$9&gt;=20/24</formula>
    </cfRule>
    <cfRule type="expression" dxfId="4475" priority="86">
      <formula>AND(AG$9&gt;=8/24,AG$9&lt;14/24)</formula>
    </cfRule>
    <cfRule type="expression" dxfId="4474" priority="85">
      <formula>AND(AG$9&gt;=14/24,AG$9&lt;20/24)</formula>
    </cfRule>
    <cfRule type="expression" dxfId="4473" priority="87">
      <formula>AG$9&lt;8/24</formula>
    </cfRule>
  </conditionalFormatting>
  <conditionalFormatting sqref="AG260">
    <cfRule type="expression" dxfId="4472" priority="118">
      <formula>AND(B$9&gt;=14/24,B$9&lt;20/24)</formula>
    </cfRule>
    <cfRule type="expression" dxfId="4471" priority="120">
      <formula>B$9&lt;8/24</formula>
    </cfRule>
    <cfRule type="expression" dxfId="4470" priority="119">
      <formula>AND(B$9&gt;=8/24,B$9&lt;14/24)</formula>
    </cfRule>
    <cfRule type="expression" dxfId="4469" priority="117">
      <formula>B$9&gt;=20/24</formula>
    </cfRule>
  </conditionalFormatting>
  <conditionalFormatting sqref="AH260:AX260">
    <cfRule type="expression" dxfId="4468" priority="121">
      <formula>AG$9&gt;=20/24</formula>
    </cfRule>
    <cfRule type="expression" dxfId="4467" priority="122">
      <formula>AND(AG$9&gt;=14/24,AG$9&lt;20/24)</formula>
    </cfRule>
    <cfRule type="expression" dxfId="4466" priority="123">
      <formula>AND(AG$9&gt;=8/24,AG$9&lt;14/24)</formula>
    </cfRule>
    <cfRule type="expression" dxfId="4465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464" priority="130">
      <formula>AJ$9&gt;=20/24</formula>
    </cfRule>
    <cfRule type="expression" dxfId="4463" priority="131">
      <formula>AND(AJ$9&gt;=14/24,AJ$9&lt;20/24)</formula>
    </cfRule>
    <cfRule type="expression" dxfId="4462" priority="132">
      <formula>AND(AJ$9&gt;=8/24,AJ$9&lt;14/24)</formula>
    </cfRule>
    <cfRule type="expression" dxfId="4461" priority="133">
      <formula>AJ$9&lt;8/24</formula>
    </cfRule>
  </conditionalFormatting>
  <conditionalFormatting sqref="AL88:AN88 AL94:AN94">
    <cfRule type="expression" dxfId="4460" priority="79">
      <formula>AL$9&lt;8/24</formula>
    </cfRule>
    <cfRule type="expression" dxfId="4459" priority="77">
      <formula>AND(AL$9&gt;=14/24,AL$9&lt;20/24)</formula>
    </cfRule>
    <cfRule type="expression" dxfId="4458" priority="76">
      <formula>AL$9&gt;=20/24</formula>
    </cfRule>
    <cfRule type="expression" dxfId="4457" priority="78">
      <formula>AND(AL$9&gt;=8/24,AL$9&lt;14/24)</formula>
    </cfRule>
  </conditionalFormatting>
  <conditionalFormatting sqref="AN89:AN92">
    <cfRule type="expression" dxfId="4456" priority="75">
      <formula>AN$9&lt;8/24</formula>
    </cfRule>
    <cfRule type="expression" dxfId="4455" priority="74">
      <formula>AND(AN$9&gt;=8/24,AN$9&lt;14/24)</formula>
    </cfRule>
    <cfRule type="expression" dxfId="4454" priority="73">
      <formula>AND(AN$9&gt;=14/24,AN$9&lt;20/24)</formula>
    </cfRule>
    <cfRule type="expression" dxfId="4453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4751-C386-4357-89EA-46C8F206CC22}">
  <dimension ref="A1:CJ293"/>
  <sheetViews>
    <sheetView zoomScale="106" workbookViewId="0">
      <pane xSplit="1" ySplit="10" topLeftCell="B118" activePane="bottomRight" state="frozen"/>
      <selection activeCell="Z63" sqref="Z63"/>
      <selection pane="topRight" activeCell="Z63" sqref="Z63"/>
      <selection pane="bottomLeft" activeCell="Z63" sqref="Z63"/>
      <selection pane="bottomRight" activeCell="AB132" sqref="AB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2080/10/3</v>
      </c>
      <c r="C4" s="272"/>
      <c r="D4" s="272"/>
      <c r="E4" s="273" t="str">
        <f ca="1">"2080/"&amp;"10/"&amp;INT(MID(CELL("filename",G6),FIND("]",CELL("filename",G6))+1,200))</f>
        <v>2080/10/3</v>
      </c>
      <c r="F4" s="273"/>
      <c r="G4" s="273"/>
      <c r="H4" s="273" t="str">
        <f ca="1">TEXT(E4,"dddd")</f>
        <v>Thursday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566.6</v>
      </c>
      <c r="C5" s="30">
        <f t="shared" si="0"/>
        <v>566.79999999999995</v>
      </c>
      <c r="D5" s="30">
        <f t="shared" si="0"/>
        <v>553.78</v>
      </c>
      <c r="E5" s="30">
        <f t="shared" si="0"/>
        <v>591.6</v>
      </c>
      <c r="F5" s="30">
        <f t="shared" si="0"/>
        <v>564</v>
      </c>
      <c r="G5" s="30">
        <f t="shared" si="0"/>
        <v>647.6</v>
      </c>
      <c r="H5" s="30">
        <f t="shared" si="0"/>
        <v>657</v>
      </c>
      <c r="I5" s="30">
        <f t="shared" si="0"/>
        <v>734</v>
      </c>
      <c r="J5" s="30">
        <f t="shared" si="0"/>
        <v>499.8</v>
      </c>
      <c r="K5" s="30">
        <f t="shared" si="0"/>
        <v>371.2</v>
      </c>
      <c r="L5" s="30">
        <f t="shared" si="0"/>
        <v>315.29999999999995</v>
      </c>
      <c r="M5" s="30">
        <f t="shared" si="0"/>
        <v>498.7</v>
      </c>
      <c r="N5" s="30">
        <f t="shared" si="0"/>
        <v>498.7</v>
      </c>
      <c r="O5" s="30">
        <f t="shared" si="0"/>
        <v>498.7</v>
      </c>
      <c r="P5" s="30">
        <f t="shared" si="0"/>
        <v>733.5</v>
      </c>
      <c r="Q5" s="30">
        <f t="shared" si="0"/>
        <v>700.6</v>
      </c>
      <c r="R5" s="30">
        <f t="shared" si="0"/>
        <v>813.8</v>
      </c>
      <c r="S5" s="30">
        <f t="shared" si="0"/>
        <v>703.9</v>
      </c>
      <c r="T5" s="30">
        <f t="shared" si="0"/>
        <v>756</v>
      </c>
      <c r="U5" s="30">
        <f t="shared" si="0"/>
        <v>596.30000000000007</v>
      </c>
      <c r="V5" s="30">
        <f t="shared" si="0"/>
        <v>580.70000000000005</v>
      </c>
      <c r="W5" s="30">
        <f t="shared" si="0"/>
        <v>461.6</v>
      </c>
      <c r="X5" s="30">
        <f t="shared" si="0"/>
        <v>372.7</v>
      </c>
      <c r="Y5" s="30">
        <f t="shared" si="0"/>
        <v>268.89999999999998</v>
      </c>
      <c r="Z5" s="30">
        <f t="shared" si="0"/>
        <v>255.6</v>
      </c>
      <c r="AA5" s="30">
        <f t="shared" si="0"/>
        <v>433.1</v>
      </c>
      <c r="AB5" s="30">
        <f t="shared" si="0"/>
        <v>470</v>
      </c>
      <c r="AC5" s="30">
        <f t="shared" si="0"/>
        <v>525.79999999999995</v>
      </c>
      <c r="AD5" s="30">
        <f t="shared" si="0"/>
        <v>587</v>
      </c>
      <c r="AE5" s="30">
        <f t="shared" si="0"/>
        <v>579</v>
      </c>
      <c r="AF5" s="30">
        <f>B92</f>
        <v>675.40000000000009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1852MW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Load=1155</v>
      </c>
      <c r="B7" s="35">
        <f>B100</f>
        <v>1281.4900000000002</v>
      </c>
      <c r="C7" s="35">
        <f t="shared" ref="C7:AF7" si="1">C100</f>
        <v>1172.69</v>
      </c>
      <c r="D7" s="35">
        <f t="shared" si="1"/>
        <v>1166.79</v>
      </c>
      <c r="E7" s="35">
        <f t="shared" si="1"/>
        <v>1155.17</v>
      </c>
      <c r="F7" s="35">
        <f t="shared" si="1"/>
        <v>1192.99</v>
      </c>
      <c r="G7" s="35">
        <f t="shared" si="1"/>
        <v>1181.29</v>
      </c>
      <c r="H7" s="35">
        <f t="shared" si="1"/>
        <v>1281.79</v>
      </c>
      <c r="I7" s="35">
        <f t="shared" si="1"/>
        <v>1368.0900000000001</v>
      </c>
      <c r="J7" s="35">
        <f t="shared" si="1"/>
        <v>1487.99</v>
      </c>
      <c r="K7" s="35">
        <f t="shared" si="1"/>
        <v>1651.59</v>
      </c>
      <c r="L7" s="35">
        <f t="shared" si="1"/>
        <v>1677.59</v>
      </c>
      <c r="M7" s="35">
        <f t="shared" si="1"/>
        <v>1668.1899999999998</v>
      </c>
      <c r="N7" s="35">
        <f t="shared" si="1"/>
        <v>1851.59</v>
      </c>
      <c r="O7" s="35">
        <f t="shared" si="1"/>
        <v>1534.39</v>
      </c>
      <c r="P7" s="35">
        <f t="shared" si="1"/>
        <v>1254.3900000000001</v>
      </c>
      <c r="Q7" s="35">
        <f t="shared" si="1"/>
        <v>1467.19</v>
      </c>
      <c r="R7" s="35">
        <f t="shared" si="1"/>
        <v>1434.29</v>
      </c>
      <c r="S7" s="35">
        <f t="shared" si="1"/>
        <v>1564.8899999999999</v>
      </c>
      <c r="T7" s="35">
        <f t="shared" si="1"/>
        <v>1482.69</v>
      </c>
      <c r="U7" s="35">
        <f t="shared" si="1"/>
        <v>1543.29</v>
      </c>
      <c r="V7" s="35">
        <f t="shared" si="1"/>
        <v>1309.29</v>
      </c>
      <c r="W7" s="35">
        <f t="shared" si="1"/>
        <v>1484.49</v>
      </c>
      <c r="X7" s="35">
        <f t="shared" si="1"/>
        <v>1718.0900000000001</v>
      </c>
      <c r="Y7" s="35">
        <f t="shared" si="1"/>
        <v>1821.75</v>
      </c>
      <c r="Z7" s="35">
        <f t="shared" si="1"/>
        <v>1773.85</v>
      </c>
      <c r="AA7" s="35">
        <f t="shared" si="1"/>
        <v>1688.29</v>
      </c>
      <c r="AB7" s="35">
        <f t="shared" si="1"/>
        <v>1640.69</v>
      </c>
      <c r="AC7" s="35">
        <f t="shared" si="1"/>
        <v>1616.59</v>
      </c>
      <c r="AD7" s="35">
        <f t="shared" si="1"/>
        <v>1414.19</v>
      </c>
      <c r="AE7" s="35">
        <f t="shared" si="1"/>
        <v>1368.3899999999999</v>
      </c>
      <c r="AF7" s="35">
        <f t="shared" si="1"/>
        <v>1249.3899999999999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29.5</v>
      </c>
      <c r="C11" s="45">
        <v>29.5</v>
      </c>
      <c r="D11" s="45">
        <v>29.5</v>
      </c>
      <c r="E11" s="45">
        <v>29.9</v>
      </c>
      <c r="F11" s="45">
        <v>29.9</v>
      </c>
      <c r="G11" s="45">
        <v>29.8</v>
      </c>
      <c r="H11" s="45">
        <v>29.8</v>
      </c>
      <c r="I11" s="45">
        <v>29.1</v>
      </c>
      <c r="J11" s="45">
        <v>28.4</v>
      </c>
      <c r="K11" s="45">
        <v>28.4</v>
      </c>
      <c r="L11" s="45">
        <v>28.4</v>
      </c>
      <c r="M11" s="45">
        <v>28.4</v>
      </c>
      <c r="N11" s="45">
        <v>28.4</v>
      </c>
      <c r="O11" s="45">
        <v>28.4</v>
      </c>
      <c r="P11" s="45">
        <v>28.4</v>
      </c>
      <c r="Q11" s="45">
        <v>28.4</v>
      </c>
      <c r="R11" s="45">
        <v>28.4</v>
      </c>
      <c r="S11" s="45">
        <v>28.8</v>
      </c>
      <c r="T11" s="45">
        <v>28.8</v>
      </c>
      <c r="U11" s="45">
        <v>29.8</v>
      </c>
      <c r="V11" s="45">
        <v>29.8</v>
      </c>
      <c r="W11" s="45">
        <v>29.8</v>
      </c>
      <c r="X11" s="45">
        <v>29.8</v>
      </c>
      <c r="Y11" s="45">
        <v>29.8</v>
      </c>
      <c r="Z11" s="45">
        <v>29.8</v>
      </c>
      <c r="AA11" s="45">
        <v>29.8</v>
      </c>
      <c r="AB11" s="45">
        <v>29.8</v>
      </c>
      <c r="AC11" s="45">
        <v>29.8</v>
      </c>
      <c r="AD11" s="45">
        <v>29.8</v>
      </c>
      <c r="AE11" s="45">
        <v>29.8</v>
      </c>
      <c r="AF11" s="45">
        <v>29.8</v>
      </c>
      <c r="AG11" s="46">
        <v>86</v>
      </c>
      <c r="AH11" s="47">
        <f t="shared" ref="AH11:AH84" si="2">MAX(B11:AF11)</f>
        <v>29.9</v>
      </c>
      <c r="AI11" s="48">
        <f t="shared" ref="AI11:AI84" si="3">MIN(B11:AF11)</f>
        <v>28.4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9.8000000000000007</v>
      </c>
      <c r="P12" s="45">
        <v>9.8000000000000007</v>
      </c>
      <c r="Q12" s="45">
        <v>9.8000000000000007</v>
      </c>
      <c r="R12" s="45">
        <v>9.8000000000000007</v>
      </c>
      <c r="S12" s="45">
        <v>9.8000000000000007</v>
      </c>
      <c r="T12" s="45">
        <v>9.8000000000000007</v>
      </c>
      <c r="U12" s="45">
        <v>9.8000000000000007</v>
      </c>
      <c r="V12" s="45">
        <v>9.8000000000000007</v>
      </c>
      <c r="W12" s="45">
        <v>9.8000000000000007</v>
      </c>
      <c r="X12" s="45">
        <v>9.8000000000000007</v>
      </c>
      <c r="Y12" s="45">
        <v>9.8000000000000007</v>
      </c>
      <c r="Z12" s="45">
        <v>9.8000000000000007</v>
      </c>
      <c r="AA12" s="45">
        <v>9.8000000000000007</v>
      </c>
      <c r="AB12" s="45">
        <v>9.8000000000000007</v>
      </c>
      <c r="AC12" s="45">
        <v>9.8000000000000007</v>
      </c>
      <c r="AD12" s="45">
        <v>9.8000000000000007</v>
      </c>
      <c r="AE12" s="45">
        <v>9.8000000000000007</v>
      </c>
      <c r="AF12" s="45">
        <v>9.8000000000000007</v>
      </c>
      <c r="AG12" s="49">
        <v>54</v>
      </c>
      <c r="AH12" s="47">
        <f t="shared" si="2"/>
        <v>9.8000000000000007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10.3</v>
      </c>
      <c r="C13" s="45">
        <v>10.3</v>
      </c>
      <c r="D13" s="45">
        <v>10.3</v>
      </c>
      <c r="E13" s="45">
        <v>10.3</v>
      </c>
      <c r="F13" s="45">
        <v>10.3</v>
      </c>
      <c r="G13" s="45">
        <v>10.3</v>
      </c>
      <c r="H13" s="45">
        <v>10.3</v>
      </c>
      <c r="I13" s="45">
        <v>10.3</v>
      </c>
      <c r="J13" s="45">
        <v>10.3</v>
      </c>
      <c r="K13" s="45">
        <v>10.3</v>
      </c>
      <c r="L13" s="45">
        <v>10.3</v>
      </c>
      <c r="M13" s="45">
        <v>10.3</v>
      </c>
      <c r="N13" s="45">
        <v>10.3</v>
      </c>
      <c r="O13" s="45">
        <v>10.3</v>
      </c>
      <c r="P13" s="45">
        <v>10.3</v>
      </c>
      <c r="Q13" s="45">
        <v>10.3</v>
      </c>
      <c r="R13" s="45">
        <v>10.3</v>
      </c>
      <c r="S13" s="45">
        <v>10.3</v>
      </c>
      <c r="T13" s="45">
        <v>10.3</v>
      </c>
      <c r="U13" s="45">
        <v>10.3</v>
      </c>
      <c r="V13" s="45">
        <v>10.3</v>
      </c>
      <c r="W13" s="45">
        <v>10.3</v>
      </c>
      <c r="X13" s="45">
        <v>10.3</v>
      </c>
      <c r="Y13" s="45">
        <v>10.3</v>
      </c>
      <c r="Z13" s="45">
        <v>10.3</v>
      </c>
      <c r="AA13" s="45">
        <v>10.3</v>
      </c>
      <c r="AB13" s="45">
        <v>10.3</v>
      </c>
      <c r="AC13" s="45">
        <v>10.3</v>
      </c>
      <c r="AD13" s="45">
        <v>10.3</v>
      </c>
      <c r="AE13" s="45">
        <v>10.3</v>
      </c>
      <c r="AF13" s="45">
        <v>10.3</v>
      </c>
      <c r="AG13" s="49">
        <v>54</v>
      </c>
      <c r="AH13" s="47">
        <f t="shared" si="2"/>
        <v>10.3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16.5</v>
      </c>
      <c r="C14" s="45">
        <v>16.5</v>
      </c>
      <c r="D14" s="45">
        <v>15.3</v>
      </c>
      <c r="E14" s="45">
        <v>15.3</v>
      </c>
      <c r="F14" s="45">
        <v>15.3</v>
      </c>
      <c r="G14" s="45">
        <v>15.3</v>
      </c>
      <c r="H14" s="45">
        <v>15.3</v>
      </c>
      <c r="I14" s="45">
        <v>15.3</v>
      </c>
      <c r="J14" s="45">
        <v>15.3</v>
      </c>
      <c r="K14" s="45">
        <v>15.3</v>
      </c>
      <c r="L14" s="45">
        <v>15.3</v>
      </c>
      <c r="M14" s="45">
        <v>15.3</v>
      </c>
      <c r="N14" s="45">
        <v>15.3</v>
      </c>
      <c r="O14" s="45">
        <v>15.3</v>
      </c>
      <c r="P14" s="45">
        <v>15.3</v>
      </c>
      <c r="Q14" s="45">
        <v>15.3</v>
      </c>
      <c r="R14" s="45">
        <v>15.3</v>
      </c>
      <c r="S14" s="45">
        <v>14.4</v>
      </c>
      <c r="T14" s="45">
        <v>17</v>
      </c>
      <c r="U14" s="45">
        <v>17</v>
      </c>
      <c r="V14" s="45">
        <v>17</v>
      </c>
      <c r="W14" s="45">
        <v>17</v>
      </c>
      <c r="X14" s="45">
        <v>17</v>
      </c>
      <c r="Y14" s="45">
        <v>17</v>
      </c>
      <c r="Z14" s="45">
        <v>17</v>
      </c>
      <c r="AA14" s="45">
        <v>17</v>
      </c>
      <c r="AB14" s="45">
        <v>17</v>
      </c>
      <c r="AC14" s="45">
        <v>17</v>
      </c>
      <c r="AD14" s="45">
        <v>17</v>
      </c>
      <c r="AE14" s="45">
        <v>17</v>
      </c>
      <c r="AF14" s="45">
        <v>17</v>
      </c>
      <c r="AG14" s="46">
        <v>52.4</v>
      </c>
      <c r="AH14" s="47">
        <f t="shared" si="2"/>
        <v>17</v>
      </c>
      <c r="AI14" s="48">
        <f t="shared" si="3"/>
        <v>14.4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29.1</v>
      </c>
      <c r="C15" s="45">
        <v>29.1</v>
      </c>
      <c r="D15" s="45">
        <v>28.3</v>
      </c>
      <c r="E15" s="45">
        <v>28.3</v>
      </c>
      <c r="F15" s="45">
        <v>28.3</v>
      </c>
      <c r="G15" s="45">
        <v>28.3</v>
      </c>
      <c r="H15" s="45">
        <v>28.3</v>
      </c>
      <c r="I15" s="45">
        <v>28.3</v>
      </c>
      <c r="J15" s="45">
        <v>28.3</v>
      </c>
      <c r="K15" s="45">
        <v>28.3</v>
      </c>
      <c r="L15" s="45">
        <v>28.3</v>
      </c>
      <c r="M15" s="45">
        <v>28.3</v>
      </c>
      <c r="N15" s="45">
        <v>28.3</v>
      </c>
      <c r="O15" s="45">
        <v>28.3</v>
      </c>
      <c r="P15" s="45">
        <v>28.3</v>
      </c>
      <c r="Q15" s="45">
        <v>28.3</v>
      </c>
      <c r="R15" s="45">
        <v>28.3</v>
      </c>
      <c r="S15" s="51">
        <v>28.2</v>
      </c>
      <c r="T15" s="51">
        <v>28.2</v>
      </c>
      <c r="U15" s="51">
        <v>28.2</v>
      </c>
      <c r="V15" s="51">
        <v>28.2</v>
      </c>
      <c r="W15" s="51">
        <v>28.2</v>
      </c>
      <c r="X15" s="51">
        <v>28.2</v>
      </c>
      <c r="Y15" s="51">
        <v>28.2</v>
      </c>
      <c r="Z15" s="51">
        <v>28.2</v>
      </c>
      <c r="AA15" s="51">
        <v>28.2</v>
      </c>
      <c r="AB15" s="51">
        <v>28.2</v>
      </c>
      <c r="AC15" s="51">
        <v>28.2</v>
      </c>
      <c r="AD15" s="51">
        <v>28.2</v>
      </c>
      <c r="AE15" s="51">
        <v>28.2</v>
      </c>
      <c r="AF15" s="51">
        <v>28.2</v>
      </c>
      <c r="AG15" s="49">
        <v>50</v>
      </c>
      <c r="AH15" s="47">
        <f t="shared" si="2"/>
        <v>29.1</v>
      </c>
      <c r="AI15" s="48">
        <f t="shared" si="3"/>
        <v>28.2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17.3</v>
      </c>
      <c r="C16" s="45">
        <v>17.3</v>
      </c>
      <c r="D16" s="45">
        <v>16.8</v>
      </c>
      <c r="E16" s="45">
        <v>16.8</v>
      </c>
      <c r="F16" s="45">
        <v>16.8</v>
      </c>
      <c r="G16" s="45">
        <v>16.8</v>
      </c>
      <c r="H16" s="45">
        <v>16.8</v>
      </c>
      <c r="I16" s="45">
        <v>16.8</v>
      </c>
      <c r="J16" s="45">
        <v>16.8</v>
      </c>
      <c r="K16" s="45">
        <v>16.8</v>
      </c>
      <c r="L16" s="45">
        <v>16.8</v>
      </c>
      <c r="M16" s="45">
        <v>16.8</v>
      </c>
      <c r="N16" s="45">
        <v>16.8</v>
      </c>
      <c r="O16" s="45">
        <v>16.8</v>
      </c>
      <c r="P16" s="45">
        <v>16.8</v>
      </c>
      <c r="Q16" s="45">
        <v>16.8</v>
      </c>
      <c r="R16" s="45">
        <v>16.8</v>
      </c>
      <c r="S16" s="45">
        <v>16.2</v>
      </c>
      <c r="T16" s="45">
        <v>16.2</v>
      </c>
      <c r="U16" s="45">
        <v>16.2</v>
      </c>
      <c r="V16" s="45">
        <v>16.2</v>
      </c>
      <c r="W16" s="45">
        <v>16.2</v>
      </c>
      <c r="X16" s="45">
        <v>16.2</v>
      </c>
      <c r="Y16" s="45">
        <v>16.2</v>
      </c>
      <c r="Z16" s="45">
        <v>16.2</v>
      </c>
      <c r="AA16" s="45">
        <v>16.2</v>
      </c>
      <c r="AB16" s="45">
        <v>16.2</v>
      </c>
      <c r="AC16" s="45">
        <v>16.2</v>
      </c>
      <c r="AD16" s="45">
        <v>16.2</v>
      </c>
      <c r="AE16" s="45">
        <v>16.2</v>
      </c>
      <c r="AF16" s="45">
        <v>16.2</v>
      </c>
      <c r="AG16" s="49">
        <v>45</v>
      </c>
      <c r="AH16" s="47">
        <f t="shared" si="2"/>
        <v>17.3</v>
      </c>
      <c r="AI16" s="48">
        <f t="shared" si="3"/>
        <v>16.2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</v>
      </c>
      <c r="C18" s="45">
        <v>7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7.8</v>
      </c>
      <c r="T18" s="45">
        <v>7.8</v>
      </c>
      <c r="U18" s="45">
        <v>7.8</v>
      </c>
      <c r="V18" s="45">
        <v>7.8</v>
      </c>
      <c r="W18" s="45">
        <v>7.8</v>
      </c>
      <c r="X18" s="45">
        <v>7.8</v>
      </c>
      <c r="Y18" s="45">
        <v>7.8</v>
      </c>
      <c r="Z18" s="45">
        <v>7.8</v>
      </c>
      <c r="AA18" s="45">
        <v>7.8</v>
      </c>
      <c r="AB18" s="45">
        <v>7.8</v>
      </c>
      <c r="AC18" s="45">
        <v>7.8</v>
      </c>
      <c r="AD18" s="45">
        <v>7.8</v>
      </c>
      <c r="AE18" s="45">
        <v>7.8</v>
      </c>
      <c r="AF18" s="45">
        <v>7.8</v>
      </c>
      <c r="AG18" s="49">
        <v>42</v>
      </c>
      <c r="AH18" s="47">
        <f t="shared" si="2"/>
        <v>7.8</v>
      </c>
      <c r="AI18" s="48">
        <f t="shared" si="3"/>
        <v>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7.8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8.6999999999999993</v>
      </c>
      <c r="C24" s="45">
        <v>8.6999999999999993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8.6999999999999993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6.4</v>
      </c>
      <c r="C25" s="45">
        <v>6.4</v>
      </c>
      <c r="D25" s="45">
        <v>6.4</v>
      </c>
      <c r="E25" s="45">
        <v>6.4</v>
      </c>
      <c r="F25" s="45">
        <v>6.4</v>
      </c>
      <c r="G25" s="45">
        <v>6.4</v>
      </c>
      <c r="H25" s="45">
        <v>6.4</v>
      </c>
      <c r="I25" s="45">
        <v>6.4</v>
      </c>
      <c r="J25" s="45">
        <v>6.4</v>
      </c>
      <c r="K25" s="45">
        <v>6.4</v>
      </c>
      <c r="L25" s="45">
        <v>6.4</v>
      </c>
      <c r="M25" s="45">
        <v>6.4</v>
      </c>
      <c r="N25" s="45">
        <v>6.4</v>
      </c>
      <c r="O25" s="45">
        <v>6.4</v>
      </c>
      <c r="P25" s="45">
        <v>6.4</v>
      </c>
      <c r="Q25" s="45">
        <v>6.4</v>
      </c>
      <c r="R25" s="45">
        <v>6.4</v>
      </c>
      <c r="S25" s="45">
        <v>6.4</v>
      </c>
      <c r="T25" s="45">
        <v>6.4</v>
      </c>
      <c r="U25" s="45">
        <v>6.4</v>
      </c>
      <c r="V25" s="45">
        <v>6.4</v>
      </c>
      <c r="W25" s="45">
        <v>6.4</v>
      </c>
      <c r="X25" s="45">
        <v>6.4</v>
      </c>
      <c r="Y25" s="45">
        <v>6.4</v>
      </c>
      <c r="Z25" s="45">
        <v>6.4</v>
      </c>
      <c r="AA25" s="45">
        <v>6.4</v>
      </c>
      <c r="AB25" s="45">
        <v>6.4</v>
      </c>
      <c r="AC25" s="45">
        <v>6.4</v>
      </c>
      <c r="AD25" s="45">
        <v>6.4</v>
      </c>
      <c r="AE25" s="45">
        <v>6.4</v>
      </c>
      <c r="AF25" s="45">
        <v>6.4</v>
      </c>
      <c r="AG25" s="52">
        <v>30</v>
      </c>
      <c r="AH25" s="47">
        <f t="shared" si="2"/>
        <v>6.4</v>
      </c>
      <c r="AI25" s="48">
        <f t="shared" si="3"/>
        <v>6.4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6.5</v>
      </c>
      <c r="C26" s="45">
        <v>6.5</v>
      </c>
      <c r="D26" s="45">
        <v>6.5</v>
      </c>
      <c r="E26" s="45">
        <v>6.5</v>
      </c>
      <c r="F26" s="45">
        <v>6.5</v>
      </c>
      <c r="G26" s="45">
        <v>6.5</v>
      </c>
      <c r="H26" s="45">
        <v>6.5</v>
      </c>
      <c r="I26" s="45">
        <v>6.5</v>
      </c>
      <c r="J26" s="45">
        <v>6.5</v>
      </c>
      <c r="K26" s="45">
        <v>6.5</v>
      </c>
      <c r="L26" s="45">
        <v>6.5</v>
      </c>
      <c r="M26" s="45">
        <v>6.5</v>
      </c>
      <c r="N26" s="45">
        <v>6.5</v>
      </c>
      <c r="O26" s="45">
        <v>6.5</v>
      </c>
      <c r="P26" s="45">
        <v>6.5</v>
      </c>
      <c r="Q26" s="45">
        <v>6.5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6.5</v>
      </c>
      <c r="AF26" s="45">
        <v>6.5</v>
      </c>
      <c r="AG26" s="49">
        <v>25</v>
      </c>
      <c r="AH26" s="47">
        <f t="shared" si="2"/>
        <v>6.5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7.2</v>
      </c>
      <c r="C29" s="45">
        <v>7.2</v>
      </c>
      <c r="D29" s="45">
        <v>7.2</v>
      </c>
      <c r="E29" s="45">
        <v>7.2</v>
      </c>
      <c r="F29" s="45">
        <v>7.2</v>
      </c>
      <c r="G29" s="45">
        <v>7.2</v>
      </c>
      <c r="H29" s="45">
        <v>7.2</v>
      </c>
      <c r="I29" s="45">
        <v>7.2</v>
      </c>
      <c r="J29" s="45">
        <v>7.2</v>
      </c>
      <c r="K29" s="45">
        <v>7.2</v>
      </c>
      <c r="L29" s="45">
        <v>7.2</v>
      </c>
      <c r="M29" s="45">
        <v>7.2</v>
      </c>
      <c r="N29" s="45">
        <v>7.2</v>
      </c>
      <c r="O29" s="45">
        <v>7.2</v>
      </c>
      <c r="P29" s="45">
        <v>7.2</v>
      </c>
      <c r="Q29" s="45">
        <v>7.2</v>
      </c>
      <c r="R29" s="45">
        <v>7.2</v>
      </c>
      <c r="S29" s="45">
        <v>7.2</v>
      </c>
      <c r="T29" s="45">
        <v>7.2</v>
      </c>
      <c r="U29" s="45">
        <v>7.2</v>
      </c>
      <c r="V29" s="45">
        <v>7.2</v>
      </c>
      <c r="W29" s="45">
        <v>7.2</v>
      </c>
      <c r="X29" s="45">
        <v>7.2</v>
      </c>
      <c r="Y29" s="45">
        <v>7.2</v>
      </c>
      <c r="Z29" s="45">
        <v>7.2</v>
      </c>
      <c r="AA29" s="45">
        <v>7.2</v>
      </c>
      <c r="AB29" s="45">
        <v>7.2</v>
      </c>
      <c r="AC29" s="45">
        <v>7.2</v>
      </c>
      <c r="AD29" s="45">
        <v>7.2</v>
      </c>
      <c r="AE29" s="45">
        <v>7.2</v>
      </c>
      <c r="AF29" s="45">
        <v>7.2</v>
      </c>
      <c r="AG29" s="49">
        <v>25</v>
      </c>
      <c r="AH29" s="47">
        <f t="shared" si="2"/>
        <v>7.2</v>
      </c>
      <c r="AI29" s="48">
        <f t="shared" si="3"/>
        <v>7.2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7.6</v>
      </c>
      <c r="C30" s="45">
        <v>7.6</v>
      </c>
      <c r="D30" s="45">
        <v>7.6</v>
      </c>
      <c r="E30" s="45">
        <v>7.6</v>
      </c>
      <c r="F30" s="45">
        <v>7.6</v>
      </c>
      <c r="G30" s="45">
        <v>7.6</v>
      </c>
      <c r="H30" s="45">
        <v>7.6</v>
      </c>
      <c r="I30" s="45">
        <v>7.6</v>
      </c>
      <c r="J30" s="45">
        <v>7.6</v>
      </c>
      <c r="K30" s="45">
        <v>7.6</v>
      </c>
      <c r="L30" s="45">
        <v>7.6</v>
      </c>
      <c r="M30" s="45">
        <v>7.6</v>
      </c>
      <c r="N30" s="45">
        <v>7.6</v>
      </c>
      <c r="O30" s="45">
        <v>7.6</v>
      </c>
      <c r="P30" s="45">
        <v>7.6</v>
      </c>
      <c r="Q30" s="45">
        <v>7.6</v>
      </c>
      <c r="R30" s="45">
        <v>7.6</v>
      </c>
      <c r="S30" s="45">
        <v>7.6</v>
      </c>
      <c r="T30" s="45">
        <v>7.6</v>
      </c>
      <c r="U30" s="45">
        <v>7.6</v>
      </c>
      <c r="V30" s="45">
        <v>7.6</v>
      </c>
      <c r="W30" s="45">
        <v>7.6</v>
      </c>
      <c r="X30" s="45">
        <v>7.6</v>
      </c>
      <c r="Y30" s="45">
        <v>7.6</v>
      </c>
      <c r="Z30" s="45">
        <v>7.6</v>
      </c>
      <c r="AA30" s="45">
        <v>7.6</v>
      </c>
      <c r="AB30" s="45">
        <v>7.6</v>
      </c>
      <c r="AC30" s="45">
        <v>7.6</v>
      </c>
      <c r="AD30" s="45">
        <v>7.6</v>
      </c>
      <c r="AE30" s="45">
        <v>7.6</v>
      </c>
      <c r="AF30" s="45">
        <v>7.6</v>
      </c>
      <c r="AG30" s="49">
        <v>23.5</v>
      </c>
      <c r="AH30" s="47">
        <f t="shared" si="2"/>
        <v>7.6</v>
      </c>
      <c r="AI30" s="48">
        <f t="shared" si="3"/>
        <v>7.6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10.4</v>
      </c>
      <c r="C34" s="45">
        <v>10.4</v>
      </c>
      <c r="D34" s="45">
        <v>10.4</v>
      </c>
      <c r="E34" s="45">
        <v>10.4</v>
      </c>
      <c r="F34" s="45">
        <v>10.4</v>
      </c>
      <c r="G34" s="45">
        <v>10.4</v>
      </c>
      <c r="H34" s="45">
        <v>10.4</v>
      </c>
      <c r="I34" s="45">
        <v>10.4</v>
      </c>
      <c r="J34" s="45">
        <v>10.4</v>
      </c>
      <c r="K34" s="45">
        <v>10.4</v>
      </c>
      <c r="L34" s="45">
        <v>10.4</v>
      </c>
      <c r="M34" s="45">
        <v>10.4</v>
      </c>
      <c r="N34" s="45">
        <v>10.4</v>
      </c>
      <c r="O34" s="45">
        <v>10.4</v>
      </c>
      <c r="P34" s="45">
        <v>10.4</v>
      </c>
      <c r="Q34" s="45">
        <v>10.4</v>
      </c>
      <c r="R34" s="45">
        <v>10.4</v>
      </c>
      <c r="S34" s="45">
        <v>10.4</v>
      </c>
      <c r="T34" s="45">
        <v>10.4</v>
      </c>
      <c r="U34" s="45">
        <v>10.4</v>
      </c>
      <c r="V34" s="45">
        <v>10.4</v>
      </c>
      <c r="W34" s="45">
        <v>10.4</v>
      </c>
      <c r="X34" s="45">
        <v>10.4</v>
      </c>
      <c r="Y34" s="45">
        <v>10.4</v>
      </c>
      <c r="Z34" s="45">
        <v>10.4</v>
      </c>
      <c r="AA34" s="45">
        <v>10.4</v>
      </c>
      <c r="AB34" s="45">
        <v>10.4</v>
      </c>
      <c r="AC34" s="45">
        <v>10.4</v>
      </c>
      <c r="AD34" s="45">
        <v>10.4</v>
      </c>
      <c r="AE34" s="45">
        <v>10.4</v>
      </c>
      <c r="AF34" s="45">
        <v>10.4</v>
      </c>
      <c r="AG34" s="49">
        <v>22</v>
      </c>
      <c r="AH34" s="47">
        <f t="shared" si="2"/>
        <v>10.4</v>
      </c>
      <c r="AI34" s="48">
        <f t="shared" si="3"/>
        <v>10.4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7.1+14.9</f>
        <v>22</v>
      </c>
      <c r="C57" s="57">
        <f>7.1+14.9</f>
        <v>22</v>
      </c>
      <c r="D57" s="57">
        <f>7.4+16.6</f>
        <v>24</v>
      </c>
      <c r="E57" s="57">
        <f>17+7.5</f>
        <v>24.5</v>
      </c>
      <c r="F57" s="57">
        <f>16.6+7.3</f>
        <v>23.900000000000002</v>
      </c>
      <c r="G57" s="57">
        <f>16.6+7.3</f>
        <v>23.900000000000002</v>
      </c>
      <c r="H57" s="57">
        <f>16.5+7.2</f>
        <v>23.7</v>
      </c>
      <c r="I57" s="57">
        <f>15.1+6.7</f>
        <v>21.8</v>
      </c>
      <c r="J57" s="57">
        <f>14.9+6.6</f>
        <v>21.5</v>
      </c>
      <c r="K57" s="51">
        <f>14.1+6.3</f>
        <v>20.399999999999999</v>
      </c>
      <c r="L57" s="51">
        <f t="shared" ref="L57:R57" si="4">13.7+6</f>
        <v>19.7</v>
      </c>
      <c r="M57" s="51">
        <f t="shared" si="4"/>
        <v>19.7</v>
      </c>
      <c r="N57" s="51">
        <f t="shared" si="4"/>
        <v>19.7</v>
      </c>
      <c r="O57" s="51">
        <f t="shared" si="4"/>
        <v>19.7</v>
      </c>
      <c r="P57" s="51">
        <f t="shared" si="4"/>
        <v>19.7</v>
      </c>
      <c r="Q57" s="51">
        <f t="shared" si="4"/>
        <v>19.7</v>
      </c>
      <c r="R57" s="51">
        <f t="shared" si="4"/>
        <v>19.7</v>
      </c>
      <c r="S57" s="51">
        <v>18.899999999999999</v>
      </c>
      <c r="T57" s="51">
        <v>18.899999999999999</v>
      </c>
      <c r="U57" s="51">
        <v>18.899999999999999</v>
      </c>
      <c r="V57" s="51">
        <v>18.899999999999999</v>
      </c>
      <c r="W57" s="51">
        <v>18.899999999999999</v>
      </c>
      <c r="X57" s="51">
        <v>18.899999999999999</v>
      </c>
      <c r="Y57" s="51">
        <v>18.899999999999999</v>
      </c>
      <c r="Z57" s="51">
        <v>18.899999999999999</v>
      </c>
      <c r="AA57" s="51">
        <v>18.899999999999999</v>
      </c>
      <c r="AB57" s="51">
        <v>18.899999999999999</v>
      </c>
      <c r="AC57" s="51">
        <v>18.899999999999999</v>
      </c>
      <c r="AD57" s="51">
        <v>18.899999999999999</v>
      </c>
      <c r="AE57" s="51">
        <v>18.899999999999999</v>
      </c>
      <c r="AF57" s="51">
        <v>18.899999999999999</v>
      </c>
      <c r="AG57" s="55">
        <v>240</v>
      </c>
      <c r="AH57" s="47">
        <f t="shared" si="2"/>
        <v>24.5</v>
      </c>
      <c r="AI57" s="48">
        <f t="shared" si="3"/>
        <v>18.899999999999999</v>
      </c>
      <c r="AK57" s="50"/>
    </row>
    <row r="58" spans="1:88" ht="15.75" thickBot="1" x14ac:dyDescent="0.3">
      <c r="A58" s="59" t="s">
        <v>58</v>
      </c>
      <c r="B58" s="60">
        <f t="shared" ref="B58:C58" si="5">SUM(B11:B56)</f>
        <v>486.54999999999995</v>
      </c>
      <c r="C58" s="60">
        <f t="shared" si="5"/>
        <v>486.54999999999995</v>
      </c>
      <c r="D58" s="60">
        <f t="shared" ref="D58" si="6">SUM(D11:D56)</f>
        <v>484.05</v>
      </c>
      <c r="E58" s="60">
        <f t="shared" ref="E58:AD58" si="7">SUM(E11:E56)</f>
        <v>484.45</v>
      </c>
      <c r="F58" s="60">
        <f t="shared" si="7"/>
        <v>484.45</v>
      </c>
      <c r="G58" s="60">
        <f t="shared" si="7"/>
        <v>484.34999999999997</v>
      </c>
      <c r="H58" s="60">
        <f t="shared" si="7"/>
        <v>484.34999999999997</v>
      </c>
      <c r="I58" s="60">
        <f t="shared" si="7"/>
        <v>483.65</v>
      </c>
      <c r="J58" s="60">
        <f t="shared" si="7"/>
        <v>482.95</v>
      </c>
      <c r="K58" s="60">
        <f t="shared" si="7"/>
        <v>482.95</v>
      </c>
      <c r="L58" s="60">
        <f t="shared" si="7"/>
        <v>482.95</v>
      </c>
      <c r="M58" s="60">
        <f t="shared" si="7"/>
        <v>482.95</v>
      </c>
      <c r="N58" s="60">
        <f t="shared" ref="N58" si="8">SUM(N11:N56)</f>
        <v>482.95</v>
      </c>
      <c r="O58" s="60">
        <f t="shared" si="7"/>
        <v>482.95</v>
      </c>
      <c r="P58" s="60">
        <f t="shared" si="7"/>
        <v>482.95</v>
      </c>
      <c r="Q58" s="60">
        <f t="shared" si="7"/>
        <v>482.95</v>
      </c>
      <c r="R58" s="60">
        <f t="shared" si="7"/>
        <v>482.95</v>
      </c>
      <c r="S58" s="60">
        <f t="shared" si="7"/>
        <v>482.05</v>
      </c>
      <c r="T58" s="60">
        <f t="shared" si="7"/>
        <v>484.65000000000003</v>
      </c>
      <c r="U58" s="60">
        <f t="shared" si="7"/>
        <v>485.65</v>
      </c>
      <c r="V58" s="60">
        <f t="shared" si="7"/>
        <v>485.65</v>
      </c>
      <c r="W58" s="60">
        <f t="shared" si="7"/>
        <v>485.65</v>
      </c>
      <c r="X58" s="60">
        <f t="shared" si="7"/>
        <v>485.65</v>
      </c>
      <c r="Y58" s="60">
        <f>SUM(Y11:Y56)</f>
        <v>485.65</v>
      </c>
      <c r="Z58" s="60">
        <f>SUM(Z11:Z56)</f>
        <v>485.65</v>
      </c>
      <c r="AA58" s="60">
        <f t="shared" si="7"/>
        <v>485.65</v>
      </c>
      <c r="AB58" s="60">
        <f t="shared" si="7"/>
        <v>485.65</v>
      </c>
      <c r="AC58" s="60">
        <f t="shared" ref="AC58" si="9">SUM(AC11:AC56)</f>
        <v>485.65</v>
      </c>
      <c r="AD58" s="60">
        <f t="shared" si="7"/>
        <v>485.65</v>
      </c>
      <c r="AE58" s="60">
        <f t="shared" ref="AE58:AF58" si="10">SUM(AE11:AE56)</f>
        <v>485.65</v>
      </c>
      <c r="AF58" s="60">
        <f t="shared" si="10"/>
        <v>485.65</v>
      </c>
      <c r="AG58" s="61">
        <f>SUM(AG14:AG56)</f>
        <v>1042.4000000000001</v>
      </c>
      <c r="AH58" s="47">
        <f t="shared" si="2"/>
        <v>486.54999999999995</v>
      </c>
      <c r="AI58" s="48">
        <f t="shared" si="3"/>
        <v>482.05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60</v>
      </c>
      <c r="L59" s="45">
        <v>190</v>
      </c>
      <c r="M59" s="45">
        <v>250</v>
      </c>
      <c r="N59" s="45">
        <v>250</v>
      </c>
      <c r="O59" s="63">
        <v>0</v>
      </c>
      <c r="P59" s="63">
        <v>0</v>
      </c>
      <c r="Q59" s="63">
        <v>0</v>
      </c>
      <c r="R59" s="63">
        <v>0</v>
      </c>
      <c r="S59" s="45">
        <v>30</v>
      </c>
      <c r="T59" s="45">
        <v>76</v>
      </c>
      <c r="U59" s="45">
        <v>76</v>
      </c>
      <c r="V59" s="45">
        <v>40</v>
      </c>
      <c r="W59" s="45">
        <v>30</v>
      </c>
      <c r="X59" s="45">
        <v>230</v>
      </c>
      <c r="Y59" s="45">
        <v>300</v>
      </c>
      <c r="Z59" s="45">
        <v>320</v>
      </c>
      <c r="AA59" s="45">
        <v>350</v>
      </c>
      <c r="AB59" s="45">
        <v>180</v>
      </c>
      <c r="AC59" s="45">
        <v>180</v>
      </c>
      <c r="AD59" s="45">
        <v>100</v>
      </c>
      <c r="AE59" s="45">
        <v>60</v>
      </c>
      <c r="AF59" s="45">
        <v>20</v>
      </c>
      <c r="AG59" s="52">
        <v>456</v>
      </c>
      <c r="AH59" s="47">
        <f t="shared" si="2"/>
        <v>350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30</v>
      </c>
      <c r="N60" s="65">
        <v>30</v>
      </c>
      <c r="O60" s="65">
        <v>30</v>
      </c>
      <c r="P60" s="65">
        <v>30</v>
      </c>
      <c r="Q60" s="65">
        <v>30</v>
      </c>
      <c r="R60" s="65">
        <v>30</v>
      </c>
      <c r="S60" s="65">
        <v>30</v>
      </c>
      <c r="T60" s="65">
        <v>30</v>
      </c>
      <c r="U60" s="65">
        <v>30</v>
      </c>
      <c r="V60" s="65">
        <v>30</v>
      </c>
      <c r="W60" s="65">
        <v>30</v>
      </c>
      <c r="X60" s="65">
        <v>30</v>
      </c>
      <c r="Y60" s="65">
        <v>30</v>
      </c>
      <c r="Z60" s="65">
        <v>30</v>
      </c>
      <c r="AA60" s="65">
        <v>30</v>
      </c>
      <c r="AB60" s="65">
        <v>30</v>
      </c>
      <c r="AC60" s="65">
        <v>30</v>
      </c>
      <c r="AD60" s="65">
        <v>30</v>
      </c>
      <c r="AE60" s="65">
        <v>30</v>
      </c>
      <c r="AF60" s="65">
        <v>30</v>
      </c>
      <c r="AG60" s="55">
        <v>60</v>
      </c>
      <c r="AH60" s="47">
        <f t="shared" si="2"/>
        <v>30</v>
      </c>
      <c r="AI60" s="48">
        <f t="shared" si="3"/>
        <v>30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10.6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15</v>
      </c>
      <c r="AA61" s="67">
        <v>15</v>
      </c>
      <c r="AB61" s="67">
        <v>15</v>
      </c>
      <c r="AC61" s="67">
        <v>15</v>
      </c>
      <c r="AD61" s="67">
        <v>15</v>
      </c>
      <c r="AE61" s="67">
        <v>15</v>
      </c>
      <c r="AF61" s="67">
        <v>15</v>
      </c>
      <c r="AG61" s="68">
        <v>22.1</v>
      </c>
      <c r="AH61" s="47">
        <f t="shared" si="2"/>
        <v>15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" si="11">SUM(B59:B61)</f>
        <v>40.200000000000003</v>
      </c>
      <c r="C62" s="60">
        <f t="shared" ref="C62:AG62" si="12">SUM(C59:C61)</f>
        <v>40.200000000000003</v>
      </c>
      <c r="D62" s="60">
        <f t="shared" ref="D62" si="13">SUM(D59:D61)</f>
        <v>40.200000000000003</v>
      </c>
      <c r="E62" s="60">
        <f t="shared" si="12"/>
        <v>40.200000000000003</v>
      </c>
      <c r="F62" s="60">
        <f t="shared" si="12"/>
        <v>40.200000000000003</v>
      </c>
      <c r="G62" s="60">
        <f t="shared" si="12"/>
        <v>40.200000000000003</v>
      </c>
      <c r="H62" s="60">
        <f t="shared" si="12"/>
        <v>40.200000000000003</v>
      </c>
      <c r="I62" s="60">
        <f t="shared" si="12"/>
        <v>40.200000000000003</v>
      </c>
      <c r="J62" s="60">
        <f t="shared" si="12"/>
        <v>40.200000000000003</v>
      </c>
      <c r="K62" s="60">
        <f t="shared" si="12"/>
        <v>100.2</v>
      </c>
      <c r="L62" s="60">
        <f t="shared" si="12"/>
        <v>230.2</v>
      </c>
      <c r="M62" s="60">
        <f t="shared" si="12"/>
        <v>290.2</v>
      </c>
      <c r="N62" s="60">
        <f t="shared" ref="N62" si="14">SUM(N59:N61)</f>
        <v>290.2</v>
      </c>
      <c r="O62" s="60">
        <f t="shared" si="12"/>
        <v>40.200000000000003</v>
      </c>
      <c r="P62" s="60">
        <f t="shared" si="12"/>
        <v>40.200000000000003</v>
      </c>
      <c r="Q62" s="60">
        <f t="shared" si="12"/>
        <v>40.200000000000003</v>
      </c>
      <c r="R62" s="60">
        <f t="shared" si="12"/>
        <v>40.200000000000003</v>
      </c>
      <c r="S62" s="60">
        <f t="shared" si="12"/>
        <v>70.599999999999994</v>
      </c>
      <c r="T62" s="60">
        <f t="shared" si="12"/>
        <v>116.2</v>
      </c>
      <c r="U62" s="60">
        <f t="shared" si="12"/>
        <v>116.2</v>
      </c>
      <c r="V62" s="60">
        <f t="shared" si="12"/>
        <v>80.2</v>
      </c>
      <c r="W62" s="60">
        <f t="shared" si="12"/>
        <v>70.2</v>
      </c>
      <c r="X62" s="60">
        <f t="shared" si="12"/>
        <v>270.2</v>
      </c>
      <c r="Y62" s="60">
        <f>SUM(Y59:Y61)</f>
        <v>340.2</v>
      </c>
      <c r="Z62" s="60">
        <f>SUM(Z59:Z61)</f>
        <v>365</v>
      </c>
      <c r="AA62" s="60">
        <f t="shared" si="12"/>
        <v>395</v>
      </c>
      <c r="AB62" s="60">
        <f t="shared" si="12"/>
        <v>225</v>
      </c>
      <c r="AC62" s="60">
        <f t="shared" ref="AC62" si="15">SUM(AC59:AC61)</f>
        <v>225</v>
      </c>
      <c r="AD62" s="60">
        <f t="shared" si="12"/>
        <v>145</v>
      </c>
      <c r="AE62" s="60">
        <f t="shared" ref="AE62:AF62" si="16">SUM(AE59:AE61)</f>
        <v>105</v>
      </c>
      <c r="AF62" s="60">
        <f t="shared" si="16"/>
        <v>65</v>
      </c>
      <c r="AG62" s="61">
        <f t="shared" si="12"/>
        <v>538.1</v>
      </c>
      <c r="AH62" s="47">
        <f t="shared" si="2"/>
        <v>395</v>
      </c>
      <c r="AI62" s="48">
        <f t="shared" si="3"/>
        <v>40.200000000000003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30.6</v>
      </c>
      <c r="J63" s="45">
        <v>61</v>
      </c>
      <c r="K63" s="45">
        <v>101.8</v>
      </c>
      <c r="L63" s="45">
        <v>102.1</v>
      </c>
      <c r="M63" s="45">
        <v>90</v>
      </c>
      <c r="N63" s="45">
        <v>90</v>
      </c>
      <c r="O63" s="45">
        <v>63.4</v>
      </c>
      <c r="P63" s="45">
        <v>63.4</v>
      </c>
      <c r="Q63" s="45">
        <v>63.4</v>
      </c>
      <c r="R63" s="45">
        <v>63.4</v>
      </c>
      <c r="S63" s="45">
        <v>48.8</v>
      </c>
      <c r="T63" s="45">
        <v>41.1</v>
      </c>
      <c r="U63" s="45">
        <v>48</v>
      </c>
      <c r="V63" s="45">
        <v>30.3</v>
      </c>
      <c r="W63" s="45">
        <v>30.7</v>
      </c>
      <c r="X63" s="45">
        <v>72.400000000000006</v>
      </c>
      <c r="Y63" s="45">
        <v>144.69999999999999</v>
      </c>
      <c r="Z63" s="45">
        <v>144.69999999999999</v>
      </c>
      <c r="AA63" s="45">
        <v>112.1</v>
      </c>
      <c r="AB63" s="45">
        <v>102</v>
      </c>
      <c r="AC63" s="45">
        <v>92</v>
      </c>
      <c r="AD63" s="45">
        <v>70</v>
      </c>
      <c r="AE63" s="45">
        <v>30</v>
      </c>
      <c r="AF63" s="45">
        <v>0</v>
      </c>
      <c r="AG63" s="52">
        <v>144</v>
      </c>
      <c r="AH63" s="47">
        <f t="shared" si="2"/>
        <v>144.69999999999999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25</v>
      </c>
      <c r="J64" s="65">
        <v>50</v>
      </c>
      <c r="K64" s="65">
        <v>60</v>
      </c>
      <c r="L64" s="65">
        <v>50</v>
      </c>
      <c r="M64" s="65">
        <v>46</v>
      </c>
      <c r="N64" s="65">
        <v>46</v>
      </c>
      <c r="O64" s="65">
        <v>47</v>
      </c>
      <c r="P64" s="65">
        <v>47</v>
      </c>
      <c r="Q64" s="65">
        <v>25</v>
      </c>
      <c r="R64" s="65">
        <v>25</v>
      </c>
      <c r="S64" s="45">
        <v>25.6</v>
      </c>
      <c r="T64" s="45">
        <v>25.6</v>
      </c>
      <c r="U64" s="45">
        <v>35</v>
      </c>
      <c r="V64" s="45">
        <v>22</v>
      </c>
      <c r="W64" s="45">
        <v>22</v>
      </c>
      <c r="X64" s="45">
        <v>35</v>
      </c>
      <c r="Y64" s="45">
        <v>69</v>
      </c>
      <c r="Z64" s="45">
        <v>69</v>
      </c>
      <c r="AA64" s="45">
        <v>60</v>
      </c>
      <c r="AB64" s="45">
        <v>35</v>
      </c>
      <c r="AC64" s="45">
        <v>35</v>
      </c>
      <c r="AD64" s="65">
        <v>35</v>
      </c>
      <c r="AE64" s="65">
        <v>25</v>
      </c>
      <c r="AF64" s="65">
        <v>0</v>
      </c>
      <c r="AG64" s="55">
        <v>70</v>
      </c>
      <c r="AH64" s="47">
        <f t="shared" si="2"/>
        <v>69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16</v>
      </c>
      <c r="H65" s="65">
        <v>22.9</v>
      </c>
      <c r="I65" s="65">
        <v>44.9</v>
      </c>
      <c r="J65" s="65">
        <v>32.799999999999997</v>
      </c>
      <c r="K65" s="65">
        <v>69.099999999999994</v>
      </c>
      <c r="L65" s="65">
        <v>60</v>
      </c>
      <c r="M65" s="65">
        <v>62.6</v>
      </c>
      <c r="N65" s="65">
        <v>62.6</v>
      </c>
      <c r="O65" s="65">
        <v>21</v>
      </c>
      <c r="P65" s="65">
        <v>21</v>
      </c>
      <c r="Q65" s="65">
        <v>21</v>
      </c>
      <c r="R65" s="65">
        <v>21</v>
      </c>
      <c r="S65" s="45">
        <v>22.3</v>
      </c>
      <c r="T65" s="45">
        <v>22</v>
      </c>
      <c r="U65" s="45">
        <v>22.4</v>
      </c>
      <c r="V65" s="45">
        <v>15.4</v>
      </c>
      <c r="W65" s="45">
        <v>16.899999999999999</v>
      </c>
      <c r="X65" s="45">
        <v>67.7</v>
      </c>
      <c r="Y65" s="45">
        <v>68.8</v>
      </c>
      <c r="Z65" s="45">
        <v>68.8</v>
      </c>
      <c r="AA65" s="45">
        <v>62.2</v>
      </c>
      <c r="AB65" s="45">
        <v>62.2</v>
      </c>
      <c r="AC65" s="45">
        <v>62.2</v>
      </c>
      <c r="AD65" s="65">
        <v>62</v>
      </c>
      <c r="AE65" s="65">
        <v>50</v>
      </c>
      <c r="AF65" s="65">
        <v>35</v>
      </c>
      <c r="AG65" s="55">
        <v>69</v>
      </c>
      <c r="AH65" s="47">
        <f t="shared" si="2"/>
        <v>69.099999999999994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39.6</v>
      </c>
      <c r="C66" s="65">
        <v>39.6</v>
      </c>
      <c r="D66" s="65">
        <v>37</v>
      </c>
      <c r="E66" s="65">
        <v>37</v>
      </c>
      <c r="F66" s="65">
        <v>37</v>
      </c>
      <c r="G66" s="65">
        <v>37</v>
      </c>
      <c r="H66" s="65">
        <v>37</v>
      </c>
      <c r="I66" s="65">
        <v>37</v>
      </c>
      <c r="J66" s="65">
        <v>37.299999999999997</v>
      </c>
      <c r="K66" s="57">
        <v>38</v>
      </c>
      <c r="L66" s="57">
        <v>38</v>
      </c>
      <c r="M66" s="45">
        <v>38</v>
      </c>
      <c r="N66" s="45">
        <v>38</v>
      </c>
      <c r="O66" s="45">
        <v>38</v>
      </c>
      <c r="P66" s="45">
        <v>38</v>
      </c>
      <c r="Q66" s="45">
        <v>38</v>
      </c>
      <c r="R66" s="45">
        <v>38</v>
      </c>
      <c r="S66" s="45">
        <v>40.1</v>
      </c>
      <c r="T66" s="45">
        <v>39</v>
      </c>
      <c r="U66" s="45">
        <v>37</v>
      </c>
      <c r="V66" s="45">
        <v>39.6</v>
      </c>
      <c r="W66" s="45">
        <v>39.6</v>
      </c>
      <c r="X66" s="45">
        <v>36.799999999999997</v>
      </c>
      <c r="Y66" s="45">
        <v>36</v>
      </c>
      <c r="Z66" s="45">
        <v>36</v>
      </c>
      <c r="AA66" s="45">
        <v>37</v>
      </c>
      <c r="AB66" s="45">
        <v>37</v>
      </c>
      <c r="AC66" s="45">
        <v>37</v>
      </c>
      <c r="AD66" s="65">
        <v>37</v>
      </c>
      <c r="AE66" s="65">
        <v>37</v>
      </c>
      <c r="AF66" s="65">
        <v>37</v>
      </c>
      <c r="AG66" s="55">
        <v>60</v>
      </c>
      <c r="AH66" s="47">
        <f t="shared" si="2"/>
        <v>40.1</v>
      </c>
      <c r="AI66" s="48">
        <f t="shared" si="3"/>
        <v>36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57">
        <v>10</v>
      </c>
      <c r="L67" s="57">
        <v>23</v>
      </c>
      <c r="M67" s="65">
        <v>23</v>
      </c>
      <c r="N67" s="65">
        <v>23</v>
      </c>
      <c r="O67" s="65">
        <v>23</v>
      </c>
      <c r="P67" s="65">
        <v>23</v>
      </c>
      <c r="Q67" s="65">
        <v>23</v>
      </c>
      <c r="R67" s="65">
        <v>23</v>
      </c>
      <c r="S67" s="45">
        <v>10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15</v>
      </c>
      <c r="Z67" s="45">
        <v>28</v>
      </c>
      <c r="AA67" s="45">
        <v>22</v>
      </c>
      <c r="AB67" s="45">
        <v>22</v>
      </c>
      <c r="AC67" s="45">
        <v>22</v>
      </c>
      <c r="AD67" s="65">
        <v>15</v>
      </c>
      <c r="AE67" s="65">
        <v>10</v>
      </c>
      <c r="AF67" s="65">
        <v>10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0.4</v>
      </c>
      <c r="M68" s="65">
        <v>0.4</v>
      </c>
      <c r="N68" s="65">
        <v>0.4</v>
      </c>
      <c r="O68" s="65">
        <v>0.4</v>
      </c>
      <c r="P68" s="65">
        <v>0.4</v>
      </c>
      <c r="Q68" s="65">
        <v>0.4</v>
      </c>
      <c r="R68" s="65">
        <v>0.4</v>
      </c>
      <c r="S68" s="45">
        <v>12</v>
      </c>
      <c r="T68" s="45">
        <v>11.5</v>
      </c>
      <c r="U68" s="45">
        <v>4.3</v>
      </c>
      <c r="V68" s="45">
        <v>1.1000000000000001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12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9.3000000000000007</v>
      </c>
      <c r="C71" s="65">
        <v>9.3000000000000007</v>
      </c>
      <c r="D71" s="65">
        <v>9.3000000000000007</v>
      </c>
      <c r="E71" s="65">
        <v>9.3000000000000007</v>
      </c>
      <c r="F71" s="65">
        <v>9.3000000000000007</v>
      </c>
      <c r="G71" s="65">
        <v>9.3000000000000007</v>
      </c>
      <c r="H71" s="65">
        <v>9.3000000000000007</v>
      </c>
      <c r="I71" s="65">
        <v>9.3000000000000007</v>
      </c>
      <c r="J71" s="65">
        <v>9.3000000000000007</v>
      </c>
      <c r="K71" s="65">
        <v>9.3000000000000007</v>
      </c>
      <c r="L71" s="65">
        <v>9.3000000000000007</v>
      </c>
      <c r="M71" s="65">
        <v>9.3000000000000007</v>
      </c>
      <c r="N71" s="65">
        <v>9.3000000000000007</v>
      </c>
      <c r="O71" s="65">
        <v>9.3000000000000007</v>
      </c>
      <c r="P71" s="65">
        <v>9.3000000000000007</v>
      </c>
      <c r="Q71" s="65">
        <v>9.3000000000000007</v>
      </c>
      <c r="R71" s="65">
        <v>9.3000000000000007</v>
      </c>
      <c r="S71" s="65">
        <v>9.3000000000000007</v>
      </c>
      <c r="T71" s="65">
        <v>8.4</v>
      </c>
      <c r="U71" s="65">
        <v>8.4</v>
      </c>
      <c r="V71" s="65">
        <v>8.4</v>
      </c>
      <c r="W71" s="65">
        <v>8.4</v>
      </c>
      <c r="X71" s="65">
        <v>8.4</v>
      </c>
      <c r="Y71" s="65">
        <v>8.4</v>
      </c>
      <c r="Z71" s="65">
        <v>8.4</v>
      </c>
      <c r="AA71" s="65">
        <v>8.4</v>
      </c>
      <c r="AB71" s="65">
        <v>8.4</v>
      </c>
      <c r="AC71" s="65">
        <v>8.4</v>
      </c>
      <c r="AD71" s="65">
        <v>8.4</v>
      </c>
      <c r="AE71" s="65">
        <v>8.4</v>
      </c>
      <c r="AF71" s="65">
        <v>8.4</v>
      </c>
      <c r="AG71" s="55">
        <v>14.1</v>
      </c>
      <c r="AH71" s="47">
        <f t="shared" si="2"/>
        <v>9.3000000000000007</v>
      </c>
      <c r="AI71" s="48">
        <f t="shared" si="3"/>
        <v>8.4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3.4</v>
      </c>
      <c r="C72" s="65">
        <v>3.4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3.4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"/>
        <v>3.4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" si="17">SUM(B63:B75)</f>
        <v>79.340000000000018</v>
      </c>
      <c r="C76" s="60">
        <f t="shared" ref="C76:AG76" si="18">SUM(C63:C75)</f>
        <v>79.340000000000018</v>
      </c>
      <c r="D76" s="60">
        <f t="shared" ref="D76" si="19">SUM(D63:D75)</f>
        <v>76.740000000000009</v>
      </c>
      <c r="E76" s="60">
        <f t="shared" si="18"/>
        <v>76.740000000000009</v>
      </c>
      <c r="F76" s="60">
        <f t="shared" si="18"/>
        <v>76.740000000000009</v>
      </c>
      <c r="G76" s="60">
        <f t="shared" si="18"/>
        <v>92.740000000000009</v>
      </c>
      <c r="H76" s="60">
        <f t="shared" si="18"/>
        <v>109.64000000000001</v>
      </c>
      <c r="I76" s="60">
        <f t="shared" si="18"/>
        <v>187.24</v>
      </c>
      <c r="J76" s="60">
        <f t="shared" si="18"/>
        <v>230.84000000000003</v>
      </c>
      <c r="K76" s="60">
        <f t="shared" si="18"/>
        <v>318.64</v>
      </c>
      <c r="L76" s="60">
        <f t="shared" si="18"/>
        <v>313.24</v>
      </c>
      <c r="M76" s="60">
        <f t="shared" si="18"/>
        <v>299.74</v>
      </c>
      <c r="N76" s="60">
        <f t="shared" si="18"/>
        <v>299.74</v>
      </c>
      <c r="O76" s="60">
        <f t="shared" si="18"/>
        <v>232.54000000000002</v>
      </c>
      <c r="P76" s="60">
        <f t="shared" si="18"/>
        <v>232.54000000000002</v>
      </c>
      <c r="Q76" s="60">
        <f t="shared" si="18"/>
        <v>210.54000000000002</v>
      </c>
      <c r="R76" s="60">
        <f t="shared" si="18"/>
        <v>210.54000000000002</v>
      </c>
      <c r="S76" s="60">
        <f t="shared" si="18"/>
        <v>198.44000000000003</v>
      </c>
      <c r="T76" s="60">
        <f t="shared" si="18"/>
        <v>177.94</v>
      </c>
      <c r="U76" s="60">
        <f t="shared" si="18"/>
        <v>185.44000000000003</v>
      </c>
      <c r="V76" s="60">
        <f t="shared" si="18"/>
        <v>147.14000000000001</v>
      </c>
      <c r="W76" s="60">
        <f t="shared" si="18"/>
        <v>147.94</v>
      </c>
      <c r="X76" s="60">
        <f t="shared" si="18"/>
        <v>250.64000000000004</v>
      </c>
      <c r="Y76" s="60">
        <f>SUM(Y63:Y75)</f>
        <v>373.2</v>
      </c>
      <c r="Z76" s="60">
        <f>SUM(Z63:Z75)</f>
        <v>387.2</v>
      </c>
      <c r="AA76" s="60">
        <f t="shared" si="18"/>
        <v>332.04</v>
      </c>
      <c r="AB76" s="60">
        <f t="shared" si="18"/>
        <v>296.94</v>
      </c>
      <c r="AC76" s="60">
        <f t="shared" ref="AC76" si="20">SUM(AC63:AC75)</f>
        <v>286.94</v>
      </c>
      <c r="AD76" s="60">
        <f t="shared" si="18"/>
        <v>257.74</v>
      </c>
      <c r="AE76" s="60">
        <f t="shared" ref="AE76:AF76" si="21">SUM(AE63:AE75)</f>
        <v>190.74</v>
      </c>
      <c r="AF76" s="60">
        <f t="shared" si="21"/>
        <v>120.74000000000001</v>
      </c>
      <c r="AG76" s="61">
        <f t="shared" si="18"/>
        <v>489.91</v>
      </c>
      <c r="AH76" s="47">
        <f t="shared" si="2"/>
        <v>387.2</v>
      </c>
      <c r="AI76" s="48">
        <f t="shared" si="3"/>
        <v>76.740000000000009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>
        <v>12.2</v>
      </c>
      <c r="AA77" s="45">
        <v>0</v>
      </c>
      <c r="AB77" s="45"/>
      <c r="AC77" s="45"/>
      <c r="AD77" s="45"/>
      <c r="AE77" s="45"/>
      <c r="AF77" s="45"/>
      <c r="AG77" s="52">
        <v>60</v>
      </c>
      <c r="AH77" s="47">
        <f t="shared" si="2"/>
        <v>12.2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>
        <v>3.6</v>
      </c>
      <c r="AA78" s="65">
        <v>0</v>
      </c>
      <c r="AB78" s="65"/>
      <c r="AC78" s="65"/>
      <c r="AD78" s="65"/>
      <c r="AE78" s="65"/>
      <c r="AF78" s="65"/>
      <c r="AG78" s="55">
        <v>32</v>
      </c>
      <c r="AH78" s="47">
        <f t="shared" si="2"/>
        <v>3.6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>
        <v>1.3</v>
      </c>
      <c r="AA79" s="67">
        <v>0</v>
      </c>
      <c r="AB79" s="67"/>
      <c r="AC79" s="67"/>
      <c r="AD79" s="67"/>
      <c r="AE79" s="67"/>
      <c r="AF79" s="67"/>
      <c r="AG79" s="68">
        <v>14</v>
      </c>
      <c r="AH79" s="47">
        <f t="shared" si="2"/>
        <v>1.3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" si="22">B77+B78+B79</f>
        <v>0</v>
      </c>
      <c r="C80" s="60">
        <f t="shared" ref="C80:AD80" si="23">C77+C78+C79</f>
        <v>0</v>
      </c>
      <c r="D80" s="60">
        <f t="shared" ref="D80" si="24">D77+D78+D79</f>
        <v>0</v>
      </c>
      <c r="E80" s="60">
        <f t="shared" si="23"/>
        <v>0</v>
      </c>
      <c r="F80" s="60">
        <f t="shared" si="23"/>
        <v>0</v>
      </c>
      <c r="G80" s="60">
        <f t="shared" si="23"/>
        <v>0</v>
      </c>
      <c r="H80" s="60">
        <f t="shared" si="23"/>
        <v>0</v>
      </c>
      <c r="I80" s="60">
        <f t="shared" si="23"/>
        <v>0</v>
      </c>
      <c r="J80" s="60">
        <f t="shared" si="23"/>
        <v>0</v>
      </c>
      <c r="K80" s="60">
        <f t="shared" si="23"/>
        <v>0</v>
      </c>
      <c r="L80" s="60">
        <f t="shared" si="23"/>
        <v>0</v>
      </c>
      <c r="M80" s="60">
        <f t="shared" si="23"/>
        <v>0</v>
      </c>
      <c r="N80" s="60">
        <f t="shared" si="23"/>
        <v>0</v>
      </c>
      <c r="O80" s="60">
        <f t="shared" si="23"/>
        <v>0</v>
      </c>
      <c r="P80" s="60">
        <f t="shared" si="23"/>
        <v>0</v>
      </c>
      <c r="Q80" s="60">
        <f t="shared" si="23"/>
        <v>0</v>
      </c>
      <c r="R80" s="60">
        <f t="shared" si="23"/>
        <v>0</v>
      </c>
      <c r="S80" s="60">
        <f t="shared" si="23"/>
        <v>0</v>
      </c>
      <c r="T80" s="60">
        <f t="shared" si="23"/>
        <v>0</v>
      </c>
      <c r="U80" s="60">
        <f t="shared" si="23"/>
        <v>0</v>
      </c>
      <c r="V80" s="60">
        <f t="shared" si="23"/>
        <v>0</v>
      </c>
      <c r="W80" s="60">
        <f t="shared" si="23"/>
        <v>0</v>
      </c>
      <c r="X80" s="60">
        <f t="shared" si="23"/>
        <v>0</v>
      </c>
      <c r="Y80" s="60">
        <f>Y77+Y78+Y79</f>
        <v>0</v>
      </c>
      <c r="Z80" s="60">
        <f>Z77+Z78+Z79</f>
        <v>17.099999999999998</v>
      </c>
      <c r="AA80" s="60">
        <f t="shared" si="23"/>
        <v>0</v>
      </c>
      <c r="AB80" s="60">
        <f t="shared" si="23"/>
        <v>0</v>
      </c>
      <c r="AC80" s="60">
        <f t="shared" ref="AC80" si="25">AC77+AC78+AC79</f>
        <v>0</v>
      </c>
      <c r="AD80" s="60">
        <f t="shared" si="23"/>
        <v>0</v>
      </c>
      <c r="AE80" s="60">
        <f t="shared" ref="AE80:AF80" si="26">AE77+AE78+AE79</f>
        <v>0</v>
      </c>
      <c r="AF80" s="60">
        <f t="shared" si="26"/>
        <v>0</v>
      </c>
      <c r="AG80" s="61">
        <f>SUM(AG77:AG79)</f>
        <v>106</v>
      </c>
      <c r="AH80" s="47">
        <f t="shared" si="2"/>
        <v>17.099999999999998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64.3</v>
      </c>
      <c r="C81" s="45">
        <v>63.1</v>
      </c>
      <c r="D81" s="45">
        <v>69.3</v>
      </c>
      <c r="E81" s="45">
        <v>61</v>
      </c>
      <c r="F81" s="45">
        <v>67.599999999999994</v>
      </c>
      <c r="G81" s="45">
        <v>69</v>
      </c>
      <c r="H81" s="45">
        <v>65.599999999999994</v>
      </c>
      <c r="I81" s="45">
        <v>70</v>
      </c>
      <c r="J81" s="45">
        <v>61</v>
      </c>
      <c r="K81" s="45">
        <v>52.8</v>
      </c>
      <c r="L81" s="45">
        <v>43.5</v>
      </c>
      <c r="M81" s="45">
        <v>90.2</v>
      </c>
      <c r="N81" s="45">
        <v>57.1</v>
      </c>
      <c r="O81" s="45">
        <v>57.1</v>
      </c>
      <c r="P81" s="45">
        <v>57.1</v>
      </c>
      <c r="Q81" s="45">
        <v>64.5</v>
      </c>
      <c r="R81" s="45">
        <v>52.7</v>
      </c>
      <c r="S81" s="45">
        <v>43.8</v>
      </c>
      <c r="T81" s="45">
        <v>53.9</v>
      </c>
      <c r="U81" s="45">
        <v>67</v>
      </c>
      <c r="V81" s="45">
        <v>65.7</v>
      </c>
      <c r="W81" s="45">
        <v>56.6</v>
      </c>
      <c r="X81" s="45">
        <v>68</v>
      </c>
      <c r="Y81" s="45">
        <v>69.5</v>
      </c>
      <c r="Z81" s="45">
        <v>41.9</v>
      </c>
      <c r="AA81" s="45">
        <v>36</v>
      </c>
      <c r="AB81" s="45">
        <v>55.1</v>
      </c>
      <c r="AC81" s="45">
        <v>58</v>
      </c>
      <c r="AD81" s="45">
        <v>62.8</v>
      </c>
      <c r="AE81" s="45">
        <v>64</v>
      </c>
      <c r="AF81" s="45">
        <v>58</v>
      </c>
      <c r="AG81" s="52"/>
      <c r="AH81" s="47">
        <f t="shared" si="2"/>
        <v>90.2</v>
      </c>
      <c r="AI81" s="48">
        <f t="shared" si="3"/>
        <v>36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>
        <v>0</v>
      </c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381</v>
      </c>
      <c r="C83" s="65">
        <v>420.5</v>
      </c>
      <c r="D83" s="65">
        <v>422.5</v>
      </c>
      <c r="E83" s="65">
        <v>417.78</v>
      </c>
      <c r="F83" s="65">
        <v>446</v>
      </c>
      <c r="G83" s="65">
        <v>385</v>
      </c>
      <c r="H83" s="65">
        <v>430</v>
      </c>
      <c r="I83" s="65">
        <v>449</v>
      </c>
      <c r="J83" s="65">
        <v>456</v>
      </c>
      <c r="K83" s="65">
        <v>305</v>
      </c>
      <c r="L83" s="65">
        <v>215</v>
      </c>
      <c r="M83" s="65">
        <v>109</v>
      </c>
      <c r="N83" s="65">
        <v>335</v>
      </c>
      <c r="O83" s="65">
        <v>335</v>
      </c>
      <c r="P83" s="65">
        <v>335</v>
      </c>
      <c r="Q83" s="65">
        <v>433</v>
      </c>
      <c r="R83" s="65">
        <v>416</v>
      </c>
      <c r="S83" s="65">
        <v>524</v>
      </c>
      <c r="T83" s="65">
        <v>409</v>
      </c>
      <c r="U83" s="65">
        <v>450</v>
      </c>
      <c r="V83" s="65">
        <v>360</v>
      </c>
      <c r="W83" s="65">
        <v>398</v>
      </c>
      <c r="X83" s="65">
        <v>291</v>
      </c>
      <c r="Y83" s="65">
        <v>225</v>
      </c>
      <c r="Z83" s="65">
        <v>150</v>
      </c>
      <c r="AA83" s="65">
        <v>161</v>
      </c>
      <c r="AB83" s="65">
        <v>317</v>
      </c>
      <c r="AC83" s="65">
        <v>350</v>
      </c>
      <c r="AD83" s="65">
        <v>390</v>
      </c>
      <c r="AE83" s="65">
        <v>386</v>
      </c>
      <c r="AF83" s="65">
        <v>383</v>
      </c>
      <c r="AG83" s="75"/>
      <c r="AH83" s="47">
        <f t="shared" si="2"/>
        <v>524</v>
      </c>
      <c r="AI83" s="48">
        <f t="shared" si="3"/>
        <v>109</v>
      </c>
      <c r="AK83" s="50"/>
    </row>
    <row r="84" spans="1:40" x14ac:dyDescent="0.25">
      <c r="A84" s="54" t="s">
        <v>84</v>
      </c>
      <c r="B84" s="76">
        <v>45.6</v>
      </c>
      <c r="C84" s="65">
        <v>58</v>
      </c>
      <c r="D84" s="65">
        <v>58</v>
      </c>
      <c r="E84" s="76">
        <v>58</v>
      </c>
      <c r="F84" s="76">
        <v>60</v>
      </c>
      <c r="G84" s="76">
        <v>60</v>
      </c>
      <c r="H84" s="76">
        <v>60</v>
      </c>
      <c r="I84" s="76">
        <v>53</v>
      </c>
      <c r="J84" s="76">
        <v>46</v>
      </c>
      <c r="K84" s="76">
        <v>25</v>
      </c>
      <c r="L84" s="76">
        <v>17</v>
      </c>
      <c r="M84" s="76">
        <v>29.1</v>
      </c>
      <c r="N84" s="76">
        <v>23.4</v>
      </c>
      <c r="O84" s="76">
        <v>23.4</v>
      </c>
      <c r="P84" s="76">
        <v>23.4</v>
      </c>
      <c r="Q84" s="76">
        <v>65</v>
      </c>
      <c r="R84" s="76">
        <v>61.2</v>
      </c>
      <c r="S84" s="76">
        <v>62.5</v>
      </c>
      <c r="T84" s="76">
        <v>59</v>
      </c>
      <c r="U84" s="76">
        <v>57</v>
      </c>
      <c r="V84" s="76">
        <v>57</v>
      </c>
      <c r="W84" s="76">
        <v>7</v>
      </c>
      <c r="X84" s="76">
        <v>7</v>
      </c>
      <c r="Y84" s="76">
        <v>7</v>
      </c>
      <c r="Z84" s="76">
        <v>7</v>
      </c>
      <c r="AA84" s="76">
        <v>7</v>
      </c>
      <c r="AB84" s="76">
        <v>7</v>
      </c>
      <c r="AC84" s="76">
        <v>7</v>
      </c>
      <c r="AD84" s="65">
        <v>7</v>
      </c>
      <c r="AE84" s="65">
        <v>52</v>
      </c>
      <c r="AF84" s="65">
        <v>56</v>
      </c>
      <c r="AG84" s="75"/>
      <c r="AH84" s="47">
        <f t="shared" si="2"/>
        <v>65</v>
      </c>
      <c r="AI84" s="48">
        <f t="shared" si="3"/>
        <v>7</v>
      </c>
      <c r="AK84" s="50"/>
    </row>
    <row r="85" spans="1:40" x14ac:dyDescent="0.25">
      <c r="A85" s="54" t="s">
        <v>85</v>
      </c>
      <c r="B85" s="45">
        <v>120</v>
      </c>
      <c r="C85" s="45">
        <v>25</v>
      </c>
      <c r="D85" s="45">
        <v>17</v>
      </c>
      <c r="E85" s="45">
        <v>17</v>
      </c>
      <c r="F85" s="45">
        <v>18</v>
      </c>
      <c r="G85" s="45">
        <v>50</v>
      </c>
      <c r="H85" s="45">
        <v>92</v>
      </c>
      <c r="I85" s="45">
        <v>85</v>
      </c>
      <c r="J85" s="45">
        <v>93</v>
      </c>
      <c r="K85" s="45">
        <v>55</v>
      </c>
      <c r="L85" s="45">
        <v>32</v>
      </c>
      <c r="M85" s="45">
        <v>32</v>
      </c>
      <c r="N85" s="45">
        <v>28</v>
      </c>
      <c r="O85" s="45">
        <v>28</v>
      </c>
      <c r="P85" s="45">
        <v>28</v>
      </c>
      <c r="Q85" s="45">
        <v>100</v>
      </c>
      <c r="R85" s="45">
        <v>106</v>
      </c>
      <c r="S85" s="45">
        <v>114.5</v>
      </c>
      <c r="T85" s="45">
        <v>114</v>
      </c>
      <c r="U85" s="45">
        <v>112</v>
      </c>
      <c r="V85" s="45">
        <v>62</v>
      </c>
      <c r="W85" s="45">
        <v>56</v>
      </c>
      <c r="X85" s="45">
        <v>30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>
        <v>20</v>
      </c>
      <c r="AF85" s="45">
        <v>22</v>
      </c>
      <c r="AG85" s="75"/>
      <c r="AH85" s="47">
        <f t="shared" ref="AH85:AH130" si="27">MAX(B85:AF85)</f>
        <v>120</v>
      </c>
      <c r="AI85" s="48">
        <f t="shared" ref="AI85:AI130" si="28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>
        <v>0</v>
      </c>
      <c r="AB86" s="77"/>
      <c r="AC86" s="77"/>
      <c r="AD86" s="77"/>
      <c r="AE86" s="77"/>
      <c r="AF86" s="77"/>
      <c r="AG86" s="75"/>
      <c r="AH86" s="47">
        <f t="shared" si="27"/>
        <v>0</v>
      </c>
      <c r="AI86" s="48">
        <f t="shared" si="28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>
        <v>0</v>
      </c>
      <c r="AB87" s="77"/>
      <c r="AC87" s="77"/>
      <c r="AD87" s="77"/>
      <c r="AE87" s="77"/>
      <c r="AF87" s="77"/>
      <c r="AG87" s="75"/>
      <c r="AH87" s="47">
        <f t="shared" si="27"/>
        <v>0</v>
      </c>
      <c r="AI87" s="48">
        <f t="shared" si="28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>
        <v>0</v>
      </c>
      <c r="AB88" s="77"/>
      <c r="AC88" s="77"/>
      <c r="AD88" s="77"/>
      <c r="AE88" s="77"/>
      <c r="AF88" s="77"/>
      <c r="AG88" s="75"/>
      <c r="AH88" s="47">
        <f t="shared" si="27"/>
        <v>0</v>
      </c>
      <c r="AI88" s="48">
        <f t="shared" si="28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>
        <v>0</v>
      </c>
      <c r="AB89" s="77"/>
      <c r="AC89" s="77"/>
      <c r="AD89" s="77"/>
      <c r="AE89" s="77"/>
      <c r="AF89" s="77"/>
      <c r="AG89" s="75"/>
      <c r="AH89" s="47">
        <f t="shared" si="27"/>
        <v>0</v>
      </c>
      <c r="AI89" s="48">
        <f t="shared" si="28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>
        <v>0</v>
      </c>
      <c r="AB90" s="77"/>
      <c r="AC90" s="77"/>
      <c r="AD90" s="77"/>
      <c r="AE90" s="77"/>
      <c r="AF90" s="77"/>
      <c r="AG90" s="85"/>
      <c r="AH90" s="47">
        <f t="shared" si="27"/>
        <v>0</v>
      </c>
      <c r="AI90" s="48">
        <f t="shared" si="28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64.5</v>
      </c>
      <c r="C91" s="77">
        <v>0</v>
      </c>
      <c r="D91" s="77">
        <v>0</v>
      </c>
      <c r="E91" s="77"/>
      <c r="F91" s="77"/>
      <c r="G91" s="77"/>
      <c r="H91" s="77"/>
      <c r="I91" s="77"/>
      <c r="J91" s="77">
        <v>78</v>
      </c>
      <c r="K91" s="77">
        <v>62</v>
      </c>
      <c r="L91" s="77">
        <v>63.7</v>
      </c>
      <c r="M91" s="77">
        <v>55</v>
      </c>
      <c r="N91" s="77">
        <v>55.2</v>
      </c>
      <c r="O91" s="77">
        <v>55.2</v>
      </c>
      <c r="P91" s="77">
        <v>55.2</v>
      </c>
      <c r="Q91" s="77">
        <v>71</v>
      </c>
      <c r="R91" s="77">
        <v>64.7</v>
      </c>
      <c r="S91" s="77">
        <v>69</v>
      </c>
      <c r="T91" s="77">
        <v>68</v>
      </c>
      <c r="U91" s="77">
        <v>70</v>
      </c>
      <c r="V91" s="77">
        <v>51.6</v>
      </c>
      <c r="W91" s="77">
        <v>63.1</v>
      </c>
      <c r="X91" s="77">
        <v>65.599999999999994</v>
      </c>
      <c r="Y91" s="77">
        <v>71.2</v>
      </c>
      <c r="Z91" s="77">
        <v>70</v>
      </c>
      <c r="AA91" s="77">
        <v>51.6</v>
      </c>
      <c r="AB91" s="77">
        <v>54</v>
      </c>
      <c r="AC91" s="77">
        <v>55</v>
      </c>
      <c r="AD91" s="77">
        <v>66</v>
      </c>
      <c r="AE91" s="77">
        <v>65</v>
      </c>
      <c r="AF91" s="77">
        <v>60</v>
      </c>
      <c r="AG91" s="85"/>
      <c r="AH91" s="47">
        <f t="shared" si="27"/>
        <v>78</v>
      </c>
      <c r="AI91" s="48">
        <f t="shared" si="28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" si="29">SUMIF(B81:B91,"&gt;0")</f>
        <v>675.40000000000009</v>
      </c>
      <c r="C92" s="60">
        <f t="shared" ref="C92:AE92" si="30">SUMIF(C81:C91,"&gt;0")</f>
        <v>566.6</v>
      </c>
      <c r="D92" s="60">
        <f t="shared" ref="D92" si="31">SUMIF(D81:D91,"&gt;0")</f>
        <v>566.79999999999995</v>
      </c>
      <c r="E92" s="60">
        <f t="shared" si="30"/>
        <v>553.78</v>
      </c>
      <c r="F92" s="60">
        <f t="shared" si="30"/>
        <v>591.6</v>
      </c>
      <c r="G92" s="60">
        <f t="shared" si="30"/>
        <v>564</v>
      </c>
      <c r="H92" s="60">
        <f t="shared" si="30"/>
        <v>647.6</v>
      </c>
      <c r="I92" s="60">
        <f t="shared" si="30"/>
        <v>657</v>
      </c>
      <c r="J92" s="60">
        <f t="shared" si="30"/>
        <v>734</v>
      </c>
      <c r="K92" s="60">
        <f t="shared" si="30"/>
        <v>499.8</v>
      </c>
      <c r="L92" s="60">
        <f t="shared" si="30"/>
        <v>371.2</v>
      </c>
      <c r="M92" s="60">
        <f t="shared" si="30"/>
        <v>315.29999999999995</v>
      </c>
      <c r="N92" s="60">
        <f t="shared" si="30"/>
        <v>498.7</v>
      </c>
      <c r="O92" s="60">
        <f t="shared" si="30"/>
        <v>498.7</v>
      </c>
      <c r="P92" s="60">
        <f t="shared" si="30"/>
        <v>498.7</v>
      </c>
      <c r="Q92" s="60">
        <f t="shared" si="30"/>
        <v>733.5</v>
      </c>
      <c r="R92" s="60">
        <f t="shared" si="30"/>
        <v>700.6</v>
      </c>
      <c r="S92" s="60">
        <f t="shared" si="30"/>
        <v>813.8</v>
      </c>
      <c r="T92" s="60">
        <f t="shared" si="30"/>
        <v>703.9</v>
      </c>
      <c r="U92" s="60">
        <f t="shared" si="30"/>
        <v>756</v>
      </c>
      <c r="V92" s="60">
        <f t="shared" si="30"/>
        <v>596.30000000000007</v>
      </c>
      <c r="W92" s="60">
        <f t="shared" si="30"/>
        <v>580.70000000000005</v>
      </c>
      <c r="X92" s="60">
        <f t="shared" si="30"/>
        <v>461.6</v>
      </c>
      <c r="Y92" s="60">
        <f>SUMIF(Y81:Y91,"&gt;0")</f>
        <v>372.7</v>
      </c>
      <c r="Z92" s="60">
        <f>SUMIF(Z81:Z91,"&gt;0")</f>
        <v>268.89999999999998</v>
      </c>
      <c r="AA92" s="60">
        <f t="shared" si="30"/>
        <v>255.6</v>
      </c>
      <c r="AB92" s="60">
        <f t="shared" si="30"/>
        <v>433.1</v>
      </c>
      <c r="AC92" s="60">
        <f t="shared" ref="AC92" si="32">SUMIF(AC81:AC91,"&gt;0")</f>
        <v>470</v>
      </c>
      <c r="AD92" s="60">
        <f t="shared" si="30"/>
        <v>525.79999999999995</v>
      </c>
      <c r="AE92" s="60">
        <f t="shared" si="30"/>
        <v>587</v>
      </c>
      <c r="AF92" s="60">
        <f t="shared" ref="AF92" si="33">SUMIF(AF81:AF91,"&gt;0")</f>
        <v>579</v>
      </c>
      <c r="AG92" s="88">
        <f>SUM(AG81:AG91)</f>
        <v>0</v>
      </c>
      <c r="AH92" s="47">
        <f t="shared" si="27"/>
        <v>813.8</v>
      </c>
      <c r="AI92" s="48">
        <f t="shared" si="28"/>
        <v>255.6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7"/>
        <v>0</v>
      </c>
      <c r="AI93" s="48">
        <f t="shared" si="28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7"/>
        <v>0</v>
      </c>
      <c r="AI94" s="48">
        <f t="shared" si="28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7"/>
        <v>0</v>
      </c>
      <c r="AI95" s="48">
        <f t="shared" si="28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7"/>
        <v>0</v>
      </c>
      <c r="AI96" s="48">
        <f t="shared" si="28"/>
        <v>0</v>
      </c>
    </row>
    <row r="97" spans="1:37" ht="15.75" thickBot="1" x14ac:dyDescent="0.3">
      <c r="A97" s="74" t="s">
        <v>99</v>
      </c>
      <c r="B97" s="95">
        <f t="shared" ref="B97" si="34">B58+B62+B80+B76+B92+B96</f>
        <v>1281.4900000000002</v>
      </c>
      <c r="C97" s="95">
        <f t="shared" ref="C97:AG97" si="35">C58+C62+C80+C76+C92+C96</f>
        <v>1172.69</v>
      </c>
      <c r="D97" s="95">
        <f t="shared" ref="D97" si="36">D58+D62+D80+D76+D92+D96</f>
        <v>1167.79</v>
      </c>
      <c r="E97" s="95">
        <f t="shared" si="35"/>
        <v>1155.17</v>
      </c>
      <c r="F97" s="95">
        <f t="shared" si="35"/>
        <v>1192.99</v>
      </c>
      <c r="G97" s="95">
        <f t="shared" si="35"/>
        <v>1181.29</v>
      </c>
      <c r="H97" s="95">
        <f t="shared" si="35"/>
        <v>1281.79</v>
      </c>
      <c r="I97" s="95">
        <f t="shared" si="35"/>
        <v>1368.0900000000001</v>
      </c>
      <c r="J97" s="95">
        <f t="shared" si="35"/>
        <v>1487.99</v>
      </c>
      <c r="K97" s="95">
        <f t="shared" si="35"/>
        <v>1401.59</v>
      </c>
      <c r="L97" s="95">
        <f t="shared" si="35"/>
        <v>1397.59</v>
      </c>
      <c r="M97" s="95">
        <f t="shared" si="35"/>
        <v>1388.1899999999998</v>
      </c>
      <c r="N97" s="95">
        <f t="shared" si="35"/>
        <v>1571.59</v>
      </c>
      <c r="O97" s="95">
        <f t="shared" si="35"/>
        <v>1254.3900000000001</v>
      </c>
      <c r="P97" s="95">
        <f t="shared" si="35"/>
        <v>1254.3900000000001</v>
      </c>
      <c r="Q97" s="95">
        <f t="shared" si="35"/>
        <v>1467.19</v>
      </c>
      <c r="R97" s="95">
        <f t="shared" si="35"/>
        <v>1434.29</v>
      </c>
      <c r="S97" s="95">
        <f t="shared" si="35"/>
        <v>1564.8899999999999</v>
      </c>
      <c r="T97" s="95">
        <f t="shared" si="35"/>
        <v>1482.69</v>
      </c>
      <c r="U97" s="95">
        <f t="shared" si="35"/>
        <v>1543.29</v>
      </c>
      <c r="V97" s="95">
        <f t="shared" si="35"/>
        <v>1309.29</v>
      </c>
      <c r="W97" s="95">
        <f t="shared" si="35"/>
        <v>1284.49</v>
      </c>
      <c r="X97" s="95">
        <f t="shared" si="35"/>
        <v>1468.0900000000001</v>
      </c>
      <c r="Y97" s="95">
        <f>Y58+Y62+Y80+Y76+Y92+Y96</f>
        <v>1571.75</v>
      </c>
      <c r="Z97" s="95">
        <f>Z58+Z62+Z80+Z76+Z92+Z96</f>
        <v>1523.85</v>
      </c>
      <c r="AA97" s="95">
        <f t="shared" si="35"/>
        <v>1468.29</v>
      </c>
      <c r="AB97" s="95">
        <f t="shared" si="35"/>
        <v>1440.69</v>
      </c>
      <c r="AC97" s="95">
        <f t="shared" ref="AC97" si="37">AC58+AC62+AC80+AC76+AC92+AC96</f>
        <v>1467.59</v>
      </c>
      <c r="AD97" s="95">
        <f t="shared" si="35"/>
        <v>1414.19</v>
      </c>
      <c r="AE97" s="95">
        <f t="shared" si="35"/>
        <v>1368.3899999999999</v>
      </c>
      <c r="AF97" s="95">
        <f t="shared" ref="AF97" si="38">AF58+AF62+AF80+AF76+AF92+AF96</f>
        <v>1250.3899999999999</v>
      </c>
      <c r="AG97" s="61">
        <f t="shared" si="35"/>
        <v>2231.81</v>
      </c>
      <c r="AH97" s="47">
        <f t="shared" si="27"/>
        <v>1571.75</v>
      </c>
      <c r="AI97" s="48">
        <f t="shared" si="28"/>
        <v>1155.17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250</v>
      </c>
      <c r="L98" s="97">
        <v>280</v>
      </c>
      <c r="M98" s="97">
        <v>280</v>
      </c>
      <c r="N98" s="97">
        <v>280</v>
      </c>
      <c r="O98" s="97">
        <v>280</v>
      </c>
      <c r="P98" s="97"/>
      <c r="Q98" s="97"/>
      <c r="R98" s="97"/>
      <c r="S98" s="97"/>
      <c r="T98" s="97"/>
      <c r="U98" s="97"/>
      <c r="V98" s="97"/>
      <c r="W98" s="97">
        <v>200</v>
      </c>
      <c r="X98" s="97">
        <v>250</v>
      </c>
      <c r="Y98" s="97">
        <v>250</v>
      </c>
      <c r="Z98" s="97">
        <v>250</v>
      </c>
      <c r="AA98" s="97">
        <v>220</v>
      </c>
      <c r="AB98" s="97">
        <v>200</v>
      </c>
      <c r="AC98" s="97">
        <v>150</v>
      </c>
      <c r="AD98" s="97">
        <v>0</v>
      </c>
      <c r="AE98" s="97"/>
      <c r="AF98" s="97"/>
      <c r="AG98" s="88"/>
      <c r="AH98" s="47">
        <f t="shared" si="27"/>
        <v>280</v>
      </c>
      <c r="AI98" s="48">
        <f t="shared" si="28"/>
        <v>0</v>
      </c>
    </row>
    <row r="99" spans="1:37" ht="15.75" thickBot="1" x14ac:dyDescent="0.3">
      <c r="A99" s="74" t="s">
        <v>101</v>
      </c>
      <c r="B99" s="95">
        <f t="shared" ref="B99" si="39">B97+B98</f>
        <v>1281.4900000000002</v>
      </c>
      <c r="C99" s="95">
        <f t="shared" ref="C99:AE99" si="40">C97+C98</f>
        <v>1172.69</v>
      </c>
      <c r="D99" s="95">
        <f t="shared" ref="D99" si="41">D97+D98</f>
        <v>1167.79</v>
      </c>
      <c r="E99" s="95">
        <f t="shared" si="40"/>
        <v>1155.17</v>
      </c>
      <c r="F99" s="95">
        <f t="shared" si="40"/>
        <v>1192.99</v>
      </c>
      <c r="G99" s="95">
        <f t="shared" si="40"/>
        <v>1181.29</v>
      </c>
      <c r="H99" s="95">
        <f t="shared" si="40"/>
        <v>1281.79</v>
      </c>
      <c r="I99" s="95">
        <f t="shared" si="40"/>
        <v>1368.0900000000001</v>
      </c>
      <c r="J99" s="95">
        <f t="shared" si="40"/>
        <v>1487.99</v>
      </c>
      <c r="K99" s="95">
        <f t="shared" si="40"/>
        <v>1651.59</v>
      </c>
      <c r="L99" s="95">
        <f t="shared" si="40"/>
        <v>1677.59</v>
      </c>
      <c r="M99" s="95">
        <f t="shared" si="40"/>
        <v>1668.1899999999998</v>
      </c>
      <c r="N99" s="95">
        <f t="shared" si="40"/>
        <v>1851.59</v>
      </c>
      <c r="O99" s="95">
        <f t="shared" si="40"/>
        <v>1534.39</v>
      </c>
      <c r="P99" s="95">
        <f t="shared" si="40"/>
        <v>1254.3900000000001</v>
      </c>
      <c r="Q99" s="95">
        <f t="shared" si="40"/>
        <v>1467.19</v>
      </c>
      <c r="R99" s="95">
        <f t="shared" si="40"/>
        <v>1434.29</v>
      </c>
      <c r="S99" s="95">
        <f t="shared" si="40"/>
        <v>1564.8899999999999</v>
      </c>
      <c r="T99" s="95">
        <f t="shared" si="40"/>
        <v>1482.69</v>
      </c>
      <c r="U99" s="95">
        <f t="shared" si="40"/>
        <v>1543.29</v>
      </c>
      <c r="V99" s="95">
        <f t="shared" si="40"/>
        <v>1309.29</v>
      </c>
      <c r="W99" s="95">
        <f t="shared" si="40"/>
        <v>1484.49</v>
      </c>
      <c r="X99" s="95">
        <f t="shared" si="40"/>
        <v>1718.0900000000001</v>
      </c>
      <c r="Y99" s="95">
        <f>Y97+Y98</f>
        <v>1821.75</v>
      </c>
      <c r="Z99" s="95">
        <f>Z97+Z98</f>
        <v>1773.85</v>
      </c>
      <c r="AA99" s="95">
        <f t="shared" si="40"/>
        <v>1688.29</v>
      </c>
      <c r="AB99" s="95">
        <f t="shared" si="40"/>
        <v>1640.69</v>
      </c>
      <c r="AC99" s="95">
        <f t="shared" ref="AC99" si="42">AC97+AC98</f>
        <v>1617.59</v>
      </c>
      <c r="AD99" s="95">
        <f t="shared" si="40"/>
        <v>1414.19</v>
      </c>
      <c r="AE99" s="95">
        <f t="shared" si="40"/>
        <v>1368.3899999999999</v>
      </c>
      <c r="AF99" s="95">
        <f t="shared" ref="AF99" si="43">AF97+AF98</f>
        <v>1250.3899999999999</v>
      </c>
      <c r="AG99" s="88">
        <f>AG96+AG92+AG80+AG76+AG58+AG98</f>
        <v>1693.71</v>
      </c>
      <c r="AH99" s="47">
        <f t="shared" si="27"/>
        <v>1851.59</v>
      </c>
      <c r="AI99" s="48">
        <f t="shared" si="28"/>
        <v>1155.17</v>
      </c>
    </row>
    <row r="100" spans="1:37" ht="15.75" thickBot="1" x14ac:dyDescent="0.3">
      <c r="A100" s="74" t="s">
        <v>102</v>
      </c>
      <c r="B100" s="95">
        <f t="shared" ref="B100" si="44">B99-(B107)</f>
        <v>1281.4900000000002</v>
      </c>
      <c r="C100" s="95">
        <f t="shared" ref="C100:M100" si="45">C99-(C107)</f>
        <v>1172.69</v>
      </c>
      <c r="D100" s="95">
        <f t="shared" ref="D100" si="46">D99-(D107)</f>
        <v>1166.79</v>
      </c>
      <c r="E100" s="95">
        <f t="shared" si="45"/>
        <v>1155.17</v>
      </c>
      <c r="F100" s="95">
        <f t="shared" si="45"/>
        <v>1192.99</v>
      </c>
      <c r="G100" s="95">
        <f t="shared" si="45"/>
        <v>1181.29</v>
      </c>
      <c r="H100" s="95">
        <f t="shared" si="45"/>
        <v>1281.79</v>
      </c>
      <c r="I100" s="95">
        <f t="shared" si="45"/>
        <v>1368.0900000000001</v>
      </c>
      <c r="J100" s="95">
        <f t="shared" si="45"/>
        <v>1487.99</v>
      </c>
      <c r="K100" s="95">
        <f t="shared" si="45"/>
        <v>1651.59</v>
      </c>
      <c r="L100" s="95">
        <f t="shared" si="45"/>
        <v>1677.59</v>
      </c>
      <c r="M100" s="95">
        <f t="shared" si="45"/>
        <v>1668.1899999999998</v>
      </c>
      <c r="N100" s="95">
        <f>N99-(N107)</f>
        <v>1851.59</v>
      </c>
      <c r="O100" s="95">
        <f t="shared" ref="O100:AE100" si="47">O99-(O107)</f>
        <v>1534.39</v>
      </c>
      <c r="P100" s="95">
        <f t="shared" si="47"/>
        <v>1254.3900000000001</v>
      </c>
      <c r="Q100" s="95">
        <f t="shared" si="47"/>
        <v>1467.19</v>
      </c>
      <c r="R100" s="95">
        <f t="shared" si="47"/>
        <v>1434.29</v>
      </c>
      <c r="S100" s="95">
        <f t="shared" si="47"/>
        <v>1564.8899999999999</v>
      </c>
      <c r="T100" s="95">
        <f t="shared" si="47"/>
        <v>1482.69</v>
      </c>
      <c r="U100" s="95">
        <f t="shared" si="47"/>
        <v>1543.29</v>
      </c>
      <c r="V100" s="95">
        <f t="shared" si="47"/>
        <v>1309.29</v>
      </c>
      <c r="W100" s="95">
        <f t="shared" si="47"/>
        <v>1484.49</v>
      </c>
      <c r="X100" s="95">
        <f t="shared" si="47"/>
        <v>1718.0900000000001</v>
      </c>
      <c r="Y100" s="95">
        <f t="shared" si="47"/>
        <v>1821.75</v>
      </c>
      <c r="Z100" s="95">
        <f t="shared" si="47"/>
        <v>1773.85</v>
      </c>
      <c r="AA100" s="95">
        <f t="shared" si="47"/>
        <v>1688.29</v>
      </c>
      <c r="AB100" s="95">
        <f t="shared" si="47"/>
        <v>1640.69</v>
      </c>
      <c r="AC100" s="95">
        <f t="shared" ref="AC100" si="48">AC99-(AC107)</f>
        <v>1616.59</v>
      </c>
      <c r="AD100" s="95">
        <f t="shared" si="47"/>
        <v>1414.19</v>
      </c>
      <c r="AE100" s="95">
        <f t="shared" si="47"/>
        <v>1368.3899999999999</v>
      </c>
      <c r="AF100" s="95">
        <f t="shared" ref="AF100" si="49">AF99-(AF107)</f>
        <v>1249.3899999999999</v>
      </c>
      <c r="AG100" s="88"/>
      <c r="AH100" s="47">
        <f t="shared" si="27"/>
        <v>1851.59</v>
      </c>
      <c r="AI100" s="48">
        <f t="shared" si="28"/>
        <v>1155.17</v>
      </c>
    </row>
    <row r="101" spans="1:37" x14ac:dyDescent="0.25">
      <c r="A101" s="44" t="s">
        <v>84</v>
      </c>
      <c r="B101" s="76">
        <f t="shared" ref="B101" si="50">IF(B84&lt;0,B84*-1,0)</f>
        <v>0</v>
      </c>
      <c r="C101" s="76">
        <f t="shared" ref="C101:AE101" si="51">IF(C84&lt;0,C84*-1,0)</f>
        <v>0</v>
      </c>
      <c r="D101" s="76">
        <f t="shared" ref="D101" si="52">IF(D84&lt;0,D84*-1,0)</f>
        <v>0</v>
      </c>
      <c r="E101" s="76">
        <f t="shared" si="51"/>
        <v>0</v>
      </c>
      <c r="F101" s="76">
        <f t="shared" si="51"/>
        <v>0</v>
      </c>
      <c r="G101" s="76">
        <f t="shared" si="51"/>
        <v>0</v>
      </c>
      <c r="H101" s="76">
        <f t="shared" si="51"/>
        <v>0</v>
      </c>
      <c r="I101" s="76">
        <f t="shared" si="51"/>
        <v>0</v>
      </c>
      <c r="J101" s="76">
        <f t="shared" si="51"/>
        <v>0</v>
      </c>
      <c r="K101" s="76">
        <f t="shared" si="51"/>
        <v>0</v>
      </c>
      <c r="L101" s="76">
        <f t="shared" si="51"/>
        <v>0</v>
      </c>
      <c r="M101" s="76">
        <f t="shared" si="51"/>
        <v>0</v>
      </c>
      <c r="N101" s="76">
        <f t="shared" si="51"/>
        <v>0</v>
      </c>
      <c r="O101" s="76">
        <f t="shared" si="51"/>
        <v>0</v>
      </c>
      <c r="P101" s="76">
        <f t="shared" si="51"/>
        <v>0</v>
      </c>
      <c r="Q101" s="76">
        <f t="shared" si="51"/>
        <v>0</v>
      </c>
      <c r="R101" s="76">
        <f t="shared" si="51"/>
        <v>0</v>
      </c>
      <c r="S101" s="76">
        <f t="shared" si="51"/>
        <v>0</v>
      </c>
      <c r="T101" s="76">
        <f t="shared" si="51"/>
        <v>0</v>
      </c>
      <c r="U101" s="76">
        <f t="shared" si="51"/>
        <v>0</v>
      </c>
      <c r="V101" s="76">
        <f t="shared" si="51"/>
        <v>0</v>
      </c>
      <c r="W101" s="76">
        <f t="shared" si="51"/>
        <v>0</v>
      </c>
      <c r="X101" s="76">
        <f t="shared" si="51"/>
        <v>0</v>
      </c>
      <c r="Y101" s="76">
        <f t="shared" si="51"/>
        <v>0</v>
      </c>
      <c r="Z101" s="76">
        <f t="shared" si="51"/>
        <v>0</v>
      </c>
      <c r="AA101" s="76">
        <f t="shared" si="51"/>
        <v>0</v>
      </c>
      <c r="AB101" s="76">
        <f t="shared" si="51"/>
        <v>0</v>
      </c>
      <c r="AC101" s="76">
        <f t="shared" ref="AC101" si="53">IF(AC84&lt;0,AC84*-1,0)</f>
        <v>0</v>
      </c>
      <c r="AD101" s="76">
        <f t="shared" si="51"/>
        <v>0</v>
      </c>
      <c r="AE101" s="76">
        <f t="shared" si="51"/>
        <v>0</v>
      </c>
      <c r="AF101" s="76">
        <f t="shared" ref="AF101" si="54">IF(AF84&lt;0,AF84*-1,0)</f>
        <v>0</v>
      </c>
      <c r="AG101" s="52"/>
      <c r="AH101" s="47">
        <f t="shared" si="27"/>
        <v>0</v>
      </c>
      <c r="AI101" s="48">
        <f t="shared" si="28"/>
        <v>0</v>
      </c>
    </row>
    <row r="102" spans="1:37" x14ac:dyDescent="0.25">
      <c r="A102" s="54" t="s">
        <v>82</v>
      </c>
      <c r="B102" s="76">
        <f t="shared" ref="B102" si="55">IF(B82&lt;0,B82*-1,0)</f>
        <v>0</v>
      </c>
      <c r="C102" s="76">
        <f t="shared" ref="C102:AE102" si="56">IF(C82&lt;0,C82*-1,0)</f>
        <v>0</v>
      </c>
      <c r="D102" s="76">
        <f t="shared" ref="D102" si="57">IF(D82&lt;0,D82*-1,0)</f>
        <v>0</v>
      </c>
      <c r="E102" s="76">
        <f t="shared" si="56"/>
        <v>0</v>
      </c>
      <c r="F102" s="76">
        <f t="shared" si="56"/>
        <v>0</v>
      </c>
      <c r="G102" s="76">
        <f t="shared" si="56"/>
        <v>0</v>
      </c>
      <c r="H102" s="76">
        <f t="shared" si="56"/>
        <v>0</v>
      </c>
      <c r="I102" s="76">
        <f t="shared" si="56"/>
        <v>0</v>
      </c>
      <c r="J102" s="76">
        <f t="shared" si="56"/>
        <v>0</v>
      </c>
      <c r="K102" s="76">
        <f t="shared" si="56"/>
        <v>0</v>
      </c>
      <c r="L102" s="76">
        <f t="shared" si="56"/>
        <v>0</v>
      </c>
      <c r="M102" s="76">
        <f t="shared" si="56"/>
        <v>0</v>
      </c>
      <c r="N102" s="76">
        <f t="shared" si="56"/>
        <v>0</v>
      </c>
      <c r="O102" s="76">
        <f t="shared" si="56"/>
        <v>0</v>
      </c>
      <c r="P102" s="76">
        <f t="shared" si="56"/>
        <v>0</v>
      </c>
      <c r="Q102" s="76">
        <f t="shared" si="56"/>
        <v>0</v>
      </c>
      <c r="R102" s="76">
        <f t="shared" si="56"/>
        <v>0</v>
      </c>
      <c r="S102" s="76">
        <f t="shared" si="56"/>
        <v>0</v>
      </c>
      <c r="T102" s="76">
        <f t="shared" si="56"/>
        <v>0</v>
      </c>
      <c r="U102" s="76">
        <f t="shared" si="56"/>
        <v>0</v>
      </c>
      <c r="V102" s="76">
        <f t="shared" si="56"/>
        <v>0</v>
      </c>
      <c r="W102" s="76">
        <f t="shared" si="56"/>
        <v>0</v>
      </c>
      <c r="X102" s="76">
        <f t="shared" si="56"/>
        <v>0</v>
      </c>
      <c r="Y102" s="76">
        <f t="shared" si="56"/>
        <v>0</v>
      </c>
      <c r="Z102" s="76">
        <f t="shared" si="56"/>
        <v>0</v>
      </c>
      <c r="AA102" s="76">
        <f t="shared" si="56"/>
        <v>0</v>
      </c>
      <c r="AB102" s="76">
        <f t="shared" si="56"/>
        <v>0</v>
      </c>
      <c r="AC102" s="76">
        <f t="shared" ref="AC102" si="58">IF(AC82&lt;0,AC82*-1,0)</f>
        <v>0</v>
      </c>
      <c r="AD102" s="76">
        <f t="shared" si="56"/>
        <v>0</v>
      </c>
      <c r="AE102" s="76">
        <f t="shared" si="56"/>
        <v>0</v>
      </c>
      <c r="AF102" s="76">
        <f t="shared" ref="AF102" si="59">IF(AF82&lt;0,AF82*-1,0)</f>
        <v>0</v>
      </c>
      <c r="AG102" s="55"/>
      <c r="AH102" s="47">
        <f t="shared" si="27"/>
        <v>0</v>
      </c>
      <c r="AI102" s="48">
        <f t="shared" si="28"/>
        <v>0</v>
      </c>
    </row>
    <row r="103" spans="1:37" x14ac:dyDescent="0.25">
      <c r="A103" s="84" t="s">
        <v>103</v>
      </c>
      <c r="B103" s="76">
        <f t="shared" ref="B103" si="60">IF(B85&lt;0,B85*-1,0)</f>
        <v>0</v>
      </c>
      <c r="C103" s="76">
        <f t="shared" ref="C103:AE103" si="61">IF(C85&lt;0,C85*-1,0)</f>
        <v>0</v>
      </c>
      <c r="D103" s="76">
        <f t="shared" ref="D103" si="62">IF(D85&lt;0,D85*-1,0)</f>
        <v>0</v>
      </c>
      <c r="E103" s="76">
        <f t="shared" si="61"/>
        <v>0</v>
      </c>
      <c r="F103" s="76">
        <f t="shared" si="61"/>
        <v>0</v>
      </c>
      <c r="G103" s="76">
        <f t="shared" si="61"/>
        <v>0</v>
      </c>
      <c r="H103" s="76">
        <f t="shared" si="61"/>
        <v>0</v>
      </c>
      <c r="I103" s="76">
        <f t="shared" si="61"/>
        <v>0</v>
      </c>
      <c r="J103" s="76">
        <f t="shared" si="61"/>
        <v>0</v>
      </c>
      <c r="K103" s="76">
        <f t="shared" si="61"/>
        <v>0</v>
      </c>
      <c r="L103" s="76">
        <f t="shared" si="61"/>
        <v>0</v>
      </c>
      <c r="M103" s="76">
        <f t="shared" si="61"/>
        <v>0</v>
      </c>
      <c r="N103" s="76">
        <f t="shared" si="61"/>
        <v>0</v>
      </c>
      <c r="O103" s="76">
        <f t="shared" si="61"/>
        <v>0</v>
      </c>
      <c r="P103" s="76">
        <f t="shared" si="61"/>
        <v>0</v>
      </c>
      <c r="Q103" s="76">
        <f t="shared" si="61"/>
        <v>0</v>
      </c>
      <c r="R103" s="76">
        <f t="shared" si="61"/>
        <v>0</v>
      </c>
      <c r="S103" s="76">
        <f t="shared" si="61"/>
        <v>0</v>
      </c>
      <c r="T103" s="76">
        <f t="shared" si="61"/>
        <v>0</v>
      </c>
      <c r="U103" s="76">
        <f t="shared" si="61"/>
        <v>0</v>
      </c>
      <c r="V103" s="76">
        <f t="shared" si="61"/>
        <v>0</v>
      </c>
      <c r="W103" s="76">
        <f t="shared" si="61"/>
        <v>0</v>
      </c>
      <c r="X103" s="76">
        <f t="shared" si="61"/>
        <v>0</v>
      </c>
      <c r="Y103" s="76">
        <f t="shared" si="61"/>
        <v>0</v>
      </c>
      <c r="Z103" s="76">
        <f t="shared" si="61"/>
        <v>0</v>
      </c>
      <c r="AA103" s="76">
        <f t="shared" si="61"/>
        <v>0</v>
      </c>
      <c r="AB103" s="76">
        <f t="shared" si="61"/>
        <v>0</v>
      </c>
      <c r="AC103" s="76">
        <f t="shared" ref="AC103" si="63">IF(AC85&lt;0,AC85*-1,0)</f>
        <v>0</v>
      </c>
      <c r="AD103" s="76">
        <f t="shared" si="61"/>
        <v>0</v>
      </c>
      <c r="AE103" s="76">
        <f t="shared" si="61"/>
        <v>0</v>
      </c>
      <c r="AF103" s="76">
        <f t="shared" ref="AF103" si="64">IF(AF85&lt;0,AF85*-1,0)</f>
        <v>0</v>
      </c>
      <c r="AG103" s="98"/>
      <c r="AH103" s="47">
        <f t="shared" si="27"/>
        <v>0</v>
      </c>
      <c r="AI103" s="48">
        <f t="shared" si="28"/>
        <v>0</v>
      </c>
    </row>
    <row r="104" spans="1:37" x14ac:dyDescent="0.25">
      <c r="A104" s="84" t="s">
        <v>104</v>
      </c>
      <c r="B104" s="76">
        <f t="shared" ref="B104" si="65">IF(B83&lt;0,B83*-1,0)</f>
        <v>0</v>
      </c>
      <c r="C104" s="76">
        <f t="shared" ref="C104:AE104" si="66">IF(C83&lt;0,C83*-1,0)</f>
        <v>0</v>
      </c>
      <c r="D104" s="76">
        <f t="shared" ref="D104" si="67">IF(D83&lt;0,D83*-1,0)</f>
        <v>0</v>
      </c>
      <c r="E104" s="76">
        <f t="shared" si="66"/>
        <v>0</v>
      </c>
      <c r="F104" s="76">
        <f t="shared" si="66"/>
        <v>0</v>
      </c>
      <c r="G104" s="76">
        <f t="shared" si="66"/>
        <v>0</v>
      </c>
      <c r="H104" s="76">
        <f t="shared" si="66"/>
        <v>0</v>
      </c>
      <c r="I104" s="76">
        <f t="shared" si="66"/>
        <v>0</v>
      </c>
      <c r="J104" s="76">
        <f t="shared" si="66"/>
        <v>0</v>
      </c>
      <c r="K104" s="76">
        <f t="shared" si="66"/>
        <v>0</v>
      </c>
      <c r="L104" s="76">
        <f t="shared" si="66"/>
        <v>0</v>
      </c>
      <c r="M104" s="76">
        <f t="shared" si="66"/>
        <v>0</v>
      </c>
      <c r="N104" s="76">
        <f t="shared" si="66"/>
        <v>0</v>
      </c>
      <c r="O104" s="76">
        <f t="shared" si="66"/>
        <v>0</v>
      </c>
      <c r="P104" s="76">
        <f t="shared" si="66"/>
        <v>0</v>
      </c>
      <c r="Q104" s="76">
        <f t="shared" si="66"/>
        <v>0</v>
      </c>
      <c r="R104" s="76">
        <f t="shared" si="66"/>
        <v>0</v>
      </c>
      <c r="S104" s="76">
        <f t="shared" si="66"/>
        <v>0</v>
      </c>
      <c r="T104" s="76">
        <f t="shared" si="66"/>
        <v>0</v>
      </c>
      <c r="U104" s="76">
        <f t="shared" si="66"/>
        <v>0</v>
      </c>
      <c r="V104" s="76">
        <f t="shared" si="66"/>
        <v>0</v>
      </c>
      <c r="W104" s="76">
        <f t="shared" si="66"/>
        <v>0</v>
      </c>
      <c r="X104" s="76">
        <f t="shared" si="66"/>
        <v>0</v>
      </c>
      <c r="Y104" s="76">
        <f t="shared" si="66"/>
        <v>0</v>
      </c>
      <c r="Z104" s="76">
        <f t="shared" si="66"/>
        <v>0</v>
      </c>
      <c r="AA104" s="76">
        <f t="shared" si="66"/>
        <v>0</v>
      </c>
      <c r="AB104" s="76">
        <f t="shared" si="66"/>
        <v>0</v>
      </c>
      <c r="AC104" s="76">
        <f t="shared" ref="AC104" si="68">IF(AC83&lt;0,AC83*-1,0)</f>
        <v>0</v>
      </c>
      <c r="AD104" s="76">
        <f t="shared" si="66"/>
        <v>0</v>
      </c>
      <c r="AE104" s="76">
        <f t="shared" si="66"/>
        <v>0</v>
      </c>
      <c r="AF104" s="76">
        <f t="shared" ref="AF104" si="69">IF(AF83&lt;0,AF83*-1,0)</f>
        <v>0</v>
      </c>
      <c r="AG104" s="98"/>
      <c r="AH104" s="47">
        <f t="shared" si="27"/>
        <v>0</v>
      </c>
      <c r="AI104" s="48">
        <f t="shared" si="28"/>
        <v>0</v>
      </c>
    </row>
    <row r="105" spans="1:37" x14ac:dyDescent="0.25">
      <c r="A105" s="84" t="s">
        <v>81</v>
      </c>
      <c r="B105" s="76">
        <f t="shared" ref="B105" si="70">IF(B81&lt;0,B81*-1,0)</f>
        <v>0</v>
      </c>
      <c r="C105" s="76">
        <f t="shared" ref="C105:AE105" si="71">IF(C81&lt;0,C81*-1,0)</f>
        <v>0</v>
      </c>
      <c r="D105" s="76">
        <f t="shared" ref="D105" si="72">IF(D81&lt;0,D81*-1,0)</f>
        <v>0</v>
      </c>
      <c r="E105" s="76">
        <f t="shared" si="71"/>
        <v>0</v>
      </c>
      <c r="F105" s="76">
        <f t="shared" si="71"/>
        <v>0</v>
      </c>
      <c r="G105" s="76">
        <f t="shared" si="71"/>
        <v>0</v>
      </c>
      <c r="H105" s="76">
        <f t="shared" si="71"/>
        <v>0</v>
      </c>
      <c r="I105" s="76">
        <f t="shared" si="71"/>
        <v>0</v>
      </c>
      <c r="J105" s="76">
        <f t="shared" si="71"/>
        <v>0</v>
      </c>
      <c r="K105" s="76">
        <f t="shared" si="71"/>
        <v>0</v>
      </c>
      <c r="L105" s="76">
        <f t="shared" si="71"/>
        <v>0</v>
      </c>
      <c r="M105" s="76">
        <f t="shared" si="71"/>
        <v>0</v>
      </c>
      <c r="N105" s="76">
        <f t="shared" si="71"/>
        <v>0</v>
      </c>
      <c r="O105" s="76">
        <f t="shared" si="71"/>
        <v>0</v>
      </c>
      <c r="P105" s="76">
        <f t="shared" si="71"/>
        <v>0</v>
      </c>
      <c r="Q105" s="76">
        <f t="shared" si="71"/>
        <v>0</v>
      </c>
      <c r="R105" s="76">
        <f t="shared" si="71"/>
        <v>0</v>
      </c>
      <c r="S105" s="76">
        <f t="shared" si="71"/>
        <v>0</v>
      </c>
      <c r="T105" s="76">
        <f t="shared" si="71"/>
        <v>0</v>
      </c>
      <c r="U105" s="76">
        <f t="shared" si="71"/>
        <v>0</v>
      </c>
      <c r="V105" s="76">
        <f t="shared" si="71"/>
        <v>0</v>
      </c>
      <c r="W105" s="76">
        <f t="shared" si="71"/>
        <v>0</v>
      </c>
      <c r="X105" s="76">
        <f t="shared" si="71"/>
        <v>0</v>
      </c>
      <c r="Y105" s="76">
        <f t="shared" si="71"/>
        <v>0</v>
      </c>
      <c r="Z105" s="76">
        <f t="shared" si="71"/>
        <v>0</v>
      </c>
      <c r="AA105" s="76">
        <f t="shared" si="71"/>
        <v>0</v>
      </c>
      <c r="AB105" s="76">
        <f t="shared" si="71"/>
        <v>0</v>
      </c>
      <c r="AC105" s="76">
        <f t="shared" ref="AC105" si="73">IF(AC81&lt;0,AC81*-1,0)</f>
        <v>0</v>
      </c>
      <c r="AD105" s="76">
        <f t="shared" si="71"/>
        <v>0</v>
      </c>
      <c r="AE105" s="76">
        <f t="shared" si="71"/>
        <v>0</v>
      </c>
      <c r="AF105" s="76">
        <f t="shared" ref="AF105" si="74">IF(AF81&lt;0,AF81*-1,0)</f>
        <v>0</v>
      </c>
      <c r="AG105" s="98"/>
      <c r="AH105" s="47">
        <f t="shared" si="27"/>
        <v>0</v>
      </c>
      <c r="AI105" s="48">
        <f t="shared" si="28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1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1</v>
      </c>
      <c r="AD106" s="94">
        <v>0</v>
      </c>
      <c r="AE106" s="94">
        <v>0</v>
      </c>
      <c r="AF106" s="94">
        <v>1</v>
      </c>
      <c r="AG106" s="85"/>
      <c r="AH106" s="47">
        <f t="shared" si="27"/>
        <v>1</v>
      </c>
      <c r="AI106" s="48">
        <f t="shared" si="28"/>
        <v>0</v>
      </c>
    </row>
    <row r="107" spans="1:37" ht="15.75" thickBot="1" x14ac:dyDescent="0.3">
      <c r="A107" s="99" t="s">
        <v>106</v>
      </c>
      <c r="B107" s="60">
        <f t="shared" ref="B107" si="75">SUM(B101:B106)</f>
        <v>0</v>
      </c>
      <c r="C107" s="60">
        <f t="shared" ref="C107:AE107" si="76">SUM(C101:C106)</f>
        <v>0</v>
      </c>
      <c r="D107" s="60">
        <f t="shared" ref="D107" si="77">SUM(D101:D106)</f>
        <v>1</v>
      </c>
      <c r="E107" s="60">
        <f t="shared" si="76"/>
        <v>0</v>
      </c>
      <c r="F107" s="60">
        <f t="shared" si="76"/>
        <v>0</v>
      </c>
      <c r="G107" s="60">
        <f t="shared" si="76"/>
        <v>0</v>
      </c>
      <c r="H107" s="60">
        <f t="shared" si="76"/>
        <v>0</v>
      </c>
      <c r="I107" s="60">
        <f t="shared" si="76"/>
        <v>0</v>
      </c>
      <c r="J107" s="60">
        <f t="shared" si="76"/>
        <v>0</v>
      </c>
      <c r="K107" s="60">
        <f t="shared" si="76"/>
        <v>0</v>
      </c>
      <c r="L107" s="60">
        <f t="shared" si="76"/>
        <v>0</v>
      </c>
      <c r="M107" s="60">
        <f t="shared" si="76"/>
        <v>0</v>
      </c>
      <c r="N107" s="60">
        <f t="shared" si="76"/>
        <v>0</v>
      </c>
      <c r="O107" s="60">
        <f t="shared" si="76"/>
        <v>0</v>
      </c>
      <c r="P107" s="60">
        <f t="shared" si="76"/>
        <v>0</v>
      </c>
      <c r="Q107" s="60">
        <f t="shared" si="76"/>
        <v>0</v>
      </c>
      <c r="R107" s="60">
        <f t="shared" si="76"/>
        <v>0</v>
      </c>
      <c r="S107" s="60">
        <f t="shared" si="76"/>
        <v>0</v>
      </c>
      <c r="T107" s="60">
        <f t="shared" si="76"/>
        <v>0</v>
      </c>
      <c r="U107" s="60">
        <f t="shared" si="76"/>
        <v>0</v>
      </c>
      <c r="V107" s="60">
        <f t="shared" si="76"/>
        <v>0</v>
      </c>
      <c r="W107" s="60">
        <f t="shared" si="76"/>
        <v>0</v>
      </c>
      <c r="X107" s="60">
        <f t="shared" si="76"/>
        <v>0</v>
      </c>
      <c r="Y107" s="60">
        <f t="shared" si="76"/>
        <v>0</v>
      </c>
      <c r="Z107" s="60">
        <f t="shared" si="76"/>
        <v>0</v>
      </c>
      <c r="AA107" s="60">
        <f t="shared" si="76"/>
        <v>0</v>
      </c>
      <c r="AB107" s="60">
        <f t="shared" si="76"/>
        <v>0</v>
      </c>
      <c r="AC107" s="60">
        <f t="shared" ref="AC107" si="78">SUM(AC101:AC106)</f>
        <v>1</v>
      </c>
      <c r="AD107" s="60">
        <f t="shared" si="76"/>
        <v>0</v>
      </c>
      <c r="AE107" s="60">
        <f t="shared" si="76"/>
        <v>0</v>
      </c>
      <c r="AF107" s="60">
        <f t="shared" ref="AF107" si="79">SUM(AF101:AF106)</f>
        <v>1</v>
      </c>
      <c r="AG107" s="88"/>
      <c r="AH107" s="47">
        <f t="shared" si="27"/>
        <v>1</v>
      </c>
      <c r="AI107" s="48">
        <f t="shared" si="28"/>
        <v>0</v>
      </c>
      <c r="AK107" s="50"/>
    </row>
    <row r="108" spans="1:37" ht="15.75" thickBot="1" x14ac:dyDescent="0.3">
      <c r="A108" s="74" t="s">
        <v>107</v>
      </c>
      <c r="B108" s="60">
        <f t="shared" ref="B108" si="80">B92-B107</f>
        <v>675.40000000000009</v>
      </c>
      <c r="C108" s="60">
        <f t="shared" ref="C108:AE108" si="81">C92-C107</f>
        <v>566.6</v>
      </c>
      <c r="D108" s="60">
        <f t="shared" ref="D108" si="82">D92-D107</f>
        <v>565.79999999999995</v>
      </c>
      <c r="E108" s="60">
        <f t="shared" si="81"/>
        <v>553.78</v>
      </c>
      <c r="F108" s="60">
        <f t="shared" si="81"/>
        <v>591.6</v>
      </c>
      <c r="G108" s="60">
        <f t="shared" si="81"/>
        <v>564</v>
      </c>
      <c r="H108" s="60">
        <f t="shared" si="81"/>
        <v>647.6</v>
      </c>
      <c r="I108" s="60">
        <f t="shared" si="81"/>
        <v>657</v>
      </c>
      <c r="J108" s="60">
        <f t="shared" si="81"/>
        <v>734</v>
      </c>
      <c r="K108" s="60">
        <f t="shared" si="81"/>
        <v>499.8</v>
      </c>
      <c r="L108" s="60">
        <f t="shared" si="81"/>
        <v>371.2</v>
      </c>
      <c r="M108" s="60">
        <f t="shared" si="81"/>
        <v>315.29999999999995</v>
      </c>
      <c r="N108" s="60">
        <f t="shared" si="81"/>
        <v>498.7</v>
      </c>
      <c r="O108" s="60">
        <f t="shared" si="81"/>
        <v>498.7</v>
      </c>
      <c r="P108" s="60">
        <f t="shared" si="81"/>
        <v>498.7</v>
      </c>
      <c r="Q108" s="60">
        <f t="shared" si="81"/>
        <v>733.5</v>
      </c>
      <c r="R108" s="60">
        <f t="shared" si="81"/>
        <v>700.6</v>
      </c>
      <c r="S108" s="60">
        <f t="shared" si="81"/>
        <v>813.8</v>
      </c>
      <c r="T108" s="60">
        <f t="shared" si="81"/>
        <v>703.9</v>
      </c>
      <c r="U108" s="60">
        <f t="shared" si="81"/>
        <v>756</v>
      </c>
      <c r="V108" s="60">
        <f t="shared" si="81"/>
        <v>596.30000000000007</v>
      </c>
      <c r="W108" s="60">
        <f t="shared" si="81"/>
        <v>580.70000000000005</v>
      </c>
      <c r="X108" s="60">
        <f t="shared" si="81"/>
        <v>461.6</v>
      </c>
      <c r="Y108" s="60">
        <f>Y92-Y107</f>
        <v>372.7</v>
      </c>
      <c r="Z108" s="60">
        <f>Z92-Z107</f>
        <v>268.89999999999998</v>
      </c>
      <c r="AA108" s="60">
        <f t="shared" si="81"/>
        <v>255.6</v>
      </c>
      <c r="AB108" s="60">
        <f t="shared" si="81"/>
        <v>433.1</v>
      </c>
      <c r="AC108" s="60">
        <f t="shared" ref="AC108" si="83">AC92-AC107</f>
        <v>469</v>
      </c>
      <c r="AD108" s="60">
        <f t="shared" si="81"/>
        <v>525.79999999999995</v>
      </c>
      <c r="AE108" s="60">
        <f t="shared" si="81"/>
        <v>587</v>
      </c>
      <c r="AF108" s="60">
        <f t="shared" ref="AF108" si="84">AF92-AF107</f>
        <v>578</v>
      </c>
      <c r="AG108" s="88"/>
      <c r="AH108" s="47">
        <f t="shared" si="27"/>
        <v>813.8</v>
      </c>
      <c r="AI108" s="48">
        <f t="shared" si="28"/>
        <v>255.6</v>
      </c>
    </row>
    <row r="109" spans="1:37" x14ac:dyDescent="0.25">
      <c r="A109" s="100" t="s">
        <v>108</v>
      </c>
      <c r="B109" s="101">
        <v>49.97</v>
      </c>
      <c r="C109" s="101">
        <v>49.98</v>
      </c>
      <c r="D109" s="101">
        <v>50.02</v>
      </c>
      <c r="E109" s="101">
        <v>49.972999999999999</v>
      </c>
      <c r="F109" s="101">
        <v>50.04</v>
      </c>
      <c r="G109" s="101">
        <v>49.951999999999998</v>
      </c>
      <c r="H109" s="101">
        <v>49.988999999999997</v>
      </c>
      <c r="I109" s="101">
        <v>50.014000000000003</v>
      </c>
      <c r="J109" s="101">
        <v>50.064</v>
      </c>
      <c r="K109" s="101">
        <v>50.057000000000002</v>
      </c>
      <c r="L109" s="101">
        <v>50.036999999999999</v>
      </c>
      <c r="M109" s="101">
        <v>50.06</v>
      </c>
      <c r="N109" s="101">
        <v>50.037999999999997</v>
      </c>
      <c r="O109" s="101">
        <v>50.037999999999997</v>
      </c>
      <c r="P109" s="101">
        <v>49.99</v>
      </c>
      <c r="Q109" s="101">
        <v>50.003</v>
      </c>
      <c r="R109" s="101">
        <v>50.051000000000002</v>
      </c>
      <c r="S109" s="101">
        <v>50.027000000000001</v>
      </c>
      <c r="T109" s="101">
        <v>49.942999999999998</v>
      </c>
      <c r="U109" s="101">
        <v>50.064999999999998</v>
      </c>
      <c r="V109" s="101">
        <v>49.953000000000003</v>
      </c>
      <c r="W109" s="101">
        <v>50.110999999999997</v>
      </c>
      <c r="X109" s="101">
        <v>50.01</v>
      </c>
      <c r="Y109" s="101">
        <v>49.999000000000002</v>
      </c>
      <c r="Z109" s="101">
        <v>50.082000000000001</v>
      </c>
      <c r="AA109" s="101">
        <v>50.024000000000001</v>
      </c>
      <c r="AB109" s="101">
        <v>50.057000000000002</v>
      </c>
      <c r="AC109" s="101">
        <v>50.04</v>
      </c>
      <c r="AD109" s="101">
        <v>49.99</v>
      </c>
      <c r="AE109" s="101">
        <v>50.01</v>
      </c>
      <c r="AF109" s="101">
        <v>49.95</v>
      </c>
      <c r="AG109" s="102"/>
      <c r="AH109" s="47">
        <f t="shared" si="27"/>
        <v>50.110999999999997</v>
      </c>
      <c r="AI109" s="48">
        <f t="shared" si="28"/>
        <v>49.942999999999998</v>
      </c>
    </row>
    <row r="110" spans="1:37" x14ac:dyDescent="0.25">
      <c r="A110" s="103" t="s">
        <v>109</v>
      </c>
      <c r="B110" s="65">
        <v>129.69999999999999</v>
      </c>
      <c r="C110" s="65">
        <v>128.1</v>
      </c>
      <c r="D110" s="65">
        <v>129.69999999999999</v>
      </c>
      <c r="E110" s="65">
        <v>129.80000000000001</v>
      </c>
      <c r="F110" s="65">
        <v>128.6</v>
      </c>
      <c r="G110" s="65">
        <v>129.4</v>
      </c>
      <c r="H110" s="65">
        <v>127.2</v>
      </c>
      <c r="I110" s="65">
        <v>126.9</v>
      </c>
      <c r="J110" s="65">
        <v>126.3</v>
      </c>
      <c r="K110" s="65">
        <v>127.7</v>
      </c>
      <c r="L110" s="65">
        <v>125.9</v>
      </c>
      <c r="M110" s="65">
        <v>126.1</v>
      </c>
      <c r="N110" s="65">
        <v>127.1</v>
      </c>
      <c r="O110" s="65">
        <v>127.1</v>
      </c>
      <c r="P110" s="65">
        <v>123.9</v>
      </c>
      <c r="Q110" s="65">
        <v>122.8</v>
      </c>
      <c r="R110" s="65">
        <v>125.5</v>
      </c>
      <c r="S110" s="65">
        <v>124.7</v>
      </c>
      <c r="T110" s="65">
        <v>122.7</v>
      </c>
      <c r="U110" s="65">
        <v>122.1</v>
      </c>
      <c r="V110" s="65">
        <v>128.19999999999999</v>
      </c>
      <c r="W110" s="65">
        <v>126.5</v>
      </c>
      <c r="X110" s="65">
        <v>126</v>
      </c>
      <c r="Y110" s="65">
        <v>125.7</v>
      </c>
      <c r="Z110" s="65">
        <v>127.7</v>
      </c>
      <c r="AA110" s="65">
        <v>126.9</v>
      </c>
      <c r="AB110" s="65">
        <v>126.1</v>
      </c>
      <c r="AC110" s="65">
        <v>127</v>
      </c>
      <c r="AD110" s="65">
        <v>127</v>
      </c>
      <c r="AE110" s="65">
        <v>127</v>
      </c>
      <c r="AF110" s="65">
        <v>127</v>
      </c>
      <c r="AG110" s="104"/>
      <c r="AH110" s="47">
        <f t="shared" si="27"/>
        <v>129.80000000000001</v>
      </c>
      <c r="AI110" s="48">
        <f t="shared" si="28"/>
        <v>122.1</v>
      </c>
    </row>
    <row r="111" spans="1:37" x14ac:dyDescent="0.25">
      <c r="A111" s="103" t="s">
        <v>110</v>
      </c>
      <c r="B111" s="65">
        <v>132.80000000000001</v>
      </c>
      <c r="C111" s="65">
        <v>131.80000000000001</v>
      </c>
      <c r="D111" s="65">
        <v>133.4</v>
      </c>
      <c r="E111" s="65">
        <v>133.1</v>
      </c>
      <c r="F111" s="65">
        <v>132.4</v>
      </c>
      <c r="G111" s="65">
        <v>132.69999999999999</v>
      </c>
      <c r="H111" s="65">
        <v>130.69999999999999</v>
      </c>
      <c r="I111" s="65">
        <v>130.1</v>
      </c>
      <c r="J111" s="65">
        <v>128.80000000000001</v>
      </c>
      <c r="K111" s="65">
        <v>128.9</v>
      </c>
      <c r="L111" s="65">
        <v>126.9</v>
      </c>
      <c r="M111" s="65">
        <v>127.1</v>
      </c>
      <c r="N111" s="65">
        <v>129.30000000000001</v>
      </c>
      <c r="O111" s="65">
        <v>129.30000000000001</v>
      </c>
      <c r="P111" s="65">
        <v>125.7</v>
      </c>
      <c r="Q111" s="65">
        <v>125.6</v>
      </c>
      <c r="R111" s="65">
        <v>128</v>
      </c>
      <c r="S111" s="65">
        <v>127.4</v>
      </c>
      <c r="T111" s="65">
        <v>125.9</v>
      </c>
      <c r="U111" s="65">
        <v>125.4</v>
      </c>
      <c r="V111" s="65">
        <v>130</v>
      </c>
      <c r="W111" s="65">
        <v>128.4</v>
      </c>
      <c r="X111" s="65">
        <v>127.4</v>
      </c>
      <c r="Y111" s="65">
        <v>127</v>
      </c>
      <c r="Z111" s="65">
        <v>128.80000000000001</v>
      </c>
      <c r="AA111" s="65">
        <v>130.4</v>
      </c>
      <c r="AB111" s="65">
        <v>128.69999999999999</v>
      </c>
      <c r="AC111" s="65">
        <v>129</v>
      </c>
      <c r="AD111" s="65">
        <v>129</v>
      </c>
      <c r="AE111" s="65">
        <v>129</v>
      </c>
      <c r="AF111" s="65">
        <v>129</v>
      </c>
      <c r="AG111" s="104"/>
      <c r="AH111" s="47">
        <f t="shared" si="27"/>
        <v>133.4</v>
      </c>
      <c r="AI111" s="48">
        <f t="shared" si="28"/>
        <v>125.4</v>
      </c>
    </row>
    <row r="112" spans="1:37" x14ac:dyDescent="0.25">
      <c r="A112" s="103" t="s">
        <v>111</v>
      </c>
      <c r="B112" s="65">
        <v>130.30000000000001</v>
      </c>
      <c r="C112" s="65">
        <v>130</v>
      </c>
      <c r="D112" s="65">
        <v>131.4</v>
      </c>
      <c r="E112" s="65">
        <v>128.80000000000001</v>
      </c>
      <c r="F112" s="65">
        <v>127.5</v>
      </c>
      <c r="G112" s="65">
        <v>130.5</v>
      </c>
      <c r="H112" s="65">
        <v>127.5</v>
      </c>
      <c r="I112" s="65">
        <v>129</v>
      </c>
      <c r="J112" s="65">
        <v>125.5</v>
      </c>
      <c r="K112" s="65">
        <v>129.19999999999999</v>
      </c>
      <c r="L112" s="65">
        <v>132.6</v>
      </c>
      <c r="M112" s="65">
        <v>131.1</v>
      </c>
      <c r="N112" s="65">
        <v>132.5</v>
      </c>
      <c r="O112" s="65">
        <v>132.5</v>
      </c>
      <c r="P112" s="65">
        <v>127.4</v>
      </c>
      <c r="Q112" s="65">
        <v>126.8</v>
      </c>
      <c r="R112" s="65">
        <v>126.8</v>
      </c>
      <c r="S112" s="65">
        <v>126.5</v>
      </c>
      <c r="T112" s="65">
        <v>127.7</v>
      </c>
      <c r="U112" s="65">
        <v>127.8</v>
      </c>
      <c r="V112" s="65">
        <v>131.4</v>
      </c>
      <c r="W112" s="65">
        <v>128.19999999999999</v>
      </c>
      <c r="X112" s="65">
        <v>126.2</v>
      </c>
      <c r="Y112" s="65">
        <v>129.1</v>
      </c>
      <c r="Z112" s="65">
        <v>130.9</v>
      </c>
      <c r="AA112" s="65">
        <v>130.6</v>
      </c>
      <c r="AB112" s="65">
        <v>126.4</v>
      </c>
      <c r="AC112" s="65">
        <v>128</v>
      </c>
      <c r="AD112" s="65">
        <v>128</v>
      </c>
      <c r="AE112" s="65">
        <v>128</v>
      </c>
      <c r="AF112" s="65">
        <v>128</v>
      </c>
      <c r="AG112" s="104"/>
      <c r="AH112" s="47">
        <f t="shared" si="27"/>
        <v>132.6</v>
      </c>
      <c r="AI112" s="48">
        <f t="shared" si="28"/>
        <v>125.5</v>
      </c>
    </row>
    <row r="113" spans="1:35" x14ac:dyDescent="0.25">
      <c r="A113" s="105" t="s">
        <v>112</v>
      </c>
      <c r="B113" s="65">
        <v>132.5</v>
      </c>
      <c r="C113" s="65">
        <v>131.9</v>
      </c>
      <c r="D113" s="65">
        <v>133.5</v>
      </c>
      <c r="E113" s="65">
        <v>129.5</v>
      </c>
      <c r="F113" s="65">
        <v>128.6</v>
      </c>
      <c r="G113" s="65">
        <v>129.9</v>
      </c>
      <c r="H113" s="65">
        <v>127.5</v>
      </c>
      <c r="I113" s="65">
        <v>128.30000000000001</v>
      </c>
      <c r="J113" s="65">
        <v>126.9</v>
      </c>
      <c r="K113" s="65">
        <v>128.80000000000001</v>
      </c>
      <c r="L113" s="65">
        <v>132.6</v>
      </c>
      <c r="M113" s="65">
        <v>130.4</v>
      </c>
      <c r="N113" s="65">
        <v>132.4</v>
      </c>
      <c r="O113" s="65">
        <v>132.4</v>
      </c>
      <c r="P113" s="65">
        <v>128</v>
      </c>
      <c r="Q113" s="65">
        <v>128.69999999999999</v>
      </c>
      <c r="R113" s="65">
        <v>129.30000000000001</v>
      </c>
      <c r="S113" s="65">
        <v>127.9</v>
      </c>
      <c r="T113" s="65">
        <v>129.1</v>
      </c>
      <c r="U113" s="65">
        <v>128.6</v>
      </c>
      <c r="V113" s="65">
        <v>131.5</v>
      </c>
      <c r="W113" s="65">
        <v>129.30000000000001</v>
      </c>
      <c r="X113" s="65">
        <v>125.8</v>
      </c>
      <c r="Y113" s="65">
        <v>129.1</v>
      </c>
      <c r="Z113" s="65">
        <v>131.69999999999999</v>
      </c>
      <c r="AA113" s="65">
        <v>132.1</v>
      </c>
      <c r="AB113" s="65">
        <v>129.6</v>
      </c>
      <c r="AC113" s="65">
        <v>131</v>
      </c>
      <c r="AD113" s="65">
        <v>131</v>
      </c>
      <c r="AE113" s="65">
        <v>131</v>
      </c>
      <c r="AF113" s="65">
        <v>131</v>
      </c>
      <c r="AG113" s="104"/>
      <c r="AH113" s="47">
        <f t="shared" si="27"/>
        <v>133.5</v>
      </c>
      <c r="AI113" s="48">
        <f t="shared" si="28"/>
        <v>125.8</v>
      </c>
    </row>
    <row r="114" spans="1:35" x14ac:dyDescent="0.25">
      <c r="A114" s="105" t="s">
        <v>113</v>
      </c>
      <c r="B114" s="106">
        <v>131.5</v>
      </c>
      <c r="C114" s="106">
        <v>132.30000000000001</v>
      </c>
      <c r="D114" s="106">
        <v>128.9</v>
      </c>
      <c r="E114" s="106">
        <v>134.80000000000001</v>
      </c>
      <c r="F114" s="106">
        <v>132.5</v>
      </c>
      <c r="G114" s="106">
        <v>131.30000000000001</v>
      </c>
      <c r="H114" s="106">
        <v>130.6</v>
      </c>
      <c r="I114" s="106">
        <v>131.69999999999999</v>
      </c>
      <c r="J114" s="106">
        <v>133.1</v>
      </c>
      <c r="K114" s="106">
        <v>132.69999999999999</v>
      </c>
      <c r="L114" s="106">
        <v>131.4</v>
      </c>
      <c r="M114" s="106">
        <v>132.30000000000001</v>
      </c>
      <c r="N114" s="106">
        <v>131.4</v>
      </c>
      <c r="O114" s="106">
        <v>131.4</v>
      </c>
      <c r="P114" s="106">
        <v>130</v>
      </c>
      <c r="Q114" s="106">
        <v>130.5</v>
      </c>
      <c r="R114" s="106">
        <v>134.19999999999999</v>
      </c>
      <c r="S114" s="106">
        <v>132</v>
      </c>
      <c r="T114" s="106">
        <v>130.69999999999999</v>
      </c>
      <c r="U114" s="106">
        <v>132.30000000000001</v>
      </c>
      <c r="V114" s="106">
        <v>135.30000000000001</v>
      </c>
      <c r="W114" s="106">
        <v>132.6</v>
      </c>
      <c r="X114" s="106">
        <v>133.80000000000001</v>
      </c>
      <c r="Y114" s="106">
        <v>131.30000000000001</v>
      </c>
      <c r="Z114" s="106">
        <v>134.19999999999999</v>
      </c>
      <c r="AA114" s="106">
        <v>135.5</v>
      </c>
      <c r="AB114" s="106">
        <v>136.9</v>
      </c>
      <c r="AC114" s="106">
        <v>137</v>
      </c>
      <c r="AD114" s="106">
        <v>137</v>
      </c>
      <c r="AE114" s="106">
        <v>137</v>
      </c>
      <c r="AF114" s="106">
        <v>137</v>
      </c>
      <c r="AG114" s="107"/>
      <c r="AH114" s="47">
        <f t="shared" si="27"/>
        <v>137</v>
      </c>
      <c r="AI114" s="48">
        <f t="shared" si="28"/>
        <v>128.9</v>
      </c>
    </row>
    <row r="115" spans="1:35" x14ac:dyDescent="0.25">
      <c r="A115" s="103" t="s">
        <v>114</v>
      </c>
      <c r="B115" s="65">
        <v>131.5</v>
      </c>
      <c r="C115" s="65">
        <v>128.5</v>
      </c>
      <c r="D115" s="65">
        <v>128.5</v>
      </c>
      <c r="E115" s="65">
        <v>128.1</v>
      </c>
      <c r="F115" s="65">
        <v>134.1</v>
      </c>
      <c r="G115" s="65">
        <v>134.69999999999999</v>
      </c>
      <c r="H115" s="65">
        <v>129.9</v>
      </c>
      <c r="I115" s="65">
        <v>133.6</v>
      </c>
      <c r="J115" s="65">
        <v>133.5</v>
      </c>
      <c r="K115" s="65">
        <v>132.6</v>
      </c>
      <c r="L115" s="65">
        <v>128</v>
      </c>
      <c r="M115" s="65">
        <v>132.30000000000001</v>
      </c>
      <c r="N115" s="65">
        <v>132.80000000000001</v>
      </c>
      <c r="O115" s="65">
        <v>132.80000000000001</v>
      </c>
      <c r="P115" s="65">
        <v>128.4</v>
      </c>
      <c r="Q115" s="65">
        <v>128.4</v>
      </c>
      <c r="R115" s="65">
        <v>128.19999999999999</v>
      </c>
      <c r="S115" s="65">
        <v>131.5</v>
      </c>
      <c r="T115" s="65">
        <v>131.5</v>
      </c>
      <c r="U115" s="65">
        <v>133.9</v>
      </c>
      <c r="V115" s="65">
        <v>126.8</v>
      </c>
      <c r="W115" s="65">
        <v>129.6</v>
      </c>
      <c r="X115" s="65">
        <v>127.5</v>
      </c>
      <c r="Y115" s="65">
        <v>127.3</v>
      </c>
      <c r="Z115" s="65">
        <v>127.8</v>
      </c>
      <c r="AA115" s="65">
        <v>128.6</v>
      </c>
      <c r="AB115" s="65">
        <v>131.19999999999999</v>
      </c>
      <c r="AC115" s="65">
        <v>131</v>
      </c>
      <c r="AD115" s="65">
        <v>131</v>
      </c>
      <c r="AE115" s="65">
        <v>131</v>
      </c>
      <c r="AF115" s="65">
        <v>131</v>
      </c>
      <c r="AG115" s="104"/>
      <c r="AH115" s="47">
        <f t="shared" si="27"/>
        <v>134.69999999999999</v>
      </c>
      <c r="AI115" s="48">
        <f t="shared" si="28"/>
        <v>126.8</v>
      </c>
    </row>
    <row r="116" spans="1:35" ht="15.75" thickBot="1" x14ac:dyDescent="0.3">
      <c r="A116" s="103" t="s">
        <v>115</v>
      </c>
      <c r="B116" s="92">
        <v>66.900000000000006</v>
      </c>
      <c r="C116" s="92">
        <v>66.599999999999994</v>
      </c>
      <c r="D116" s="92">
        <v>66.599999999999994</v>
      </c>
      <c r="E116" s="92">
        <v>67.099999999999994</v>
      </c>
      <c r="F116" s="92">
        <v>66.7</v>
      </c>
      <c r="G116" s="92">
        <v>66.599999999999994</v>
      </c>
      <c r="H116" s="92">
        <v>65.7</v>
      </c>
      <c r="I116" s="92">
        <v>65.2</v>
      </c>
      <c r="J116" s="92">
        <v>64.400000000000006</v>
      </c>
      <c r="K116" s="92">
        <v>64.599999999999994</v>
      </c>
      <c r="L116" s="92">
        <v>63.7</v>
      </c>
      <c r="M116" s="92">
        <v>63.7</v>
      </c>
      <c r="N116" s="92">
        <v>65</v>
      </c>
      <c r="O116" s="92">
        <v>65</v>
      </c>
      <c r="P116" s="92" t="s">
        <v>588</v>
      </c>
      <c r="Q116" s="92">
        <v>63</v>
      </c>
      <c r="R116" s="92">
        <v>64.8</v>
      </c>
      <c r="S116" s="92">
        <v>63.6</v>
      </c>
      <c r="T116" s="92">
        <v>63.4</v>
      </c>
      <c r="U116" s="92">
        <v>62.8</v>
      </c>
      <c r="V116" s="92">
        <v>65.5</v>
      </c>
      <c r="W116" s="92">
        <v>64.5</v>
      </c>
      <c r="X116" s="92">
        <v>64.400000000000006</v>
      </c>
      <c r="Y116" s="92">
        <v>63.9</v>
      </c>
      <c r="Z116" s="92">
        <v>64.3</v>
      </c>
      <c r="AA116" s="92">
        <v>65.3</v>
      </c>
      <c r="AB116" s="92">
        <v>64.3</v>
      </c>
      <c r="AC116" s="92">
        <v>64.3</v>
      </c>
      <c r="AD116" s="92">
        <v>64.3</v>
      </c>
      <c r="AE116" s="92">
        <v>64.3</v>
      </c>
      <c r="AF116" s="92">
        <v>64.3</v>
      </c>
      <c r="AG116" s="108"/>
      <c r="AH116" s="47">
        <f t="shared" si="27"/>
        <v>67.099999999999994</v>
      </c>
      <c r="AI116" s="48">
        <f t="shared" si="28"/>
        <v>62.8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7"/>
        <v>0</v>
      </c>
      <c r="AI117" s="48">
        <f t="shared" si="28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158.98000000000002</v>
      </c>
      <c r="C118" s="111">
        <f t="shared" ref="C118:O118" si="85">SUM(C22,C28,C31:C32,C66,C68:C69,C71,C73,C119:C123,C155,C161,C167,C176,C178,C190,C197,C200:C201,C208,C210,C212,C216:C218,C220:C222,C227,C233:C234,C236:C238,C246,C251)</f>
        <v>142.28000000000003</v>
      </c>
      <c r="D118" s="111">
        <f t="shared" ref="D118" si="86">SUM(D22,D28,D31:D32,D66,D68:D69,D71,D73,D119:D123,D155,D161,D167,D176,D178,D190,D197,D200:D201,D208,D210,D212,D216:D218,D220:D222,D227,D233:D234,D236:D238,D246,D251)</f>
        <v>172.62</v>
      </c>
      <c r="E118" s="111">
        <f t="shared" si="85"/>
        <v>137.63999999999999</v>
      </c>
      <c r="F118" s="111">
        <f t="shared" si="85"/>
        <v>146.95999999999998</v>
      </c>
      <c r="G118" s="111">
        <f t="shared" si="85"/>
        <v>168.62</v>
      </c>
      <c r="H118" s="111">
        <f t="shared" si="85"/>
        <v>199.32</v>
      </c>
      <c r="I118" s="111">
        <f t="shared" si="85"/>
        <v>247</v>
      </c>
      <c r="J118" s="111">
        <f t="shared" si="85"/>
        <v>302.58</v>
      </c>
      <c r="K118" s="111">
        <f t="shared" si="85"/>
        <v>352.32799999999997</v>
      </c>
      <c r="L118" s="111">
        <f t="shared" si="85"/>
        <v>397.34</v>
      </c>
      <c r="M118" s="111">
        <f t="shared" si="85"/>
        <v>392.94</v>
      </c>
      <c r="N118" s="111">
        <f t="shared" si="85"/>
        <v>365.14</v>
      </c>
      <c r="O118" s="111">
        <f t="shared" si="85"/>
        <v>365.14</v>
      </c>
      <c r="P118" s="111">
        <v>42</v>
      </c>
      <c r="Q118" s="111">
        <f t="shared" ref="Q118:AB118" si="87">SUM(Q22,Q28,Q31:Q32,Q66,Q68:Q69,Q71,Q73,Q119:Q123,Q155,Q161,Q167,Q176,Q178,Q190,Q197,Q200:Q201,Q208,Q210,Q212,Q216:Q218,Q220:Q222,Q227,Q233:Q234,Q236:Q238,Q246,Q251)</f>
        <v>294.83999999999997</v>
      </c>
      <c r="R118" s="111">
        <f t="shared" si="87"/>
        <v>280.83999999999997</v>
      </c>
      <c r="S118" s="111">
        <f t="shared" si="87"/>
        <v>301.50799999999998</v>
      </c>
      <c r="T118" s="111">
        <f t="shared" si="87"/>
        <v>311.286</v>
      </c>
      <c r="U118" s="111">
        <f t="shared" si="87"/>
        <v>322.56</v>
      </c>
      <c r="V118" s="111">
        <f t="shared" si="87"/>
        <v>325.77500000000003</v>
      </c>
      <c r="W118" s="111">
        <f t="shared" si="87"/>
        <v>331.50399999999996</v>
      </c>
      <c r="X118" s="111">
        <f t="shared" si="87"/>
        <v>415.108</v>
      </c>
      <c r="Y118" s="111">
        <f t="shared" ref="Y118:Z118" si="88">SUM(Y20,Y26,Y37:Y38,Y66,Y68:Y69,Y71,Y73,Y119:Y123,Y148,Y154,Y160,Y169,Y171,Y183,Y190,Y193:Y194,Y201,Y203,Y205,Y209:Y211,Y213:Y215,Y220,Y226:Y227,Y229:Y231,Y239,Y244)</f>
        <v>455.03199999999998</v>
      </c>
      <c r="Z118" s="111">
        <f t="shared" si="88"/>
        <v>433.64300000000003</v>
      </c>
      <c r="AA118" s="111">
        <f t="shared" si="87"/>
        <v>417.75700000000001</v>
      </c>
      <c r="AB118" s="111">
        <f t="shared" si="87"/>
        <v>383.44</v>
      </c>
      <c r="AC118" s="111">
        <f t="shared" ref="AC118:AD118" si="89">SUM(AC22,AC28,AC31:AC32,AC66,AC68:AC69,AC71,AC73,AC119:AC123,AC155,AC161,AC167,AC176,AC178,AC190,AC197,AC200:AC201,AC208,AC210,AC212,AC216:AC218,AC220:AC222,AC227,AC233:AC234,AC236:AC238,AC246,AC251)</f>
        <v>373.64</v>
      </c>
      <c r="AD118" s="111">
        <f t="shared" si="89"/>
        <v>373.64</v>
      </c>
      <c r="AE118" s="111">
        <f>SUM(AE22,AE28,AE31:AE32,AE66,AE68:AE69,AE71,AE73,AE119:AE123,AE155,AE161,AE167,AE176,AE178,AE190,AE197,AE200:AE201,AE208,AE210,AE212,AE216:AE218,AE220:AE222,AE227,AE233:AE234,AE236:AE238,AE246,AE251)</f>
        <v>242.64</v>
      </c>
      <c r="AF118" s="111">
        <f>SUM(AF22,AF28,AF31:AF32,AF66,AF68:AF69,AF71,AF73,AF119:AF123,AF155,AF161,AF167,AF176,AF178,AF190,AF197,AF200:AF201,AF208,AF210,AF212,AF216:AF218,AF220:AF222,AF227,AF233:AF234,AF236:AF238,AF246,AF251)</f>
        <v>180.64</v>
      </c>
      <c r="AG118" s="112"/>
      <c r="AH118" s="47">
        <f t="shared" si="27"/>
        <v>455.03199999999998</v>
      </c>
      <c r="AI118" s="48">
        <f t="shared" si="28"/>
        <v>42</v>
      </c>
    </row>
    <row r="119" spans="1:35" x14ac:dyDescent="0.25">
      <c r="A119" s="172" t="s">
        <v>118</v>
      </c>
      <c r="B119" s="113">
        <v>-9.1999999999999993</v>
      </c>
      <c r="C119" s="113">
        <v>-11.8</v>
      </c>
      <c r="D119" s="113">
        <v>-9.5</v>
      </c>
      <c r="E119" s="113">
        <v>-7.5</v>
      </c>
      <c r="F119" s="113">
        <v>-10.3</v>
      </c>
      <c r="G119" s="113">
        <v>-8</v>
      </c>
      <c r="H119" s="113">
        <v>-6</v>
      </c>
      <c r="I119" s="113">
        <v>7.9</v>
      </c>
      <c r="J119" s="113">
        <v>26.3</v>
      </c>
      <c r="K119" s="113">
        <v>44.1</v>
      </c>
      <c r="L119" s="113">
        <v>37.9</v>
      </c>
      <c r="M119" s="113">
        <v>42.9</v>
      </c>
      <c r="N119" s="113">
        <v>30.2</v>
      </c>
      <c r="O119" s="113">
        <v>30.2</v>
      </c>
      <c r="P119" s="113">
        <v>23.1</v>
      </c>
      <c r="Q119" s="113">
        <v>21.5</v>
      </c>
      <c r="R119" s="113">
        <v>22.8</v>
      </c>
      <c r="S119" s="113">
        <v>18.2</v>
      </c>
      <c r="T119" s="113">
        <v>14.4</v>
      </c>
      <c r="U119" s="113">
        <v>12.2</v>
      </c>
      <c r="V119" s="113">
        <v>18.899999999999999</v>
      </c>
      <c r="W119" s="113">
        <v>13.6</v>
      </c>
      <c r="X119" s="113">
        <v>34.700000000000003</v>
      </c>
      <c r="Y119" s="113">
        <v>48.1</v>
      </c>
      <c r="Z119" s="113">
        <v>49.8</v>
      </c>
      <c r="AA119" s="113">
        <v>39.799999999999997</v>
      </c>
      <c r="AB119" s="113">
        <v>39.4</v>
      </c>
      <c r="AC119" s="113">
        <v>38</v>
      </c>
      <c r="AD119" s="113">
        <v>38</v>
      </c>
      <c r="AE119" s="113">
        <v>26</v>
      </c>
      <c r="AF119" s="113">
        <v>11</v>
      </c>
      <c r="AG119" s="114">
        <v>75</v>
      </c>
      <c r="AH119" s="47">
        <f t="shared" si="27"/>
        <v>49.8</v>
      </c>
      <c r="AI119" s="48">
        <f t="shared" si="28"/>
        <v>-11.8</v>
      </c>
    </row>
    <row r="120" spans="1:35" x14ac:dyDescent="0.25">
      <c r="A120" s="173" t="s">
        <v>119</v>
      </c>
      <c r="B120" s="115">
        <v>-14.2</v>
      </c>
      <c r="C120" s="115">
        <v>-15.8</v>
      </c>
      <c r="D120" s="115">
        <v>-13.8</v>
      </c>
      <c r="E120" s="115">
        <v>-10.6</v>
      </c>
      <c r="F120" s="115">
        <v>-15</v>
      </c>
      <c r="G120" s="115">
        <v>-14.3</v>
      </c>
      <c r="H120" s="115">
        <v>-12</v>
      </c>
      <c r="I120" s="115">
        <v>6.9</v>
      </c>
      <c r="J120" s="115">
        <v>32.799999999999997</v>
      </c>
      <c r="K120" s="115">
        <v>60.4</v>
      </c>
      <c r="L120" s="115">
        <v>48.8</v>
      </c>
      <c r="M120" s="115">
        <v>56.1</v>
      </c>
      <c r="N120" s="115">
        <v>44</v>
      </c>
      <c r="O120" s="115">
        <v>44</v>
      </c>
      <c r="P120" s="115">
        <v>28</v>
      </c>
      <c r="Q120" s="115">
        <v>26.4</v>
      </c>
      <c r="R120" s="115">
        <v>29.1</v>
      </c>
      <c r="S120" s="115">
        <v>22.2</v>
      </c>
      <c r="T120" s="115">
        <v>16.8</v>
      </c>
      <c r="U120" s="115">
        <v>12.1</v>
      </c>
      <c r="V120" s="115">
        <v>26.8</v>
      </c>
      <c r="W120" s="115">
        <v>19</v>
      </c>
      <c r="X120" s="115">
        <v>45.6</v>
      </c>
      <c r="Y120" s="115">
        <v>65.8</v>
      </c>
      <c r="Z120" s="115">
        <v>68.3</v>
      </c>
      <c r="AA120" s="115">
        <v>54.4</v>
      </c>
      <c r="AB120" s="115">
        <v>53</v>
      </c>
      <c r="AC120" s="115">
        <v>51</v>
      </c>
      <c r="AD120" s="115">
        <v>51</v>
      </c>
      <c r="AE120" s="115">
        <v>37</v>
      </c>
      <c r="AF120" s="115">
        <v>17</v>
      </c>
      <c r="AG120" s="114">
        <v>240</v>
      </c>
      <c r="AH120" s="47">
        <f t="shared" si="27"/>
        <v>68.3</v>
      </c>
      <c r="AI120" s="48">
        <f t="shared" si="28"/>
        <v>-15.8</v>
      </c>
    </row>
    <row r="121" spans="1:35" x14ac:dyDescent="0.25">
      <c r="A121" s="173" t="s">
        <v>120</v>
      </c>
      <c r="B121" s="115">
        <f>-4.8-5.6</f>
        <v>-10.399999999999999</v>
      </c>
      <c r="C121" s="115">
        <f>-15.2-17.9</f>
        <v>-33.099999999999994</v>
      </c>
      <c r="D121" s="115">
        <f>-15.2+17.6</f>
        <v>2.4000000000000021</v>
      </c>
      <c r="E121" s="115">
        <f>-16-19</f>
        <v>-35</v>
      </c>
      <c r="F121" s="115">
        <f>-15-17</f>
        <v>-32</v>
      </c>
      <c r="G121" s="115">
        <f>-2.9-3.6</f>
        <v>-6.5</v>
      </c>
      <c r="H121" s="115">
        <v>-1.2</v>
      </c>
      <c r="I121" s="115">
        <f>2.6+3.3</f>
        <v>5.9</v>
      </c>
      <c r="J121" s="115">
        <f>8.8+9.2</f>
        <v>18</v>
      </c>
      <c r="K121" s="115">
        <f>13.6+15.6</f>
        <v>29.2</v>
      </c>
      <c r="L121" s="115">
        <f>22+26</f>
        <v>48</v>
      </c>
      <c r="M121" s="115">
        <v>40</v>
      </c>
      <c r="N121" s="115">
        <v>37</v>
      </c>
      <c r="O121" s="115">
        <v>37</v>
      </c>
      <c r="P121" s="115">
        <v>23</v>
      </c>
      <c r="Q121" s="115">
        <v>20</v>
      </c>
      <c r="R121" s="115">
        <v>12</v>
      </c>
      <c r="S121" s="115">
        <v>14.3</v>
      </c>
      <c r="T121" s="115">
        <v>17.899999999999999</v>
      </c>
      <c r="U121" s="115">
        <v>25</v>
      </c>
      <c r="V121" s="115">
        <v>37</v>
      </c>
      <c r="W121" s="115">
        <v>40</v>
      </c>
      <c r="X121" s="115">
        <v>56</v>
      </c>
      <c r="Y121" s="115">
        <v>50</v>
      </c>
      <c r="Z121" s="115">
        <v>42</v>
      </c>
      <c r="AA121" s="115">
        <v>48.4</v>
      </c>
      <c r="AB121" s="115">
        <v>33</v>
      </c>
      <c r="AC121" s="115">
        <v>33</v>
      </c>
      <c r="AD121" s="115">
        <v>33</v>
      </c>
      <c r="AE121" s="115">
        <v>-10</v>
      </c>
      <c r="AF121" s="115">
        <v>-25</v>
      </c>
      <c r="AG121" s="114">
        <v>240</v>
      </c>
      <c r="AH121" s="47">
        <f t="shared" si="27"/>
        <v>56</v>
      </c>
      <c r="AI121" s="48">
        <f t="shared" si="28"/>
        <v>-35</v>
      </c>
    </row>
    <row r="122" spans="1:35" ht="15.75" thickBot="1" x14ac:dyDescent="0.3">
      <c r="A122" s="173" t="s">
        <v>121</v>
      </c>
      <c r="B122" s="115">
        <v>-8.6</v>
      </c>
      <c r="C122" s="115">
        <v>-12</v>
      </c>
      <c r="D122" s="115">
        <v>-13.1</v>
      </c>
      <c r="E122" s="115">
        <v>-12.6</v>
      </c>
      <c r="F122" s="115">
        <v>-12.2</v>
      </c>
      <c r="G122" s="115">
        <v>-9.1999999999999993</v>
      </c>
      <c r="H122" s="115">
        <v>-4.5</v>
      </c>
      <c r="I122" s="115">
        <v>0</v>
      </c>
      <c r="J122" s="115">
        <v>3.8</v>
      </c>
      <c r="K122" s="115">
        <v>17.5</v>
      </c>
      <c r="L122" s="115">
        <v>25.1</v>
      </c>
      <c r="M122" s="115">
        <v>24</v>
      </c>
      <c r="N122" s="115">
        <v>19</v>
      </c>
      <c r="O122" s="115">
        <v>19</v>
      </c>
      <c r="P122" s="115">
        <v>7</v>
      </c>
      <c r="Q122" s="115">
        <v>7</v>
      </c>
      <c r="R122" s="115">
        <v>7</v>
      </c>
      <c r="S122" s="115">
        <v>5.9</v>
      </c>
      <c r="T122" s="115">
        <v>4.4000000000000004</v>
      </c>
      <c r="U122" s="115">
        <v>4.3</v>
      </c>
      <c r="V122" s="115">
        <v>17.3</v>
      </c>
      <c r="W122" s="115">
        <v>19.7</v>
      </c>
      <c r="X122" s="115">
        <v>23.7</v>
      </c>
      <c r="Y122" s="115">
        <v>35.700000000000003</v>
      </c>
      <c r="Z122" s="115">
        <v>29.3</v>
      </c>
      <c r="AA122" s="115">
        <v>28.7</v>
      </c>
      <c r="AB122" s="115">
        <v>24</v>
      </c>
      <c r="AC122" s="115">
        <v>24</v>
      </c>
      <c r="AD122" s="115">
        <v>24</v>
      </c>
      <c r="AE122" s="115">
        <v>2</v>
      </c>
      <c r="AF122" s="115">
        <v>0</v>
      </c>
      <c r="AG122" s="114">
        <v>60</v>
      </c>
      <c r="AH122" s="47">
        <f t="shared" si="27"/>
        <v>35.700000000000003</v>
      </c>
      <c r="AI122" s="48">
        <f t="shared" si="28"/>
        <v>-13.1</v>
      </c>
    </row>
    <row r="123" spans="1:35" x14ac:dyDescent="0.25">
      <c r="A123" s="172" t="s">
        <v>259</v>
      </c>
      <c r="B123" s="117">
        <f>68.9*1.6</f>
        <v>110.24000000000001</v>
      </c>
      <c r="C123" s="117">
        <f>77.4*1.6</f>
        <v>123.84000000000002</v>
      </c>
      <c r="D123" s="117">
        <f>73.8*1.6</f>
        <v>118.08</v>
      </c>
      <c r="E123" s="117">
        <f>70*1.64</f>
        <v>114.8</v>
      </c>
      <c r="F123" s="117">
        <f>78*1.64</f>
        <v>127.91999999999999</v>
      </c>
      <c r="G123" s="117">
        <f>72*1.64</f>
        <v>118.08</v>
      </c>
      <c r="H123" s="117">
        <f>82*1.64</f>
        <v>134.47999999999999</v>
      </c>
      <c r="I123" s="117">
        <f>84*1.64</f>
        <v>137.76</v>
      </c>
      <c r="J123" s="117">
        <f>81*1.64</f>
        <v>132.84</v>
      </c>
      <c r="K123" s="117">
        <f>68*1.641</f>
        <v>111.58799999999999</v>
      </c>
      <c r="L123" s="117">
        <f>90*1.64</f>
        <v>147.6</v>
      </c>
      <c r="M123" s="117">
        <v>140</v>
      </c>
      <c r="N123" s="117">
        <v>145</v>
      </c>
      <c r="O123" s="117">
        <v>145</v>
      </c>
      <c r="P123" s="117">
        <v>135</v>
      </c>
      <c r="Q123" s="117">
        <v>130</v>
      </c>
      <c r="R123" s="117">
        <v>120</v>
      </c>
      <c r="S123" s="117">
        <f>1.64*83.7</f>
        <v>137.268</v>
      </c>
      <c r="T123" s="117">
        <f>93.8*1.67</f>
        <v>156.64599999999999</v>
      </c>
      <c r="U123" s="117">
        <f>106*1.67</f>
        <v>177.01999999999998</v>
      </c>
      <c r="V123" s="117">
        <f>80.5*1.67</f>
        <v>134.435</v>
      </c>
      <c r="W123" s="117">
        <f>89.2*1.67</f>
        <v>148.964</v>
      </c>
      <c r="X123" s="117">
        <f>100.4*1.67</f>
        <v>167.66800000000001</v>
      </c>
      <c r="Y123" s="117">
        <f>99.6*1.67</f>
        <v>166.33199999999999</v>
      </c>
      <c r="Z123" s="117">
        <f>92.9*1.67</f>
        <v>155.143</v>
      </c>
      <c r="AA123" s="117">
        <f>95.1*1.67</f>
        <v>158.81699999999998</v>
      </c>
      <c r="AB123" s="117">
        <f>91.5*1.6</f>
        <v>146.4</v>
      </c>
      <c r="AC123" s="117">
        <v>140</v>
      </c>
      <c r="AD123" s="117">
        <v>140</v>
      </c>
      <c r="AE123" s="117">
        <v>100</v>
      </c>
      <c r="AF123" s="117">
        <v>90</v>
      </c>
      <c r="AG123" s="118">
        <v>120</v>
      </c>
      <c r="AH123" s="47">
        <f t="shared" si="27"/>
        <v>177.01999999999998</v>
      </c>
      <c r="AI123" s="48">
        <f t="shared" si="28"/>
        <v>90</v>
      </c>
    </row>
    <row r="124" spans="1:35" x14ac:dyDescent="0.25">
      <c r="A124" s="173" t="s">
        <v>258</v>
      </c>
      <c r="B124" s="117">
        <v>81.599999999999994</v>
      </c>
      <c r="C124" s="117">
        <v>89.5</v>
      </c>
      <c r="D124" s="117">
        <v>86.5</v>
      </c>
      <c r="E124" s="117">
        <v>82.1</v>
      </c>
      <c r="F124" s="117">
        <v>88.9</v>
      </c>
      <c r="G124" s="117">
        <v>83.8</v>
      </c>
      <c r="H124" s="117">
        <v>91.1</v>
      </c>
      <c r="I124" s="117">
        <v>92.98</v>
      </c>
      <c r="J124" s="117">
        <v>91</v>
      </c>
      <c r="K124" s="117">
        <v>79</v>
      </c>
      <c r="L124" s="117">
        <v>97.2</v>
      </c>
      <c r="M124" s="117">
        <v>92</v>
      </c>
      <c r="N124" s="117">
        <v>93</v>
      </c>
      <c r="O124" s="117">
        <v>93</v>
      </c>
      <c r="P124" s="117">
        <v>95</v>
      </c>
      <c r="Q124" s="117">
        <v>96</v>
      </c>
      <c r="R124" s="117">
        <v>89</v>
      </c>
      <c r="S124" s="117">
        <v>90.6</v>
      </c>
      <c r="T124" s="117">
        <v>100.4</v>
      </c>
      <c r="U124" s="117">
        <v>111</v>
      </c>
      <c r="V124" s="117">
        <v>90</v>
      </c>
      <c r="W124" s="117">
        <v>96.2</v>
      </c>
      <c r="X124" s="117">
        <v>104.2</v>
      </c>
      <c r="Y124" s="117">
        <v>104.1</v>
      </c>
      <c r="Z124" s="117">
        <v>99.2</v>
      </c>
      <c r="AA124" s="117">
        <v>101.2</v>
      </c>
      <c r="AB124" s="117">
        <v>98</v>
      </c>
      <c r="AC124" s="117">
        <v>97</v>
      </c>
      <c r="AD124" s="117">
        <v>97</v>
      </c>
      <c r="AE124" s="117">
        <v>84</v>
      </c>
      <c r="AF124" s="117">
        <v>72</v>
      </c>
      <c r="AG124" s="118"/>
      <c r="AH124" s="47"/>
      <c r="AI124" s="48"/>
    </row>
    <row r="125" spans="1:35" x14ac:dyDescent="0.25">
      <c r="A125" s="173" t="s">
        <v>255</v>
      </c>
      <c r="B125" s="117">
        <v>53.5</v>
      </c>
      <c r="C125" s="117">
        <v>80</v>
      </c>
      <c r="D125" s="117">
        <v>75.900000000000006</v>
      </c>
      <c r="E125" s="117">
        <v>71.400000000000006</v>
      </c>
      <c r="F125" s="117">
        <v>77</v>
      </c>
      <c r="G125" s="117">
        <v>54.5</v>
      </c>
      <c r="H125" s="117">
        <v>57.9</v>
      </c>
      <c r="I125" s="117">
        <v>42.6</v>
      </c>
      <c r="J125" s="117">
        <v>10.9</v>
      </c>
      <c r="K125" s="117">
        <v>-40</v>
      </c>
      <c r="L125" s="117">
        <v>-29.2</v>
      </c>
      <c r="M125" s="117">
        <v>-34</v>
      </c>
      <c r="N125" s="117">
        <v>-24</v>
      </c>
      <c r="O125" s="117">
        <v>-24</v>
      </c>
      <c r="P125" s="117">
        <v>15</v>
      </c>
      <c r="Q125" s="117">
        <v>22</v>
      </c>
      <c r="R125" s="117">
        <v>28</v>
      </c>
      <c r="S125" s="117">
        <v>20.5</v>
      </c>
      <c r="T125" s="117">
        <v>39.1</v>
      </c>
      <c r="U125" s="117">
        <v>40</v>
      </c>
      <c r="V125" s="117">
        <v>-3.5</v>
      </c>
      <c r="W125" s="117">
        <v>2.2999999999999998</v>
      </c>
      <c r="X125" s="117">
        <v>-36.1</v>
      </c>
      <c r="Y125" s="117">
        <v>-37</v>
      </c>
      <c r="Z125" s="117">
        <v>-41.1</v>
      </c>
      <c r="AA125" s="117">
        <v>-29.5</v>
      </c>
      <c r="AB125" s="117">
        <v>-23.4</v>
      </c>
      <c r="AC125" s="117">
        <v>-20</v>
      </c>
      <c r="AD125" s="117">
        <v>-20</v>
      </c>
      <c r="AE125" s="117">
        <v>20</v>
      </c>
      <c r="AF125" s="117">
        <v>40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75.2</v>
      </c>
      <c r="C126" s="117">
        <v>114.5</v>
      </c>
      <c r="D126" s="117">
        <v>105.2</v>
      </c>
      <c r="E126" s="117">
        <v>96.2</v>
      </c>
      <c r="F126" s="117">
        <v>105.2</v>
      </c>
      <c r="G126" s="117">
        <v>76.599999999999994</v>
      </c>
      <c r="H126" s="117">
        <v>89</v>
      </c>
      <c r="I126" s="117">
        <v>87.4</v>
      </c>
      <c r="J126" s="117">
        <v>84</v>
      </c>
      <c r="K126" s="117">
        <v>63.6</v>
      </c>
      <c r="L126" s="117">
        <v>79.8</v>
      </c>
      <c r="M126" s="117">
        <v>66.8</v>
      </c>
      <c r="N126" s="117">
        <v>68.7</v>
      </c>
      <c r="O126" s="117">
        <v>68.7</v>
      </c>
      <c r="P126" s="117">
        <v>96</v>
      </c>
      <c r="Q126" s="117">
        <v>87</v>
      </c>
      <c r="R126" s="117">
        <v>85</v>
      </c>
      <c r="S126" s="117">
        <v>82.1</v>
      </c>
      <c r="T126" s="117">
        <v>100.1</v>
      </c>
      <c r="U126" s="117">
        <v>106</v>
      </c>
      <c r="V126" s="117">
        <v>82</v>
      </c>
      <c r="W126" s="117">
        <v>88.6</v>
      </c>
      <c r="X126" s="117">
        <v>84.8</v>
      </c>
      <c r="Y126" s="117">
        <v>82.3</v>
      </c>
      <c r="Z126" s="117">
        <v>74</v>
      </c>
      <c r="AA126" s="117">
        <v>107</v>
      </c>
      <c r="AB126" s="117">
        <v>89</v>
      </c>
      <c r="AC126" s="117">
        <v>90</v>
      </c>
      <c r="AD126" s="117">
        <v>90</v>
      </c>
      <c r="AE126" s="117">
        <v>89</v>
      </c>
      <c r="AF126" s="117">
        <v>90</v>
      </c>
      <c r="AG126" s="114"/>
      <c r="AH126" s="47">
        <f t="shared" si="27"/>
        <v>114.5</v>
      </c>
      <c r="AI126" s="48">
        <f t="shared" si="28"/>
        <v>63.6</v>
      </c>
    </row>
    <row r="127" spans="1:35" x14ac:dyDescent="0.25">
      <c r="A127" s="172" t="s">
        <v>587</v>
      </c>
      <c r="B127" s="106">
        <v>26.7</v>
      </c>
      <c r="C127" s="117">
        <v>26.1</v>
      </c>
      <c r="D127" s="117">
        <v>24.7</v>
      </c>
      <c r="E127" s="117">
        <v>22.5</v>
      </c>
      <c r="F127" s="117">
        <v>25.9</v>
      </c>
      <c r="G127" s="117">
        <v>29.5</v>
      </c>
      <c r="H127" s="117">
        <v>29.6</v>
      </c>
      <c r="I127" s="117">
        <v>20.7</v>
      </c>
      <c r="J127" s="117">
        <v>0</v>
      </c>
      <c r="K127" s="117">
        <v>-8.3000000000000007</v>
      </c>
      <c r="L127" s="117">
        <v>-3.8</v>
      </c>
      <c r="M127" s="117">
        <v>-9</v>
      </c>
      <c r="N127" s="117">
        <v>-4</v>
      </c>
      <c r="O127" s="117">
        <v>-4</v>
      </c>
      <c r="P127" s="117">
        <v>3.1</v>
      </c>
      <c r="Q127" s="117">
        <v>6.5</v>
      </c>
      <c r="R127" s="117">
        <v>4.5999999999999996</v>
      </c>
      <c r="S127" s="117">
        <v>9.1999999999999993</v>
      </c>
      <c r="T127" s="117">
        <v>9.9</v>
      </c>
      <c r="U127" s="117">
        <v>6.4</v>
      </c>
      <c r="V127" s="117">
        <v>1.7</v>
      </c>
      <c r="W127" s="117">
        <v>6.7</v>
      </c>
      <c r="X127" s="117">
        <v>-3.8</v>
      </c>
      <c r="Y127" s="117">
        <v>-12.1</v>
      </c>
      <c r="Z127" s="117">
        <v>-10.8</v>
      </c>
      <c r="AA127" s="117">
        <v>2.2000000000000002</v>
      </c>
      <c r="AB127" s="117">
        <v>-5.3</v>
      </c>
      <c r="AC127" s="117">
        <v>-3</v>
      </c>
      <c r="AD127" s="117">
        <v>-3</v>
      </c>
      <c r="AE127" s="117">
        <v>0</v>
      </c>
      <c r="AF127" s="117">
        <v>0</v>
      </c>
      <c r="AG127" s="114"/>
      <c r="AH127" s="47">
        <f t="shared" si="27"/>
        <v>29.6</v>
      </c>
      <c r="AI127" s="48">
        <f t="shared" si="28"/>
        <v>-12.1</v>
      </c>
    </row>
    <row r="128" spans="1:35" x14ac:dyDescent="0.25">
      <c r="A128" s="173" t="s">
        <v>123</v>
      </c>
      <c r="B128" s="106">
        <v>7.8</v>
      </c>
      <c r="C128" s="106">
        <v>-6.7</v>
      </c>
      <c r="D128" s="106">
        <v>-4.7</v>
      </c>
      <c r="E128" s="106">
        <v>-3.1</v>
      </c>
      <c r="F128" s="106">
        <v>-4.7</v>
      </c>
      <c r="G128" s="106">
        <v>-7.6</v>
      </c>
      <c r="H128" s="106">
        <v>-12.9</v>
      </c>
      <c r="I128" s="106">
        <v>-19.600000000000001</v>
      </c>
      <c r="J128" s="106">
        <v>-28.8</v>
      </c>
      <c r="K128" s="106">
        <v>-35.5</v>
      </c>
      <c r="L128" s="106">
        <v>-40.5</v>
      </c>
      <c r="M128" s="106">
        <v>-40.799999999999997</v>
      </c>
      <c r="N128" s="106">
        <v>-28.2</v>
      </c>
      <c r="O128" s="106">
        <v>-28.2</v>
      </c>
      <c r="P128" s="106">
        <v>-23.5</v>
      </c>
      <c r="Q128" s="106">
        <v>-19</v>
      </c>
      <c r="R128" s="106">
        <v>-16</v>
      </c>
      <c r="S128" s="106">
        <v>-23.2</v>
      </c>
      <c r="T128" s="106">
        <v>-16.899999999999999</v>
      </c>
      <c r="U128" s="106">
        <v>-27.4</v>
      </c>
      <c r="V128" s="106">
        <v>-32.4</v>
      </c>
      <c r="W128" s="106">
        <v>-34.6</v>
      </c>
      <c r="X128" s="106">
        <v>-53.3</v>
      </c>
      <c r="Y128" s="106">
        <v>-49.8</v>
      </c>
      <c r="Z128" s="106">
        <v>-41.8</v>
      </c>
      <c r="AA128" s="106">
        <v>-38.200000000000003</v>
      </c>
      <c r="AB128" s="106">
        <v>-28.1</v>
      </c>
      <c r="AC128" s="106">
        <v>-25</v>
      </c>
      <c r="AD128" s="106">
        <v>-25</v>
      </c>
      <c r="AE128" s="106">
        <v>-12</v>
      </c>
      <c r="AF128" s="106">
        <v>-7</v>
      </c>
      <c r="AG128" s="114"/>
      <c r="AH128" s="47">
        <f t="shared" si="27"/>
        <v>7.8</v>
      </c>
      <c r="AI128" s="48">
        <f t="shared" si="28"/>
        <v>-53.3</v>
      </c>
    </row>
    <row r="129" spans="1:37" x14ac:dyDescent="0.25">
      <c r="A129" s="173" t="s">
        <v>260</v>
      </c>
      <c r="B129" s="106">
        <v>26.2</v>
      </c>
      <c r="C129" s="106">
        <v>25.5</v>
      </c>
      <c r="D129" s="106">
        <v>25.2</v>
      </c>
      <c r="E129" s="106">
        <v>26.2</v>
      </c>
      <c r="F129" s="106">
        <v>23.6</v>
      </c>
      <c r="G129" s="106">
        <v>23.6</v>
      </c>
      <c r="H129" s="106">
        <v>25.5</v>
      </c>
      <c r="I129" s="106">
        <v>24.9</v>
      </c>
      <c r="J129" s="106">
        <v>26.2</v>
      </c>
      <c r="K129" s="106">
        <v>10</v>
      </c>
      <c r="L129" s="106">
        <v>10.3</v>
      </c>
      <c r="M129" s="106">
        <v>11.3</v>
      </c>
      <c r="N129" s="106">
        <v>10.9</v>
      </c>
      <c r="O129" s="106">
        <v>10.9</v>
      </c>
      <c r="P129" s="106">
        <v>24.2</v>
      </c>
      <c r="Q129" s="106">
        <v>25.5</v>
      </c>
      <c r="R129" s="106">
        <v>27.5</v>
      </c>
      <c r="S129" s="106">
        <v>28.2</v>
      </c>
      <c r="T129" s="106">
        <v>30.2</v>
      </c>
      <c r="U129" s="106">
        <v>30.6</v>
      </c>
      <c r="V129" s="106">
        <v>11.6</v>
      </c>
      <c r="W129" s="106">
        <v>10.3</v>
      </c>
      <c r="X129" s="106">
        <v>12.6</v>
      </c>
      <c r="Y129" s="106">
        <v>13.1</v>
      </c>
      <c r="Z129" s="106">
        <v>12.2</v>
      </c>
      <c r="AA129" s="106">
        <v>12.1</v>
      </c>
      <c r="AB129" s="106">
        <v>10.6</v>
      </c>
      <c r="AC129" s="106">
        <v>10</v>
      </c>
      <c r="AD129" s="106">
        <v>10</v>
      </c>
      <c r="AE129" s="106">
        <v>16</v>
      </c>
      <c r="AF129" s="106">
        <v>27</v>
      </c>
      <c r="AG129" s="114"/>
      <c r="AH129" s="47">
        <f t="shared" si="27"/>
        <v>30.6</v>
      </c>
      <c r="AI129" s="48">
        <f t="shared" si="28"/>
        <v>10</v>
      </c>
    </row>
    <row r="130" spans="1:37" ht="15.75" thickBot="1" x14ac:dyDescent="0.3">
      <c r="A130" s="173" t="s">
        <v>257</v>
      </c>
      <c r="B130" s="106">
        <v>96.3</v>
      </c>
      <c r="C130" s="106">
        <v>91.1</v>
      </c>
      <c r="D130" s="106">
        <v>86.5</v>
      </c>
      <c r="E130" s="106">
        <v>84.5</v>
      </c>
      <c r="F130" s="106">
        <v>92.3</v>
      </c>
      <c r="G130" s="106">
        <v>86.6</v>
      </c>
      <c r="H130" s="106">
        <v>98.4</v>
      </c>
      <c r="I130" s="106">
        <v>95.3</v>
      </c>
      <c r="J130" s="106">
        <v>109.1</v>
      </c>
      <c r="K130" s="106">
        <v>97.6</v>
      </c>
      <c r="L130" s="106">
        <v>78.7</v>
      </c>
      <c r="M130" s="106">
        <v>75</v>
      </c>
      <c r="N130" s="106">
        <v>62.5</v>
      </c>
      <c r="O130" s="106">
        <v>62.5</v>
      </c>
      <c r="P130" s="106">
        <v>113</v>
      </c>
      <c r="Q130" s="106">
        <v>100</v>
      </c>
      <c r="R130" s="106">
        <v>105</v>
      </c>
      <c r="S130" s="106">
        <v>101.3</v>
      </c>
      <c r="T130" s="106">
        <v>96.7</v>
      </c>
      <c r="U130" s="106">
        <v>110</v>
      </c>
      <c r="V130" s="106">
        <v>91.8</v>
      </c>
      <c r="W130" s="106">
        <v>94.5</v>
      </c>
      <c r="X130" s="106">
        <v>115.1</v>
      </c>
      <c r="Y130" s="106">
        <v>118.3</v>
      </c>
      <c r="Z130" s="106">
        <v>105</v>
      </c>
      <c r="AA130" s="106">
        <v>104.2</v>
      </c>
      <c r="AB130" s="106">
        <v>108.3</v>
      </c>
      <c r="AC130" s="106">
        <v>115</v>
      </c>
      <c r="AD130" s="106">
        <v>115</v>
      </c>
      <c r="AE130" s="106">
        <v>105</v>
      </c>
      <c r="AF130" s="106">
        <v>99</v>
      </c>
      <c r="AG130" s="114"/>
      <c r="AH130" s="47">
        <f t="shared" si="27"/>
        <v>118.3</v>
      </c>
      <c r="AI130" s="48">
        <f t="shared" si="28"/>
        <v>62.5</v>
      </c>
    </row>
    <row r="131" spans="1:37" x14ac:dyDescent="0.25">
      <c r="A131" s="144" t="s">
        <v>237</v>
      </c>
      <c r="B131" s="146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06">
        <v>1984.32</v>
      </c>
      <c r="C132" s="106">
        <v>1984.52</v>
      </c>
      <c r="D132" s="106">
        <v>1984.77</v>
      </c>
      <c r="E132" s="106">
        <v>1985</v>
      </c>
      <c r="F132" s="106">
        <v>1985.2</v>
      </c>
      <c r="G132" s="106">
        <v>1985.45</v>
      </c>
      <c r="H132" s="106"/>
      <c r="I132" s="106">
        <v>1985.62</v>
      </c>
      <c r="J132" s="106"/>
      <c r="K132" s="106">
        <v>1985.85</v>
      </c>
      <c r="L132" s="106"/>
      <c r="M132" s="106">
        <v>1985.45</v>
      </c>
      <c r="N132" s="106">
        <v>1985.22</v>
      </c>
      <c r="O132" s="106">
        <v>1985.42</v>
      </c>
      <c r="P132" s="106">
        <v>1985.63</v>
      </c>
      <c r="Q132" s="106">
        <v>1985.83</v>
      </c>
      <c r="R132" s="106">
        <v>1985.94</v>
      </c>
      <c r="S132" s="147">
        <v>1986.05</v>
      </c>
      <c r="T132" s="147">
        <v>1986.12</v>
      </c>
      <c r="U132" s="147">
        <v>1986.12</v>
      </c>
      <c r="V132" s="147">
        <v>1986.12</v>
      </c>
      <c r="W132" s="147"/>
      <c r="X132" s="147">
        <v>1986.1</v>
      </c>
      <c r="Y132" s="147"/>
      <c r="Z132" s="147">
        <v>1985.57</v>
      </c>
      <c r="AA132" s="147"/>
      <c r="AB132" s="147">
        <v>1984.8</v>
      </c>
      <c r="AC132" s="147">
        <v>1984.52</v>
      </c>
      <c r="AD132" s="147">
        <v>1984.51</v>
      </c>
      <c r="AE132" s="147">
        <v>1984.55</v>
      </c>
      <c r="AF132" s="148">
        <v>1984.63</v>
      </c>
      <c r="AG132" s="149"/>
      <c r="AH132" s="47"/>
      <c r="AI132" s="48"/>
    </row>
    <row r="133" spans="1:37" x14ac:dyDescent="0.25">
      <c r="A133" s="185" t="s">
        <v>238</v>
      </c>
      <c r="B133" s="106">
        <v>520.61</v>
      </c>
      <c r="C133" s="106">
        <v>520.98</v>
      </c>
      <c r="D133" s="106">
        <v>521.32000000000005</v>
      </c>
      <c r="E133" s="106">
        <v>521.66</v>
      </c>
      <c r="F133" s="106">
        <v>521.98</v>
      </c>
      <c r="G133" s="106">
        <v>522.29999999999995</v>
      </c>
      <c r="H133" s="106"/>
      <c r="I133" s="106">
        <v>522.54999999999995</v>
      </c>
      <c r="J133" s="106"/>
      <c r="K133" s="106">
        <v>522.5</v>
      </c>
      <c r="L133" s="106"/>
      <c r="M133" s="106">
        <v>522.23</v>
      </c>
      <c r="N133" s="106">
        <v>522</v>
      </c>
      <c r="O133" s="106">
        <v>521.94000000000005</v>
      </c>
      <c r="P133" s="106">
        <v>521.87</v>
      </c>
      <c r="Q133" s="106">
        <v>521.79</v>
      </c>
      <c r="R133" s="106">
        <v>521.74</v>
      </c>
      <c r="S133" s="150">
        <v>521.76</v>
      </c>
      <c r="T133" s="150">
        <v>521.82000000000005</v>
      </c>
      <c r="U133" s="150">
        <v>521.91999999999996</v>
      </c>
      <c r="V133" s="150">
        <v>521.98</v>
      </c>
      <c r="W133" s="150"/>
      <c r="X133" s="150">
        <v>522.1</v>
      </c>
      <c r="Y133" s="150"/>
      <c r="Z133" s="150">
        <v>521.74</v>
      </c>
      <c r="AA133" s="150"/>
      <c r="AB133" s="150">
        <v>521.28</v>
      </c>
      <c r="AC133" s="150"/>
      <c r="AD133" s="150">
        <v>521.02</v>
      </c>
      <c r="AE133" s="150"/>
      <c r="AF133" s="151">
        <v>521.27</v>
      </c>
      <c r="AG133" s="149"/>
      <c r="AH133" s="47"/>
      <c r="AI133" s="48"/>
    </row>
    <row r="134" spans="1:37" x14ac:dyDescent="0.25">
      <c r="A134" s="185" t="s">
        <v>239</v>
      </c>
      <c r="B134" s="106">
        <v>623.28</v>
      </c>
      <c r="C134" s="106">
        <v>623.51</v>
      </c>
      <c r="D134" s="106">
        <v>623.92999999999995</v>
      </c>
      <c r="E134" s="106">
        <v>624.19000000000005</v>
      </c>
      <c r="F134" s="106">
        <v>624.66</v>
      </c>
      <c r="G134" s="106">
        <v>624.9</v>
      </c>
      <c r="H134" s="106"/>
      <c r="I134" s="106">
        <v>625.04999999999995</v>
      </c>
      <c r="J134" s="106"/>
      <c r="K134" s="106">
        <v>624.83000000000004</v>
      </c>
      <c r="L134" s="106"/>
      <c r="M134" s="106">
        <v>624.44000000000005</v>
      </c>
      <c r="N134" s="106">
        <v>324.32</v>
      </c>
      <c r="O134" s="106">
        <v>624.05999999999995</v>
      </c>
      <c r="P134" s="106">
        <v>623.79</v>
      </c>
      <c r="Q134" s="106">
        <v>623.51</v>
      </c>
      <c r="R134" s="106">
        <v>623.46</v>
      </c>
      <c r="S134" s="150">
        <v>623.41</v>
      </c>
      <c r="T134" s="150">
        <v>623.41</v>
      </c>
      <c r="U134" s="150">
        <v>623.48</v>
      </c>
      <c r="V134" s="150">
        <v>623.44000000000005</v>
      </c>
      <c r="W134" s="150"/>
      <c r="X134" s="150">
        <v>623.5</v>
      </c>
      <c r="Y134" s="150"/>
      <c r="Z134" s="150">
        <v>622.86</v>
      </c>
      <c r="AA134" s="150"/>
      <c r="AB134" s="150">
        <v>622.55999999999995</v>
      </c>
      <c r="AC134" s="150"/>
      <c r="AD134" s="150">
        <v>622.51</v>
      </c>
      <c r="AE134" s="150">
        <v>622.38</v>
      </c>
      <c r="AF134" s="151"/>
      <c r="AG134" s="149"/>
      <c r="AH134" s="47"/>
      <c r="AI134" s="48"/>
    </row>
    <row r="135" spans="1:37" x14ac:dyDescent="0.25">
      <c r="A135" s="185" t="s">
        <v>240</v>
      </c>
      <c r="B135" s="106">
        <v>335.68</v>
      </c>
      <c r="C135" s="106">
        <v>336.21</v>
      </c>
      <c r="D135" s="106">
        <v>336.58</v>
      </c>
      <c r="E135" s="106">
        <v>336.84</v>
      </c>
      <c r="F135" s="106">
        <v>337.06</v>
      </c>
      <c r="G135" s="106">
        <v>337.16</v>
      </c>
      <c r="H135" s="106"/>
      <c r="I135" s="106">
        <v>337.08</v>
      </c>
      <c r="J135" s="106"/>
      <c r="K135" s="106">
        <v>336.9</v>
      </c>
      <c r="L135" s="106"/>
      <c r="M135" s="106">
        <v>336.42</v>
      </c>
      <c r="N135" s="106">
        <v>335.94</v>
      </c>
      <c r="O135" s="106">
        <v>335.64</v>
      </c>
      <c r="P135" s="106">
        <v>335.52</v>
      </c>
      <c r="Q135" s="106">
        <v>335.41</v>
      </c>
      <c r="R135" s="106">
        <v>335.41</v>
      </c>
      <c r="S135" s="150">
        <v>335.67</v>
      </c>
      <c r="T135" s="150">
        <v>335.97</v>
      </c>
      <c r="U135" s="150">
        <v>336.21</v>
      </c>
      <c r="V135" s="150">
        <v>336.44</v>
      </c>
      <c r="W135" s="150"/>
      <c r="X135" s="150">
        <v>336.64</v>
      </c>
      <c r="Y135" s="150"/>
      <c r="Z135" s="150">
        <v>336.48</v>
      </c>
      <c r="AA135" s="150"/>
      <c r="AB135" s="150">
        <v>336.22</v>
      </c>
      <c r="AC135" s="150"/>
      <c r="AD135" s="150">
        <v>335.94</v>
      </c>
      <c r="AE135" s="150"/>
      <c r="AF135" s="151">
        <v>335.53</v>
      </c>
      <c r="AG135" s="149"/>
      <c r="AH135" s="47"/>
      <c r="AI135" s="48"/>
    </row>
    <row r="136" spans="1:37" x14ac:dyDescent="0.25">
      <c r="A136" s="185" t="s">
        <v>384</v>
      </c>
      <c r="B136" s="106">
        <v>883.5</v>
      </c>
      <c r="C136" s="106">
        <v>884</v>
      </c>
      <c r="D136" s="106">
        <v>884.6</v>
      </c>
      <c r="E136" s="106">
        <v>885.2</v>
      </c>
      <c r="F136" s="106">
        <v>885.8</v>
      </c>
      <c r="G136" s="106">
        <v>886.3</v>
      </c>
      <c r="H136" s="106"/>
      <c r="I136" s="106">
        <v>886.3</v>
      </c>
      <c r="J136" s="106"/>
      <c r="K136" s="106">
        <v>886.2</v>
      </c>
      <c r="L136" s="106"/>
      <c r="M136" s="106">
        <v>885.6</v>
      </c>
      <c r="N136" s="106"/>
      <c r="O136" s="106"/>
      <c r="P136" s="106">
        <v>885.4</v>
      </c>
      <c r="Q136" s="106">
        <v>885.4</v>
      </c>
      <c r="R136" s="106"/>
      <c r="S136" s="150">
        <v>884.3</v>
      </c>
      <c r="T136" s="150">
        <v>885.3</v>
      </c>
      <c r="U136" s="150">
        <v>886.1</v>
      </c>
      <c r="V136" s="150">
        <v>886.4</v>
      </c>
      <c r="W136" s="150"/>
      <c r="X136" s="150">
        <v>886.9</v>
      </c>
      <c r="Y136" s="150"/>
      <c r="Z136" s="150">
        <v>886.4</v>
      </c>
      <c r="AA136" s="150"/>
      <c r="AB136" s="150">
        <v>885.2</v>
      </c>
      <c r="AC136" s="150"/>
      <c r="AD136" s="150"/>
      <c r="AE136" s="150"/>
      <c r="AF136" s="151">
        <v>884.4</v>
      </c>
      <c r="AG136" s="149"/>
      <c r="AH136" s="47"/>
      <c r="AI136" s="48"/>
    </row>
    <row r="137" spans="1:37" ht="15.75" thickBot="1" x14ac:dyDescent="0.3">
      <c r="A137" s="185" t="s">
        <v>241</v>
      </c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52">
        <v>1518.99</v>
      </c>
      <c r="T137" s="152"/>
      <c r="U137" s="152"/>
      <c r="V137" s="152"/>
      <c r="W137" s="152"/>
      <c r="X137" s="152"/>
      <c r="Y137" s="152"/>
      <c r="Z137" s="152">
        <v>1518.99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90">SUM(B139:B243)</f>
        <v>0</v>
      </c>
      <c r="C244" s="134">
        <f t="shared" si="90"/>
        <v>0</v>
      </c>
      <c r="D244" s="134">
        <f t="shared" si="90"/>
        <v>0</v>
      </c>
      <c r="E244" s="134">
        <f t="shared" si="90"/>
        <v>0</v>
      </c>
      <c r="F244" s="134">
        <f t="shared" si="90"/>
        <v>0</v>
      </c>
      <c r="G244" s="134">
        <f t="shared" si="90"/>
        <v>0</v>
      </c>
      <c r="H244" s="134">
        <f t="shared" si="90"/>
        <v>0</v>
      </c>
      <c r="I244" s="134">
        <f t="shared" si="90"/>
        <v>0</v>
      </c>
      <c r="J244" s="134">
        <f t="shared" si="90"/>
        <v>0</v>
      </c>
      <c r="K244" s="134">
        <f t="shared" si="90"/>
        <v>0</v>
      </c>
      <c r="L244" s="134">
        <f t="shared" si="90"/>
        <v>0</v>
      </c>
      <c r="M244" s="134">
        <f t="shared" si="90"/>
        <v>0</v>
      </c>
      <c r="N244" s="134">
        <f t="shared" si="90"/>
        <v>0</v>
      </c>
      <c r="O244" s="134">
        <f t="shared" si="90"/>
        <v>0</v>
      </c>
      <c r="P244" s="134">
        <f t="shared" si="90"/>
        <v>0</v>
      </c>
      <c r="Q244" s="134">
        <f t="shared" si="90"/>
        <v>0</v>
      </c>
      <c r="R244" s="134">
        <f t="shared" si="90"/>
        <v>0</v>
      </c>
      <c r="S244" s="134">
        <f t="shared" si="90"/>
        <v>0</v>
      </c>
      <c r="T244" s="134">
        <f t="shared" si="90"/>
        <v>0</v>
      </c>
      <c r="U244" s="134">
        <f t="shared" si="90"/>
        <v>0</v>
      </c>
      <c r="V244" s="134">
        <f t="shared" si="90"/>
        <v>0</v>
      </c>
      <c r="W244" s="134">
        <f t="shared" si="90"/>
        <v>0</v>
      </c>
      <c r="X244" s="134">
        <f t="shared" si="90"/>
        <v>0</v>
      </c>
      <c r="Y244" s="134">
        <f t="shared" si="90"/>
        <v>0</v>
      </c>
      <c r="Z244" s="134">
        <f t="shared" si="90"/>
        <v>0</v>
      </c>
      <c r="AA244" s="134">
        <f t="shared" si="90"/>
        <v>0</v>
      </c>
      <c r="AB244" s="134">
        <f t="shared" si="90"/>
        <v>0</v>
      </c>
      <c r="AC244" s="134">
        <f t="shared" si="90"/>
        <v>0</v>
      </c>
      <c r="AD244" s="134">
        <f t="shared" si="90"/>
        <v>0</v>
      </c>
      <c r="AE244" s="134">
        <f t="shared" si="90"/>
        <v>0</v>
      </c>
      <c r="AF244" s="135">
        <f t="shared" si="90"/>
        <v>0</v>
      </c>
      <c r="AG244" s="136">
        <f t="shared" si="9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91">AF246</f>
        <v>0.3</v>
      </c>
      <c r="C246" s="138">
        <v>0.3</v>
      </c>
      <c r="D246" s="138">
        <f t="shared" ref="D246:S251" si="92">C246</f>
        <v>0.3</v>
      </c>
      <c r="E246" s="138">
        <f t="shared" si="92"/>
        <v>0.3</v>
      </c>
      <c r="F246" s="138">
        <f t="shared" si="92"/>
        <v>0.3</v>
      </c>
      <c r="G246" s="138">
        <f t="shared" si="92"/>
        <v>0.3</v>
      </c>
      <c r="H246" s="138">
        <f t="shared" si="92"/>
        <v>0.3</v>
      </c>
      <c r="I246" s="138">
        <f t="shared" si="92"/>
        <v>0.3</v>
      </c>
      <c r="J246" s="138">
        <f t="shared" si="92"/>
        <v>0.3</v>
      </c>
      <c r="K246" s="138">
        <f t="shared" si="92"/>
        <v>0.3</v>
      </c>
      <c r="L246" s="138">
        <f t="shared" si="92"/>
        <v>0.3</v>
      </c>
      <c r="M246" s="138">
        <f t="shared" si="92"/>
        <v>0.3</v>
      </c>
      <c r="N246" s="138">
        <f t="shared" si="92"/>
        <v>0.3</v>
      </c>
      <c r="O246" s="138">
        <f t="shared" si="92"/>
        <v>0.3</v>
      </c>
      <c r="P246" s="138">
        <f t="shared" si="92"/>
        <v>0.3</v>
      </c>
      <c r="Q246" s="138">
        <f t="shared" si="92"/>
        <v>0.3</v>
      </c>
      <c r="R246" s="138">
        <f t="shared" si="92"/>
        <v>0.3</v>
      </c>
      <c r="S246" s="138">
        <f t="shared" si="92"/>
        <v>0.3</v>
      </c>
      <c r="T246" s="138">
        <f t="shared" ref="T246:AF251" si="93">S246</f>
        <v>0.3</v>
      </c>
      <c r="U246" s="138">
        <f t="shared" si="93"/>
        <v>0.3</v>
      </c>
      <c r="V246" s="138">
        <f t="shared" si="93"/>
        <v>0.3</v>
      </c>
      <c r="W246" s="138">
        <f t="shared" si="93"/>
        <v>0.3</v>
      </c>
      <c r="X246" s="138">
        <f t="shared" si="93"/>
        <v>0.3</v>
      </c>
      <c r="Y246" s="138">
        <f t="shared" si="93"/>
        <v>0.3</v>
      </c>
      <c r="Z246" s="138">
        <f t="shared" si="93"/>
        <v>0.3</v>
      </c>
      <c r="AA246" s="138">
        <f t="shared" si="93"/>
        <v>0.3</v>
      </c>
      <c r="AB246" s="138">
        <f t="shared" si="93"/>
        <v>0.3</v>
      </c>
      <c r="AC246" s="138">
        <f t="shared" si="93"/>
        <v>0.3</v>
      </c>
      <c r="AD246" s="138">
        <f t="shared" si="93"/>
        <v>0.3</v>
      </c>
      <c r="AE246" s="138">
        <f t="shared" si="93"/>
        <v>0.3</v>
      </c>
      <c r="AF246" s="138">
        <f t="shared" si="9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91"/>
        <v>0.4</v>
      </c>
      <c r="C247" s="126">
        <v>0.4</v>
      </c>
      <c r="D247" s="126">
        <f t="shared" si="92"/>
        <v>0.4</v>
      </c>
      <c r="E247" s="126">
        <f t="shared" si="92"/>
        <v>0.4</v>
      </c>
      <c r="F247" s="126">
        <f t="shared" si="92"/>
        <v>0.4</v>
      </c>
      <c r="G247" s="126">
        <f t="shared" si="92"/>
        <v>0.4</v>
      </c>
      <c r="H247" s="126">
        <f t="shared" si="92"/>
        <v>0.4</v>
      </c>
      <c r="I247" s="126">
        <f t="shared" si="92"/>
        <v>0.4</v>
      </c>
      <c r="J247" s="126">
        <f t="shared" si="92"/>
        <v>0.4</v>
      </c>
      <c r="K247" s="126">
        <f t="shared" si="92"/>
        <v>0.4</v>
      </c>
      <c r="L247" s="126">
        <f t="shared" si="92"/>
        <v>0.4</v>
      </c>
      <c r="M247" s="126">
        <f t="shared" si="92"/>
        <v>0.4</v>
      </c>
      <c r="N247" s="126">
        <f t="shared" si="92"/>
        <v>0.4</v>
      </c>
      <c r="O247" s="126">
        <f t="shared" si="92"/>
        <v>0.4</v>
      </c>
      <c r="P247" s="126">
        <f t="shared" si="92"/>
        <v>0.4</v>
      </c>
      <c r="Q247" s="126">
        <f t="shared" si="92"/>
        <v>0.4</v>
      </c>
      <c r="R247" s="126">
        <f t="shared" si="92"/>
        <v>0.4</v>
      </c>
      <c r="S247" s="126">
        <f t="shared" si="92"/>
        <v>0.4</v>
      </c>
      <c r="T247" s="126">
        <f t="shared" si="93"/>
        <v>0.4</v>
      </c>
      <c r="U247" s="126">
        <f t="shared" si="93"/>
        <v>0.4</v>
      </c>
      <c r="V247" s="126">
        <f t="shared" si="93"/>
        <v>0.4</v>
      </c>
      <c r="W247" s="126">
        <f t="shared" si="93"/>
        <v>0.4</v>
      </c>
      <c r="X247" s="126">
        <f t="shared" si="93"/>
        <v>0.4</v>
      </c>
      <c r="Y247" s="126">
        <f t="shared" si="93"/>
        <v>0.4</v>
      </c>
      <c r="Z247" s="126">
        <f t="shared" si="93"/>
        <v>0.4</v>
      </c>
      <c r="AA247" s="126">
        <f t="shared" si="93"/>
        <v>0.4</v>
      </c>
      <c r="AB247" s="126">
        <f t="shared" si="93"/>
        <v>0.4</v>
      </c>
      <c r="AC247" s="126">
        <f t="shared" si="93"/>
        <v>0.4</v>
      </c>
      <c r="AD247" s="126">
        <f t="shared" si="93"/>
        <v>0.4</v>
      </c>
      <c r="AE247" s="126">
        <f t="shared" si="93"/>
        <v>0.4</v>
      </c>
      <c r="AF247" s="126">
        <f t="shared" si="9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91"/>
        <v>1.5</v>
      </c>
      <c r="C248" s="126">
        <v>1.5</v>
      </c>
      <c r="D248" s="126">
        <f t="shared" si="92"/>
        <v>1.5</v>
      </c>
      <c r="E248" s="126">
        <f t="shared" si="92"/>
        <v>1.5</v>
      </c>
      <c r="F248" s="126">
        <f t="shared" si="92"/>
        <v>1.5</v>
      </c>
      <c r="G248" s="126">
        <f t="shared" si="92"/>
        <v>1.5</v>
      </c>
      <c r="H248" s="126">
        <f t="shared" si="92"/>
        <v>1.5</v>
      </c>
      <c r="I248" s="126">
        <f t="shared" si="92"/>
        <v>1.5</v>
      </c>
      <c r="J248" s="126">
        <f t="shared" si="92"/>
        <v>1.5</v>
      </c>
      <c r="K248" s="126">
        <f t="shared" si="92"/>
        <v>1.5</v>
      </c>
      <c r="L248" s="126">
        <f t="shared" si="92"/>
        <v>1.5</v>
      </c>
      <c r="M248" s="126">
        <f t="shared" si="92"/>
        <v>1.5</v>
      </c>
      <c r="N248" s="126">
        <f t="shared" si="92"/>
        <v>1.5</v>
      </c>
      <c r="O248" s="126">
        <f t="shared" si="92"/>
        <v>1.5</v>
      </c>
      <c r="P248" s="126">
        <f t="shared" si="92"/>
        <v>1.5</v>
      </c>
      <c r="Q248" s="126">
        <f t="shared" si="92"/>
        <v>1.5</v>
      </c>
      <c r="R248" s="126">
        <f t="shared" si="92"/>
        <v>1.5</v>
      </c>
      <c r="S248" s="126">
        <f t="shared" si="92"/>
        <v>1.5</v>
      </c>
      <c r="T248" s="126">
        <f t="shared" si="93"/>
        <v>1.5</v>
      </c>
      <c r="U248" s="126">
        <f t="shared" si="93"/>
        <v>1.5</v>
      </c>
      <c r="V248" s="126">
        <f t="shared" si="93"/>
        <v>1.5</v>
      </c>
      <c r="W248" s="126">
        <f t="shared" si="93"/>
        <v>1.5</v>
      </c>
      <c r="X248" s="126">
        <f t="shared" si="93"/>
        <v>1.5</v>
      </c>
      <c r="Y248" s="126">
        <f t="shared" si="93"/>
        <v>1.5</v>
      </c>
      <c r="Z248" s="126">
        <f t="shared" si="93"/>
        <v>1.5</v>
      </c>
      <c r="AA248" s="126">
        <f t="shared" si="93"/>
        <v>1.5</v>
      </c>
      <c r="AB248" s="126">
        <f t="shared" si="93"/>
        <v>1.5</v>
      </c>
      <c r="AC248" s="126">
        <f t="shared" si="93"/>
        <v>1.5</v>
      </c>
      <c r="AD248" s="126">
        <f t="shared" si="93"/>
        <v>1.5</v>
      </c>
      <c r="AE248" s="126">
        <f t="shared" si="93"/>
        <v>1.5</v>
      </c>
      <c r="AF248" s="126">
        <f t="shared" si="9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91"/>
        <v>0.3</v>
      </c>
      <c r="C249" s="126">
        <v>0.3</v>
      </c>
      <c r="D249" s="126">
        <f t="shared" si="92"/>
        <v>0.3</v>
      </c>
      <c r="E249" s="126">
        <f t="shared" si="92"/>
        <v>0.3</v>
      </c>
      <c r="F249" s="126">
        <f t="shared" si="92"/>
        <v>0.3</v>
      </c>
      <c r="G249" s="126">
        <f t="shared" si="92"/>
        <v>0.3</v>
      </c>
      <c r="H249" s="126">
        <f t="shared" si="92"/>
        <v>0.3</v>
      </c>
      <c r="I249" s="126">
        <f t="shared" si="92"/>
        <v>0.3</v>
      </c>
      <c r="J249" s="126">
        <f t="shared" si="92"/>
        <v>0.3</v>
      </c>
      <c r="K249" s="126">
        <f t="shared" si="92"/>
        <v>0.3</v>
      </c>
      <c r="L249" s="126">
        <f t="shared" si="92"/>
        <v>0.3</v>
      </c>
      <c r="M249" s="126">
        <f t="shared" si="92"/>
        <v>0.3</v>
      </c>
      <c r="N249" s="126">
        <f t="shared" si="92"/>
        <v>0.3</v>
      </c>
      <c r="O249" s="126">
        <f t="shared" si="92"/>
        <v>0.3</v>
      </c>
      <c r="P249" s="126">
        <f t="shared" si="92"/>
        <v>0.3</v>
      </c>
      <c r="Q249" s="126">
        <f t="shared" si="92"/>
        <v>0.3</v>
      </c>
      <c r="R249" s="126">
        <f t="shared" si="92"/>
        <v>0.3</v>
      </c>
      <c r="S249" s="126">
        <f t="shared" si="92"/>
        <v>0.3</v>
      </c>
      <c r="T249" s="126">
        <f t="shared" si="93"/>
        <v>0.3</v>
      </c>
      <c r="U249" s="126">
        <f t="shared" si="93"/>
        <v>0.3</v>
      </c>
      <c r="V249" s="126">
        <f t="shared" si="93"/>
        <v>0.3</v>
      </c>
      <c r="W249" s="126">
        <f t="shared" si="93"/>
        <v>0.3</v>
      </c>
      <c r="X249" s="126">
        <f t="shared" si="93"/>
        <v>0.3</v>
      </c>
      <c r="Y249" s="126">
        <f t="shared" si="93"/>
        <v>0.3</v>
      </c>
      <c r="Z249" s="126">
        <f t="shared" si="93"/>
        <v>0.3</v>
      </c>
      <c r="AA249" s="126">
        <f t="shared" si="93"/>
        <v>0.3</v>
      </c>
      <c r="AB249" s="126">
        <f t="shared" si="93"/>
        <v>0.3</v>
      </c>
      <c r="AC249" s="126">
        <f t="shared" si="93"/>
        <v>0.3</v>
      </c>
      <c r="AD249" s="126">
        <f t="shared" si="93"/>
        <v>0.3</v>
      </c>
      <c r="AE249" s="126">
        <f t="shared" si="93"/>
        <v>0.3</v>
      </c>
      <c r="AF249" s="126">
        <f t="shared" si="9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91"/>
        <v>0.4</v>
      </c>
      <c r="C250" s="126">
        <v>0.4</v>
      </c>
      <c r="D250" s="126">
        <f t="shared" si="92"/>
        <v>0.4</v>
      </c>
      <c r="E250" s="126">
        <f t="shared" si="92"/>
        <v>0.4</v>
      </c>
      <c r="F250" s="126">
        <f t="shared" si="92"/>
        <v>0.4</v>
      </c>
      <c r="G250" s="126">
        <f t="shared" si="92"/>
        <v>0.4</v>
      </c>
      <c r="H250" s="126">
        <f t="shared" si="92"/>
        <v>0.4</v>
      </c>
      <c r="I250" s="126">
        <f t="shared" si="92"/>
        <v>0.4</v>
      </c>
      <c r="J250" s="126">
        <f t="shared" si="92"/>
        <v>0.4</v>
      </c>
      <c r="K250" s="126">
        <f t="shared" si="92"/>
        <v>0.4</v>
      </c>
      <c r="L250" s="126">
        <f t="shared" si="92"/>
        <v>0.4</v>
      </c>
      <c r="M250" s="126">
        <f t="shared" si="92"/>
        <v>0.4</v>
      </c>
      <c r="N250" s="126">
        <f t="shared" si="92"/>
        <v>0.4</v>
      </c>
      <c r="O250" s="126">
        <f t="shared" si="92"/>
        <v>0.4</v>
      </c>
      <c r="P250" s="126">
        <f t="shared" si="92"/>
        <v>0.4</v>
      </c>
      <c r="Q250" s="126">
        <f t="shared" si="92"/>
        <v>0.4</v>
      </c>
      <c r="R250" s="126">
        <f t="shared" si="92"/>
        <v>0.4</v>
      </c>
      <c r="S250" s="126">
        <f t="shared" si="92"/>
        <v>0.4</v>
      </c>
      <c r="T250" s="126">
        <f t="shared" si="93"/>
        <v>0.4</v>
      </c>
      <c r="U250" s="126">
        <f t="shared" si="93"/>
        <v>0.4</v>
      </c>
      <c r="V250" s="126">
        <f t="shared" si="93"/>
        <v>0.4</v>
      </c>
      <c r="W250" s="126">
        <f t="shared" si="93"/>
        <v>0.4</v>
      </c>
      <c r="X250" s="126">
        <f t="shared" si="93"/>
        <v>0.4</v>
      </c>
      <c r="Y250" s="126">
        <f t="shared" si="93"/>
        <v>0.4</v>
      </c>
      <c r="Z250" s="126">
        <f t="shared" si="93"/>
        <v>0.4</v>
      </c>
      <c r="AA250" s="126">
        <f t="shared" si="93"/>
        <v>0.4</v>
      </c>
      <c r="AB250" s="126">
        <f t="shared" si="93"/>
        <v>0.4</v>
      </c>
      <c r="AC250" s="126">
        <f t="shared" si="93"/>
        <v>0.4</v>
      </c>
      <c r="AD250" s="126">
        <f t="shared" si="93"/>
        <v>0.4</v>
      </c>
      <c r="AE250" s="126">
        <f t="shared" si="93"/>
        <v>0.4</v>
      </c>
      <c r="AF250" s="126">
        <f t="shared" si="9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91"/>
        <v>0.64</v>
      </c>
      <c r="C251" s="130">
        <v>0.64</v>
      </c>
      <c r="D251" s="130">
        <f t="shared" si="92"/>
        <v>0.64</v>
      </c>
      <c r="E251" s="130">
        <f t="shared" si="92"/>
        <v>0.64</v>
      </c>
      <c r="F251" s="130">
        <f t="shared" si="92"/>
        <v>0.64</v>
      </c>
      <c r="G251" s="130">
        <f t="shared" si="92"/>
        <v>0.64</v>
      </c>
      <c r="H251" s="130">
        <f t="shared" si="92"/>
        <v>0.64</v>
      </c>
      <c r="I251" s="130">
        <f t="shared" si="92"/>
        <v>0.64</v>
      </c>
      <c r="J251" s="130">
        <f t="shared" si="92"/>
        <v>0.64</v>
      </c>
      <c r="K251" s="130">
        <f t="shared" si="92"/>
        <v>0.64</v>
      </c>
      <c r="L251" s="130">
        <f t="shared" si="92"/>
        <v>0.64</v>
      </c>
      <c r="M251" s="130">
        <f t="shared" si="92"/>
        <v>0.64</v>
      </c>
      <c r="N251" s="130">
        <f t="shared" si="92"/>
        <v>0.64</v>
      </c>
      <c r="O251" s="130">
        <f t="shared" si="92"/>
        <v>0.64</v>
      </c>
      <c r="P251" s="130">
        <f t="shared" si="92"/>
        <v>0.64</v>
      </c>
      <c r="Q251" s="130">
        <f t="shared" si="92"/>
        <v>0.64</v>
      </c>
      <c r="R251" s="130">
        <f t="shared" si="92"/>
        <v>0.64</v>
      </c>
      <c r="S251" s="130">
        <f t="shared" si="92"/>
        <v>0.64</v>
      </c>
      <c r="T251" s="130">
        <f t="shared" si="93"/>
        <v>0.64</v>
      </c>
      <c r="U251" s="130">
        <f t="shared" si="93"/>
        <v>0.64</v>
      </c>
      <c r="V251" s="130">
        <f t="shared" si="93"/>
        <v>0.64</v>
      </c>
      <c r="W251" s="130">
        <f t="shared" si="93"/>
        <v>0.64</v>
      </c>
      <c r="X251" s="130">
        <f t="shared" si="93"/>
        <v>0.64</v>
      </c>
      <c r="Y251" s="130">
        <f t="shared" si="93"/>
        <v>0.64</v>
      </c>
      <c r="Z251" s="130">
        <f t="shared" si="93"/>
        <v>0.64</v>
      </c>
      <c r="AA251" s="130">
        <f t="shared" si="93"/>
        <v>0.64</v>
      </c>
      <c r="AB251" s="130">
        <f t="shared" si="93"/>
        <v>0.64</v>
      </c>
      <c r="AC251" s="130">
        <f t="shared" si="93"/>
        <v>0.64</v>
      </c>
      <c r="AD251" s="130">
        <f t="shared" si="93"/>
        <v>0.64</v>
      </c>
      <c r="AE251" s="130">
        <f t="shared" si="93"/>
        <v>0.64</v>
      </c>
      <c r="AF251" s="130">
        <f t="shared" si="9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4">SUM(B246:B251)</f>
        <v>3.54</v>
      </c>
      <c r="C252" s="134">
        <f t="shared" si="94"/>
        <v>3.54</v>
      </c>
      <c r="D252" s="134">
        <f t="shared" si="94"/>
        <v>3.54</v>
      </c>
      <c r="E252" s="134">
        <f t="shared" si="94"/>
        <v>3.54</v>
      </c>
      <c r="F252" s="134">
        <f t="shared" si="94"/>
        <v>3.54</v>
      </c>
      <c r="G252" s="134">
        <f t="shared" si="94"/>
        <v>3.54</v>
      </c>
      <c r="H252" s="134">
        <f t="shared" si="94"/>
        <v>3.54</v>
      </c>
      <c r="I252" s="134">
        <f t="shared" si="94"/>
        <v>3.54</v>
      </c>
      <c r="J252" s="134">
        <f t="shared" si="94"/>
        <v>3.54</v>
      </c>
      <c r="K252" s="134">
        <f t="shared" si="94"/>
        <v>3.54</v>
      </c>
      <c r="L252" s="134">
        <f t="shared" si="94"/>
        <v>3.54</v>
      </c>
      <c r="M252" s="134">
        <f t="shared" si="94"/>
        <v>3.54</v>
      </c>
      <c r="N252" s="134">
        <f t="shared" si="94"/>
        <v>3.54</v>
      </c>
      <c r="O252" s="134">
        <f t="shared" si="94"/>
        <v>3.54</v>
      </c>
      <c r="P252" s="134">
        <f t="shared" si="94"/>
        <v>3.54</v>
      </c>
      <c r="Q252" s="134">
        <f t="shared" si="94"/>
        <v>3.54</v>
      </c>
      <c r="R252" s="134">
        <f t="shared" si="94"/>
        <v>3.54</v>
      </c>
      <c r="S252" s="134">
        <f t="shared" si="94"/>
        <v>3.54</v>
      </c>
      <c r="T252" s="134">
        <f t="shared" si="94"/>
        <v>3.54</v>
      </c>
      <c r="U252" s="134">
        <f t="shared" si="94"/>
        <v>3.54</v>
      </c>
      <c r="V252" s="134">
        <f t="shared" si="94"/>
        <v>3.54</v>
      </c>
      <c r="W252" s="134">
        <f t="shared" si="94"/>
        <v>3.54</v>
      </c>
      <c r="X252" s="134">
        <f t="shared" si="94"/>
        <v>3.54</v>
      </c>
      <c r="Y252" s="134">
        <f t="shared" si="94"/>
        <v>3.54</v>
      </c>
      <c r="Z252" s="134">
        <f t="shared" si="94"/>
        <v>3.54</v>
      </c>
      <c r="AA252" s="134">
        <f t="shared" si="94"/>
        <v>3.54</v>
      </c>
      <c r="AB252" s="134">
        <f t="shared" si="94"/>
        <v>3.54</v>
      </c>
      <c r="AC252" s="134">
        <f t="shared" si="94"/>
        <v>3.54</v>
      </c>
      <c r="AD252" s="134">
        <f t="shared" si="94"/>
        <v>3.54</v>
      </c>
      <c r="AE252" s="134">
        <f t="shared" si="94"/>
        <v>3.54</v>
      </c>
      <c r="AF252" s="134">
        <f t="shared" si="94"/>
        <v>3.54</v>
      </c>
      <c r="AG252" s="143">
        <f t="shared" si="9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1851.59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3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2080/10/3)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2080/10/3)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95">B99</f>
        <v>1281.4900000000002</v>
      </c>
      <c r="U261" s="165">
        <f t="shared" si="95"/>
        <v>1172.69</v>
      </c>
      <c r="V261" s="165">
        <f t="shared" si="95"/>
        <v>1167.79</v>
      </c>
      <c r="W261" s="165">
        <f t="shared" si="95"/>
        <v>1155.17</v>
      </c>
      <c r="X261" s="165">
        <f t="shared" si="95"/>
        <v>1192.99</v>
      </c>
      <c r="Y261" s="165">
        <f t="shared" si="95"/>
        <v>1181.29</v>
      </c>
      <c r="Z261" s="165">
        <f t="shared" si="95"/>
        <v>1281.79</v>
      </c>
      <c r="AA261" s="165">
        <f t="shared" si="95"/>
        <v>1368.0900000000001</v>
      </c>
      <c r="AB261" s="165">
        <f t="shared" si="95"/>
        <v>1487.99</v>
      </c>
      <c r="AC261" s="165">
        <f t="shared" si="95"/>
        <v>1651.59</v>
      </c>
      <c r="AD261" s="165">
        <f t="shared" si="95"/>
        <v>1677.59</v>
      </c>
      <c r="AE261" s="165">
        <f t="shared" si="95"/>
        <v>1668.1899999999998</v>
      </c>
      <c r="AF261" s="165">
        <f t="shared" si="95"/>
        <v>1851.59</v>
      </c>
      <c r="AG261" s="165">
        <f t="shared" si="95"/>
        <v>1534.39</v>
      </c>
      <c r="AH261" s="165">
        <f t="shared" si="95"/>
        <v>1254.3900000000001</v>
      </c>
      <c r="AI261" s="165">
        <f t="shared" si="95"/>
        <v>1467.19</v>
      </c>
      <c r="AJ261" s="165">
        <f t="shared" si="95"/>
        <v>1434.29</v>
      </c>
      <c r="AK261" s="165">
        <f t="shared" si="95"/>
        <v>1564.8899999999999</v>
      </c>
      <c r="AL261" s="165">
        <f t="shared" si="95"/>
        <v>1482.69</v>
      </c>
      <c r="AM261" s="165">
        <f t="shared" si="95"/>
        <v>1543.29</v>
      </c>
      <c r="AN261" s="165">
        <f t="shared" si="95"/>
        <v>1309.29</v>
      </c>
      <c r="AO261" s="165">
        <f t="shared" si="95"/>
        <v>1484.49</v>
      </c>
      <c r="AP261" s="165">
        <f t="shared" si="95"/>
        <v>1718.0900000000001</v>
      </c>
      <c r="AQ261" s="165">
        <f t="shared" si="95"/>
        <v>1821.75</v>
      </c>
      <c r="AR261" s="165">
        <f t="shared" si="95"/>
        <v>1773.85</v>
      </c>
      <c r="AS261" s="165">
        <f t="shared" si="95"/>
        <v>1688.29</v>
      </c>
      <c r="AT261" s="165">
        <f t="shared" si="95"/>
        <v>1640.69</v>
      </c>
      <c r="AU261" s="165">
        <f t="shared" si="95"/>
        <v>1617.59</v>
      </c>
      <c r="AV261" s="165">
        <f t="shared" si="95"/>
        <v>1414.19</v>
      </c>
      <c r="AW261" s="165">
        <f t="shared" si="95"/>
        <v>1368.3899999999999</v>
      </c>
      <c r="AX261" s="165">
        <f t="shared" si="95"/>
        <v>1250.3899999999999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96">C251</f>
        <v>0.64</v>
      </c>
      <c r="C282" s="168">
        <f t="shared" si="96"/>
        <v>0.64</v>
      </c>
      <c r="D282" s="168">
        <f t="shared" si="96"/>
        <v>0.64</v>
      </c>
      <c r="E282" s="168">
        <f t="shared" si="96"/>
        <v>0.64</v>
      </c>
      <c r="F282" s="168">
        <f t="shared" si="96"/>
        <v>0.64</v>
      </c>
      <c r="G282" s="168">
        <f t="shared" si="96"/>
        <v>0.64</v>
      </c>
      <c r="H282" s="168">
        <f t="shared" si="96"/>
        <v>0.64</v>
      </c>
      <c r="I282" s="168">
        <f t="shared" si="96"/>
        <v>0.64</v>
      </c>
      <c r="J282" s="168">
        <f t="shared" si="96"/>
        <v>0.64</v>
      </c>
      <c r="K282" s="168">
        <f t="shared" si="96"/>
        <v>0.64</v>
      </c>
      <c r="L282" s="168">
        <f t="shared" si="96"/>
        <v>0.64</v>
      </c>
      <c r="M282" s="168">
        <f t="shared" si="96"/>
        <v>0.64</v>
      </c>
      <c r="N282" s="168">
        <f t="shared" si="96"/>
        <v>0.64</v>
      </c>
      <c r="O282" s="168">
        <f t="shared" si="96"/>
        <v>0.64</v>
      </c>
      <c r="P282" s="168">
        <f t="shared" si="96"/>
        <v>0.64</v>
      </c>
      <c r="Q282" s="168">
        <f t="shared" si="96"/>
        <v>0.64</v>
      </c>
      <c r="R282" s="168">
        <f t="shared" si="96"/>
        <v>0.64</v>
      </c>
      <c r="S282" s="168">
        <f t="shared" si="96"/>
        <v>0.64</v>
      </c>
      <c r="T282" s="168">
        <f t="shared" si="96"/>
        <v>0.64</v>
      </c>
      <c r="U282" s="168">
        <f t="shared" si="96"/>
        <v>0.64</v>
      </c>
      <c r="V282" s="168">
        <f t="shared" si="96"/>
        <v>0.64</v>
      </c>
      <c r="W282" s="168">
        <f t="shared" si="96"/>
        <v>0.64</v>
      </c>
      <c r="X282" s="168">
        <f t="shared" si="96"/>
        <v>0.64</v>
      </c>
      <c r="Y282" s="168">
        <f t="shared" si="96"/>
        <v>0.64</v>
      </c>
      <c r="Z282" s="168">
        <f t="shared" si="96"/>
        <v>0.64</v>
      </c>
      <c r="AA282" s="168">
        <f t="shared" si="96"/>
        <v>0.64</v>
      </c>
      <c r="AB282" s="168">
        <f t="shared" si="96"/>
        <v>0.64</v>
      </c>
      <c r="AC282" s="168">
        <f t="shared" si="96"/>
        <v>0.64</v>
      </c>
      <c r="AD282" s="168">
        <f t="shared" si="96"/>
        <v>0.64</v>
      </c>
      <c r="AE282" s="168">
        <f t="shared" si="96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4452" priority="66">
      <formula>$AH11=0</formula>
    </cfRule>
  </conditionalFormatting>
  <conditionalFormatting sqref="A132:A253">
    <cfRule type="expression" dxfId="4451" priority="71">
      <formula>$AH132=0</formula>
    </cfRule>
  </conditionalFormatting>
  <conditionalFormatting sqref="B8 M8 S8 AB8">
    <cfRule type="expression" dxfId="4450" priority="181">
      <formula>C$9&lt;8/24</formula>
    </cfRule>
    <cfRule type="expression" dxfId="4449" priority="179">
      <formula>AND(C$9&gt;=14/24,C$9&lt;20/24)</formula>
    </cfRule>
    <cfRule type="expression" dxfId="4448" priority="180">
      <formula>AND(C$9&gt;=8/24,C$9&lt;14/24)</formula>
    </cfRule>
  </conditionalFormatting>
  <conditionalFormatting sqref="B63:H68 I66:I68 J68:K68">
    <cfRule type="expression" dxfId="4447" priority="63">
      <formula>AND(B$9&gt;=8/24,B$9&lt;14/24)</formula>
    </cfRule>
    <cfRule type="expression" dxfId="4446" priority="64">
      <formula>B$9&lt;8/24</formula>
    </cfRule>
    <cfRule type="expression" dxfId="4445" priority="62">
      <formula>AND(B$9&gt;=14/24,B$9&lt;20/24)</formula>
    </cfRule>
    <cfRule type="expression" dxfId="4444" priority="61">
      <formula>B$9&gt;=20/24</formula>
    </cfRule>
  </conditionalFormatting>
  <conditionalFormatting sqref="B63:H74 I66:I74 J68:K74 L69:Y74">
    <cfRule type="expression" dxfId="4443" priority="26">
      <formula>B63&gt;$AG63</formula>
    </cfRule>
  </conditionalFormatting>
  <conditionalFormatting sqref="B69:R74">
    <cfRule type="expression" dxfId="4442" priority="57">
      <formula>B$9&gt;=20/24</formula>
    </cfRule>
    <cfRule type="expression" dxfId="4441" priority="59">
      <formula>AND(B$9&gt;=8/24,B$9&lt;14/24)</formula>
    </cfRule>
    <cfRule type="expression" dxfId="4440" priority="60">
      <formula>B$9&lt;8/24</formula>
    </cfRule>
    <cfRule type="expression" dxfId="4439" priority="58">
      <formula>AND(B$9&gt;=14/24,B$9&lt;20/24)</formula>
    </cfRule>
  </conditionalFormatting>
  <conditionalFormatting sqref="B9:AF52">
    <cfRule type="expression" dxfId="4438" priority="28">
      <formula>B$9&gt;=20/24</formula>
    </cfRule>
    <cfRule type="expression" dxfId="4437" priority="29">
      <formula>AND(B$9&gt;=14/24,B$9&lt;20/24)</formula>
    </cfRule>
    <cfRule type="expression" dxfId="4436" priority="30">
      <formula>AND(B$9&gt;=8/24,B$9&lt;14/24)</formula>
    </cfRule>
    <cfRule type="expression" dxfId="4435" priority="31">
      <formula>B$9&lt;8/24</formula>
    </cfRule>
  </conditionalFormatting>
  <conditionalFormatting sqref="B11:AF54">
    <cfRule type="expression" dxfId="4434" priority="21">
      <formula>B11&gt;$AG11</formula>
    </cfRule>
  </conditionalFormatting>
  <conditionalFormatting sqref="B53:AF54">
    <cfRule type="expression" dxfId="4433" priority="19">
      <formula>AND(B$9&gt;=8/24,B$9&lt;14/24)</formula>
    </cfRule>
    <cfRule type="expression" dxfId="4432" priority="20">
      <formula>B$9&lt;8/24</formula>
    </cfRule>
    <cfRule type="expression" dxfId="4431" priority="17">
      <formula>B$9&gt;=20/24</formula>
    </cfRule>
    <cfRule type="expression" dxfId="4430" priority="18">
      <formula>AND(B$9&gt;=14/24,B$9&lt;20/24)</formula>
    </cfRule>
  </conditionalFormatting>
  <conditionalFormatting sqref="B55:AF55">
    <cfRule type="expression" dxfId="4429" priority="37">
      <formula>B55&gt;$AG55</formula>
    </cfRule>
  </conditionalFormatting>
  <conditionalFormatting sqref="B55:AF57">
    <cfRule type="expression" dxfId="4428" priority="34">
      <formula>AND(B$9&gt;=14/24,B$9&lt;20/24)</formula>
    </cfRule>
    <cfRule type="expression" dxfId="4427" priority="33">
      <formula>B$9&gt;=20/24</formula>
    </cfRule>
    <cfRule type="expression" dxfId="4426" priority="35">
      <formula>AND(B$9&gt;=8/24,B$9&lt;14/24)</formula>
    </cfRule>
    <cfRule type="expression" dxfId="4425" priority="36">
      <formula>B$9&lt;8/24</formula>
    </cfRule>
  </conditionalFormatting>
  <conditionalFormatting sqref="B56:AF61">
    <cfRule type="expression" dxfId="4424" priority="32">
      <formula>B56&gt;$AG56</formula>
    </cfRule>
  </conditionalFormatting>
  <conditionalFormatting sqref="B59:AF61">
    <cfRule type="expression" dxfId="4423" priority="43">
      <formula>B$9&gt;=20/24</formula>
    </cfRule>
    <cfRule type="expression" dxfId="4422" priority="44">
      <formula>AND(B$9&gt;=14/24,B$9&lt;20/24)</formula>
    </cfRule>
    <cfRule type="expression" dxfId="4421" priority="45">
      <formula>AND(B$9&gt;=8/24,B$9&lt;14/24)</formula>
    </cfRule>
    <cfRule type="expression" dxfId="4420" priority="46">
      <formula>B$9&lt;8/24</formula>
    </cfRule>
  </conditionalFormatting>
  <conditionalFormatting sqref="B77:AF79">
    <cfRule type="expression" dxfId="4419" priority="48">
      <formula>B$9&gt;=20/24</formula>
    </cfRule>
    <cfRule type="expression" dxfId="4418" priority="49">
      <formula>AND(B$9&gt;=14/24,B$9&lt;20/24)</formula>
    </cfRule>
    <cfRule type="expression" dxfId="4417" priority="50">
      <formula>AND(B$9&gt;=8/24,B$9&lt;14/24)</formula>
    </cfRule>
    <cfRule type="expression" dxfId="4416" priority="51">
      <formula>B$9&lt;8/24</formula>
    </cfRule>
    <cfRule type="expression" dxfId="4415" priority="47">
      <formula>B77&gt;$AG77</formula>
    </cfRule>
  </conditionalFormatting>
  <conditionalFormatting sqref="B81:AF99">
    <cfRule type="expression" dxfId="4414" priority="22">
      <formula>B$9&gt;=20/24</formula>
    </cfRule>
    <cfRule type="expression" dxfId="4413" priority="25">
      <formula>B$9&lt;8/24</formula>
    </cfRule>
    <cfRule type="expression" dxfId="4412" priority="24">
      <formula>AND(B$9&gt;=8/24,B$9&lt;14/24)</formula>
    </cfRule>
    <cfRule type="expression" dxfId="4411" priority="23">
      <formula>AND(B$9&gt;=14/24,B$9&lt;20/24)</formula>
    </cfRule>
  </conditionalFormatting>
  <conditionalFormatting sqref="B101:AF117">
    <cfRule type="expression" dxfId="4410" priority="13">
      <formula>B$9&gt;=20/24</formula>
    </cfRule>
    <cfRule type="expression" dxfId="4409" priority="14">
      <formula>AND(B$9&gt;=14/24,B$9&lt;20/24)</formula>
    </cfRule>
    <cfRule type="expression" dxfId="4408" priority="15">
      <formula>AND(B$9&gt;=8/24,B$9&lt;14/24)</formula>
    </cfRule>
    <cfRule type="expression" dxfId="4407" priority="16">
      <formula>B$9&lt;8/24</formula>
    </cfRule>
  </conditionalFormatting>
  <conditionalFormatting sqref="B119:AF137">
    <cfRule type="expression" dxfId="4406" priority="9">
      <formula>B$9&gt;=20/24</formula>
    </cfRule>
    <cfRule type="expression" dxfId="4405" priority="10">
      <formula>AND(B$9&gt;=14/24,B$9&lt;20/24)</formula>
    </cfRule>
    <cfRule type="expression" dxfId="4404" priority="12">
      <formula>B$9&lt;8/24</formula>
    </cfRule>
    <cfRule type="expression" dxfId="4403" priority="11">
      <formula>AND(B$9&gt;=8/24,B$9&lt;14/24)</formula>
    </cfRule>
  </conditionalFormatting>
  <conditionalFormatting sqref="B244:AF244 B246:B252 D246:AF252 U260:AF260">
    <cfRule type="expression" dxfId="4402" priority="172">
      <formula>B$9&gt;=20/24</formula>
    </cfRule>
    <cfRule type="expression" dxfId="4401" priority="173">
      <formula>AND(B$9&gt;=14/24,B$9&lt;20/24)</formula>
    </cfRule>
    <cfRule type="expression" dxfId="4400" priority="174">
      <formula>AND(B$9&gt;=8/24,B$9&lt;14/24)</formula>
    </cfRule>
    <cfRule type="expression" dxfId="4399" priority="175">
      <formula>B$9&lt;8/24</formula>
    </cfRule>
  </conditionalFormatting>
  <conditionalFormatting sqref="B62:AG62">
    <cfRule type="expression" dxfId="4398" priority="55">
      <formula>AND(B$9&gt;=8/24,B$9&lt;14/24)</formula>
    </cfRule>
    <cfRule type="expression" dxfId="4397" priority="56">
      <formula>B$9&lt;8/24</formula>
    </cfRule>
    <cfRule type="expression" dxfId="4396" priority="52">
      <formula>B62&gt;$AG62</formula>
    </cfRule>
    <cfRule type="expression" dxfId="4395" priority="53">
      <formula>B$9&gt;=20/24</formula>
    </cfRule>
    <cfRule type="expression" dxfId="4394" priority="54">
      <formula>AND(B$9&gt;=14/24,B$9&lt;20/24)</formula>
    </cfRule>
  </conditionalFormatting>
  <conditionalFormatting sqref="B75:AG76 B80:AG80">
    <cfRule type="expression" dxfId="4393" priority="38">
      <formula>B75&gt;$AG75</formula>
    </cfRule>
  </conditionalFormatting>
  <conditionalFormatting sqref="B80:AG80">
    <cfRule type="expression" dxfId="4392" priority="42">
      <formula>B$9&lt;8/24</formula>
    </cfRule>
    <cfRule type="expression" dxfId="4391" priority="39">
      <formula>B$9&gt;=20/24</formula>
    </cfRule>
    <cfRule type="expression" dxfId="4390" priority="40">
      <formula>AND(B$9&gt;=14/24,B$9&lt;20/24)</formula>
    </cfRule>
    <cfRule type="expression" dxfId="4389" priority="41">
      <formula>AND(B$9&gt;=8/24,B$9&lt;14/24)</formula>
    </cfRule>
  </conditionalFormatting>
  <conditionalFormatting sqref="I63:I65 J64:J67">
    <cfRule type="expression" dxfId="4388" priority="86">
      <formula>I$9&gt;=20/24</formula>
    </cfRule>
    <cfRule type="expression" dxfId="4387" priority="87">
      <formula>AND(I$9&gt;=14/24,I$9&lt;20/24)</formula>
    </cfRule>
    <cfRule type="expression" dxfId="4386" priority="88">
      <formula>AND(I$9&gt;=8/24,I$9&lt;14/24)</formula>
    </cfRule>
    <cfRule type="expression" dxfId="4385" priority="89">
      <formula>I$9&lt;8/24</formula>
    </cfRule>
  </conditionalFormatting>
  <conditionalFormatting sqref="I63:R65">
    <cfRule type="expression" dxfId="4384" priority="153">
      <formula>I$9&gt;=20/24</formula>
    </cfRule>
    <cfRule type="expression" dxfId="4383" priority="156">
      <formula>I$9&lt;8/24</formula>
    </cfRule>
    <cfRule type="expression" dxfId="4382" priority="155">
      <formula>AND(I$9&gt;=8/24,I$9&lt;14/24)</formula>
    </cfRule>
    <cfRule type="expression" dxfId="4381" priority="154">
      <formula>AND(I$9&gt;=14/24,I$9&lt;20/24)</formula>
    </cfRule>
  </conditionalFormatting>
  <conditionalFormatting sqref="L68:R68">
    <cfRule type="expression" dxfId="4380" priority="133">
      <formula>L$9&lt;8/24</formula>
    </cfRule>
    <cfRule type="expression" dxfId="4379" priority="130">
      <formula>L$9&gt;=20/24</formula>
    </cfRule>
    <cfRule type="expression" dxfId="4378" priority="131">
      <formula>AND(L$9&gt;=14/24,L$9&lt;20/24)</formula>
    </cfRule>
    <cfRule type="expression" dxfId="4377" priority="132">
      <formula>AND(L$9&gt;=8/24,L$9&lt;14/24)</formula>
    </cfRule>
  </conditionalFormatting>
  <conditionalFormatting sqref="M66:R67">
    <cfRule type="expression" dxfId="4376" priority="1">
      <formula>M$9&gt;=20/24</formula>
    </cfRule>
    <cfRule type="expression" dxfId="4375" priority="4">
      <formula>M$9&lt;8/24</formula>
    </cfRule>
    <cfRule type="expression" dxfId="4374" priority="2">
      <formula>AND(M$9&gt;=14/24,M$9&lt;20/24)</formula>
    </cfRule>
    <cfRule type="expression" dxfId="4373" priority="3">
      <formula>AND(M$9&gt;=8/24,M$9&lt;14/24)</formula>
    </cfRule>
  </conditionalFormatting>
  <conditionalFormatting sqref="M63:Y68 J66:S67 I63:L65 Z63:AF74 L68">
    <cfRule type="expression" dxfId="4372" priority="85">
      <formula>I63&gt;$AG63</formula>
    </cfRule>
  </conditionalFormatting>
  <conditionalFormatting sqref="O3:P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R66:S67">
    <cfRule type="expression" dxfId="4371" priority="124">
      <formula>R$9&gt;=20/24</formula>
    </cfRule>
  </conditionalFormatting>
  <conditionalFormatting sqref="S8 AB8 B8 M8">
    <cfRule type="expression" dxfId="4370" priority="178">
      <formula>C$9&gt;=20/24</formula>
    </cfRule>
  </conditionalFormatting>
  <conditionalFormatting sqref="S8">
    <cfRule type="expression" dxfId="4369" priority="165">
      <formula>U$9&gt;=20/24</formula>
    </cfRule>
    <cfRule type="expression" dxfId="4368" priority="166">
      <formula>AND(U$9&gt;=14/24,U$9&lt;20/24)</formula>
    </cfRule>
    <cfRule type="expression" dxfId="4367" priority="167">
      <formula>AND(U$9&gt;=8/24,U$9&lt;14/24)</formula>
    </cfRule>
    <cfRule type="expression" dxfId="4366" priority="168">
      <formula>U$9&lt;8/24</formula>
    </cfRule>
  </conditionalFormatting>
  <conditionalFormatting sqref="S63:AF68 R66:S67">
    <cfRule type="expression" dxfId="4365" priority="127">
      <formula>R$9&lt;8/24</formula>
    </cfRule>
    <cfRule type="expression" dxfId="4364" priority="125">
      <formula>AND(R$9&gt;=14/24,R$9&lt;20/24)</formula>
    </cfRule>
    <cfRule type="expression" dxfId="4363" priority="126">
      <formula>AND(R$9&gt;=8/24,R$9&lt;14/24)</formula>
    </cfRule>
  </conditionalFormatting>
  <conditionalFormatting sqref="S63:AF74">
    <cfRule type="expression" dxfId="4362" priority="120">
      <formula>S$9&gt;=20/24</formula>
    </cfRule>
  </conditionalFormatting>
  <conditionalFormatting sqref="S69:AF74">
    <cfRule type="expression" dxfId="4361" priority="122">
      <formula>AND(S$9&gt;=8/24,S$9&lt;14/24)</formula>
    </cfRule>
    <cfRule type="expression" dxfId="4360" priority="123">
      <formula>S$9&lt;8/24</formula>
    </cfRule>
    <cfRule type="expression" dxfId="4359" priority="121">
      <formula>AND(S$9&gt;=14/24,S$9&lt;20/24)</formula>
    </cfRule>
  </conditionalFormatting>
  <conditionalFormatting sqref="T260">
    <cfRule type="expression" dxfId="4358" priority="192">
      <formula>AND(AX$9&gt;=8/24,AX$9&lt;14/24)</formula>
    </cfRule>
    <cfRule type="expression" dxfId="4357" priority="191">
      <formula>AND(AX$9&gt;=14/24,AX$9&lt;20/24)</formula>
    </cfRule>
    <cfRule type="expression" dxfId="4356" priority="190">
      <formula>AX$9&gt;=20/24</formula>
    </cfRule>
    <cfRule type="expression" dxfId="4355" priority="193">
      <formula>AX$9&lt;8/24</formula>
    </cfRule>
  </conditionalFormatting>
  <conditionalFormatting sqref="V3 AB3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354" priority="164">
      <formula>AD$9&lt;8/24</formula>
    </cfRule>
    <cfRule type="expression" dxfId="4353" priority="161">
      <formula>AD$9&gt;=20/24</formula>
    </cfRule>
    <cfRule type="expression" dxfId="4352" priority="162">
      <formula>AND(AD$9&gt;=14/24,AD$9&lt;20/24)</formula>
    </cfRule>
    <cfRule type="expression" dxfId="4351" priority="163">
      <formula>AND(AD$9&gt;=8/24,AD$9&lt;14/24)</formula>
    </cfRule>
  </conditionalFormatting>
  <conditionalFormatting sqref="AG58">
    <cfRule type="expression" dxfId="4350" priority="148">
      <formula>AG58&gt;$AG58</formula>
    </cfRule>
  </conditionalFormatting>
  <conditionalFormatting sqref="AG97">
    <cfRule type="expression" dxfId="4349" priority="151">
      <formula>AND(AG$9&gt;=8/24,AG$9&lt;14/24)</formula>
    </cfRule>
    <cfRule type="expression" dxfId="4348" priority="152">
      <formula>AG$9&lt;8/24</formula>
    </cfRule>
    <cfRule type="expression" dxfId="4347" priority="150">
      <formula>AND(AG$9&gt;=14/24,AG$9&lt;20/24)</formula>
    </cfRule>
    <cfRule type="expression" dxfId="4346" priority="149">
      <formula>AG$9&gt;=20/24</formula>
    </cfRule>
  </conditionalFormatting>
  <conditionalFormatting sqref="AG260">
    <cfRule type="expression" dxfId="4345" priority="182">
      <formula>B$9&gt;=20/24</formula>
    </cfRule>
    <cfRule type="expression" dxfId="4344" priority="185">
      <formula>B$9&lt;8/24</formula>
    </cfRule>
    <cfRule type="expression" dxfId="4343" priority="184">
      <formula>AND(B$9&gt;=8/24,B$9&lt;14/24)</formula>
    </cfRule>
    <cfRule type="expression" dxfId="4342" priority="183">
      <formula>AND(B$9&gt;=14/24,B$9&lt;20/24)</formula>
    </cfRule>
  </conditionalFormatting>
  <conditionalFormatting sqref="AH260:AX260">
    <cfRule type="expression" dxfId="4341" priority="188">
      <formula>AND(AG$9&gt;=8/24,AG$9&lt;14/24)</formula>
    </cfRule>
    <cfRule type="expression" dxfId="4340" priority="186">
      <formula>AG$9&gt;=20/24</formula>
    </cfRule>
    <cfRule type="expression" dxfId="4339" priority="187">
      <formula>AND(AG$9&gt;=14/24,AG$9&lt;20/24)</formula>
    </cfRule>
    <cfRule type="expression" dxfId="4338" priority="189">
      <formula>AG$9&lt;8/24</formula>
    </cfRule>
  </conditionalFormatting>
  <conditionalFormatting sqref="AL4:AL6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337" priority="195">
      <formula>AJ$9&gt;=20/24</formula>
    </cfRule>
    <cfRule type="expression" dxfId="4336" priority="196">
      <formula>AND(AJ$9&gt;=14/24,AJ$9&lt;20/24)</formula>
    </cfRule>
    <cfRule type="expression" dxfId="4335" priority="197">
      <formula>AND(AJ$9&gt;=8/24,AJ$9&lt;14/24)</formula>
    </cfRule>
    <cfRule type="expression" dxfId="4334" priority="198">
      <formula>AJ$9&lt;8/24</formula>
    </cfRule>
  </conditionalFormatting>
  <conditionalFormatting sqref="AL88:AN88 AL94:AN94">
    <cfRule type="expression" dxfId="4333" priority="144">
      <formula>AL$9&lt;8/24</formula>
    </cfRule>
    <cfRule type="expression" dxfId="4332" priority="143">
      <formula>AND(AL$9&gt;=8/24,AL$9&lt;14/24)</formula>
    </cfRule>
    <cfRule type="expression" dxfId="4331" priority="142">
      <formula>AND(AL$9&gt;=14/24,AL$9&lt;20/24)</formula>
    </cfRule>
    <cfRule type="expression" dxfId="4330" priority="141">
      <formula>AL$9&gt;=20/24</formula>
    </cfRule>
  </conditionalFormatting>
  <conditionalFormatting sqref="AN89:AN92">
    <cfRule type="expression" dxfId="4329" priority="138">
      <formula>AND(AN$9&gt;=14/24,AN$9&lt;20/24)</formula>
    </cfRule>
    <cfRule type="expression" dxfId="4328" priority="140">
      <formula>AN$9&lt;8/24</formula>
    </cfRule>
    <cfRule type="expression" dxfId="4327" priority="139">
      <formula>AND(AN$9&gt;=8/24,AN$9&lt;14/24)</formula>
    </cfRule>
    <cfRule type="expression" dxfId="4326" priority="137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423A-F39B-4EFB-9F73-BD379021BD00}">
  <dimension ref="A1:CJ293"/>
  <sheetViews>
    <sheetView zoomScale="85" zoomScaleNormal="85" workbookViewId="0">
      <pane xSplit="1" ySplit="10" topLeftCell="B82" activePane="bottomRight" state="frozen"/>
      <selection activeCell="Z63" sqref="Z63"/>
      <selection pane="topRight" activeCell="Z63" sqref="Z63"/>
      <selection pane="bottomLeft" activeCell="Z63" sqref="Z63"/>
      <selection pane="bottomRight" activeCell="B260" sqref="B26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2080/10/4</v>
      </c>
      <c r="C4" s="272"/>
      <c r="D4" s="272"/>
      <c r="E4" s="273" t="str">
        <f ca="1">"2080/"&amp;"10/"&amp;INT(MID(CELL("filename",G6),FIND("]",CELL("filename",G6))+1,200))</f>
        <v>2080/10/4</v>
      </c>
      <c r="F4" s="273"/>
      <c r="G4" s="273"/>
      <c r="H4" s="273" t="str">
        <f ca="1">TEXT(E4,"dddd")</f>
        <v>Friday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568</v>
      </c>
      <c r="C5" s="30">
        <f t="shared" si="0"/>
        <v>549</v>
      </c>
      <c r="D5" s="30">
        <f t="shared" si="0"/>
        <v>538.6</v>
      </c>
      <c r="E5" s="30">
        <f t="shared" si="0"/>
        <v>531.9</v>
      </c>
      <c r="F5" s="30">
        <f t="shared" si="0"/>
        <v>560.20000000000005</v>
      </c>
      <c r="G5" s="30">
        <f t="shared" si="0"/>
        <v>593.5</v>
      </c>
      <c r="H5" s="30">
        <f t="shared" si="0"/>
        <v>560.50000000000011</v>
      </c>
      <c r="I5" s="30">
        <f t="shared" si="0"/>
        <v>609</v>
      </c>
      <c r="J5" s="30">
        <f t="shared" si="0"/>
        <v>387.70000000000005</v>
      </c>
      <c r="K5" s="30">
        <f t="shared" si="0"/>
        <v>459.29999999999995</v>
      </c>
      <c r="L5" s="30">
        <f t="shared" si="0"/>
        <v>411.9</v>
      </c>
      <c r="M5" s="30">
        <f t="shared" si="0"/>
        <v>394.6</v>
      </c>
      <c r="N5" s="30">
        <f t="shared" si="0"/>
        <v>591.9</v>
      </c>
      <c r="O5" s="30">
        <f t="shared" si="0"/>
        <v>610</v>
      </c>
      <c r="P5" s="30">
        <f t="shared" si="0"/>
        <v>633.70000000000005</v>
      </c>
      <c r="Q5" s="30">
        <f t="shared" si="0"/>
        <v>645</v>
      </c>
      <c r="R5" s="30">
        <f t="shared" si="0"/>
        <v>670.6</v>
      </c>
      <c r="S5" s="30">
        <f t="shared" si="0"/>
        <v>681.9</v>
      </c>
      <c r="T5" s="30">
        <f t="shared" si="0"/>
        <v>718.1</v>
      </c>
      <c r="U5" s="30">
        <f t="shared" si="0"/>
        <v>586.6</v>
      </c>
      <c r="V5" s="30">
        <f t="shared" si="0"/>
        <v>586.6</v>
      </c>
      <c r="W5" s="30">
        <f t="shared" si="0"/>
        <v>360.5</v>
      </c>
      <c r="X5" s="30">
        <f t="shared" si="0"/>
        <v>377.40000000000003</v>
      </c>
      <c r="Y5" s="30">
        <f t="shared" si="0"/>
        <v>312.89999999999998</v>
      </c>
      <c r="Z5" s="30">
        <f t="shared" si="0"/>
        <v>338.7</v>
      </c>
      <c r="AA5" s="30">
        <f t="shared" si="0"/>
        <v>368.58299999999997</v>
      </c>
      <c r="AB5" s="30">
        <f t="shared" si="0"/>
        <v>517.5</v>
      </c>
      <c r="AC5" s="30">
        <f t="shared" si="0"/>
        <v>565.5</v>
      </c>
      <c r="AD5" s="30">
        <f t="shared" si="0"/>
        <v>611.1</v>
      </c>
      <c r="AE5" s="30">
        <f t="shared" si="0"/>
        <v>621.29999999999995</v>
      </c>
      <c r="AF5" s="30">
        <f>B92</f>
        <v>534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Load=1145</v>
      </c>
      <c r="B7" s="35">
        <f>B100</f>
        <v>1185.3899999999999</v>
      </c>
      <c r="C7" s="35">
        <f t="shared" ref="C7:AF7" si="1">C100</f>
        <v>1219.3899999999999</v>
      </c>
      <c r="D7" s="35">
        <f t="shared" si="1"/>
        <v>1200.3899999999999</v>
      </c>
      <c r="E7" s="35">
        <f t="shared" si="1"/>
        <v>1144.99</v>
      </c>
      <c r="F7" s="35">
        <f t="shared" si="1"/>
        <v>1173.29</v>
      </c>
      <c r="G7" s="35">
        <f t="shared" si="1"/>
        <v>1201.5900000000001</v>
      </c>
      <c r="H7" s="35">
        <f t="shared" si="1"/>
        <v>1353.59</v>
      </c>
      <c r="I7" s="35">
        <f t="shared" si="1"/>
        <v>1396.5900000000001</v>
      </c>
      <c r="J7" s="35">
        <f t="shared" si="1"/>
        <v>1449.3899999999999</v>
      </c>
      <c r="K7" s="35">
        <f t="shared" si="1"/>
        <v>1555.69</v>
      </c>
      <c r="L7" s="35">
        <f t="shared" si="1"/>
        <v>1728.6899999999998</v>
      </c>
      <c r="M7" s="35">
        <f t="shared" si="1"/>
        <v>1491.44</v>
      </c>
      <c r="N7" s="35">
        <f t="shared" si="1"/>
        <v>1258.4899999999998</v>
      </c>
      <c r="O7" s="35">
        <f t="shared" si="1"/>
        <v>1435.54</v>
      </c>
      <c r="P7" s="35">
        <f t="shared" si="1"/>
        <v>1453.1399999999999</v>
      </c>
      <c r="Q7" s="35">
        <f t="shared" si="1"/>
        <v>1467.84</v>
      </c>
      <c r="R7" s="35">
        <f t="shared" si="1"/>
        <v>1458.1399999999999</v>
      </c>
      <c r="S7" s="35">
        <f t="shared" si="1"/>
        <v>1482.54</v>
      </c>
      <c r="T7" s="35">
        <f t="shared" si="1"/>
        <v>1525.54</v>
      </c>
      <c r="U7" s="35">
        <f t="shared" si="1"/>
        <v>1543.54</v>
      </c>
      <c r="V7" s="35">
        <f t="shared" si="1"/>
        <v>1585.54</v>
      </c>
      <c r="W7" s="35">
        <f t="shared" si="1"/>
        <v>1560.54</v>
      </c>
      <c r="X7" s="35">
        <f t="shared" si="1"/>
        <v>1585.34</v>
      </c>
      <c r="Y7" s="35">
        <f t="shared" si="1"/>
        <v>1731.14</v>
      </c>
      <c r="Z7" s="35">
        <f t="shared" si="1"/>
        <v>1699.04</v>
      </c>
      <c r="AA7" s="35">
        <f t="shared" si="1"/>
        <v>1676.44</v>
      </c>
      <c r="AB7" s="35">
        <f t="shared" si="1"/>
        <v>1602.2730000000001</v>
      </c>
      <c r="AC7" s="35">
        <f t="shared" si="1"/>
        <v>1517.29</v>
      </c>
      <c r="AD7" s="35">
        <f t="shared" si="1"/>
        <v>1461.19</v>
      </c>
      <c r="AE7" s="35">
        <f t="shared" si="1"/>
        <v>1379.69</v>
      </c>
      <c r="AF7" s="35">
        <f t="shared" si="1"/>
        <v>1299.9899999999998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29.8</v>
      </c>
      <c r="C11" s="45">
        <v>29.8</v>
      </c>
      <c r="D11" s="45">
        <v>29.8</v>
      </c>
      <c r="E11" s="45">
        <v>29.8</v>
      </c>
      <c r="F11" s="45">
        <v>29.8</v>
      </c>
      <c r="G11" s="45">
        <v>29.8</v>
      </c>
      <c r="H11" s="45">
        <v>29.8</v>
      </c>
      <c r="I11" s="45">
        <v>29.8</v>
      </c>
      <c r="J11" s="45">
        <v>29.8</v>
      </c>
      <c r="K11" s="45">
        <v>29.8</v>
      </c>
      <c r="L11" s="45">
        <v>29.8</v>
      </c>
      <c r="M11" s="45">
        <v>28.8</v>
      </c>
      <c r="N11" s="45">
        <v>28.8</v>
      </c>
      <c r="O11" s="45">
        <v>28.1</v>
      </c>
      <c r="P11" s="45">
        <v>28.1</v>
      </c>
      <c r="Q11" s="45">
        <v>28.1</v>
      </c>
      <c r="R11" s="45">
        <v>28.1</v>
      </c>
      <c r="S11" s="45">
        <v>28.1</v>
      </c>
      <c r="T11" s="45">
        <v>28.1</v>
      </c>
      <c r="U11" s="45">
        <v>28.1</v>
      </c>
      <c r="V11" s="45">
        <v>28.1</v>
      </c>
      <c r="W11" s="45">
        <v>28.1</v>
      </c>
      <c r="X11" s="45">
        <v>28.1</v>
      </c>
      <c r="Y11" s="45">
        <v>28.1</v>
      </c>
      <c r="Z11" s="45">
        <v>28.1</v>
      </c>
      <c r="AA11" s="45">
        <v>28.1</v>
      </c>
      <c r="AB11" s="45">
        <v>29.2</v>
      </c>
      <c r="AC11" s="45">
        <v>29.2</v>
      </c>
      <c r="AD11" s="45">
        <v>29.2</v>
      </c>
      <c r="AE11" s="45">
        <v>29.2</v>
      </c>
      <c r="AF11" s="45">
        <v>30.6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28.1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9.8000000000000007</v>
      </c>
      <c r="C12" s="45">
        <v>9.8000000000000007</v>
      </c>
      <c r="D12" s="45">
        <v>9.8000000000000007</v>
      </c>
      <c r="E12" s="45">
        <v>9.8000000000000007</v>
      </c>
      <c r="F12" s="45">
        <v>9.8000000000000007</v>
      </c>
      <c r="G12" s="45">
        <v>9.8000000000000007</v>
      </c>
      <c r="H12" s="45">
        <v>9.8000000000000007</v>
      </c>
      <c r="I12" s="45">
        <v>9.8000000000000007</v>
      </c>
      <c r="J12" s="45">
        <v>9.8000000000000007</v>
      </c>
      <c r="K12" s="45">
        <v>9.8000000000000007</v>
      </c>
      <c r="L12" s="45">
        <v>9.8000000000000007</v>
      </c>
      <c r="M12" s="45">
        <v>9.8000000000000007</v>
      </c>
      <c r="N12" s="45">
        <v>9.8000000000000007</v>
      </c>
      <c r="O12" s="45">
        <v>9.85</v>
      </c>
      <c r="P12" s="45">
        <v>9.85</v>
      </c>
      <c r="Q12" s="45">
        <v>9.85</v>
      </c>
      <c r="R12" s="45">
        <v>9.85</v>
      </c>
      <c r="S12" s="45">
        <v>9.85</v>
      </c>
      <c r="T12" s="45">
        <v>9.85</v>
      </c>
      <c r="U12" s="45">
        <v>9.85</v>
      </c>
      <c r="V12" s="45">
        <v>9.85</v>
      </c>
      <c r="W12" s="45">
        <v>9.85</v>
      </c>
      <c r="X12" s="45">
        <v>9.85</v>
      </c>
      <c r="Y12" s="45">
        <v>9.85</v>
      </c>
      <c r="Z12" s="45">
        <v>9.85</v>
      </c>
      <c r="AA12" s="45">
        <v>9.85</v>
      </c>
      <c r="AB12" s="45">
        <v>9.9</v>
      </c>
      <c r="AC12" s="45">
        <v>9.9</v>
      </c>
      <c r="AD12" s="45">
        <v>9.9</v>
      </c>
      <c r="AE12" s="45">
        <v>9.9</v>
      </c>
      <c r="AF12" s="45">
        <v>9.9</v>
      </c>
      <c r="AG12" s="49">
        <v>54</v>
      </c>
      <c r="AH12" s="47">
        <f t="shared" si="2"/>
        <v>9.9</v>
      </c>
      <c r="AI12" s="48">
        <f t="shared" si="3"/>
        <v>9.8000000000000007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10.3</v>
      </c>
      <c r="C13" s="45">
        <v>10.3</v>
      </c>
      <c r="D13" s="45">
        <v>10.3</v>
      </c>
      <c r="E13" s="45">
        <v>10.3</v>
      </c>
      <c r="F13" s="45">
        <v>10.3</v>
      </c>
      <c r="G13" s="45">
        <v>10.3</v>
      </c>
      <c r="H13" s="45">
        <v>10.3</v>
      </c>
      <c r="I13" s="45">
        <v>10.3</v>
      </c>
      <c r="J13" s="45">
        <v>10.3</v>
      </c>
      <c r="K13" s="45">
        <v>10.3</v>
      </c>
      <c r="L13" s="45">
        <v>10.3</v>
      </c>
      <c r="M13" s="45">
        <v>10.3</v>
      </c>
      <c r="N13" s="45">
        <v>10.3</v>
      </c>
      <c r="O13" s="45">
        <v>10.3</v>
      </c>
      <c r="P13" s="45">
        <v>10.3</v>
      </c>
      <c r="Q13" s="45">
        <v>10.3</v>
      </c>
      <c r="R13" s="45">
        <v>10.3</v>
      </c>
      <c r="S13" s="45">
        <v>10.3</v>
      </c>
      <c r="T13" s="45">
        <v>10.3</v>
      </c>
      <c r="U13" s="45">
        <v>10.3</v>
      </c>
      <c r="V13" s="45">
        <v>10.3</v>
      </c>
      <c r="W13" s="45">
        <v>10.3</v>
      </c>
      <c r="X13" s="45">
        <v>10.3</v>
      </c>
      <c r="Y13" s="45">
        <v>10.3</v>
      </c>
      <c r="Z13" s="45">
        <v>10.3</v>
      </c>
      <c r="AA13" s="45">
        <v>10.3</v>
      </c>
      <c r="AB13" s="45">
        <v>10.3</v>
      </c>
      <c r="AC13" s="45">
        <v>10.3</v>
      </c>
      <c r="AD13" s="45">
        <v>10.3</v>
      </c>
      <c r="AE13" s="45">
        <v>10.3</v>
      </c>
      <c r="AF13" s="45">
        <v>10.3</v>
      </c>
      <c r="AG13" s="49">
        <v>54</v>
      </c>
      <c r="AH13" s="47">
        <f t="shared" si="2"/>
        <v>10.3</v>
      </c>
      <c r="AI13" s="48">
        <f t="shared" si="3"/>
        <v>10.3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17</v>
      </c>
      <c r="C14" s="45">
        <v>17</v>
      </c>
      <c r="D14" s="45">
        <v>17</v>
      </c>
      <c r="E14" s="45">
        <v>17</v>
      </c>
      <c r="F14" s="45">
        <v>17</v>
      </c>
      <c r="G14" s="45">
        <v>17</v>
      </c>
      <c r="H14" s="45">
        <v>17</v>
      </c>
      <c r="I14" s="45">
        <v>17</v>
      </c>
      <c r="J14" s="45">
        <v>17</v>
      </c>
      <c r="K14" s="45">
        <v>17</v>
      </c>
      <c r="L14" s="45">
        <v>17</v>
      </c>
      <c r="M14" s="45">
        <v>15.1</v>
      </c>
      <c r="N14" s="45">
        <v>15.1</v>
      </c>
      <c r="O14" s="45">
        <v>15.1</v>
      </c>
      <c r="P14" s="45">
        <v>15.1</v>
      </c>
      <c r="Q14" s="45">
        <v>15.1</v>
      </c>
      <c r="R14" s="45">
        <v>15.1</v>
      </c>
      <c r="S14" s="45">
        <v>15.1</v>
      </c>
      <c r="T14" s="45">
        <v>15.1</v>
      </c>
      <c r="U14" s="45">
        <v>15.1</v>
      </c>
      <c r="V14" s="45">
        <v>15.1</v>
      </c>
      <c r="W14" s="45">
        <v>15.1</v>
      </c>
      <c r="X14" s="45">
        <v>15.1</v>
      </c>
      <c r="Y14" s="45">
        <v>15.1</v>
      </c>
      <c r="Z14" s="45">
        <v>15.1</v>
      </c>
      <c r="AA14" s="45">
        <v>15.1</v>
      </c>
      <c r="AB14" s="45">
        <v>14.9</v>
      </c>
      <c r="AC14" s="45">
        <v>14.9</v>
      </c>
      <c r="AD14" s="45">
        <v>14.9</v>
      </c>
      <c r="AE14" s="45">
        <v>14.9</v>
      </c>
      <c r="AF14" s="45">
        <v>14.9</v>
      </c>
      <c r="AG14" s="46">
        <v>52.4</v>
      </c>
      <c r="AH14" s="47">
        <f t="shared" si="2"/>
        <v>17</v>
      </c>
      <c r="AI14" s="48">
        <f t="shared" si="3"/>
        <v>14.9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28.2</v>
      </c>
      <c r="C15" s="45">
        <v>28.2</v>
      </c>
      <c r="D15" s="45">
        <v>28.2</v>
      </c>
      <c r="E15" s="45">
        <v>28.2</v>
      </c>
      <c r="F15" s="45">
        <v>28.2</v>
      </c>
      <c r="G15" s="45">
        <v>28.2</v>
      </c>
      <c r="H15" s="45">
        <v>28.2</v>
      </c>
      <c r="I15" s="45">
        <v>28.2</v>
      </c>
      <c r="J15" s="45">
        <v>28.2</v>
      </c>
      <c r="K15" s="45">
        <v>28.2</v>
      </c>
      <c r="L15" s="45">
        <v>28.2</v>
      </c>
      <c r="M15" s="51">
        <v>28</v>
      </c>
      <c r="N15" s="51">
        <v>28</v>
      </c>
      <c r="O15" s="51">
        <v>28</v>
      </c>
      <c r="P15" s="51">
        <v>28</v>
      </c>
      <c r="Q15" s="51">
        <v>28</v>
      </c>
      <c r="R15" s="51">
        <v>28</v>
      </c>
      <c r="S15" s="51">
        <v>28</v>
      </c>
      <c r="T15" s="51">
        <v>28</v>
      </c>
      <c r="U15" s="51">
        <v>28</v>
      </c>
      <c r="V15" s="51">
        <v>28</v>
      </c>
      <c r="W15" s="51">
        <v>28</v>
      </c>
      <c r="X15" s="51">
        <v>28</v>
      </c>
      <c r="Y15" s="51">
        <v>28</v>
      </c>
      <c r="Z15" s="51">
        <v>28</v>
      </c>
      <c r="AA15" s="51">
        <v>28</v>
      </c>
      <c r="AB15" s="45">
        <v>28.3</v>
      </c>
      <c r="AC15" s="45">
        <v>28.3</v>
      </c>
      <c r="AD15" s="45">
        <v>28.3</v>
      </c>
      <c r="AE15" s="45">
        <v>28.3</v>
      </c>
      <c r="AF15" s="45">
        <v>28.3</v>
      </c>
      <c r="AG15" s="49">
        <v>50</v>
      </c>
      <c r="AH15" s="47">
        <f t="shared" si="2"/>
        <v>28.3</v>
      </c>
      <c r="AI15" s="48">
        <f t="shared" si="3"/>
        <v>28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16.2</v>
      </c>
      <c r="C16" s="45">
        <v>16.2</v>
      </c>
      <c r="D16" s="45">
        <v>16.2</v>
      </c>
      <c r="E16" s="45">
        <v>16.2</v>
      </c>
      <c r="F16" s="45">
        <v>16.2</v>
      </c>
      <c r="G16" s="45">
        <v>16.2</v>
      </c>
      <c r="H16" s="45">
        <v>16.2</v>
      </c>
      <c r="I16" s="45">
        <v>16.2</v>
      </c>
      <c r="J16" s="45">
        <v>16.2</v>
      </c>
      <c r="K16" s="45">
        <v>16.2</v>
      </c>
      <c r="L16" s="45">
        <v>16.2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49">
        <v>45</v>
      </c>
      <c r="AH16" s="47">
        <f t="shared" si="2"/>
        <v>17.100000000000001</v>
      </c>
      <c r="AI16" s="48">
        <f t="shared" si="3"/>
        <v>15.8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7.8</v>
      </c>
      <c r="C18" s="45">
        <v>7.8</v>
      </c>
      <c r="D18" s="45">
        <v>7.8</v>
      </c>
      <c r="E18" s="45">
        <v>7.8</v>
      </c>
      <c r="F18" s="45">
        <v>7.8</v>
      </c>
      <c r="G18" s="45">
        <v>7.8</v>
      </c>
      <c r="H18" s="45">
        <v>7.8</v>
      </c>
      <c r="I18" s="45">
        <v>7.8</v>
      </c>
      <c r="J18" s="45">
        <v>7.8</v>
      </c>
      <c r="K18" s="45">
        <v>7.8</v>
      </c>
      <c r="L18" s="45">
        <v>7.8</v>
      </c>
      <c r="M18" s="45">
        <v>7.9</v>
      </c>
      <c r="N18" s="45">
        <v>7.9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7.9</v>
      </c>
      <c r="Z18" s="45">
        <v>7.9</v>
      </c>
      <c r="AA18" s="45">
        <v>7.9</v>
      </c>
      <c r="AB18" s="45">
        <v>7.9</v>
      </c>
      <c r="AC18" s="45">
        <v>7.9</v>
      </c>
      <c r="AD18" s="45">
        <v>7.9</v>
      </c>
      <c r="AE18" s="45">
        <v>7.9</v>
      </c>
      <c r="AF18" s="45">
        <v>7.9</v>
      </c>
      <c r="AG18" s="49">
        <v>42</v>
      </c>
      <c r="AH18" s="47">
        <f t="shared" si="2"/>
        <v>7.9</v>
      </c>
      <c r="AI18" s="48">
        <f t="shared" si="3"/>
        <v>7.8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7.8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8.1999999999999993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6.4</v>
      </c>
      <c r="C25" s="45">
        <v>6.4</v>
      </c>
      <c r="D25" s="45">
        <v>6.4</v>
      </c>
      <c r="E25" s="45">
        <v>6.4</v>
      </c>
      <c r="F25" s="45">
        <v>6.4</v>
      </c>
      <c r="G25" s="45">
        <v>6.4</v>
      </c>
      <c r="H25" s="45">
        <v>6.4</v>
      </c>
      <c r="I25" s="45">
        <v>6.4</v>
      </c>
      <c r="J25" s="45">
        <v>6.4</v>
      </c>
      <c r="K25" s="45">
        <v>6.4</v>
      </c>
      <c r="L25" s="45">
        <v>6.4</v>
      </c>
      <c r="M25" s="45">
        <v>6.4</v>
      </c>
      <c r="N25" s="45">
        <v>6.4</v>
      </c>
      <c r="O25" s="45">
        <v>6.4</v>
      </c>
      <c r="P25" s="45">
        <v>6.4</v>
      </c>
      <c r="Q25" s="45">
        <v>6.4</v>
      </c>
      <c r="R25" s="45">
        <v>6.4</v>
      </c>
      <c r="S25" s="45">
        <v>6.4</v>
      </c>
      <c r="T25" s="45">
        <v>6.4</v>
      </c>
      <c r="U25" s="45">
        <v>6.4</v>
      </c>
      <c r="V25" s="45">
        <v>6.4</v>
      </c>
      <c r="W25" s="45">
        <v>6.4</v>
      </c>
      <c r="X25" s="45">
        <v>6.4</v>
      </c>
      <c r="Y25" s="45">
        <v>6.4</v>
      </c>
      <c r="Z25" s="45">
        <v>6.4</v>
      </c>
      <c r="AA25" s="45">
        <v>6.4</v>
      </c>
      <c r="AB25" s="45">
        <v>6.4</v>
      </c>
      <c r="AC25" s="45">
        <v>6.4</v>
      </c>
      <c r="AD25" s="45">
        <v>6.4</v>
      </c>
      <c r="AE25" s="45">
        <v>6.4</v>
      </c>
      <c r="AF25" s="45">
        <v>6.4</v>
      </c>
      <c r="AG25" s="52">
        <v>30</v>
      </c>
      <c r="AH25" s="47">
        <f t="shared" si="2"/>
        <v>6.4</v>
      </c>
      <c r="AI25" s="48">
        <f t="shared" si="3"/>
        <v>6.4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6.5</v>
      </c>
      <c r="C26" s="45">
        <v>6.5</v>
      </c>
      <c r="D26" s="45">
        <v>6.5</v>
      </c>
      <c r="E26" s="45">
        <v>6.5</v>
      </c>
      <c r="F26" s="45">
        <v>6.5</v>
      </c>
      <c r="G26" s="45">
        <v>6.5</v>
      </c>
      <c r="H26" s="45">
        <v>6.5</v>
      </c>
      <c r="I26" s="45">
        <v>6.5</v>
      </c>
      <c r="J26" s="45">
        <v>6.5</v>
      </c>
      <c r="K26" s="45">
        <v>6.5</v>
      </c>
      <c r="L26" s="45">
        <v>6.5</v>
      </c>
      <c r="M26" s="45">
        <v>6.5</v>
      </c>
      <c r="N26" s="45">
        <v>6.5</v>
      </c>
      <c r="O26" s="45">
        <v>6.5</v>
      </c>
      <c r="P26" s="45">
        <v>6.5</v>
      </c>
      <c r="Q26" s="45">
        <v>6.5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6.5</v>
      </c>
      <c r="AF26" s="45">
        <v>6.5</v>
      </c>
      <c r="AG26" s="49">
        <v>25</v>
      </c>
      <c r="AH26" s="47">
        <f t="shared" si="2"/>
        <v>6.5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7.2</v>
      </c>
      <c r="C29" s="45">
        <v>7.2</v>
      </c>
      <c r="D29" s="45">
        <v>7.2</v>
      </c>
      <c r="E29" s="45">
        <v>7.2</v>
      </c>
      <c r="F29" s="45">
        <v>7.2</v>
      </c>
      <c r="G29" s="45">
        <v>7.2</v>
      </c>
      <c r="H29" s="45">
        <v>7.2</v>
      </c>
      <c r="I29" s="45">
        <v>7.2</v>
      </c>
      <c r="J29" s="45">
        <v>7.2</v>
      </c>
      <c r="K29" s="45">
        <v>7.2</v>
      </c>
      <c r="L29" s="45">
        <v>7.2</v>
      </c>
      <c r="M29" s="45">
        <v>7.2</v>
      </c>
      <c r="N29" s="45">
        <v>7.2</v>
      </c>
      <c r="O29" s="45">
        <v>7.2</v>
      </c>
      <c r="P29" s="45">
        <v>7.2</v>
      </c>
      <c r="Q29" s="45">
        <v>7.2</v>
      </c>
      <c r="R29" s="45">
        <v>7.2</v>
      </c>
      <c r="S29" s="45">
        <v>7.2</v>
      </c>
      <c r="T29" s="45">
        <v>7.2</v>
      </c>
      <c r="U29" s="45">
        <v>7.2</v>
      </c>
      <c r="V29" s="45">
        <v>7.2</v>
      </c>
      <c r="W29" s="45">
        <v>7.2</v>
      </c>
      <c r="X29" s="45">
        <v>7.2</v>
      </c>
      <c r="Y29" s="45">
        <v>7.2</v>
      </c>
      <c r="Z29" s="45">
        <v>7.2</v>
      </c>
      <c r="AA29" s="45">
        <v>7.2</v>
      </c>
      <c r="AB29" s="45">
        <v>7.2</v>
      </c>
      <c r="AC29" s="45">
        <v>7.2</v>
      </c>
      <c r="AD29" s="45">
        <v>7.2</v>
      </c>
      <c r="AE29" s="45">
        <v>7.2</v>
      </c>
      <c r="AF29" s="45">
        <v>7.2</v>
      </c>
      <c r="AG29" s="49">
        <v>25</v>
      </c>
      <c r="AH29" s="47">
        <f t="shared" si="2"/>
        <v>7.2</v>
      </c>
      <c r="AI29" s="48">
        <f t="shared" si="3"/>
        <v>7.2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7.6</v>
      </c>
      <c r="C30" s="45">
        <v>7.6</v>
      </c>
      <c r="D30" s="45">
        <v>7.6</v>
      </c>
      <c r="E30" s="45">
        <v>7.6</v>
      </c>
      <c r="F30" s="45">
        <v>7.6</v>
      </c>
      <c r="G30" s="45">
        <v>7.6</v>
      </c>
      <c r="H30" s="45">
        <v>7.6</v>
      </c>
      <c r="I30" s="45">
        <v>7.6</v>
      </c>
      <c r="J30" s="45">
        <v>7.6</v>
      </c>
      <c r="K30" s="45">
        <v>7.6</v>
      </c>
      <c r="L30" s="45">
        <v>7.6</v>
      </c>
      <c r="M30" s="45">
        <v>7.6</v>
      </c>
      <c r="N30" s="45">
        <v>7.6</v>
      </c>
      <c r="O30" s="45">
        <v>7.6</v>
      </c>
      <c r="P30" s="45">
        <v>7.6</v>
      </c>
      <c r="Q30" s="45">
        <v>7.6</v>
      </c>
      <c r="R30" s="45">
        <v>7.6</v>
      </c>
      <c r="S30" s="45">
        <v>7.6</v>
      </c>
      <c r="T30" s="45">
        <v>7.6</v>
      </c>
      <c r="U30" s="45">
        <v>7.6</v>
      </c>
      <c r="V30" s="45">
        <v>7.6</v>
      </c>
      <c r="W30" s="45">
        <v>7.6</v>
      </c>
      <c r="X30" s="45">
        <v>7.6</v>
      </c>
      <c r="Y30" s="45">
        <v>7.6</v>
      </c>
      <c r="Z30" s="45">
        <v>7.6</v>
      </c>
      <c r="AA30" s="45">
        <v>7.6</v>
      </c>
      <c r="AB30" s="45">
        <v>7.6</v>
      </c>
      <c r="AC30" s="45">
        <v>7.6</v>
      </c>
      <c r="AD30" s="45">
        <v>7.6</v>
      </c>
      <c r="AE30" s="45">
        <v>7.6</v>
      </c>
      <c r="AF30" s="45">
        <v>7.6</v>
      </c>
      <c r="AG30" s="49">
        <v>23.5</v>
      </c>
      <c r="AH30" s="47">
        <f t="shared" si="2"/>
        <v>7.6</v>
      </c>
      <c r="AI30" s="48">
        <f t="shared" si="3"/>
        <v>7.6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10.4</v>
      </c>
      <c r="C34" s="45">
        <v>10.4</v>
      </c>
      <c r="D34" s="45">
        <v>10.4</v>
      </c>
      <c r="E34" s="45">
        <v>10.4</v>
      </c>
      <c r="F34" s="45">
        <v>10.4</v>
      </c>
      <c r="G34" s="45">
        <v>10.4</v>
      </c>
      <c r="H34" s="45">
        <v>10.4</v>
      </c>
      <c r="I34" s="45">
        <v>10.4</v>
      </c>
      <c r="J34" s="45">
        <v>10.4</v>
      </c>
      <c r="K34" s="45">
        <v>10.4</v>
      </c>
      <c r="L34" s="45">
        <v>10.4</v>
      </c>
      <c r="M34" s="45">
        <v>10.4</v>
      </c>
      <c r="N34" s="45">
        <v>10.4</v>
      </c>
      <c r="O34" s="45">
        <v>10.4</v>
      </c>
      <c r="P34" s="45">
        <v>10.4</v>
      </c>
      <c r="Q34" s="45">
        <v>10.4</v>
      </c>
      <c r="R34" s="45">
        <v>10.4</v>
      </c>
      <c r="S34" s="45">
        <v>10.4</v>
      </c>
      <c r="T34" s="45">
        <v>10.4</v>
      </c>
      <c r="U34" s="45">
        <v>10.4</v>
      </c>
      <c r="V34" s="45">
        <v>10.4</v>
      </c>
      <c r="W34" s="45">
        <v>10.4</v>
      </c>
      <c r="X34" s="45">
        <v>10.4</v>
      </c>
      <c r="Y34" s="45">
        <v>10.4</v>
      </c>
      <c r="Z34" s="45">
        <v>10.4</v>
      </c>
      <c r="AA34" s="45">
        <v>10.4</v>
      </c>
      <c r="AB34" s="45">
        <v>10.4</v>
      </c>
      <c r="AC34" s="45">
        <v>10.4</v>
      </c>
      <c r="AD34" s="45">
        <v>10.4</v>
      </c>
      <c r="AE34" s="45">
        <v>10.4</v>
      </c>
      <c r="AF34" s="45">
        <v>10.4</v>
      </c>
      <c r="AG34" s="49">
        <v>22</v>
      </c>
      <c r="AH34" s="47">
        <f t="shared" si="2"/>
        <v>10.4</v>
      </c>
      <c r="AI34" s="48">
        <f t="shared" si="3"/>
        <v>10.4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18.899999999999999</v>
      </c>
      <c r="C57" s="57">
        <v>18.899999999999999</v>
      </c>
      <c r="D57" s="57">
        <v>18.899999999999999</v>
      </c>
      <c r="E57" s="57">
        <v>18.899999999999999</v>
      </c>
      <c r="F57" s="57">
        <v>18.899999999999999</v>
      </c>
      <c r="G57" s="57">
        <v>18.899999999999999</v>
      </c>
      <c r="H57" s="57">
        <v>18.899999999999999</v>
      </c>
      <c r="I57" s="57">
        <v>22</v>
      </c>
      <c r="J57" s="57">
        <v>22</v>
      </c>
      <c r="K57" s="57">
        <v>22</v>
      </c>
      <c r="L57" s="57">
        <v>22</v>
      </c>
      <c r="M57" s="57">
        <v>22</v>
      </c>
      <c r="N57" s="57">
        <v>22</v>
      </c>
      <c r="O57" s="57">
        <v>20.8</v>
      </c>
      <c r="P57" s="57">
        <v>20.8</v>
      </c>
      <c r="Q57" s="57">
        <v>20.8</v>
      </c>
      <c r="R57" s="57">
        <v>20.8</v>
      </c>
      <c r="S57" s="57">
        <v>20.8</v>
      </c>
      <c r="T57" s="57">
        <v>20.8</v>
      </c>
      <c r="U57" s="57">
        <v>20.8</v>
      </c>
      <c r="V57" s="57">
        <v>20.8</v>
      </c>
      <c r="W57" s="57">
        <v>20.8</v>
      </c>
      <c r="X57" s="57">
        <v>20.8</v>
      </c>
      <c r="Y57" s="57">
        <v>20.8</v>
      </c>
      <c r="Z57" s="57">
        <v>20.8</v>
      </c>
      <c r="AA57" s="57">
        <v>20.8</v>
      </c>
      <c r="AB57" s="57">
        <v>18.8</v>
      </c>
      <c r="AC57" s="57">
        <v>18.8</v>
      </c>
      <c r="AD57" s="57">
        <v>18.8</v>
      </c>
      <c r="AE57" s="57">
        <v>18.8</v>
      </c>
      <c r="AF57" s="57">
        <v>18.8</v>
      </c>
      <c r="AG57" s="55">
        <v>240</v>
      </c>
      <c r="AH57" s="47">
        <f t="shared" si="2"/>
        <v>22</v>
      </c>
      <c r="AI57" s="48">
        <f t="shared" si="3"/>
        <v>18.8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485.65</v>
      </c>
      <c r="C58" s="60">
        <f t="shared" si="4"/>
        <v>485.65</v>
      </c>
      <c r="D58" s="60">
        <f t="shared" ref="D58" si="5">SUM(D11:D56)</f>
        <v>485.65</v>
      </c>
      <c r="E58" s="60">
        <f t="shared" ref="E58:AF58" si="6">SUM(E11:E56)</f>
        <v>485.65</v>
      </c>
      <c r="F58" s="60">
        <f t="shared" si="6"/>
        <v>485.65</v>
      </c>
      <c r="G58" s="60">
        <f t="shared" si="6"/>
        <v>485.65</v>
      </c>
      <c r="H58" s="60">
        <f t="shared" si="6"/>
        <v>485.65</v>
      </c>
      <c r="I58" s="60">
        <f t="shared" si="6"/>
        <v>485.65</v>
      </c>
      <c r="J58" s="60">
        <f t="shared" si="6"/>
        <v>485.65</v>
      </c>
      <c r="K58" s="60">
        <f t="shared" si="6"/>
        <v>485.65</v>
      </c>
      <c r="L58" s="60">
        <f t="shared" si="6"/>
        <v>485.65</v>
      </c>
      <c r="M58" s="60">
        <f t="shared" si="6"/>
        <v>482.24999999999994</v>
      </c>
      <c r="N58" s="60">
        <f t="shared" si="6"/>
        <v>482.24999999999994</v>
      </c>
      <c r="O58" s="60">
        <f t="shared" ref="O58" si="7">SUM(O11:O56)</f>
        <v>481.59999999999997</v>
      </c>
      <c r="P58" s="60">
        <f t="shared" si="6"/>
        <v>481.59999999999997</v>
      </c>
      <c r="Q58" s="60">
        <f t="shared" si="6"/>
        <v>481.59999999999997</v>
      </c>
      <c r="R58" s="60">
        <f t="shared" si="6"/>
        <v>481.59999999999997</v>
      </c>
      <c r="S58" s="60">
        <f t="shared" ref="S58:T58" si="8">SUM(S11:S56)</f>
        <v>481.59999999999997</v>
      </c>
      <c r="T58" s="60">
        <f t="shared" si="8"/>
        <v>481.59999999999997</v>
      </c>
      <c r="U58" s="60">
        <f t="shared" ref="U58:V58" si="9">SUM(U11:U56)</f>
        <v>481.59999999999997</v>
      </c>
      <c r="V58" s="60">
        <f t="shared" si="9"/>
        <v>481.59999999999997</v>
      </c>
      <c r="W58" s="60">
        <f t="shared" ref="W58:X58" si="10">SUM(W11:W56)</f>
        <v>481.59999999999997</v>
      </c>
      <c r="X58" s="60">
        <f t="shared" si="10"/>
        <v>481.59999999999997</v>
      </c>
      <c r="Y58" s="60">
        <f t="shared" ref="Y58" si="11">SUM(Y11:Y56)</f>
        <v>481.59999999999997</v>
      </c>
      <c r="Z58" s="60">
        <f t="shared" ref="Z58:AA58" si="12">SUM(Z11:Z56)</f>
        <v>481.59999999999997</v>
      </c>
      <c r="AA58" s="60">
        <f t="shared" si="12"/>
        <v>481.59999999999997</v>
      </c>
      <c r="AB58" s="60">
        <f t="shared" si="6"/>
        <v>484.15000000000003</v>
      </c>
      <c r="AC58" s="60">
        <f t="shared" si="6"/>
        <v>484.15000000000003</v>
      </c>
      <c r="AD58" s="60">
        <f t="shared" si="6"/>
        <v>484.15000000000003</v>
      </c>
      <c r="AE58" s="60">
        <f t="shared" si="6"/>
        <v>484.15000000000003</v>
      </c>
      <c r="AF58" s="60">
        <f t="shared" si="6"/>
        <v>485.54999999999995</v>
      </c>
      <c r="AG58" s="61">
        <f>SUM(AG14:AG56)</f>
        <v>1042.4000000000001</v>
      </c>
      <c r="AH58" s="47">
        <f t="shared" si="2"/>
        <v>485.65</v>
      </c>
      <c r="AI58" s="48">
        <f t="shared" si="3"/>
        <v>481.59999999999997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50</v>
      </c>
      <c r="I59" s="45">
        <v>80</v>
      </c>
      <c r="J59" s="45">
        <v>60</v>
      </c>
      <c r="K59" s="45">
        <v>260</v>
      </c>
      <c r="L59" s="45">
        <v>260</v>
      </c>
      <c r="M59" s="45">
        <v>260</v>
      </c>
      <c r="N59" s="63">
        <v>100</v>
      </c>
      <c r="O59" s="63">
        <v>130</v>
      </c>
      <c r="P59" s="63">
        <v>80</v>
      </c>
      <c r="Q59" s="63">
        <v>20</v>
      </c>
      <c r="R59" s="63">
        <v>90</v>
      </c>
      <c r="S59" s="63">
        <v>90</v>
      </c>
      <c r="T59" s="63">
        <v>90</v>
      </c>
      <c r="U59" s="63">
        <v>70</v>
      </c>
      <c r="V59" s="63">
        <v>30</v>
      </c>
      <c r="W59" s="63">
        <v>30</v>
      </c>
      <c r="X59" s="63">
        <v>175</v>
      </c>
      <c r="Y59" s="63">
        <v>255</v>
      </c>
      <c r="Z59" s="63">
        <v>245</v>
      </c>
      <c r="AA59" s="63">
        <v>210</v>
      </c>
      <c r="AB59" s="45">
        <v>140</v>
      </c>
      <c r="AC59" s="45">
        <v>70</v>
      </c>
      <c r="AD59" s="45">
        <v>30</v>
      </c>
      <c r="AE59" s="45">
        <v>80</v>
      </c>
      <c r="AF59" s="45">
        <v>50</v>
      </c>
      <c r="AG59" s="52">
        <v>456</v>
      </c>
      <c r="AH59" s="47">
        <f t="shared" si="2"/>
        <v>260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30</v>
      </c>
      <c r="C60" s="65">
        <v>30</v>
      </c>
      <c r="D60" s="65">
        <v>30</v>
      </c>
      <c r="E60" s="65">
        <v>30</v>
      </c>
      <c r="F60" s="65">
        <v>30</v>
      </c>
      <c r="G60" s="65">
        <v>30</v>
      </c>
      <c r="H60" s="65">
        <v>30</v>
      </c>
      <c r="I60" s="65">
        <v>30</v>
      </c>
      <c r="J60" s="65">
        <v>30</v>
      </c>
      <c r="K60" s="65">
        <v>30</v>
      </c>
      <c r="L60" s="65">
        <v>30</v>
      </c>
      <c r="M60" s="65">
        <v>26.5</v>
      </c>
      <c r="N60" s="65">
        <v>26.5</v>
      </c>
      <c r="O60" s="65">
        <v>26.5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27.6</v>
      </c>
      <c r="AC60" s="65">
        <v>27.6</v>
      </c>
      <c r="AD60" s="65">
        <v>27.6</v>
      </c>
      <c r="AE60" s="65">
        <v>27.6</v>
      </c>
      <c r="AF60" s="65">
        <v>27.6</v>
      </c>
      <c r="AG60" s="55">
        <v>60</v>
      </c>
      <c r="AH60" s="47">
        <f t="shared" si="2"/>
        <v>30</v>
      </c>
      <c r="AI60" s="48">
        <f t="shared" si="3"/>
        <v>26.5</v>
      </c>
      <c r="AK60" s="50"/>
    </row>
    <row r="61" spans="1:88" ht="15.75" thickBot="1" x14ac:dyDescent="0.3">
      <c r="A61" s="66" t="s">
        <v>61</v>
      </c>
      <c r="B61" s="67">
        <v>15</v>
      </c>
      <c r="C61" s="67">
        <v>15</v>
      </c>
      <c r="D61" s="67">
        <v>15</v>
      </c>
      <c r="E61" s="67">
        <v>15</v>
      </c>
      <c r="F61" s="67">
        <v>15</v>
      </c>
      <c r="G61" s="67">
        <v>15</v>
      </c>
      <c r="H61" s="67">
        <v>15</v>
      </c>
      <c r="I61" s="67">
        <v>15</v>
      </c>
      <c r="J61" s="67">
        <v>15</v>
      </c>
      <c r="K61" s="67">
        <v>15</v>
      </c>
      <c r="L61" s="67">
        <v>15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10.3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15</v>
      </c>
      <c r="AI61" s="48">
        <f t="shared" si="3"/>
        <v>10.199999999999999</v>
      </c>
      <c r="AK61" s="50"/>
    </row>
    <row r="62" spans="1:88" ht="15.75" thickBot="1" x14ac:dyDescent="0.3">
      <c r="A62" s="69" t="s">
        <v>62</v>
      </c>
      <c r="B62" s="60">
        <f t="shared" ref="B62:C62" si="13">SUM(B59:B61)</f>
        <v>45</v>
      </c>
      <c r="C62" s="60">
        <f t="shared" si="13"/>
        <v>45</v>
      </c>
      <c r="D62" s="60">
        <f t="shared" ref="D62" si="14">SUM(D59:D61)</f>
        <v>45</v>
      </c>
      <c r="E62" s="60">
        <f t="shared" ref="E62:AG62" si="15">SUM(E59:E61)</f>
        <v>45</v>
      </c>
      <c r="F62" s="60">
        <f t="shared" si="15"/>
        <v>45</v>
      </c>
      <c r="G62" s="60">
        <f t="shared" si="15"/>
        <v>45</v>
      </c>
      <c r="H62" s="60">
        <f t="shared" si="15"/>
        <v>95</v>
      </c>
      <c r="I62" s="60">
        <f t="shared" si="15"/>
        <v>125</v>
      </c>
      <c r="J62" s="60">
        <f t="shared" si="15"/>
        <v>105</v>
      </c>
      <c r="K62" s="60">
        <f t="shared" si="15"/>
        <v>305</v>
      </c>
      <c r="L62" s="60">
        <f t="shared" si="15"/>
        <v>305</v>
      </c>
      <c r="M62" s="60">
        <f t="shared" si="15"/>
        <v>296.7</v>
      </c>
      <c r="N62" s="60">
        <f t="shared" si="15"/>
        <v>136.69999999999999</v>
      </c>
      <c r="O62" s="60">
        <f t="shared" ref="O62" si="16">SUM(O59:O61)</f>
        <v>166.7</v>
      </c>
      <c r="P62" s="60">
        <f t="shared" si="15"/>
        <v>117.2</v>
      </c>
      <c r="Q62" s="60">
        <f t="shared" si="15"/>
        <v>57.2</v>
      </c>
      <c r="R62" s="60">
        <f t="shared" si="15"/>
        <v>127.2</v>
      </c>
      <c r="S62" s="60">
        <f t="shared" ref="S62:T62" si="17">SUM(S59:S61)</f>
        <v>127.2</v>
      </c>
      <c r="T62" s="60">
        <f t="shared" si="17"/>
        <v>127.2</v>
      </c>
      <c r="U62" s="60">
        <f t="shared" ref="U62:V62" si="18">SUM(U59:U61)</f>
        <v>107.2</v>
      </c>
      <c r="V62" s="60">
        <f t="shared" si="18"/>
        <v>67.2</v>
      </c>
      <c r="W62" s="60">
        <f t="shared" ref="W62:X62" si="19">SUM(W59:W61)</f>
        <v>67.2</v>
      </c>
      <c r="X62" s="60">
        <f t="shared" si="19"/>
        <v>212.2</v>
      </c>
      <c r="Y62" s="60">
        <f t="shared" ref="Y62" si="20">SUM(Y59:Y61)</f>
        <v>292.2</v>
      </c>
      <c r="Z62" s="60">
        <f t="shared" ref="Z62:AA62" si="21">SUM(Z59:Z61)</f>
        <v>282.2</v>
      </c>
      <c r="AA62" s="60">
        <f t="shared" si="21"/>
        <v>247.2</v>
      </c>
      <c r="AB62" s="60">
        <f t="shared" si="15"/>
        <v>177.9</v>
      </c>
      <c r="AC62" s="60">
        <f t="shared" si="15"/>
        <v>107.8</v>
      </c>
      <c r="AD62" s="60">
        <f t="shared" si="15"/>
        <v>67.8</v>
      </c>
      <c r="AE62" s="60">
        <f t="shared" si="15"/>
        <v>117.8</v>
      </c>
      <c r="AF62" s="60">
        <f t="shared" si="15"/>
        <v>87.8</v>
      </c>
      <c r="AG62" s="61">
        <f t="shared" si="15"/>
        <v>538.1</v>
      </c>
      <c r="AH62" s="47">
        <f t="shared" si="2"/>
        <v>305</v>
      </c>
      <c r="AI62" s="48">
        <f t="shared" si="3"/>
        <v>45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40</v>
      </c>
      <c r="I63" s="45">
        <v>61</v>
      </c>
      <c r="J63" s="45">
        <v>71</v>
      </c>
      <c r="K63" s="45">
        <v>91.6</v>
      </c>
      <c r="L63" s="45">
        <v>91.6</v>
      </c>
      <c r="M63" s="45">
        <v>101.25</v>
      </c>
      <c r="N63" s="45">
        <v>80</v>
      </c>
      <c r="O63" s="45">
        <v>60</v>
      </c>
      <c r="P63" s="45">
        <v>96</v>
      </c>
      <c r="Q63" s="45">
        <v>126</v>
      </c>
      <c r="R63" s="45">
        <v>60</v>
      </c>
      <c r="S63" s="45">
        <v>61.5</v>
      </c>
      <c r="T63" s="45">
        <v>71.400000000000006</v>
      </c>
      <c r="U63" s="45">
        <v>71.5</v>
      </c>
      <c r="V63" s="45">
        <v>61.1</v>
      </c>
      <c r="W63" s="45">
        <v>61.1</v>
      </c>
      <c r="X63" s="45">
        <v>112</v>
      </c>
      <c r="Y63" s="45">
        <v>111.8</v>
      </c>
      <c r="Z63" s="45">
        <v>142.19999999999999</v>
      </c>
      <c r="AA63" s="45">
        <v>141.1</v>
      </c>
      <c r="AB63" s="45">
        <v>140.6</v>
      </c>
      <c r="AC63" s="45">
        <v>64.7</v>
      </c>
      <c r="AD63" s="45">
        <v>57.2</v>
      </c>
      <c r="AE63" s="45">
        <v>30</v>
      </c>
      <c r="AF63" s="45">
        <v>0</v>
      </c>
      <c r="AG63" s="52">
        <v>144</v>
      </c>
      <c r="AH63" s="47">
        <f t="shared" si="2"/>
        <v>142.19999999999999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25</v>
      </c>
      <c r="G64" s="65">
        <v>25</v>
      </c>
      <c r="H64" s="65">
        <v>25</v>
      </c>
      <c r="I64" s="65">
        <v>50</v>
      </c>
      <c r="J64" s="65">
        <v>45</v>
      </c>
      <c r="K64" s="65">
        <v>45</v>
      </c>
      <c r="L64" s="65">
        <v>45</v>
      </c>
      <c r="M64" s="65">
        <v>45</v>
      </c>
      <c r="N64" s="65">
        <v>30</v>
      </c>
      <c r="O64" s="65">
        <v>25</v>
      </c>
      <c r="P64" s="65">
        <v>35</v>
      </c>
      <c r="Q64" s="65">
        <v>50</v>
      </c>
      <c r="R64" s="65">
        <v>25</v>
      </c>
      <c r="S64" s="65">
        <v>25</v>
      </c>
      <c r="T64" s="65">
        <v>25</v>
      </c>
      <c r="U64" s="65">
        <v>25</v>
      </c>
      <c r="V64" s="65">
        <v>25</v>
      </c>
      <c r="W64" s="65">
        <v>0</v>
      </c>
      <c r="X64" s="65">
        <v>25</v>
      </c>
      <c r="Y64" s="65">
        <v>60</v>
      </c>
      <c r="Z64" s="65">
        <v>60</v>
      </c>
      <c r="AA64" s="65">
        <v>60</v>
      </c>
      <c r="AB64" s="45">
        <v>47</v>
      </c>
      <c r="AC64" s="45">
        <v>30</v>
      </c>
      <c r="AD64" s="65">
        <v>23</v>
      </c>
      <c r="AE64" s="45">
        <v>23</v>
      </c>
      <c r="AF64" s="45">
        <v>0</v>
      </c>
      <c r="AG64" s="55">
        <v>70</v>
      </c>
      <c r="AH64" s="47">
        <f t="shared" si="2"/>
        <v>60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45</v>
      </c>
      <c r="C65" s="65">
        <v>45</v>
      </c>
      <c r="D65" s="65">
        <v>45</v>
      </c>
      <c r="E65" s="65">
        <v>0</v>
      </c>
      <c r="F65" s="65">
        <v>0</v>
      </c>
      <c r="G65" s="65">
        <v>0</v>
      </c>
      <c r="H65" s="65">
        <v>23.7</v>
      </c>
      <c r="I65" s="65">
        <v>23.7</v>
      </c>
      <c r="J65" s="65">
        <v>35</v>
      </c>
      <c r="K65" s="65">
        <v>35</v>
      </c>
      <c r="L65" s="65">
        <v>35</v>
      </c>
      <c r="M65" s="65">
        <v>43.4</v>
      </c>
      <c r="N65" s="65">
        <v>24</v>
      </c>
      <c r="O65" s="65">
        <v>18</v>
      </c>
      <c r="P65" s="65">
        <v>17.7</v>
      </c>
      <c r="Q65" s="65">
        <v>17.7</v>
      </c>
      <c r="R65" s="65">
        <v>17.7</v>
      </c>
      <c r="S65" s="65">
        <v>17.8</v>
      </c>
      <c r="T65" s="65">
        <v>39.5</v>
      </c>
      <c r="U65" s="65">
        <v>46.2</v>
      </c>
      <c r="V65" s="65">
        <v>35.200000000000003</v>
      </c>
      <c r="W65" s="65">
        <v>35.200000000000003</v>
      </c>
      <c r="X65" s="65">
        <v>58.8</v>
      </c>
      <c r="Y65" s="65">
        <v>67.900000000000006</v>
      </c>
      <c r="Z65" s="65">
        <v>67.900000000000006</v>
      </c>
      <c r="AA65" s="65">
        <v>66.5</v>
      </c>
      <c r="AB65" s="45">
        <v>66.5</v>
      </c>
      <c r="AC65" s="45">
        <v>35.799999999999997</v>
      </c>
      <c r="AD65" s="65">
        <v>35</v>
      </c>
      <c r="AE65" s="45">
        <v>35.1</v>
      </c>
      <c r="AF65" s="45">
        <v>22.8</v>
      </c>
      <c r="AG65" s="55">
        <v>69</v>
      </c>
      <c r="AH65" s="47">
        <f t="shared" si="2"/>
        <v>67.900000000000006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37</v>
      </c>
      <c r="C66" s="65">
        <v>37</v>
      </c>
      <c r="D66" s="65">
        <v>37</v>
      </c>
      <c r="E66" s="65">
        <v>37</v>
      </c>
      <c r="F66" s="65">
        <v>37</v>
      </c>
      <c r="G66" s="65">
        <v>37</v>
      </c>
      <c r="H66" s="65">
        <v>37</v>
      </c>
      <c r="I66" s="65">
        <v>37</v>
      </c>
      <c r="J66" s="65">
        <v>37</v>
      </c>
      <c r="K66" s="65">
        <v>37</v>
      </c>
      <c r="L66" s="65">
        <v>37</v>
      </c>
      <c r="M66" s="65">
        <v>38.5</v>
      </c>
      <c r="N66" s="65">
        <v>38.5</v>
      </c>
      <c r="O66" s="65">
        <v>38.5</v>
      </c>
      <c r="P66" s="65">
        <v>38.5</v>
      </c>
      <c r="Q66" s="65">
        <v>38.5</v>
      </c>
      <c r="R66" s="65">
        <v>38.5</v>
      </c>
      <c r="S66" s="65">
        <v>37.799999999999997</v>
      </c>
      <c r="T66" s="65">
        <v>37.799999999999997</v>
      </c>
      <c r="U66" s="65">
        <v>37.799999999999997</v>
      </c>
      <c r="V66" s="65">
        <v>37.799999999999997</v>
      </c>
      <c r="W66" s="65">
        <v>37.799999999999997</v>
      </c>
      <c r="X66" s="65">
        <v>35</v>
      </c>
      <c r="Y66" s="65">
        <v>35</v>
      </c>
      <c r="Z66" s="65">
        <v>35</v>
      </c>
      <c r="AA66" s="65">
        <v>37.1</v>
      </c>
      <c r="AB66" s="45">
        <v>37.299999999999997</v>
      </c>
      <c r="AC66" s="45">
        <v>37.1</v>
      </c>
      <c r="AD66" s="65">
        <v>37.299999999999997</v>
      </c>
      <c r="AE66" s="65">
        <v>37.299999999999997</v>
      </c>
      <c r="AF66" s="45">
        <v>41.3</v>
      </c>
      <c r="AG66" s="55">
        <v>60</v>
      </c>
      <c r="AH66" s="47">
        <f t="shared" si="2"/>
        <v>41.3</v>
      </c>
      <c r="AI66" s="48">
        <f t="shared" si="3"/>
        <v>35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10</v>
      </c>
      <c r="G67" s="65">
        <v>10</v>
      </c>
      <c r="H67" s="65">
        <v>15</v>
      </c>
      <c r="I67" s="65">
        <v>15</v>
      </c>
      <c r="J67" s="65">
        <v>23</v>
      </c>
      <c r="K67" s="65">
        <v>30</v>
      </c>
      <c r="L67" s="65">
        <v>30</v>
      </c>
      <c r="M67" s="65">
        <v>29</v>
      </c>
      <c r="N67" s="65">
        <v>29</v>
      </c>
      <c r="O67" s="65">
        <v>0</v>
      </c>
      <c r="P67" s="65">
        <v>0</v>
      </c>
      <c r="Q67" s="65">
        <v>10</v>
      </c>
      <c r="R67" s="65">
        <v>10</v>
      </c>
      <c r="S67" s="65">
        <v>10</v>
      </c>
      <c r="T67" s="65">
        <v>10</v>
      </c>
      <c r="U67" s="65">
        <v>10</v>
      </c>
      <c r="V67" s="65">
        <v>0</v>
      </c>
      <c r="W67" s="65">
        <v>0</v>
      </c>
      <c r="X67" s="65">
        <v>10</v>
      </c>
      <c r="Y67" s="65">
        <v>15</v>
      </c>
      <c r="Z67" s="65">
        <v>27</v>
      </c>
      <c r="AA67" s="65">
        <v>15</v>
      </c>
      <c r="AB67" s="45">
        <v>10</v>
      </c>
      <c r="AC67" s="45">
        <v>0</v>
      </c>
      <c r="AD67" s="65">
        <v>0</v>
      </c>
      <c r="AE67" s="65">
        <v>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1.4</v>
      </c>
      <c r="M68" s="65">
        <v>4.7</v>
      </c>
      <c r="N68" s="65">
        <v>4.7</v>
      </c>
      <c r="O68" s="65">
        <v>13.6</v>
      </c>
      <c r="P68" s="65">
        <v>16.899999999999999</v>
      </c>
      <c r="Q68" s="65">
        <v>16.899999999999999</v>
      </c>
      <c r="R68" s="65">
        <v>16.899999999999999</v>
      </c>
      <c r="S68" s="65">
        <v>14.8</v>
      </c>
      <c r="T68" s="65">
        <v>10.9</v>
      </c>
      <c r="U68" s="65">
        <v>5.9</v>
      </c>
      <c r="V68" s="65">
        <v>0.8</v>
      </c>
      <c r="W68" s="65">
        <v>0.8</v>
      </c>
      <c r="X68" s="65">
        <v>0</v>
      </c>
      <c r="Y68" s="65">
        <v>0</v>
      </c>
      <c r="Z68" s="65">
        <v>0</v>
      </c>
      <c r="AA68" s="65">
        <v>0</v>
      </c>
      <c r="AB68" s="45">
        <v>0</v>
      </c>
      <c r="AC68" s="45">
        <v>0</v>
      </c>
      <c r="AD68" s="65">
        <v>0</v>
      </c>
      <c r="AE68" s="65">
        <v>0</v>
      </c>
      <c r="AF68" s="45">
        <v>0</v>
      </c>
      <c r="AG68" s="55">
        <v>25</v>
      </c>
      <c r="AH68" s="47">
        <f t="shared" si="2"/>
        <v>16.899999999999999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0</v>
      </c>
      <c r="R70" s="65">
        <v>0</v>
      </c>
      <c r="S70" s="65">
        <v>0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8.4</v>
      </c>
      <c r="C71" s="65">
        <v>8.4</v>
      </c>
      <c r="D71" s="65">
        <v>8.4</v>
      </c>
      <c r="E71" s="65">
        <v>8.4</v>
      </c>
      <c r="F71" s="65">
        <v>8.4</v>
      </c>
      <c r="G71" s="65">
        <v>8.4</v>
      </c>
      <c r="H71" s="65">
        <v>8.4</v>
      </c>
      <c r="I71" s="65">
        <v>8.4</v>
      </c>
      <c r="J71" s="65">
        <v>8.4</v>
      </c>
      <c r="K71" s="65">
        <v>8.4</v>
      </c>
      <c r="L71" s="65">
        <v>8.4</v>
      </c>
      <c r="M71" s="65">
        <v>8.4</v>
      </c>
      <c r="N71" s="65">
        <v>8.4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10.8</v>
      </c>
      <c r="AE71" s="65">
        <v>10.8</v>
      </c>
      <c r="AF71" s="65">
        <v>10.8</v>
      </c>
      <c r="AG71" s="55">
        <v>14.1</v>
      </c>
      <c r="AH71" s="47">
        <f t="shared" si="2"/>
        <v>10.8</v>
      </c>
      <c r="AI71" s="48">
        <f t="shared" si="3"/>
        <v>8.4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2"/>
        <v>3.4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2.5</v>
      </c>
      <c r="C73" s="65">
        <v>2.5</v>
      </c>
      <c r="D73" s="65">
        <v>2.5</v>
      </c>
      <c r="E73" s="65">
        <v>2.5</v>
      </c>
      <c r="F73" s="65">
        <v>2.5</v>
      </c>
      <c r="G73" s="65">
        <v>2.5</v>
      </c>
      <c r="H73" s="65">
        <v>2.5</v>
      </c>
      <c r="I73" s="65">
        <v>2.5</v>
      </c>
      <c r="J73" s="65">
        <v>2.5</v>
      </c>
      <c r="K73" s="65">
        <v>2.5</v>
      </c>
      <c r="L73" s="65">
        <v>2.5</v>
      </c>
      <c r="M73" s="65">
        <v>2.5</v>
      </c>
      <c r="N73" s="65">
        <v>2.5</v>
      </c>
      <c r="O73" s="65">
        <v>2.5</v>
      </c>
      <c r="P73" s="65">
        <v>2.5</v>
      </c>
      <c r="Q73" s="65">
        <v>2.5</v>
      </c>
      <c r="R73" s="65">
        <v>2.5</v>
      </c>
      <c r="S73" s="65">
        <v>2.5</v>
      </c>
      <c r="T73" s="65">
        <v>2.5</v>
      </c>
      <c r="U73" s="65">
        <v>2.5</v>
      </c>
      <c r="V73" s="65">
        <v>2.5</v>
      </c>
      <c r="W73" s="65">
        <v>2.5</v>
      </c>
      <c r="X73" s="65">
        <v>2.5</v>
      </c>
      <c r="Y73" s="65">
        <v>2.5</v>
      </c>
      <c r="Z73" s="65">
        <v>2.5</v>
      </c>
      <c r="AA73" s="65">
        <v>2.5</v>
      </c>
      <c r="AB73" s="65">
        <v>2.5</v>
      </c>
      <c r="AC73" s="65">
        <v>2.5</v>
      </c>
      <c r="AD73" s="65">
        <v>2.5</v>
      </c>
      <c r="AE73" s="65">
        <v>2.5</v>
      </c>
      <c r="AF73" s="65">
        <v>2.5</v>
      </c>
      <c r="AG73" s="55">
        <v>10.050000000000001</v>
      </c>
      <c r="AH73" s="47">
        <f t="shared" si="2"/>
        <v>2.5</v>
      </c>
      <c r="AI73" s="48">
        <f t="shared" si="3"/>
        <v>2.5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2">SUM(B63:B75)</f>
        <v>120.74000000000001</v>
      </c>
      <c r="C76" s="60">
        <f t="shared" si="22"/>
        <v>120.74000000000001</v>
      </c>
      <c r="D76" s="60">
        <f t="shared" ref="D76" si="23">SUM(D63:D75)</f>
        <v>120.74000000000001</v>
      </c>
      <c r="E76" s="60">
        <f t="shared" ref="E76:AG76" si="24">SUM(E63:E75)</f>
        <v>75.740000000000009</v>
      </c>
      <c r="F76" s="60">
        <f t="shared" si="24"/>
        <v>110.74000000000001</v>
      </c>
      <c r="G76" s="60">
        <f t="shared" si="24"/>
        <v>110.74000000000001</v>
      </c>
      <c r="H76" s="60">
        <f t="shared" si="24"/>
        <v>179.44</v>
      </c>
      <c r="I76" s="60">
        <f t="shared" si="24"/>
        <v>225.44</v>
      </c>
      <c r="J76" s="60">
        <f t="shared" si="24"/>
        <v>249.74</v>
      </c>
      <c r="K76" s="60">
        <f t="shared" si="24"/>
        <v>277.34000000000003</v>
      </c>
      <c r="L76" s="60">
        <f t="shared" si="24"/>
        <v>278.74</v>
      </c>
      <c r="M76" s="60">
        <f t="shared" si="24"/>
        <v>300.58999999999997</v>
      </c>
      <c r="N76" s="60">
        <f t="shared" si="24"/>
        <v>244.94</v>
      </c>
      <c r="O76" s="60">
        <f t="shared" si="24"/>
        <v>195.34</v>
      </c>
      <c r="P76" s="60">
        <f t="shared" si="24"/>
        <v>244.34</v>
      </c>
      <c r="Q76" s="60">
        <f t="shared" si="24"/>
        <v>295.33999999999997</v>
      </c>
      <c r="R76" s="60">
        <f t="shared" si="24"/>
        <v>204.34</v>
      </c>
      <c r="S76" s="60">
        <f t="shared" ref="S76:T76" si="25">SUM(S63:S75)</f>
        <v>203.14000000000001</v>
      </c>
      <c r="T76" s="60">
        <f t="shared" si="25"/>
        <v>234.84</v>
      </c>
      <c r="U76" s="60">
        <f t="shared" ref="U76:V76" si="26">SUM(U63:U75)</f>
        <v>236.64000000000001</v>
      </c>
      <c r="V76" s="60">
        <f t="shared" si="26"/>
        <v>200.14000000000001</v>
      </c>
      <c r="W76" s="60">
        <f t="shared" ref="W76:X76" si="27">SUM(W63:W75)</f>
        <v>175.14000000000004</v>
      </c>
      <c r="X76" s="60">
        <f t="shared" si="27"/>
        <v>281.04000000000002</v>
      </c>
      <c r="Y76" s="60">
        <f t="shared" ref="Y76" si="28">SUM(Y63:Y75)</f>
        <v>329.94000000000005</v>
      </c>
      <c r="Z76" s="60">
        <f t="shared" ref="Z76:AA76" si="29">SUM(Z63:Z75)</f>
        <v>372.34000000000003</v>
      </c>
      <c r="AA76" s="60">
        <f t="shared" si="29"/>
        <v>359.94000000000005</v>
      </c>
      <c r="AB76" s="60">
        <f t="shared" si="24"/>
        <v>341.64</v>
      </c>
      <c r="AC76" s="60">
        <f t="shared" si="24"/>
        <v>207.84</v>
      </c>
      <c r="AD76" s="60">
        <f t="shared" si="24"/>
        <v>193.74</v>
      </c>
      <c r="AE76" s="60">
        <f t="shared" si="24"/>
        <v>166.64</v>
      </c>
      <c r="AF76" s="60">
        <f t="shared" si="24"/>
        <v>105.34</v>
      </c>
      <c r="AG76" s="61">
        <f t="shared" si="24"/>
        <v>489.91</v>
      </c>
      <c r="AH76" s="47">
        <f t="shared" si="2"/>
        <v>372.34000000000003</v>
      </c>
      <c r="AI76" s="48">
        <f t="shared" si="3"/>
        <v>75.740000000000009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0">B77+B78+B79</f>
        <v>0</v>
      </c>
      <c r="C80" s="60">
        <f t="shared" si="30"/>
        <v>0</v>
      </c>
      <c r="D80" s="60">
        <f t="shared" ref="D80" si="31">D77+D78+D79</f>
        <v>0</v>
      </c>
      <c r="E80" s="60">
        <f t="shared" ref="E80:AF80" si="32">E77+E78+E79</f>
        <v>0</v>
      </c>
      <c r="F80" s="60">
        <f t="shared" si="32"/>
        <v>0</v>
      </c>
      <c r="G80" s="60">
        <f t="shared" si="32"/>
        <v>0</v>
      </c>
      <c r="H80" s="60">
        <f t="shared" si="32"/>
        <v>0</v>
      </c>
      <c r="I80" s="60">
        <f t="shared" si="32"/>
        <v>0</v>
      </c>
      <c r="J80" s="60">
        <f t="shared" si="32"/>
        <v>0</v>
      </c>
      <c r="K80" s="60">
        <f t="shared" si="32"/>
        <v>0</v>
      </c>
      <c r="L80" s="60">
        <f t="shared" si="32"/>
        <v>0</v>
      </c>
      <c r="M80" s="60">
        <f t="shared" si="32"/>
        <v>0</v>
      </c>
      <c r="N80" s="60">
        <f t="shared" si="32"/>
        <v>0</v>
      </c>
      <c r="O80" s="60">
        <f t="shared" si="32"/>
        <v>0</v>
      </c>
      <c r="P80" s="60">
        <f t="shared" si="32"/>
        <v>0</v>
      </c>
      <c r="Q80" s="60">
        <f t="shared" si="32"/>
        <v>0</v>
      </c>
      <c r="R80" s="60">
        <f t="shared" si="32"/>
        <v>0</v>
      </c>
      <c r="S80" s="60">
        <f t="shared" ref="S80:T80" si="33">S77+S78+S79</f>
        <v>0</v>
      </c>
      <c r="T80" s="60">
        <f t="shared" si="33"/>
        <v>0</v>
      </c>
      <c r="U80" s="60">
        <f t="shared" ref="U80:V80" si="34">U77+U78+U79</f>
        <v>0</v>
      </c>
      <c r="V80" s="60">
        <f t="shared" si="34"/>
        <v>0</v>
      </c>
      <c r="W80" s="60">
        <f t="shared" ref="W80:X80" si="35">W77+W78+W79</f>
        <v>0</v>
      </c>
      <c r="X80" s="60">
        <f t="shared" si="35"/>
        <v>0</v>
      </c>
      <c r="Y80" s="60">
        <f t="shared" ref="Y80" si="36">Y77+Y78+Y79</f>
        <v>0</v>
      </c>
      <c r="Z80" s="60">
        <f t="shared" ref="Z80:AA80" si="37">Z77+Z78+Z79</f>
        <v>0</v>
      </c>
      <c r="AA80" s="60">
        <f t="shared" si="37"/>
        <v>0</v>
      </c>
      <c r="AB80" s="60">
        <f t="shared" si="32"/>
        <v>0</v>
      </c>
      <c r="AC80" s="60">
        <f t="shared" si="32"/>
        <v>0</v>
      </c>
      <c r="AD80" s="60">
        <f t="shared" si="32"/>
        <v>0</v>
      </c>
      <c r="AE80" s="60">
        <f t="shared" si="32"/>
        <v>0</v>
      </c>
      <c r="AF80" s="60">
        <f t="shared" si="32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62</v>
      </c>
      <c r="C81" s="45">
        <v>65</v>
      </c>
      <c r="D81" s="45">
        <v>67</v>
      </c>
      <c r="E81" s="45">
        <v>69.599999999999994</v>
      </c>
      <c r="F81" s="45">
        <v>63.8</v>
      </c>
      <c r="G81" s="45">
        <v>64.2</v>
      </c>
      <c r="H81" s="45">
        <v>72.5</v>
      </c>
      <c r="I81" s="45">
        <v>72.599999999999994</v>
      </c>
      <c r="J81" s="45">
        <v>66</v>
      </c>
      <c r="K81" s="45">
        <v>62.3</v>
      </c>
      <c r="L81" s="45">
        <v>69.2</v>
      </c>
      <c r="M81" s="45">
        <v>62.5</v>
      </c>
      <c r="N81" s="45">
        <v>62</v>
      </c>
      <c r="O81" s="45">
        <v>59.6</v>
      </c>
      <c r="P81" s="45">
        <v>68.099999999999994</v>
      </c>
      <c r="Q81" s="45">
        <v>74</v>
      </c>
      <c r="R81" s="45">
        <v>62.8</v>
      </c>
      <c r="S81" s="45">
        <v>59.6</v>
      </c>
      <c r="T81" s="45">
        <v>61</v>
      </c>
      <c r="U81" s="45">
        <v>64.8</v>
      </c>
      <c r="V81" s="45">
        <v>68.099999999999994</v>
      </c>
      <c r="W81" s="45">
        <v>68.099999999999994</v>
      </c>
      <c r="X81" s="45">
        <v>60.4</v>
      </c>
      <c r="Y81" s="45">
        <v>63.7</v>
      </c>
      <c r="Z81" s="45">
        <v>56.9</v>
      </c>
      <c r="AA81" s="45">
        <v>53</v>
      </c>
      <c r="AB81" s="45">
        <v>50.082999999999998</v>
      </c>
      <c r="AC81" s="45">
        <v>69.7</v>
      </c>
      <c r="AD81" s="45">
        <v>47.7</v>
      </c>
      <c r="AE81" s="45">
        <v>61</v>
      </c>
      <c r="AF81" s="45">
        <v>60.7</v>
      </c>
      <c r="AG81" s="52"/>
      <c r="AH81" s="47">
        <f t="shared" si="2"/>
        <v>74</v>
      </c>
      <c r="AI81" s="48">
        <f t="shared" si="3"/>
        <v>47.7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390</v>
      </c>
      <c r="C83" s="65">
        <v>420</v>
      </c>
      <c r="D83" s="65">
        <v>400</v>
      </c>
      <c r="E83" s="65">
        <v>388</v>
      </c>
      <c r="F83" s="65">
        <v>391.7</v>
      </c>
      <c r="G83" s="65">
        <v>420</v>
      </c>
      <c r="H83" s="65">
        <v>402</v>
      </c>
      <c r="I83" s="65">
        <v>372.1</v>
      </c>
      <c r="J83" s="65">
        <v>400</v>
      </c>
      <c r="K83" s="65">
        <v>202</v>
      </c>
      <c r="L83" s="65">
        <v>263</v>
      </c>
      <c r="M83" s="65">
        <v>234</v>
      </c>
      <c r="N83" s="65">
        <v>200</v>
      </c>
      <c r="O83" s="65">
        <v>395</v>
      </c>
      <c r="P83" s="65">
        <v>388</v>
      </c>
      <c r="Q83" s="65">
        <v>415</v>
      </c>
      <c r="R83" s="65">
        <v>426</v>
      </c>
      <c r="S83" s="65">
        <v>423.3</v>
      </c>
      <c r="T83" s="65">
        <v>424.2</v>
      </c>
      <c r="U83" s="65">
        <v>462.1</v>
      </c>
      <c r="V83" s="65">
        <v>402</v>
      </c>
      <c r="W83" s="65">
        <v>402</v>
      </c>
      <c r="X83" s="65">
        <v>201</v>
      </c>
      <c r="Y83" s="65">
        <v>202.1</v>
      </c>
      <c r="Z83" s="65">
        <v>154</v>
      </c>
      <c r="AA83" s="65">
        <v>173.6</v>
      </c>
      <c r="AB83" s="65">
        <v>197.7</v>
      </c>
      <c r="AC83" s="65">
        <v>322</v>
      </c>
      <c r="AD83" s="65">
        <v>368.4</v>
      </c>
      <c r="AE83" s="65">
        <v>368</v>
      </c>
      <c r="AF83" s="65">
        <v>391.1</v>
      </c>
      <c r="AG83" s="75"/>
      <c r="AH83" s="47">
        <f t="shared" si="2"/>
        <v>462.1</v>
      </c>
      <c r="AI83" s="48">
        <f t="shared" si="3"/>
        <v>154</v>
      </c>
      <c r="AK83" s="50"/>
    </row>
    <row r="84" spans="1:40" x14ac:dyDescent="0.25">
      <c r="A84" s="54" t="s">
        <v>84</v>
      </c>
      <c r="B84" s="65">
        <v>60</v>
      </c>
      <c r="C84" s="65">
        <v>60</v>
      </c>
      <c r="D84" s="65">
        <v>60</v>
      </c>
      <c r="E84" s="76">
        <v>57</v>
      </c>
      <c r="F84" s="76">
        <v>54</v>
      </c>
      <c r="G84" s="76">
        <v>52</v>
      </c>
      <c r="H84" s="76">
        <v>48</v>
      </c>
      <c r="I84" s="76">
        <v>48</v>
      </c>
      <c r="J84" s="76">
        <v>42</v>
      </c>
      <c r="K84" s="76">
        <v>25</v>
      </c>
      <c r="L84" s="76">
        <v>25</v>
      </c>
      <c r="M84" s="76">
        <v>28</v>
      </c>
      <c r="N84" s="76">
        <v>29.6</v>
      </c>
      <c r="O84" s="76">
        <v>30.2</v>
      </c>
      <c r="P84" s="76">
        <v>42</v>
      </c>
      <c r="Q84" s="76">
        <v>48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65">
        <v>0</v>
      </c>
      <c r="AE84" s="76">
        <v>0</v>
      </c>
      <c r="AF84" s="76">
        <v>0</v>
      </c>
      <c r="AG84" s="75"/>
      <c r="AH84" s="47">
        <f t="shared" si="2"/>
        <v>60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22</v>
      </c>
      <c r="C85" s="45">
        <v>23</v>
      </c>
      <c r="D85" s="45">
        <v>22</v>
      </c>
      <c r="E85" s="45">
        <v>24</v>
      </c>
      <c r="F85" s="45">
        <v>22.4</v>
      </c>
      <c r="G85" s="45">
        <v>24</v>
      </c>
      <c r="H85" s="45">
        <v>22</v>
      </c>
      <c r="I85" s="45">
        <v>22.2</v>
      </c>
      <c r="J85" s="45">
        <v>24</v>
      </c>
      <c r="K85" s="45">
        <v>25</v>
      </c>
      <c r="L85" s="45">
        <v>25</v>
      </c>
      <c r="M85" s="45">
        <v>13</v>
      </c>
      <c r="N85" s="45">
        <v>32</v>
      </c>
      <c r="O85" s="45">
        <v>32.6</v>
      </c>
      <c r="P85" s="45">
        <v>32.6</v>
      </c>
      <c r="Q85" s="45">
        <v>32</v>
      </c>
      <c r="R85" s="45">
        <v>90</v>
      </c>
      <c r="S85" s="45">
        <f>57.4*2</f>
        <v>114.8</v>
      </c>
      <c r="T85" s="45">
        <v>120.8</v>
      </c>
      <c r="U85" s="45">
        <f>60.6*2</f>
        <v>121.2</v>
      </c>
      <c r="V85" s="45">
        <v>56.4</v>
      </c>
      <c r="W85" s="45">
        <v>56.4</v>
      </c>
      <c r="X85" s="45">
        <v>29.6</v>
      </c>
      <c r="Y85" s="45">
        <v>31.6</v>
      </c>
      <c r="Z85" s="45">
        <v>31</v>
      </c>
      <c r="AA85" s="45">
        <v>43.4</v>
      </c>
      <c r="AB85" s="45">
        <v>54.8</v>
      </c>
      <c r="AC85" s="45">
        <v>60</v>
      </c>
      <c r="AD85" s="45">
        <v>80</v>
      </c>
      <c r="AE85" s="45">
        <v>110</v>
      </c>
      <c r="AF85" s="45">
        <v>102</v>
      </c>
      <c r="AG85" s="75"/>
      <c r="AH85" s="47">
        <f t="shared" ref="AH85:AH130" si="38">MAX(B85:AF85)</f>
        <v>121.2</v>
      </c>
      <c r="AI85" s="48">
        <f t="shared" ref="AI85:AI130" si="39">MIN(B85:AF85)</f>
        <v>13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8"/>
        <v>0</v>
      </c>
      <c r="AI86" s="48">
        <f t="shared" si="39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8"/>
        <v>0</v>
      </c>
      <c r="AI87" s="48">
        <f t="shared" si="39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8"/>
        <v>0</v>
      </c>
      <c r="AI88" s="48">
        <f t="shared" si="39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8"/>
        <v>0</v>
      </c>
      <c r="AI89" s="48">
        <f t="shared" si="39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8"/>
        <v>0</v>
      </c>
      <c r="AI90" s="48">
        <f t="shared" si="39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49</v>
      </c>
      <c r="I91" s="77">
        <v>45.6</v>
      </c>
      <c r="J91" s="77">
        <v>77</v>
      </c>
      <c r="K91" s="77">
        <v>73.400000000000006</v>
      </c>
      <c r="L91" s="77">
        <v>77.099999999999994</v>
      </c>
      <c r="M91" s="77">
        <v>74.400000000000006</v>
      </c>
      <c r="N91" s="77">
        <v>71</v>
      </c>
      <c r="O91" s="77">
        <v>74.5</v>
      </c>
      <c r="P91" s="77">
        <v>79.3</v>
      </c>
      <c r="Q91" s="77">
        <v>64.7</v>
      </c>
      <c r="R91" s="77">
        <v>66.2</v>
      </c>
      <c r="S91" s="77">
        <v>72.900000000000006</v>
      </c>
      <c r="T91" s="77">
        <v>75.900000000000006</v>
      </c>
      <c r="U91" s="77">
        <v>70</v>
      </c>
      <c r="V91" s="77">
        <v>60.1</v>
      </c>
      <c r="W91" s="77">
        <v>60.1</v>
      </c>
      <c r="X91" s="77">
        <v>69.5</v>
      </c>
      <c r="Y91" s="77">
        <v>80</v>
      </c>
      <c r="Z91" s="77">
        <v>71</v>
      </c>
      <c r="AA91" s="77">
        <v>68.7</v>
      </c>
      <c r="AB91" s="77">
        <v>66</v>
      </c>
      <c r="AC91" s="77">
        <v>65.8</v>
      </c>
      <c r="AD91" s="77">
        <v>69.400000000000006</v>
      </c>
      <c r="AE91" s="77">
        <v>72.099999999999994</v>
      </c>
      <c r="AF91" s="77">
        <v>67.5</v>
      </c>
      <c r="AG91" s="85"/>
      <c r="AH91" s="47">
        <f t="shared" si="38"/>
        <v>80</v>
      </c>
      <c r="AI91" s="48">
        <f t="shared" si="39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40">SUMIF(B81:B91,"&gt;0")</f>
        <v>534</v>
      </c>
      <c r="C92" s="60">
        <f t="shared" si="40"/>
        <v>568</v>
      </c>
      <c r="D92" s="60">
        <f t="shared" ref="D92" si="41">SUMIF(D81:D91,"&gt;0")</f>
        <v>549</v>
      </c>
      <c r="E92" s="60">
        <f t="shared" ref="E92:AF92" si="42">SUMIF(E81:E91,"&gt;0")</f>
        <v>538.6</v>
      </c>
      <c r="F92" s="60">
        <f t="shared" si="42"/>
        <v>531.9</v>
      </c>
      <c r="G92" s="60">
        <f t="shared" si="42"/>
        <v>560.20000000000005</v>
      </c>
      <c r="H92" s="60">
        <f t="shared" si="42"/>
        <v>593.5</v>
      </c>
      <c r="I92" s="60">
        <f t="shared" si="42"/>
        <v>560.50000000000011</v>
      </c>
      <c r="J92" s="60">
        <f t="shared" si="42"/>
        <v>609</v>
      </c>
      <c r="K92" s="60">
        <f t="shared" si="42"/>
        <v>387.70000000000005</v>
      </c>
      <c r="L92" s="60">
        <f t="shared" si="42"/>
        <v>459.29999999999995</v>
      </c>
      <c r="M92" s="60">
        <f t="shared" si="42"/>
        <v>411.9</v>
      </c>
      <c r="N92" s="60">
        <f t="shared" si="42"/>
        <v>394.6</v>
      </c>
      <c r="O92" s="60">
        <f t="shared" si="42"/>
        <v>591.9</v>
      </c>
      <c r="P92" s="60">
        <f t="shared" si="42"/>
        <v>610</v>
      </c>
      <c r="Q92" s="60">
        <f t="shared" si="42"/>
        <v>633.70000000000005</v>
      </c>
      <c r="R92" s="60">
        <f t="shared" si="42"/>
        <v>645</v>
      </c>
      <c r="S92" s="60">
        <f t="shared" ref="S92:T92" si="43">SUMIF(S81:S91,"&gt;0")</f>
        <v>670.6</v>
      </c>
      <c r="T92" s="60">
        <f t="shared" si="43"/>
        <v>681.9</v>
      </c>
      <c r="U92" s="60">
        <f t="shared" ref="U92:V92" si="44">SUMIF(U81:U91,"&gt;0")</f>
        <v>718.1</v>
      </c>
      <c r="V92" s="60">
        <f t="shared" si="44"/>
        <v>586.6</v>
      </c>
      <c r="W92" s="60">
        <f t="shared" ref="W92:X92" si="45">SUMIF(W81:W91,"&gt;0")</f>
        <v>586.6</v>
      </c>
      <c r="X92" s="60">
        <f t="shared" si="45"/>
        <v>360.5</v>
      </c>
      <c r="Y92" s="60">
        <f t="shared" ref="Y92" si="46">SUMIF(Y81:Y91,"&gt;0")</f>
        <v>377.40000000000003</v>
      </c>
      <c r="Z92" s="60">
        <f t="shared" ref="Z92:AA92" si="47">SUMIF(Z81:Z91,"&gt;0")</f>
        <v>312.89999999999998</v>
      </c>
      <c r="AA92" s="60">
        <f t="shared" si="47"/>
        <v>338.7</v>
      </c>
      <c r="AB92" s="60">
        <f t="shared" si="42"/>
        <v>368.58299999999997</v>
      </c>
      <c r="AC92" s="60">
        <f t="shared" si="42"/>
        <v>517.5</v>
      </c>
      <c r="AD92" s="60">
        <f t="shared" si="42"/>
        <v>565.5</v>
      </c>
      <c r="AE92" s="60">
        <f t="shared" si="42"/>
        <v>611.1</v>
      </c>
      <c r="AF92" s="60">
        <f t="shared" si="42"/>
        <v>621.29999999999995</v>
      </c>
      <c r="AG92" s="88">
        <f>SUM(AG81:AG91)</f>
        <v>0</v>
      </c>
      <c r="AH92" s="47">
        <f t="shared" si="38"/>
        <v>718.1</v>
      </c>
      <c r="AI92" s="48">
        <f t="shared" si="39"/>
        <v>312.89999999999998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8"/>
        <v>0</v>
      </c>
      <c r="AI93" s="48">
        <f t="shared" si="39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8"/>
        <v>0</v>
      </c>
      <c r="AI94" s="48">
        <f t="shared" si="39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8"/>
        <v>0</v>
      </c>
      <c r="AI95" s="48">
        <f t="shared" si="39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8"/>
        <v>0</v>
      </c>
      <c r="AI96" s="48">
        <f t="shared" si="39"/>
        <v>0</v>
      </c>
    </row>
    <row r="97" spans="1:37" ht="15.75" thickBot="1" x14ac:dyDescent="0.3">
      <c r="A97" s="74" t="s">
        <v>99</v>
      </c>
      <c r="B97" s="95">
        <f t="shared" ref="B97:C97" si="48">B58+B62+B80+B76+B92+B96</f>
        <v>1185.3899999999999</v>
      </c>
      <c r="C97" s="95">
        <f t="shared" si="48"/>
        <v>1219.3899999999999</v>
      </c>
      <c r="D97" s="95">
        <f t="shared" ref="D97" si="49">D58+D62+D80+D76+D92+D96</f>
        <v>1200.3899999999999</v>
      </c>
      <c r="E97" s="95">
        <f t="shared" ref="E97:AG97" si="50">E58+E62+E80+E76+E92+E96</f>
        <v>1144.99</v>
      </c>
      <c r="F97" s="95">
        <f t="shared" si="50"/>
        <v>1173.29</v>
      </c>
      <c r="G97" s="95">
        <f t="shared" si="50"/>
        <v>1201.5900000000001</v>
      </c>
      <c r="H97" s="95">
        <f t="shared" si="50"/>
        <v>1353.59</v>
      </c>
      <c r="I97" s="95">
        <f t="shared" si="50"/>
        <v>1396.5900000000001</v>
      </c>
      <c r="J97" s="95">
        <f t="shared" si="50"/>
        <v>1449.3899999999999</v>
      </c>
      <c r="K97" s="95">
        <f t="shared" si="50"/>
        <v>1455.69</v>
      </c>
      <c r="L97" s="95">
        <f t="shared" si="50"/>
        <v>1528.6899999999998</v>
      </c>
      <c r="M97" s="95">
        <f t="shared" si="50"/>
        <v>1491.44</v>
      </c>
      <c r="N97" s="95">
        <f t="shared" si="50"/>
        <v>1258.4899999999998</v>
      </c>
      <c r="O97" s="95">
        <f t="shared" si="50"/>
        <v>1435.54</v>
      </c>
      <c r="P97" s="95">
        <f t="shared" si="50"/>
        <v>1453.1399999999999</v>
      </c>
      <c r="Q97" s="95">
        <f t="shared" si="50"/>
        <v>1467.84</v>
      </c>
      <c r="R97" s="95">
        <f t="shared" si="50"/>
        <v>1458.1399999999999</v>
      </c>
      <c r="S97" s="95">
        <f t="shared" ref="S97:T97" si="51">S58+S62+S80+S76+S92+S96</f>
        <v>1482.54</v>
      </c>
      <c r="T97" s="95">
        <f t="shared" si="51"/>
        <v>1525.54</v>
      </c>
      <c r="U97" s="95">
        <f t="shared" ref="U97:V97" si="52">U58+U62+U80+U76+U92+U96</f>
        <v>1543.54</v>
      </c>
      <c r="V97" s="95">
        <f t="shared" si="52"/>
        <v>1335.54</v>
      </c>
      <c r="W97" s="95">
        <f t="shared" ref="W97:X97" si="53">W58+W62+W80+W76+W92+W96</f>
        <v>1310.54</v>
      </c>
      <c r="X97" s="95">
        <f t="shared" si="53"/>
        <v>1335.34</v>
      </c>
      <c r="Y97" s="95">
        <f t="shared" ref="Y97" si="54">Y58+Y62+Y80+Y76+Y92+Y96</f>
        <v>1481.14</v>
      </c>
      <c r="Z97" s="95">
        <f t="shared" ref="Z97:AA97" si="55">Z58+Z62+Z80+Z76+Z92+Z96</f>
        <v>1449.04</v>
      </c>
      <c r="AA97" s="95">
        <f t="shared" si="55"/>
        <v>1427.44</v>
      </c>
      <c r="AB97" s="95">
        <f t="shared" si="50"/>
        <v>1372.2730000000001</v>
      </c>
      <c r="AC97" s="95">
        <f t="shared" si="50"/>
        <v>1317.29</v>
      </c>
      <c r="AD97" s="95">
        <f t="shared" si="50"/>
        <v>1311.19</v>
      </c>
      <c r="AE97" s="95">
        <f t="shared" si="50"/>
        <v>1379.69</v>
      </c>
      <c r="AF97" s="95">
        <f t="shared" si="50"/>
        <v>1299.9899999999998</v>
      </c>
      <c r="AG97" s="61">
        <f t="shared" si="50"/>
        <v>2231.81</v>
      </c>
      <c r="AH97" s="47">
        <f t="shared" si="38"/>
        <v>1543.54</v>
      </c>
      <c r="AI97" s="48">
        <f t="shared" si="39"/>
        <v>1144.99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100</v>
      </c>
      <c r="L98" s="97">
        <v>200</v>
      </c>
      <c r="M98" s="97"/>
      <c r="N98" s="97"/>
      <c r="O98" s="97"/>
      <c r="P98" s="97"/>
      <c r="Q98" s="97"/>
      <c r="R98" s="97"/>
      <c r="S98" s="97"/>
      <c r="T98" s="97"/>
      <c r="U98" s="97"/>
      <c r="V98" s="97">
        <v>250</v>
      </c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230</v>
      </c>
      <c r="AC98" s="97">
        <v>200</v>
      </c>
      <c r="AD98" s="97">
        <v>150</v>
      </c>
      <c r="AE98" s="97"/>
      <c r="AF98" s="97"/>
      <c r="AG98" s="88"/>
      <c r="AH98" s="47">
        <f t="shared" si="38"/>
        <v>250</v>
      </c>
      <c r="AI98" s="48">
        <f t="shared" si="39"/>
        <v>100</v>
      </c>
    </row>
    <row r="99" spans="1:37" ht="15.75" thickBot="1" x14ac:dyDescent="0.3">
      <c r="A99" s="74" t="s">
        <v>101</v>
      </c>
      <c r="B99" s="95">
        <f t="shared" ref="B99:C99" si="56">B97+B98</f>
        <v>1185.3899999999999</v>
      </c>
      <c r="C99" s="95">
        <f t="shared" si="56"/>
        <v>1219.3899999999999</v>
      </c>
      <c r="D99" s="95">
        <f t="shared" ref="D99" si="57">D97+D98</f>
        <v>1200.3899999999999</v>
      </c>
      <c r="E99" s="95">
        <f t="shared" ref="E99:AF99" si="58">E97+E98</f>
        <v>1144.99</v>
      </c>
      <c r="F99" s="95">
        <f t="shared" si="58"/>
        <v>1173.29</v>
      </c>
      <c r="G99" s="95">
        <f t="shared" si="58"/>
        <v>1201.5900000000001</v>
      </c>
      <c r="H99" s="95">
        <f t="shared" si="58"/>
        <v>1353.59</v>
      </c>
      <c r="I99" s="95">
        <f t="shared" si="58"/>
        <v>1396.5900000000001</v>
      </c>
      <c r="J99" s="95">
        <f t="shared" si="58"/>
        <v>1449.3899999999999</v>
      </c>
      <c r="K99" s="95">
        <f t="shared" si="58"/>
        <v>1555.69</v>
      </c>
      <c r="L99" s="95">
        <f t="shared" si="58"/>
        <v>1728.6899999999998</v>
      </c>
      <c r="M99" s="95">
        <f t="shared" si="58"/>
        <v>1491.44</v>
      </c>
      <c r="N99" s="95">
        <f t="shared" si="58"/>
        <v>1258.4899999999998</v>
      </c>
      <c r="O99" s="95">
        <f t="shared" si="58"/>
        <v>1435.54</v>
      </c>
      <c r="P99" s="95">
        <f t="shared" si="58"/>
        <v>1453.1399999999999</v>
      </c>
      <c r="Q99" s="95">
        <f t="shared" si="58"/>
        <v>1467.84</v>
      </c>
      <c r="R99" s="95">
        <f t="shared" si="58"/>
        <v>1458.1399999999999</v>
      </c>
      <c r="S99" s="95">
        <f t="shared" ref="S99:T99" si="59">S97+S98</f>
        <v>1482.54</v>
      </c>
      <c r="T99" s="95">
        <f t="shared" si="59"/>
        <v>1525.54</v>
      </c>
      <c r="U99" s="95">
        <f t="shared" ref="U99:V99" si="60">U97+U98</f>
        <v>1543.54</v>
      </c>
      <c r="V99" s="95">
        <f t="shared" si="60"/>
        <v>1585.54</v>
      </c>
      <c r="W99" s="95">
        <f t="shared" ref="W99:X99" si="61">W97+W98</f>
        <v>1560.54</v>
      </c>
      <c r="X99" s="95">
        <f t="shared" si="61"/>
        <v>1585.34</v>
      </c>
      <c r="Y99" s="95">
        <f t="shared" ref="Y99" si="62">Y97+Y98</f>
        <v>1731.14</v>
      </c>
      <c r="Z99" s="95">
        <f t="shared" ref="Z99:AA99" si="63">Z97+Z98</f>
        <v>1699.04</v>
      </c>
      <c r="AA99" s="95">
        <f t="shared" si="63"/>
        <v>1677.44</v>
      </c>
      <c r="AB99" s="95">
        <f t="shared" si="58"/>
        <v>1602.2730000000001</v>
      </c>
      <c r="AC99" s="95">
        <f t="shared" si="58"/>
        <v>1517.29</v>
      </c>
      <c r="AD99" s="95">
        <f t="shared" si="58"/>
        <v>1461.19</v>
      </c>
      <c r="AE99" s="95">
        <f t="shared" si="58"/>
        <v>1379.69</v>
      </c>
      <c r="AF99" s="95">
        <f t="shared" si="58"/>
        <v>1299.9899999999998</v>
      </c>
      <c r="AG99" s="88">
        <f>AG96+AG92+AG80+AG76+AG58+AG98</f>
        <v>1693.71</v>
      </c>
      <c r="AH99" s="47">
        <f t="shared" si="38"/>
        <v>1731.14</v>
      </c>
      <c r="AI99" s="48">
        <f t="shared" si="39"/>
        <v>1144.99</v>
      </c>
    </row>
    <row r="100" spans="1:37" ht="15.75" thickBot="1" x14ac:dyDescent="0.3">
      <c r="A100" s="74" t="s">
        <v>102</v>
      </c>
      <c r="B100" s="95">
        <f t="shared" ref="B100:C100" si="64">B99-(B107)</f>
        <v>1185.3899999999999</v>
      </c>
      <c r="C100" s="95">
        <f t="shared" si="64"/>
        <v>1219.3899999999999</v>
      </c>
      <c r="D100" s="95">
        <f t="shared" ref="D100" si="65">D99-(D107)</f>
        <v>1200.3899999999999</v>
      </c>
      <c r="E100" s="95">
        <f t="shared" ref="E100:M100" si="66">E99-(E107)</f>
        <v>1144.99</v>
      </c>
      <c r="F100" s="95">
        <f t="shared" si="66"/>
        <v>1173.29</v>
      </c>
      <c r="G100" s="95">
        <f t="shared" si="66"/>
        <v>1201.5900000000001</v>
      </c>
      <c r="H100" s="95">
        <f t="shared" si="66"/>
        <v>1353.59</v>
      </c>
      <c r="I100" s="95">
        <f t="shared" si="66"/>
        <v>1396.5900000000001</v>
      </c>
      <c r="J100" s="95">
        <f t="shared" si="66"/>
        <v>1449.3899999999999</v>
      </c>
      <c r="K100" s="95">
        <f t="shared" si="66"/>
        <v>1555.69</v>
      </c>
      <c r="L100" s="95">
        <f t="shared" si="66"/>
        <v>1728.6899999999998</v>
      </c>
      <c r="M100" s="95">
        <f t="shared" si="66"/>
        <v>1491.44</v>
      </c>
      <c r="N100" s="95">
        <f>N99-(N107)</f>
        <v>1258.4899999999998</v>
      </c>
      <c r="O100" s="95">
        <f t="shared" ref="O100:AF100" si="67">O99-(O107)</f>
        <v>1435.54</v>
      </c>
      <c r="P100" s="95">
        <f t="shared" si="67"/>
        <v>1453.1399999999999</v>
      </c>
      <c r="Q100" s="95">
        <f t="shared" si="67"/>
        <v>1467.84</v>
      </c>
      <c r="R100" s="95">
        <f t="shared" si="67"/>
        <v>1458.1399999999999</v>
      </c>
      <c r="S100" s="95">
        <f t="shared" ref="S100:T100" si="68">S99-(S107)</f>
        <v>1482.54</v>
      </c>
      <c r="T100" s="95">
        <f t="shared" si="68"/>
        <v>1525.54</v>
      </c>
      <c r="U100" s="95">
        <f t="shared" ref="U100:V100" si="69">U99-(U107)</f>
        <v>1543.54</v>
      </c>
      <c r="V100" s="95">
        <f t="shared" si="69"/>
        <v>1585.54</v>
      </c>
      <c r="W100" s="95">
        <f t="shared" ref="W100:X100" si="70">W99-(W107)</f>
        <v>1560.54</v>
      </c>
      <c r="X100" s="95">
        <f t="shared" si="70"/>
        <v>1585.34</v>
      </c>
      <c r="Y100" s="95">
        <f t="shared" ref="Y100" si="71">Y99-(Y107)</f>
        <v>1731.14</v>
      </c>
      <c r="Z100" s="95">
        <f t="shared" ref="Z100:AA100" si="72">Z99-(Z107)</f>
        <v>1699.04</v>
      </c>
      <c r="AA100" s="95">
        <f t="shared" si="72"/>
        <v>1676.44</v>
      </c>
      <c r="AB100" s="95">
        <f t="shared" si="67"/>
        <v>1602.2730000000001</v>
      </c>
      <c r="AC100" s="95">
        <f t="shared" si="67"/>
        <v>1517.29</v>
      </c>
      <c r="AD100" s="95">
        <f t="shared" si="67"/>
        <v>1461.19</v>
      </c>
      <c r="AE100" s="95">
        <f t="shared" si="67"/>
        <v>1379.69</v>
      </c>
      <c r="AF100" s="95">
        <f t="shared" si="67"/>
        <v>1299.9899999999998</v>
      </c>
      <c r="AG100" s="88"/>
      <c r="AH100" s="47">
        <f t="shared" si="38"/>
        <v>1731.14</v>
      </c>
      <c r="AI100" s="48">
        <f t="shared" si="39"/>
        <v>1144.99</v>
      </c>
    </row>
    <row r="101" spans="1:37" x14ac:dyDescent="0.25">
      <c r="A101" s="44" t="s">
        <v>84</v>
      </c>
      <c r="B101" s="76">
        <f t="shared" ref="B101:C101" si="73">IF(B84&lt;0,B84*-1,0)</f>
        <v>0</v>
      </c>
      <c r="C101" s="76">
        <f t="shared" si="73"/>
        <v>0</v>
      </c>
      <c r="D101" s="76">
        <f t="shared" ref="D101" si="74">IF(D84&lt;0,D84*-1,0)</f>
        <v>0</v>
      </c>
      <c r="E101" s="76">
        <f t="shared" ref="E101:AF101" si="75">IF(E84&lt;0,E84*-1,0)</f>
        <v>0</v>
      </c>
      <c r="F101" s="76">
        <f t="shared" si="75"/>
        <v>0</v>
      </c>
      <c r="G101" s="76">
        <f t="shared" si="75"/>
        <v>0</v>
      </c>
      <c r="H101" s="76">
        <f t="shared" si="75"/>
        <v>0</v>
      </c>
      <c r="I101" s="76">
        <f t="shared" si="75"/>
        <v>0</v>
      </c>
      <c r="J101" s="76">
        <f t="shared" si="75"/>
        <v>0</v>
      </c>
      <c r="K101" s="76">
        <f t="shared" si="75"/>
        <v>0</v>
      </c>
      <c r="L101" s="76">
        <f t="shared" si="75"/>
        <v>0</v>
      </c>
      <c r="M101" s="76">
        <f t="shared" si="75"/>
        <v>0</v>
      </c>
      <c r="N101" s="76">
        <f t="shared" si="75"/>
        <v>0</v>
      </c>
      <c r="O101" s="76">
        <f t="shared" si="75"/>
        <v>0</v>
      </c>
      <c r="P101" s="76">
        <f t="shared" si="75"/>
        <v>0</v>
      </c>
      <c r="Q101" s="76">
        <f t="shared" si="75"/>
        <v>0</v>
      </c>
      <c r="R101" s="76">
        <f t="shared" si="75"/>
        <v>0</v>
      </c>
      <c r="S101" s="76">
        <f t="shared" ref="S101:T101" si="76">IF(S84&lt;0,S84*-1,0)</f>
        <v>0</v>
      </c>
      <c r="T101" s="76">
        <f t="shared" si="76"/>
        <v>0</v>
      </c>
      <c r="U101" s="76">
        <f t="shared" ref="U101:V101" si="77">IF(U84&lt;0,U84*-1,0)</f>
        <v>0</v>
      </c>
      <c r="V101" s="76">
        <f t="shared" si="77"/>
        <v>0</v>
      </c>
      <c r="W101" s="76">
        <f t="shared" ref="W101:X101" si="78">IF(W84&lt;0,W84*-1,0)</f>
        <v>0</v>
      </c>
      <c r="X101" s="76">
        <f t="shared" si="78"/>
        <v>0</v>
      </c>
      <c r="Y101" s="76">
        <f t="shared" ref="Y101" si="79">IF(Y84&lt;0,Y84*-1,0)</f>
        <v>0</v>
      </c>
      <c r="Z101" s="76">
        <f t="shared" ref="Z101:AA101" si="80">IF(Z84&lt;0,Z84*-1,0)</f>
        <v>0</v>
      </c>
      <c r="AA101" s="76">
        <f t="shared" si="80"/>
        <v>0</v>
      </c>
      <c r="AB101" s="76">
        <f t="shared" si="75"/>
        <v>0</v>
      </c>
      <c r="AC101" s="76">
        <f t="shared" si="75"/>
        <v>0</v>
      </c>
      <c r="AD101" s="76">
        <f t="shared" si="75"/>
        <v>0</v>
      </c>
      <c r="AE101" s="76">
        <f t="shared" si="75"/>
        <v>0</v>
      </c>
      <c r="AF101" s="76">
        <f t="shared" si="75"/>
        <v>0</v>
      </c>
      <c r="AG101" s="52"/>
      <c r="AH101" s="47">
        <f t="shared" si="38"/>
        <v>0</v>
      </c>
      <c r="AI101" s="48">
        <f t="shared" si="39"/>
        <v>0</v>
      </c>
    </row>
    <row r="102" spans="1:37" x14ac:dyDescent="0.25">
      <c r="A102" s="54" t="s">
        <v>82</v>
      </c>
      <c r="B102" s="76">
        <f t="shared" ref="B102:C102" si="81">IF(B82&lt;0,B82*-1,0)</f>
        <v>0</v>
      </c>
      <c r="C102" s="76">
        <f t="shared" si="81"/>
        <v>0</v>
      </c>
      <c r="D102" s="76">
        <f t="shared" ref="D102" si="82">IF(D82&lt;0,D82*-1,0)</f>
        <v>0</v>
      </c>
      <c r="E102" s="76">
        <f t="shared" ref="E102:AF102" si="83">IF(E82&lt;0,E82*-1,0)</f>
        <v>0</v>
      </c>
      <c r="F102" s="76">
        <f t="shared" si="83"/>
        <v>0</v>
      </c>
      <c r="G102" s="76">
        <f t="shared" si="83"/>
        <v>0</v>
      </c>
      <c r="H102" s="76">
        <f t="shared" si="83"/>
        <v>0</v>
      </c>
      <c r="I102" s="76">
        <f t="shared" si="83"/>
        <v>0</v>
      </c>
      <c r="J102" s="76">
        <f t="shared" si="83"/>
        <v>0</v>
      </c>
      <c r="K102" s="76">
        <f t="shared" si="83"/>
        <v>0</v>
      </c>
      <c r="L102" s="76">
        <f t="shared" si="83"/>
        <v>0</v>
      </c>
      <c r="M102" s="76">
        <f t="shared" si="83"/>
        <v>0</v>
      </c>
      <c r="N102" s="76">
        <f t="shared" si="83"/>
        <v>0</v>
      </c>
      <c r="O102" s="76">
        <f t="shared" si="83"/>
        <v>0</v>
      </c>
      <c r="P102" s="76">
        <f t="shared" si="83"/>
        <v>0</v>
      </c>
      <c r="Q102" s="76">
        <f t="shared" si="83"/>
        <v>0</v>
      </c>
      <c r="R102" s="76">
        <f t="shared" si="83"/>
        <v>0</v>
      </c>
      <c r="S102" s="76">
        <f t="shared" ref="S102:T102" si="84">IF(S82&lt;0,S82*-1,0)</f>
        <v>0</v>
      </c>
      <c r="T102" s="76">
        <f t="shared" si="84"/>
        <v>0</v>
      </c>
      <c r="U102" s="76">
        <f t="shared" ref="U102:V102" si="85">IF(U82&lt;0,U82*-1,0)</f>
        <v>0</v>
      </c>
      <c r="V102" s="76">
        <f t="shared" si="85"/>
        <v>0</v>
      </c>
      <c r="W102" s="76">
        <f t="shared" ref="W102:X102" si="86">IF(W82&lt;0,W82*-1,0)</f>
        <v>0</v>
      </c>
      <c r="X102" s="76">
        <f t="shared" si="86"/>
        <v>0</v>
      </c>
      <c r="Y102" s="76">
        <f t="shared" ref="Y102" si="87">IF(Y82&lt;0,Y82*-1,0)</f>
        <v>0</v>
      </c>
      <c r="Z102" s="76">
        <f t="shared" ref="Z102:AA102" si="88">IF(Z82&lt;0,Z82*-1,0)</f>
        <v>0</v>
      </c>
      <c r="AA102" s="76">
        <f t="shared" si="88"/>
        <v>0</v>
      </c>
      <c r="AB102" s="76">
        <f t="shared" si="83"/>
        <v>0</v>
      </c>
      <c r="AC102" s="76">
        <f t="shared" si="83"/>
        <v>0</v>
      </c>
      <c r="AD102" s="76">
        <f t="shared" si="83"/>
        <v>0</v>
      </c>
      <c r="AE102" s="76">
        <f t="shared" si="83"/>
        <v>0</v>
      </c>
      <c r="AF102" s="76">
        <f t="shared" si="83"/>
        <v>0</v>
      </c>
      <c r="AG102" s="55"/>
      <c r="AH102" s="47">
        <f t="shared" si="38"/>
        <v>0</v>
      </c>
      <c r="AI102" s="48">
        <f t="shared" si="39"/>
        <v>0</v>
      </c>
    </row>
    <row r="103" spans="1:37" x14ac:dyDescent="0.25">
      <c r="A103" s="84" t="s">
        <v>103</v>
      </c>
      <c r="B103" s="76">
        <f t="shared" ref="B103:C103" si="89">IF(B85&lt;0,B85*-1,0)</f>
        <v>0</v>
      </c>
      <c r="C103" s="76">
        <f t="shared" si="89"/>
        <v>0</v>
      </c>
      <c r="D103" s="76">
        <f t="shared" ref="D103" si="90">IF(D85&lt;0,D85*-1,0)</f>
        <v>0</v>
      </c>
      <c r="E103" s="76">
        <f t="shared" ref="E103:AF103" si="91">IF(E85&lt;0,E85*-1,0)</f>
        <v>0</v>
      </c>
      <c r="F103" s="76">
        <f t="shared" si="91"/>
        <v>0</v>
      </c>
      <c r="G103" s="76">
        <f t="shared" si="91"/>
        <v>0</v>
      </c>
      <c r="H103" s="76">
        <f t="shared" si="91"/>
        <v>0</v>
      </c>
      <c r="I103" s="76">
        <f t="shared" si="91"/>
        <v>0</v>
      </c>
      <c r="J103" s="76">
        <f t="shared" si="91"/>
        <v>0</v>
      </c>
      <c r="K103" s="76">
        <f t="shared" si="91"/>
        <v>0</v>
      </c>
      <c r="L103" s="76">
        <f t="shared" si="91"/>
        <v>0</v>
      </c>
      <c r="M103" s="76">
        <f t="shared" si="91"/>
        <v>0</v>
      </c>
      <c r="N103" s="76">
        <f t="shared" si="91"/>
        <v>0</v>
      </c>
      <c r="O103" s="76">
        <f t="shared" si="91"/>
        <v>0</v>
      </c>
      <c r="P103" s="76">
        <f t="shared" si="91"/>
        <v>0</v>
      </c>
      <c r="Q103" s="76">
        <f t="shared" si="91"/>
        <v>0</v>
      </c>
      <c r="R103" s="76">
        <f t="shared" si="91"/>
        <v>0</v>
      </c>
      <c r="S103" s="76">
        <f t="shared" ref="S103:T103" si="92">IF(S85&lt;0,S85*-1,0)</f>
        <v>0</v>
      </c>
      <c r="T103" s="76">
        <f t="shared" si="92"/>
        <v>0</v>
      </c>
      <c r="U103" s="76">
        <f t="shared" ref="U103:V103" si="93">IF(U85&lt;0,U85*-1,0)</f>
        <v>0</v>
      </c>
      <c r="V103" s="76">
        <f t="shared" si="93"/>
        <v>0</v>
      </c>
      <c r="W103" s="76">
        <f t="shared" ref="W103:X103" si="94">IF(W85&lt;0,W85*-1,0)</f>
        <v>0</v>
      </c>
      <c r="X103" s="76">
        <f t="shared" si="94"/>
        <v>0</v>
      </c>
      <c r="Y103" s="76">
        <f t="shared" ref="Y103" si="95">IF(Y85&lt;0,Y85*-1,0)</f>
        <v>0</v>
      </c>
      <c r="Z103" s="76">
        <f t="shared" ref="Z103:AA103" si="96">IF(Z85&lt;0,Z85*-1,0)</f>
        <v>0</v>
      </c>
      <c r="AA103" s="76">
        <f t="shared" si="96"/>
        <v>0</v>
      </c>
      <c r="AB103" s="76">
        <f t="shared" si="91"/>
        <v>0</v>
      </c>
      <c r="AC103" s="76">
        <f t="shared" si="91"/>
        <v>0</v>
      </c>
      <c r="AD103" s="76">
        <f t="shared" si="91"/>
        <v>0</v>
      </c>
      <c r="AE103" s="76">
        <f t="shared" si="91"/>
        <v>0</v>
      </c>
      <c r="AF103" s="76">
        <f t="shared" si="91"/>
        <v>0</v>
      </c>
      <c r="AG103" s="98"/>
      <c r="AH103" s="47">
        <f t="shared" si="38"/>
        <v>0</v>
      </c>
      <c r="AI103" s="48">
        <f t="shared" si="39"/>
        <v>0</v>
      </c>
    </row>
    <row r="104" spans="1:37" x14ac:dyDescent="0.25">
      <c r="A104" s="84" t="s">
        <v>104</v>
      </c>
      <c r="B104" s="76">
        <f t="shared" ref="B104:C104" si="97">IF(B83&lt;0,B83*-1,0)</f>
        <v>0</v>
      </c>
      <c r="C104" s="76">
        <f t="shared" si="97"/>
        <v>0</v>
      </c>
      <c r="D104" s="76">
        <f t="shared" ref="D104" si="98">IF(D83&lt;0,D83*-1,0)</f>
        <v>0</v>
      </c>
      <c r="E104" s="76">
        <f t="shared" ref="E104:AF104" si="99">IF(E83&lt;0,E83*-1,0)</f>
        <v>0</v>
      </c>
      <c r="F104" s="76">
        <f t="shared" si="99"/>
        <v>0</v>
      </c>
      <c r="G104" s="76">
        <f t="shared" si="99"/>
        <v>0</v>
      </c>
      <c r="H104" s="76">
        <f t="shared" si="99"/>
        <v>0</v>
      </c>
      <c r="I104" s="76">
        <f t="shared" si="99"/>
        <v>0</v>
      </c>
      <c r="J104" s="76">
        <f t="shared" si="99"/>
        <v>0</v>
      </c>
      <c r="K104" s="76">
        <f t="shared" si="99"/>
        <v>0</v>
      </c>
      <c r="L104" s="76">
        <f t="shared" si="99"/>
        <v>0</v>
      </c>
      <c r="M104" s="76">
        <f t="shared" si="99"/>
        <v>0</v>
      </c>
      <c r="N104" s="76">
        <f t="shared" si="99"/>
        <v>0</v>
      </c>
      <c r="O104" s="76">
        <f t="shared" si="99"/>
        <v>0</v>
      </c>
      <c r="P104" s="76">
        <f t="shared" si="99"/>
        <v>0</v>
      </c>
      <c r="Q104" s="76">
        <f t="shared" si="99"/>
        <v>0</v>
      </c>
      <c r="R104" s="76">
        <f t="shared" si="99"/>
        <v>0</v>
      </c>
      <c r="S104" s="76">
        <f t="shared" ref="S104:T104" si="100">IF(S83&lt;0,S83*-1,0)</f>
        <v>0</v>
      </c>
      <c r="T104" s="76">
        <f t="shared" si="100"/>
        <v>0</v>
      </c>
      <c r="U104" s="76">
        <f t="shared" ref="U104:V104" si="101">IF(U83&lt;0,U83*-1,0)</f>
        <v>0</v>
      </c>
      <c r="V104" s="76">
        <f t="shared" si="101"/>
        <v>0</v>
      </c>
      <c r="W104" s="76">
        <f t="shared" ref="W104:X104" si="102">IF(W83&lt;0,W83*-1,0)</f>
        <v>0</v>
      </c>
      <c r="X104" s="76">
        <f t="shared" si="102"/>
        <v>0</v>
      </c>
      <c r="Y104" s="76">
        <f t="shared" ref="Y104" si="103">IF(Y83&lt;0,Y83*-1,0)</f>
        <v>0</v>
      </c>
      <c r="Z104" s="76">
        <f t="shared" ref="Z104:AA104" si="104">IF(Z83&lt;0,Z83*-1,0)</f>
        <v>0</v>
      </c>
      <c r="AA104" s="76">
        <f t="shared" si="104"/>
        <v>0</v>
      </c>
      <c r="AB104" s="76">
        <f t="shared" si="99"/>
        <v>0</v>
      </c>
      <c r="AC104" s="76">
        <f t="shared" si="99"/>
        <v>0</v>
      </c>
      <c r="AD104" s="76">
        <f t="shared" si="99"/>
        <v>0</v>
      </c>
      <c r="AE104" s="76">
        <f t="shared" si="99"/>
        <v>0</v>
      </c>
      <c r="AF104" s="76">
        <f t="shared" si="99"/>
        <v>0</v>
      </c>
      <c r="AG104" s="98"/>
      <c r="AH104" s="47">
        <f t="shared" si="38"/>
        <v>0</v>
      </c>
      <c r="AI104" s="48">
        <f t="shared" si="39"/>
        <v>0</v>
      </c>
    </row>
    <row r="105" spans="1:37" x14ac:dyDescent="0.25">
      <c r="A105" s="84" t="s">
        <v>81</v>
      </c>
      <c r="B105" s="76">
        <f t="shared" ref="B105:C105" si="105">IF(B81&lt;0,B81*-1,0)</f>
        <v>0</v>
      </c>
      <c r="C105" s="76">
        <f t="shared" si="105"/>
        <v>0</v>
      </c>
      <c r="D105" s="76">
        <f t="shared" ref="D105" si="106">IF(D81&lt;0,D81*-1,0)</f>
        <v>0</v>
      </c>
      <c r="E105" s="76">
        <f t="shared" ref="E105:AF105" si="107">IF(E81&lt;0,E81*-1,0)</f>
        <v>0</v>
      </c>
      <c r="F105" s="76">
        <f t="shared" si="107"/>
        <v>0</v>
      </c>
      <c r="G105" s="76">
        <f t="shared" si="107"/>
        <v>0</v>
      </c>
      <c r="H105" s="76">
        <f t="shared" si="107"/>
        <v>0</v>
      </c>
      <c r="I105" s="76">
        <f t="shared" si="107"/>
        <v>0</v>
      </c>
      <c r="J105" s="76">
        <f t="shared" si="107"/>
        <v>0</v>
      </c>
      <c r="K105" s="76">
        <f t="shared" si="107"/>
        <v>0</v>
      </c>
      <c r="L105" s="76">
        <f t="shared" si="107"/>
        <v>0</v>
      </c>
      <c r="M105" s="76">
        <f t="shared" si="107"/>
        <v>0</v>
      </c>
      <c r="N105" s="76">
        <f t="shared" si="107"/>
        <v>0</v>
      </c>
      <c r="O105" s="76">
        <f t="shared" si="107"/>
        <v>0</v>
      </c>
      <c r="P105" s="76">
        <f t="shared" si="107"/>
        <v>0</v>
      </c>
      <c r="Q105" s="76">
        <f t="shared" si="107"/>
        <v>0</v>
      </c>
      <c r="R105" s="76">
        <f t="shared" si="107"/>
        <v>0</v>
      </c>
      <c r="S105" s="76">
        <f t="shared" ref="S105:T105" si="108">IF(S81&lt;0,S81*-1,0)</f>
        <v>0</v>
      </c>
      <c r="T105" s="76">
        <f t="shared" si="108"/>
        <v>0</v>
      </c>
      <c r="U105" s="76">
        <f t="shared" ref="U105:V105" si="109">IF(U81&lt;0,U81*-1,0)</f>
        <v>0</v>
      </c>
      <c r="V105" s="76">
        <f t="shared" si="109"/>
        <v>0</v>
      </c>
      <c r="W105" s="76">
        <f t="shared" ref="W105:X105" si="110">IF(W81&lt;0,W81*-1,0)</f>
        <v>0</v>
      </c>
      <c r="X105" s="76">
        <f t="shared" si="110"/>
        <v>0</v>
      </c>
      <c r="Y105" s="76">
        <f t="shared" ref="Y105" si="111">IF(Y81&lt;0,Y81*-1,0)</f>
        <v>0</v>
      </c>
      <c r="Z105" s="76">
        <f t="shared" ref="Z105:AA105" si="112">IF(Z81&lt;0,Z81*-1,0)</f>
        <v>0</v>
      </c>
      <c r="AA105" s="76">
        <f t="shared" si="112"/>
        <v>0</v>
      </c>
      <c r="AB105" s="76">
        <f t="shared" si="107"/>
        <v>0</v>
      </c>
      <c r="AC105" s="76">
        <f t="shared" si="107"/>
        <v>0</v>
      </c>
      <c r="AD105" s="76">
        <f t="shared" si="107"/>
        <v>0</v>
      </c>
      <c r="AE105" s="76">
        <f t="shared" si="107"/>
        <v>0</v>
      </c>
      <c r="AF105" s="76">
        <f t="shared" si="107"/>
        <v>0</v>
      </c>
      <c r="AG105" s="98"/>
      <c r="AH105" s="47">
        <f t="shared" si="38"/>
        <v>0</v>
      </c>
      <c r="AI105" s="48">
        <f t="shared" si="39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8"/>
        <v>1</v>
      </c>
      <c r="AI106" s="48">
        <f t="shared" si="39"/>
        <v>0</v>
      </c>
    </row>
    <row r="107" spans="1:37" ht="15.75" thickBot="1" x14ac:dyDescent="0.3">
      <c r="A107" s="99" t="s">
        <v>106</v>
      </c>
      <c r="B107" s="60">
        <v>0</v>
      </c>
      <c r="C107" s="60">
        <f t="shared" ref="C107:AF107" si="113">SUM(C101:C106)</f>
        <v>0</v>
      </c>
      <c r="D107" s="60">
        <f t="shared" si="113"/>
        <v>0</v>
      </c>
      <c r="E107" s="60">
        <f t="shared" si="113"/>
        <v>0</v>
      </c>
      <c r="F107" s="60">
        <f t="shared" si="113"/>
        <v>0</v>
      </c>
      <c r="G107" s="60">
        <f t="shared" si="113"/>
        <v>0</v>
      </c>
      <c r="H107" s="60">
        <f t="shared" si="113"/>
        <v>0</v>
      </c>
      <c r="I107" s="60">
        <f t="shared" si="113"/>
        <v>0</v>
      </c>
      <c r="J107" s="60">
        <f t="shared" si="113"/>
        <v>0</v>
      </c>
      <c r="K107" s="60">
        <f t="shared" si="113"/>
        <v>0</v>
      </c>
      <c r="L107" s="60">
        <f t="shared" si="113"/>
        <v>0</v>
      </c>
      <c r="M107" s="60">
        <f t="shared" si="113"/>
        <v>0</v>
      </c>
      <c r="N107" s="60">
        <f t="shared" si="113"/>
        <v>0</v>
      </c>
      <c r="O107" s="60">
        <f t="shared" si="113"/>
        <v>0</v>
      </c>
      <c r="P107" s="60">
        <f t="shared" si="113"/>
        <v>0</v>
      </c>
      <c r="Q107" s="60">
        <f t="shared" si="113"/>
        <v>0</v>
      </c>
      <c r="R107" s="60">
        <f t="shared" si="113"/>
        <v>0</v>
      </c>
      <c r="S107" s="60">
        <f t="shared" ref="S107:T107" si="114">SUM(S101:S106)</f>
        <v>0</v>
      </c>
      <c r="T107" s="60">
        <f t="shared" si="114"/>
        <v>0</v>
      </c>
      <c r="U107" s="60">
        <f t="shared" ref="U107:V107" si="115">SUM(U101:U106)</f>
        <v>0</v>
      </c>
      <c r="V107" s="60">
        <f t="shared" si="115"/>
        <v>0</v>
      </c>
      <c r="W107" s="60">
        <f t="shared" ref="W107:X107" si="116">SUM(W101:W106)</f>
        <v>0</v>
      </c>
      <c r="X107" s="60">
        <f t="shared" si="116"/>
        <v>0</v>
      </c>
      <c r="Y107" s="60">
        <f t="shared" ref="Y107" si="117">SUM(Y101:Y106)</f>
        <v>0</v>
      </c>
      <c r="Z107" s="60">
        <f t="shared" ref="Z107:AA107" si="118">SUM(Z101:Z106)</f>
        <v>0</v>
      </c>
      <c r="AA107" s="60">
        <f t="shared" si="118"/>
        <v>1</v>
      </c>
      <c r="AB107" s="60">
        <f t="shared" si="113"/>
        <v>0</v>
      </c>
      <c r="AC107" s="60">
        <f t="shared" si="113"/>
        <v>0</v>
      </c>
      <c r="AD107" s="60">
        <f t="shared" si="113"/>
        <v>0</v>
      </c>
      <c r="AE107" s="60">
        <f t="shared" si="113"/>
        <v>0</v>
      </c>
      <c r="AF107" s="60">
        <f t="shared" si="113"/>
        <v>0</v>
      </c>
      <c r="AG107" s="88"/>
      <c r="AH107" s="47">
        <f t="shared" si="38"/>
        <v>1</v>
      </c>
      <c r="AI107" s="48">
        <f t="shared" si="39"/>
        <v>0</v>
      </c>
      <c r="AK107" s="50"/>
    </row>
    <row r="108" spans="1:37" ht="15.75" thickBot="1" x14ac:dyDescent="0.3">
      <c r="A108" s="74" t="s">
        <v>107</v>
      </c>
      <c r="B108" s="60">
        <f t="shared" ref="B108:C108" si="119">B92-B107</f>
        <v>534</v>
      </c>
      <c r="C108" s="60">
        <f t="shared" si="119"/>
        <v>568</v>
      </c>
      <c r="D108" s="60">
        <f t="shared" ref="D108" si="120">D92-D107</f>
        <v>549</v>
      </c>
      <c r="E108" s="60">
        <f t="shared" ref="E108:AF108" si="121">E92-E107</f>
        <v>538.6</v>
      </c>
      <c r="F108" s="60">
        <f t="shared" si="121"/>
        <v>531.9</v>
      </c>
      <c r="G108" s="60">
        <f t="shared" si="121"/>
        <v>560.20000000000005</v>
      </c>
      <c r="H108" s="60">
        <f t="shared" si="121"/>
        <v>593.5</v>
      </c>
      <c r="I108" s="60">
        <f t="shared" si="121"/>
        <v>560.50000000000011</v>
      </c>
      <c r="J108" s="60">
        <f t="shared" si="121"/>
        <v>609</v>
      </c>
      <c r="K108" s="60">
        <f t="shared" si="121"/>
        <v>387.70000000000005</v>
      </c>
      <c r="L108" s="60">
        <f t="shared" si="121"/>
        <v>459.29999999999995</v>
      </c>
      <c r="M108" s="60">
        <f t="shared" si="121"/>
        <v>411.9</v>
      </c>
      <c r="N108" s="60">
        <f t="shared" si="121"/>
        <v>394.6</v>
      </c>
      <c r="O108" s="60">
        <f t="shared" si="121"/>
        <v>591.9</v>
      </c>
      <c r="P108" s="60">
        <f t="shared" si="121"/>
        <v>610</v>
      </c>
      <c r="Q108" s="60">
        <f t="shared" si="121"/>
        <v>633.70000000000005</v>
      </c>
      <c r="R108" s="60">
        <f t="shared" si="121"/>
        <v>645</v>
      </c>
      <c r="S108" s="60">
        <f t="shared" ref="S108:T108" si="122">S92-S107</f>
        <v>670.6</v>
      </c>
      <c r="T108" s="60">
        <f t="shared" si="122"/>
        <v>681.9</v>
      </c>
      <c r="U108" s="60">
        <f t="shared" ref="U108:V108" si="123">U92-U107</f>
        <v>718.1</v>
      </c>
      <c r="V108" s="60">
        <f t="shared" si="123"/>
        <v>586.6</v>
      </c>
      <c r="W108" s="60">
        <f t="shared" ref="W108:X108" si="124">W92-W107</f>
        <v>586.6</v>
      </c>
      <c r="X108" s="60">
        <f t="shared" si="124"/>
        <v>360.5</v>
      </c>
      <c r="Y108" s="60">
        <f t="shared" ref="Y108" si="125">Y92-Y107</f>
        <v>377.40000000000003</v>
      </c>
      <c r="Z108" s="60">
        <f t="shared" ref="Z108:AA108" si="126">Z92-Z107</f>
        <v>312.89999999999998</v>
      </c>
      <c r="AA108" s="60">
        <f t="shared" si="126"/>
        <v>337.7</v>
      </c>
      <c r="AB108" s="60">
        <f t="shared" si="121"/>
        <v>368.58299999999997</v>
      </c>
      <c r="AC108" s="60">
        <f t="shared" si="121"/>
        <v>517.5</v>
      </c>
      <c r="AD108" s="60">
        <f t="shared" si="121"/>
        <v>565.5</v>
      </c>
      <c r="AE108" s="60">
        <f t="shared" si="121"/>
        <v>611.1</v>
      </c>
      <c r="AF108" s="60">
        <f t="shared" si="121"/>
        <v>621.29999999999995</v>
      </c>
      <c r="AG108" s="88"/>
      <c r="AH108" s="47">
        <f t="shared" si="38"/>
        <v>718.1</v>
      </c>
      <c r="AI108" s="48">
        <f t="shared" si="39"/>
        <v>312.89999999999998</v>
      </c>
    </row>
    <row r="109" spans="1:37" x14ac:dyDescent="0.25">
      <c r="A109" s="100" t="s">
        <v>108</v>
      </c>
      <c r="B109" s="101">
        <v>50.05</v>
      </c>
      <c r="C109" s="101">
        <v>49.95</v>
      </c>
      <c r="D109" s="101">
        <v>49.98</v>
      </c>
      <c r="E109" s="101">
        <v>49.993000000000002</v>
      </c>
      <c r="F109" s="101">
        <v>49.948</v>
      </c>
      <c r="G109" s="101">
        <v>49.927</v>
      </c>
      <c r="H109" s="101">
        <v>50.012999999999998</v>
      </c>
      <c r="I109" s="101">
        <v>50.031999999999996</v>
      </c>
      <c r="J109" s="101">
        <v>50.033000000000001</v>
      </c>
      <c r="K109" s="101">
        <v>50.063000000000002</v>
      </c>
      <c r="L109" s="101">
        <v>50.021000000000001</v>
      </c>
      <c r="M109" s="101">
        <v>50.125999999999998</v>
      </c>
      <c r="N109" s="101">
        <v>49.948</v>
      </c>
      <c r="O109" s="101">
        <v>50.031999999999996</v>
      </c>
      <c r="P109" s="101">
        <v>50.031999999999996</v>
      </c>
      <c r="Q109" s="101">
        <v>50.052</v>
      </c>
      <c r="R109" s="101">
        <v>50.06</v>
      </c>
      <c r="S109" s="101">
        <v>50.03</v>
      </c>
      <c r="T109" s="101">
        <v>50.04</v>
      </c>
      <c r="U109" s="101">
        <v>50.16</v>
      </c>
      <c r="V109" s="101">
        <v>49.94</v>
      </c>
      <c r="W109" s="101">
        <v>49.96</v>
      </c>
      <c r="X109" s="101">
        <v>50.02</v>
      </c>
      <c r="Y109" s="101">
        <v>50.01</v>
      </c>
      <c r="Z109" s="101">
        <v>49.97</v>
      </c>
      <c r="AA109" s="101">
        <v>50.05</v>
      </c>
      <c r="AB109" s="101">
        <v>50.097000000000001</v>
      </c>
      <c r="AC109" s="101">
        <v>49.975999999999999</v>
      </c>
      <c r="AD109" s="101">
        <v>50.0002</v>
      </c>
      <c r="AE109" s="101">
        <v>50.018000000000001</v>
      </c>
      <c r="AF109" s="101">
        <v>49.872999999999998</v>
      </c>
      <c r="AG109" s="102"/>
      <c r="AH109" s="47">
        <f t="shared" si="38"/>
        <v>50.16</v>
      </c>
      <c r="AI109" s="48">
        <f t="shared" si="39"/>
        <v>49.872999999999998</v>
      </c>
    </row>
    <row r="110" spans="1:37" x14ac:dyDescent="0.25">
      <c r="A110" s="103" t="s">
        <v>109</v>
      </c>
      <c r="B110" s="65">
        <v>127</v>
      </c>
      <c r="C110" s="65">
        <v>127</v>
      </c>
      <c r="D110" s="65">
        <v>126</v>
      </c>
      <c r="E110" s="65">
        <v>127.9</v>
      </c>
      <c r="F110" s="65">
        <v>128.5</v>
      </c>
      <c r="G110" s="65">
        <v>127</v>
      </c>
      <c r="H110" s="65">
        <v>124.6</v>
      </c>
      <c r="I110" s="65">
        <v>125.8</v>
      </c>
      <c r="J110" s="65">
        <v>123.9</v>
      </c>
      <c r="K110" s="65">
        <v>128.69999999999999</v>
      </c>
      <c r="L110" s="65">
        <v>123.6</v>
      </c>
      <c r="M110" s="65">
        <v>123.3</v>
      </c>
      <c r="N110" s="65">
        <v>123.8</v>
      </c>
      <c r="O110" s="65">
        <v>124</v>
      </c>
      <c r="P110" s="65">
        <v>124</v>
      </c>
      <c r="Q110" s="65">
        <v>124.1</v>
      </c>
      <c r="R110" s="65">
        <v>123</v>
      </c>
      <c r="S110" s="65">
        <v>122.6</v>
      </c>
      <c r="T110" s="65">
        <v>123.8</v>
      </c>
      <c r="U110" s="65">
        <v>122.6</v>
      </c>
      <c r="V110" s="65">
        <v>127.5</v>
      </c>
      <c r="W110" s="65">
        <v>127.1</v>
      </c>
      <c r="X110" s="65">
        <v>129.19999999999999</v>
      </c>
      <c r="Y110" s="65">
        <v>126.8</v>
      </c>
      <c r="Z110" s="65">
        <v>127.2</v>
      </c>
      <c r="AA110" s="65">
        <v>128.5</v>
      </c>
      <c r="AB110" s="65">
        <v>129.30000000000001</v>
      </c>
      <c r="AC110" s="65">
        <v>129.4</v>
      </c>
      <c r="AD110" s="65">
        <v>128.80000000000001</v>
      </c>
      <c r="AE110" s="65">
        <v>127.8</v>
      </c>
      <c r="AF110" s="65">
        <v>127.5</v>
      </c>
      <c r="AG110" s="104"/>
      <c r="AH110" s="47">
        <f t="shared" si="38"/>
        <v>129.4</v>
      </c>
      <c r="AI110" s="48">
        <f t="shared" si="39"/>
        <v>122.6</v>
      </c>
    </row>
    <row r="111" spans="1:37" x14ac:dyDescent="0.25">
      <c r="A111" s="103" t="s">
        <v>110</v>
      </c>
      <c r="B111" s="65">
        <v>132</v>
      </c>
      <c r="C111" s="65">
        <v>132</v>
      </c>
      <c r="D111" s="65">
        <v>131.5</v>
      </c>
      <c r="E111" s="65">
        <v>132.6</v>
      </c>
      <c r="F111" s="65">
        <v>133.19999999999999</v>
      </c>
      <c r="G111" s="65">
        <v>131.30000000000001</v>
      </c>
      <c r="H111" s="65">
        <v>129</v>
      </c>
      <c r="I111" s="65">
        <v>129.4</v>
      </c>
      <c r="J111" s="65">
        <v>127.3</v>
      </c>
      <c r="K111" s="65">
        <v>129.69999999999999</v>
      </c>
      <c r="L111" s="65">
        <v>125</v>
      </c>
      <c r="M111" s="65">
        <v>124.5</v>
      </c>
      <c r="N111" s="65">
        <v>125.4</v>
      </c>
      <c r="O111" s="65">
        <v>125.8</v>
      </c>
      <c r="P111" s="65">
        <v>125.8</v>
      </c>
      <c r="Q111" s="65">
        <v>126.3</v>
      </c>
      <c r="R111" s="65">
        <v>126</v>
      </c>
      <c r="S111" s="65">
        <v>125.8</v>
      </c>
      <c r="T111" s="65">
        <v>126.8</v>
      </c>
      <c r="U111" s="65">
        <v>125.6</v>
      </c>
      <c r="V111" s="65">
        <v>129.6</v>
      </c>
      <c r="W111" s="65">
        <v>128.80000000000001</v>
      </c>
      <c r="X111" s="65">
        <v>129.9</v>
      </c>
      <c r="Y111" s="65">
        <v>127.8</v>
      </c>
      <c r="Z111" s="65">
        <v>127.8</v>
      </c>
      <c r="AA111" s="65">
        <v>129.4</v>
      </c>
      <c r="AB111" s="65">
        <v>130.30000000000001</v>
      </c>
      <c r="AC111" s="65">
        <v>130.80000000000001</v>
      </c>
      <c r="AD111" s="65">
        <v>130.69999999999999</v>
      </c>
      <c r="AE111" s="65">
        <v>130.5</v>
      </c>
      <c r="AF111" s="65">
        <v>130.9</v>
      </c>
      <c r="AG111" s="104"/>
      <c r="AH111" s="47">
        <f t="shared" si="38"/>
        <v>133.19999999999999</v>
      </c>
      <c r="AI111" s="48">
        <f t="shared" si="39"/>
        <v>124.5</v>
      </c>
    </row>
    <row r="112" spans="1:37" x14ac:dyDescent="0.25">
      <c r="A112" s="103" t="s">
        <v>111</v>
      </c>
      <c r="B112" s="65">
        <v>127</v>
      </c>
      <c r="C112" s="65">
        <v>127</v>
      </c>
      <c r="D112" s="65">
        <v>128</v>
      </c>
      <c r="E112" s="65">
        <v>128.5</v>
      </c>
      <c r="F112" s="65">
        <v>130.1</v>
      </c>
      <c r="G112" s="65">
        <v>126.3</v>
      </c>
      <c r="H112" s="65">
        <v>131.5</v>
      </c>
      <c r="I112" s="65">
        <v>126.3</v>
      </c>
      <c r="J112" s="65">
        <v>126</v>
      </c>
      <c r="K112" s="65">
        <v>129.80000000000001</v>
      </c>
      <c r="L112" s="65">
        <v>129.19999999999999</v>
      </c>
      <c r="M112" s="65">
        <v>126.3</v>
      </c>
      <c r="N112" s="65">
        <v>128.6</v>
      </c>
      <c r="O112" s="65">
        <v>127.6</v>
      </c>
      <c r="P112" s="65">
        <v>127.6</v>
      </c>
      <c r="Q112" s="65">
        <v>126</v>
      </c>
      <c r="R112" s="65">
        <v>126.6</v>
      </c>
      <c r="S112" s="65">
        <v>127.2</v>
      </c>
      <c r="T112" s="65">
        <v>126.3</v>
      </c>
      <c r="U112" s="65">
        <v>123.8</v>
      </c>
      <c r="V112" s="65">
        <v>129.30000000000001</v>
      </c>
      <c r="W112" s="65">
        <v>130.30000000000001</v>
      </c>
      <c r="X112" s="65">
        <v>130.4</v>
      </c>
      <c r="Y112" s="65">
        <v>128.1</v>
      </c>
      <c r="Z112" s="65">
        <v>131.1</v>
      </c>
      <c r="AA112" s="65">
        <v>130.4</v>
      </c>
      <c r="AB112" s="65">
        <v>130.69999999999999</v>
      </c>
      <c r="AC112" s="65">
        <v>132.19999999999999</v>
      </c>
      <c r="AD112" s="65">
        <v>128.80000000000001</v>
      </c>
      <c r="AE112" s="65">
        <v>128.5</v>
      </c>
      <c r="AF112" s="65">
        <v>128.30000000000001</v>
      </c>
      <c r="AG112" s="104"/>
      <c r="AH112" s="47">
        <f t="shared" si="38"/>
        <v>132.19999999999999</v>
      </c>
      <c r="AI112" s="48">
        <f t="shared" si="39"/>
        <v>123.8</v>
      </c>
    </row>
    <row r="113" spans="1:35" x14ac:dyDescent="0.25">
      <c r="A113" s="105" t="s">
        <v>112</v>
      </c>
      <c r="B113" s="65">
        <v>128</v>
      </c>
      <c r="C113" s="65">
        <v>128</v>
      </c>
      <c r="D113" s="65">
        <v>130</v>
      </c>
      <c r="E113" s="65">
        <v>129.4</v>
      </c>
      <c r="F113" s="65">
        <v>130.6</v>
      </c>
      <c r="G113" s="65">
        <v>128.1</v>
      </c>
      <c r="H113" s="65">
        <v>134.30000000000001</v>
      </c>
      <c r="I113" s="65">
        <v>129</v>
      </c>
      <c r="J113" s="65">
        <v>127.7</v>
      </c>
      <c r="K113" s="65">
        <v>131.1</v>
      </c>
      <c r="L113" s="65">
        <v>130</v>
      </c>
      <c r="M113" s="65">
        <v>126</v>
      </c>
      <c r="N113" s="65">
        <v>129.19999999999999</v>
      </c>
      <c r="O113" s="65">
        <v>128.19999999999999</v>
      </c>
      <c r="P113" s="65">
        <v>128.19999999999999</v>
      </c>
      <c r="Q113" s="65">
        <v>128.6</v>
      </c>
      <c r="R113" s="65">
        <v>128.69999999999999</v>
      </c>
      <c r="S113" s="65">
        <v>129.6</v>
      </c>
      <c r="T113" s="65">
        <v>128.5</v>
      </c>
      <c r="U113" s="65">
        <v>125.4</v>
      </c>
      <c r="V113" s="65">
        <v>130.6</v>
      </c>
      <c r="W113" s="65">
        <v>131.69999999999999</v>
      </c>
      <c r="X113" s="65">
        <v>130.1</v>
      </c>
      <c r="Y113" s="65">
        <v>127.5</v>
      </c>
      <c r="Z113" s="65">
        <v>131.80000000000001</v>
      </c>
      <c r="AA113" s="65">
        <v>131.6</v>
      </c>
      <c r="AB113" s="65">
        <v>133</v>
      </c>
      <c r="AC113" s="65">
        <v>134.5</v>
      </c>
      <c r="AD113" s="65">
        <v>130.30000000000001</v>
      </c>
      <c r="AE113" s="65">
        <v>130.69999999999999</v>
      </c>
      <c r="AF113" s="65">
        <v>130.80000000000001</v>
      </c>
      <c r="AG113" s="104"/>
      <c r="AH113" s="47">
        <f t="shared" si="38"/>
        <v>134.5</v>
      </c>
      <c r="AI113" s="48">
        <f t="shared" si="39"/>
        <v>125.4</v>
      </c>
    </row>
    <row r="114" spans="1:35" x14ac:dyDescent="0.25">
      <c r="A114" s="105" t="s">
        <v>113</v>
      </c>
      <c r="B114" s="106">
        <v>134</v>
      </c>
      <c r="C114" s="106">
        <v>134</v>
      </c>
      <c r="D114" s="106">
        <v>131</v>
      </c>
      <c r="E114" s="106">
        <v>131.4</v>
      </c>
      <c r="F114" s="106">
        <v>132.80000000000001</v>
      </c>
      <c r="G114" s="106">
        <v>133.30000000000001</v>
      </c>
      <c r="H114" s="106">
        <v>129.80000000000001</v>
      </c>
      <c r="I114" s="106">
        <v>131.6</v>
      </c>
      <c r="J114" s="106">
        <v>130.1</v>
      </c>
      <c r="K114" s="106">
        <v>134.19999999999999</v>
      </c>
      <c r="L114" s="106">
        <v>131.6</v>
      </c>
      <c r="M114" s="106">
        <v>131.30000000000001</v>
      </c>
      <c r="N114" s="106">
        <v>132.5</v>
      </c>
      <c r="O114" s="106">
        <v>132.6</v>
      </c>
      <c r="P114" s="106">
        <v>132.6</v>
      </c>
      <c r="Q114" s="106">
        <v>132.5</v>
      </c>
      <c r="R114" s="106">
        <v>130.69999999999999</v>
      </c>
      <c r="S114" s="106">
        <v>134</v>
      </c>
      <c r="T114" s="106">
        <v>133.1</v>
      </c>
      <c r="U114" s="106">
        <v>131.30000000000001</v>
      </c>
      <c r="V114" s="106">
        <v>135.1</v>
      </c>
      <c r="W114" s="106">
        <v>135.19999999999999</v>
      </c>
      <c r="X114" s="106">
        <v>135.5</v>
      </c>
      <c r="Y114" s="106">
        <v>134</v>
      </c>
      <c r="Z114" s="106">
        <v>133.5</v>
      </c>
      <c r="AA114" s="106">
        <v>134.9</v>
      </c>
      <c r="AB114" s="106">
        <v>135.69999999999999</v>
      </c>
      <c r="AC114" s="106">
        <v>137</v>
      </c>
      <c r="AD114" s="106">
        <v>136.69999999999999</v>
      </c>
      <c r="AE114" s="106">
        <v>132.80000000000001</v>
      </c>
      <c r="AF114" s="106">
        <v>131.9</v>
      </c>
      <c r="AG114" s="107"/>
      <c r="AH114" s="47">
        <f t="shared" si="38"/>
        <v>137</v>
      </c>
      <c r="AI114" s="48">
        <f t="shared" si="39"/>
        <v>129.80000000000001</v>
      </c>
    </row>
    <row r="115" spans="1:35" x14ac:dyDescent="0.25">
      <c r="A115" s="103" t="s">
        <v>114</v>
      </c>
      <c r="B115" s="65">
        <v>138</v>
      </c>
      <c r="C115" s="65">
        <v>138</v>
      </c>
      <c r="D115" s="65">
        <v>132</v>
      </c>
      <c r="E115" s="65">
        <v>132.19999999999999</v>
      </c>
      <c r="F115" s="65">
        <v>130</v>
      </c>
      <c r="G115" s="65">
        <v>130.1</v>
      </c>
      <c r="H115" s="65">
        <v>131.9</v>
      </c>
      <c r="I115" s="65">
        <v>133.4</v>
      </c>
      <c r="J115" s="65">
        <v>129.69999999999999</v>
      </c>
      <c r="K115" s="65">
        <v>133.69999999999999</v>
      </c>
      <c r="L115" s="65">
        <v>127.7</v>
      </c>
      <c r="M115" s="65">
        <v>129.4</v>
      </c>
      <c r="N115" s="65">
        <v>128.1</v>
      </c>
      <c r="O115" s="65">
        <v>132.6</v>
      </c>
      <c r="P115" s="65">
        <v>132.6</v>
      </c>
      <c r="Q115" s="65">
        <v>129.5</v>
      </c>
      <c r="R115" s="65">
        <v>135.1</v>
      </c>
      <c r="S115" s="65">
        <v>124.8</v>
      </c>
      <c r="T115" s="65">
        <v>134</v>
      </c>
      <c r="U115" s="65">
        <v>133.19999999999999</v>
      </c>
      <c r="V115" s="65">
        <v>133.4</v>
      </c>
      <c r="W115" s="65">
        <v>132.9</v>
      </c>
      <c r="X115" s="65">
        <v>133.6</v>
      </c>
      <c r="Y115" s="65">
        <v>133.80000000000001</v>
      </c>
      <c r="Z115" s="65">
        <v>133.5</v>
      </c>
      <c r="AA115" s="65">
        <v>133.1</v>
      </c>
      <c r="AB115" s="65">
        <v>132.6</v>
      </c>
      <c r="AC115" s="65">
        <v>133.6</v>
      </c>
      <c r="AD115" s="65">
        <v>134.19999999999999</v>
      </c>
      <c r="AE115" s="65">
        <v>130.69999999999999</v>
      </c>
      <c r="AF115" s="65">
        <v>132.9</v>
      </c>
      <c r="AG115" s="104"/>
      <c r="AH115" s="47">
        <f t="shared" si="38"/>
        <v>138</v>
      </c>
      <c r="AI115" s="48">
        <f t="shared" si="39"/>
        <v>124.8</v>
      </c>
    </row>
    <row r="116" spans="1:35" ht="15.75" thickBot="1" x14ac:dyDescent="0.3">
      <c r="A116" s="103" t="s">
        <v>115</v>
      </c>
      <c r="B116" s="92">
        <v>66</v>
      </c>
      <c r="C116" s="92">
        <v>66</v>
      </c>
      <c r="D116" s="92">
        <v>66</v>
      </c>
      <c r="E116" s="92">
        <v>66.5</v>
      </c>
      <c r="F116" s="92">
        <v>67</v>
      </c>
      <c r="G116" s="92">
        <v>65.900000000000006</v>
      </c>
      <c r="H116" s="92">
        <v>64.7</v>
      </c>
      <c r="I116" s="92">
        <v>65.099999999999994</v>
      </c>
      <c r="J116" s="92">
        <v>64.099999999999994</v>
      </c>
      <c r="K116" s="92">
        <v>65.2</v>
      </c>
      <c r="L116" s="92">
        <v>62.6</v>
      </c>
      <c r="M116" s="92">
        <v>62.5</v>
      </c>
      <c r="N116" s="92">
        <v>62.9</v>
      </c>
      <c r="O116" s="92">
        <v>63</v>
      </c>
      <c r="P116" s="92">
        <v>63</v>
      </c>
      <c r="Q116" s="92">
        <v>63.5</v>
      </c>
      <c r="R116" s="92">
        <v>63</v>
      </c>
      <c r="S116" s="92">
        <v>63.5</v>
      </c>
      <c r="T116" s="92">
        <v>63.5</v>
      </c>
      <c r="U116" s="92">
        <v>63</v>
      </c>
      <c r="V116" s="92">
        <v>64.900000000000006</v>
      </c>
      <c r="W116" s="92">
        <v>64.8</v>
      </c>
      <c r="X116" s="92">
        <v>65.400000000000006</v>
      </c>
      <c r="Y116" s="92">
        <v>64</v>
      </c>
      <c r="Z116" s="92">
        <v>64.099999999999994</v>
      </c>
      <c r="AA116" s="92">
        <v>65</v>
      </c>
      <c r="AB116" s="92">
        <v>65.400000000000006</v>
      </c>
      <c r="AC116" s="92">
        <v>65.7</v>
      </c>
      <c r="AD116" s="92">
        <v>65.3</v>
      </c>
      <c r="AE116" s="92">
        <v>65.5</v>
      </c>
      <c r="AF116" s="92">
        <v>65.8</v>
      </c>
      <c r="AG116" s="108"/>
      <c r="AH116" s="47">
        <f t="shared" si="38"/>
        <v>67</v>
      </c>
      <c r="AI116" s="48">
        <f t="shared" si="39"/>
        <v>62.5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8"/>
        <v>0</v>
      </c>
      <c r="AI117" s="48">
        <f t="shared" si="39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129.63999999999999</v>
      </c>
      <c r="C118" s="111">
        <f>SUM(C22,C28,C31:C32,C66,C68:C69,C71,C73,C119:C123,C155,C161,C167,C176,C178,C190,C197,C200:C201,C208,C210,C212,C216:C218,C220:C222,C227,C233:C234,C236:C238,C246,C251)</f>
        <v>111.24</v>
      </c>
      <c r="D118" s="111">
        <f>SUM(D22,D28,D31:D32,D66,D68:D69,D71,D73,D119:D123,D155,D161,D167,D176,D178,D190,D197,D200:D201,D208,D210,D212,D216:D218,D220:D222,D227,D233:D234,D236:D238,D246,D251)</f>
        <v>110.24</v>
      </c>
      <c r="E118" s="111">
        <f t="shared" ref="E118:O118" si="127">SUM(E22,E28,E31:E32,E66,E68:E69,E71,E73,E119:E123,E155,E161,E167,E176,E178,E190,E197,E200:E201,E208,E210,E212,E216:E218,E220:E222,E227,E233:E234,E236:E238,E246,E251)</f>
        <v>117.26000000000002</v>
      </c>
      <c r="F118" s="111">
        <f t="shared" si="127"/>
        <v>129.54</v>
      </c>
      <c r="G118" s="111">
        <f t="shared" si="127"/>
        <v>170.14</v>
      </c>
      <c r="H118" s="111">
        <f t="shared" si="127"/>
        <v>207.84000000000003</v>
      </c>
      <c r="I118" s="111">
        <f t="shared" si="127"/>
        <v>237.04</v>
      </c>
      <c r="J118" s="111">
        <f t="shared" si="127"/>
        <v>274.83999999999997</v>
      </c>
      <c r="K118" s="111">
        <f t="shared" si="127"/>
        <v>355.98000000000008</v>
      </c>
      <c r="L118" s="111">
        <f t="shared" si="127"/>
        <v>392.84</v>
      </c>
      <c r="M118" s="111">
        <f t="shared" si="127"/>
        <v>397.02</v>
      </c>
      <c r="N118" s="111">
        <f t="shared" si="127"/>
        <v>363.44</v>
      </c>
      <c r="O118" s="111">
        <f t="shared" si="127"/>
        <v>350.988</v>
      </c>
      <c r="P118" s="111">
        <v>42</v>
      </c>
      <c r="Q118" s="111">
        <f t="shared" ref="Q118:AC118" si="128">SUM(Q22,Q28,Q31:Q32,Q66,Q68:Q69,Q71,Q73,Q119:Q123,Q155,Q161,Q167,Q176,Q178,Q190,Q197,Q200:Q201,Q208,Q210,Q212,Q216:Q218,Q220:Q222,Q227,Q233:Q234,Q236:Q238,Q246,Q251)</f>
        <v>308.33999999999997</v>
      </c>
      <c r="R118" s="111">
        <f t="shared" si="128"/>
        <v>268.04000000000002</v>
      </c>
      <c r="S118" s="111">
        <f t="shared" ref="S118:T118" si="129">SUM(S22,S28,S31:S32,S66,S68:S69,S71,S73,S119:S123,S155,S161,S167,S176,S178,S190,S197,S200:S201,S208,S210,S212,S216:S218,S220:S222,S227,S233:S234,S236:S238,S246,S251)</f>
        <v>302.97999999999996</v>
      </c>
      <c r="T118" s="111">
        <f t="shared" si="129"/>
        <v>294.14000000000004</v>
      </c>
      <c r="U118" s="111">
        <f t="shared" ref="U118:V118" si="130">SUM(U22,U28,U31:U32,U66,U68:U69,U71,U73,U119:U123,U155,U161,U167,U176,U178,U190,U197,U200:U201,U208,U210,U212,U216:U218,U220:U222,U227,U233:U234,U236:U238,U246,U251)</f>
        <v>305.86000000000007</v>
      </c>
      <c r="V118" s="111">
        <f t="shared" si="130"/>
        <v>312.68</v>
      </c>
      <c r="W118" s="111">
        <f t="shared" ref="W118:X118" si="131">SUM(W22,W28,W31:W32,W66,W68:W69,W71,W73,W119:W123,W155,W161,W167,W176,W178,W190,W197,W200:W201,W208,W210,W212,W216:W218,W220:W222,W227,W233:W234,W236:W238,W246,W251)</f>
        <v>328.12</v>
      </c>
      <c r="X118" s="111">
        <f t="shared" si="131"/>
        <v>365.90000000000003</v>
      </c>
      <c r="Y118" s="111">
        <f t="shared" ref="Y118" si="132">SUM(Y22,Y28,Y31:Y32,Y66,Y68:Y69,Y71,Y73,Y119:Y123,Y155,Y161,Y167,Y176,Y178,Y190,Y197,Y200:Y201,Y208,Y210,Y212,Y216:Y218,Y220:Y222,Y227,Y233:Y234,Y236:Y238,Y246,Y251)</f>
        <v>422.59999999999997</v>
      </c>
      <c r="Z118" s="111">
        <f t="shared" ref="Z118:AA118" si="133">SUM(Z22,Z28,Z31:Z32,Z66,Z68:Z69,Z71,Z73,Z119:Z123,Z155,Z161,Z167,Z176,Z178,Z190,Z197,Z200:Z201,Z208,Z210,Z212,Z216:Z218,Z220:Z222,Z227,Z233:Z234,Z236:Z238,Z246,Z251)</f>
        <v>423.16</v>
      </c>
      <c r="AA118" s="111">
        <f t="shared" si="133"/>
        <v>409.00000000000006</v>
      </c>
      <c r="AB118" s="111">
        <f t="shared" si="128"/>
        <v>388.20400000000001</v>
      </c>
      <c r="AC118" s="111">
        <f t="shared" si="128"/>
        <v>359.97500000000002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267.22199999999998</v>
      </c>
      <c r="AF118" s="111">
        <f>SUM(AF22,AF28,AF31:AF32,AF66,AF68:AF69,AF71,AF73,AF119:AF123,AF155,AF161,AF167,AF176,AF178,AF190,AF197,AF200:AF201,AF208,AF210,AF212,AF216:AF218,AF220:AF222,AF227,AF233:AF234,AF236:AF238,AF246,AF251)</f>
        <v>202.63300000000001</v>
      </c>
      <c r="AG118" s="112"/>
      <c r="AH118" s="47">
        <f t="shared" si="38"/>
        <v>423.16</v>
      </c>
      <c r="AI118" s="48">
        <f t="shared" si="39"/>
        <v>42</v>
      </c>
    </row>
    <row r="119" spans="1:35" x14ac:dyDescent="0.25">
      <c r="A119" s="172" t="s">
        <v>118</v>
      </c>
      <c r="B119" s="113">
        <v>6</v>
      </c>
      <c r="C119" s="113">
        <v>-4</v>
      </c>
      <c r="D119" s="113">
        <v>-3</v>
      </c>
      <c r="E119" s="113">
        <v>-11.8</v>
      </c>
      <c r="F119" s="113">
        <v>-5.8</v>
      </c>
      <c r="G119" s="113">
        <v>3.4</v>
      </c>
      <c r="H119" s="113">
        <v>14.7</v>
      </c>
      <c r="I119" s="113">
        <v>23.4</v>
      </c>
      <c r="J119" s="113">
        <v>29.4</v>
      </c>
      <c r="K119" s="113">
        <v>32.6</v>
      </c>
      <c r="L119" s="113">
        <v>30.3</v>
      </c>
      <c r="M119" s="113">
        <v>34.6</v>
      </c>
      <c r="N119" s="113">
        <v>23.6</v>
      </c>
      <c r="O119" s="113">
        <v>22.4</v>
      </c>
      <c r="P119" s="113">
        <v>45.4</v>
      </c>
      <c r="Q119" s="113">
        <v>36.5</v>
      </c>
      <c r="R119" s="113">
        <v>12.7</v>
      </c>
      <c r="S119" s="113">
        <v>11.2</v>
      </c>
      <c r="T119" s="113">
        <v>16.7</v>
      </c>
      <c r="U119" s="113">
        <v>15.7</v>
      </c>
      <c r="V119" s="113">
        <v>13.9</v>
      </c>
      <c r="W119" s="113">
        <v>15.5</v>
      </c>
      <c r="X119" s="113">
        <v>41.5</v>
      </c>
      <c r="Y119" s="113">
        <v>48.2</v>
      </c>
      <c r="Z119" s="113">
        <v>52.7</v>
      </c>
      <c r="AA119" s="113">
        <v>55.9</v>
      </c>
      <c r="AB119" s="113">
        <v>58.6</v>
      </c>
      <c r="AC119" s="113">
        <v>29.8</v>
      </c>
      <c r="AD119" s="113">
        <v>26.5</v>
      </c>
      <c r="AE119" s="113">
        <v>11</v>
      </c>
      <c r="AF119" s="113">
        <v>-2.6</v>
      </c>
      <c r="AG119" s="114">
        <v>75</v>
      </c>
      <c r="AH119" s="47">
        <f t="shared" si="38"/>
        <v>58.6</v>
      </c>
      <c r="AI119" s="48">
        <f t="shared" si="39"/>
        <v>-11.8</v>
      </c>
    </row>
    <row r="120" spans="1:35" x14ac:dyDescent="0.25">
      <c r="A120" s="173" t="s">
        <v>119</v>
      </c>
      <c r="B120" s="115">
        <v>11</v>
      </c>
      <c r="C120" s="115">
        <v>-3.4</v>
      </c>
      <c r="D120" s="115">
        <v>-1.4</v>
      </c>
      <c r="E120" s="115">
        <v>-12</v>
      </c>
      <c r="F120" s="115">
        <v>-2.4</v>
      </c>
      <c r="G120" s="115">
        <v>5.0999999999999996</v>
      </c>
      <c r="H120" s="115">
        <v>21.4</v>
      </c>
      <c r="I120" s="115">
        <v>32</v>
      </c>
      <c r="J120" s="115">
        <v>37.799999999999997</v>
      </c>
      <c r="K120" s="115">
        <v>46.3</v>
      </c>
      <c r="L120" s="115">
        <v>41.7</v>
      </c>
      <c r="M120" s="115">
        <v>47.7</v>
      </c>
      <c r="N120" s="115">
        <v>33.799999999999997</v>
      </c>
      <c r="O120" s="115">
        <v>32.299999999999997</v>
      </c>
      <c r="P120" s="115">
        <v>91.3</v>
      </c>
      <c r="Q120" s="115">
        <v>49</v>
      </c>
      <c r="R120" s="115">
        <v>14.4</v>
      </c>
      <c r="S120" s="115">
        <v>12.1</v>
      </c>
      <c r="T120" s="115">
        <v>19.8</v>
      </c>
      <c r="U120" s="115">
        <v>16.8</v>
      </c>
      <c r="V120" s="115">
        <v>18.3</v>
      </c>
      <c r="W120" s="115">
        <v>20.3</v>
      </c>
      <c r="X120" s="115">
        <v>55.7</v>
      </c>
      <c r="Y120" s="115">
        <v>64.2</v>
      </c>
      <c r="Z120" s="115">
        <v>70.599999999999994</v>
      </c>
      <c r="AA120" s="115">
        <v>75.5</v>
      </c>
      <c r="AB120" s="115">
        <v>78.7</v>
      </c>
      <c r="AC120" s="115">
        <v>40</v>
      </c>
      <c r="AD120" s="115">
        <v>31.5</v>
      </c>
      <c r="AE120" s="115">
        <v>11.4</v>
      </c>
      <c r="AF120" s="115">
        <v>-7.2</v>
      </c>
      <c r="AG120" s="114">
        <v>240</v>
      </c>
      <c r="AH120" s="47">
        <f t="shared" si="38"/>
        <v>91.3</v>
      </c>
      <c r="AI120" s="48">
        <f t="shared" si="39"/>
        <v>-12</v>
      </c>
    </row>
    <row r="121" spans="1:35" x14ac:dyDescent="0.25">
      <c r="A121" s="173" t="s">
        <v>120</v>
      </c>
      <c r="B121" s="115">
        <v>-45</v>
      </c>
      <c r="C121" s="115">
        <v>-44</v>
      </c>
      <c r="D121" s="115">
        <v>-46</v>
      </c>
      <c r="E121" s="115">
        <v>-35</v>
      </c>
      <c r="F121" s="115">
        <v>-40</v>
      </c>
      <c r="G121" s="115">
        <v>-33</v>
      </c>
      <c r="H121" s="115">
        <v>-29</v>
      </c>
      <c r="I121" s="115">
        <v>-21</v>
      </c>
      <c r="J121" s="115">
        <v>-6</v>
      </c>
      <c r="K121" s="115">
        <v>28</v>
      </c>
      <c r="L121" s="115">
        <v>44</v>
      </c>
      <c r="M121" s="115">
        <v>39.299999999999997</v>
      </c>
      <c r="N121" s="115">
        <v>33</v>
      </c>
      <c r="O121" s="115">
        <v>27.1</v>
      </c>
      <c r="P121" s="115">
        <v>4.5999999999999996</v>
      </c>
      <c r="Q121" s="115">
        <v>-1.5</v>
      </c>
      <c r="R121" s="115">
        <v>12</v>
      </c>
      <c r="S121" s="115">
        <v>14.2</v>
      </c>
      <c r="T121" s="115">
        <v>9.3000000000000007</v>
      </c>
      <c r="U121" s="115">
        <v>13.8</v>
      </c>
      <c r="V121" s="115">
        <v>33.9</v>
      </c>
      <c r="W121" s="115">
        <v>37.9</v>
      </c>
      <c r="X121" s="115">
        <v>41</v>
      </c>
      <c r="Y121" s="115">
        <v>50.2</v>
      </c>
      <c r="Z121" s="115">
        <v>50.6</v>
      </c>
      <c r="AA121" s="115">
        <v>44</v>
      </c>
      <c r="AB121" s="115">
        <v>39.5</v>
      </c>
      <c r="AC121" s="115">
        <v>44</v>
      </c>
      <c r="AD121" s="115">
        <v>35</v>
      </c>
      <c r="AE121" s="115">
        <v>6.5</v>
      </c>
      <c r="AF121" s="115">
        <v>-8.8000000000000007</v>
      </c>
      <c r="AG121" s="114">
        <v>240</v>
      </c>
      <c r="AH121" s="47">
        <f t="shared" si="38"/>
        <v>50.6</v>
      </c>
      <c r="AI121" s="48">
        <f t="shared" si="39"/>
        <v>-46</v>
      </c>
    </row>
    <row r="122" spans="1:35" ht="15.75" thickBot="1" x14ac:dyDescent="0.3">
      <c r="A122" s="173" t="s">
        <v>121</v>
      </c>
      <c r="B122" s="115">
        <v>-10</v>
      </c>
      <c r="C122" s="115">
        <v>-10</v>
      </c>
      <c r="D122" s="115">
        <v>-12</v>
      </c>
      <c r="E122" s="115">
        <v>-9.5</v>
      </c>
      <c r="F122" s="115">
        <v>-9.1</v>
      </c>
      <c r="G122" s="115">
        <v>-8.1999999999999993</v>
      </c>
      <c r="H122" s="115">
        <v>-10.1</v>
      </c>
      <c r="I122" s="115">
        <v>-5</v>
      </c>
      <c r="J122" s="115">
        <v>-2</v>
      </c>
      <c r="K122" s="115">
        <v>20</v>
      </c>
      <c r="L122" s="115">
        <v>23</v>
      </c>
      <c r="M122" s="115">
        <v>22.5</v>
      </c>
      <c r="N122" s="115">
        <v>19.2</v>
      </c>
      <c r="O122" s="115">
        <v>20.3</v>
      </c>
      <c r="P122" s="115">
        <v>10.3</v>
      </c>
      <c r="Q122" s="115">
        <v>6.8</v>
      </c>
      <c r="R122" s="115">
        <v>1.4</v>
      </c>
      <c r="S122" s="115">
        <v>1.7</v>
      </c>
      <c r="T122" s="115">
        <v>-0.5</v>
      </c>
      <c r="U122" s="115">
        <v>7.4</v>
      </c>
      <c r="V122" s="115">
        <v>18.399999999999999</v>
      </c>
      <c r="W122" s="115">
        <v>20</v>
      </c>
      <c r="X122" s="115">
        <v>24.4</v>
      </c>
      <c r="Y122" s="115">
        <v>27.9</v>
      </c>
      <c r="Z122" s="115">
        <v>28.2</v>
      </c>
      <c r="AA122" s="115">
        <v>26.6</v>
      </c>
      <c r="AB122" s="115">
        <v>23.4</v>
      </c>
      <c r="AC122" s="115">
        <v>22.5</v>
      </c>
      <c r="AD122" s="115">
        <v>15.7</v>
      </c>
      <c r="AE122" s="115">
        <v>6.7</v>
      </c>
      <c r="AF122" s="115">
        <v>-3.2</v>
      </c>
      <c r="AG122" s="114">
        <v>60</v>
      </c>
      <c r="AH122" s="47">
        <f t="shared" si="38"/>
        <v>28.2</v>
      </c>
      <c r="AI122" s="48">
        <f t="shared" si="39"/>
        <v>-12</v>
      </c>
    </row>
    <row r="123" spans="1:35" x14ac:dyDescent="0.25">
      <c r="A123" s="172" t="s">
        <v>259</v>
      </c>
      <c r="B123" s="117">
        <v>80</v>
      </c>
      <c r="C123" s="117">
        <v>85</v>
      </c>
      <c r="D123" s="117">
        <v>85</v>
      </c>
      <c r="E123" s="117">
        <f>61.2*1.6</f>
        <v>97.920000000000016</v>
      </c>
      <c r="F123" s="117">
        <f>62*1.6</f>
        <v>99.2</v>
      </c>
      <c r="G123" s="117">
        <f>72*1.6</f>
        <v>115.2</v>
      </c>
      <c r="H123" s="117">
        <f>77*1.6</f>
        <v>123.2</v>
      </c>
      <c r="I123" s="117">
        <f>75*1.6</f>
        <v>120</v>
      </c>
      <c r="J123" s="117">
        <f>80*1.6</f>
        <v>128</v>
      </c>
      <c r="K123" s="117">
        <f>88.4*1.6</f>
        <v>141.44000000000003</v>
      </c>
      <c r="L123" s="117">
        <f>103*1.6</f>
        <v>164.8</v>
      </c>
      <c r="M123" s="117">
        <f>1.64*97</f>
        <v>159.07999999999998</v>
      </c>
      <c r="N123" s="117">
        <v>160</v>
      </c>
      <c r="O123" s="117">
        <f>1.64*88.2</f>
        <v>144.648</v>
      </c>
      <c r="P123" s="117">
        <f>1.64*73.1</f>
        <v>119.88399999999999</v>
      </c>
      <c r="Q123" s="117">
        <v>110</v>
      </c>
      <c r="R123" s="117">
        <v>120</v>
      </c>
      <c r="S123" s="117">
        <f>99.4*1.6</f>
        <v>159.04000000000002</v>
      </c>
      <c r="T123" s="117">
        <f>92.5*1.6</f>
        <v>148</v>
      </c>
      <c r="U123" s="117">
        <f>97.7*1.6</f>
        <v>156.32000000000002</v>
      </c>
      <c r="V123" s="117">
        <f>85.9*1.6</f>
        <v>137.44000000000003</v>
      </c>
      <c r="W123" s="117">
        <f>89.8*1.6</f>
        <v>143.68</v>
      </c>
      <c r="X123" s="117">
        <f>72.6*1.6</f>
        <v>116.16</v>
      </c>
      <c r="Y123" s="117">
        <f>90.6*1.6</f>
        <v>144.96</v>
      </c>
      <c r="Z123" s="117">
        <f>83.7*1.6</f>
        <v>133.92000000000002</v>
      </c>
      <c r="AA123" s="117">
        <f>73.6*1.6</f>
        <v>117.75999999999999</v>
      </c>
      <c r="AB123" s="117">
        <f>1.64*60.1</f>
        <v>98.563999999999993</v>
      </c>
      <c r="AC123" s="117">
        <f>80.5*1.67</f>
        <v>134.435</v>
      </c>
      <c r="AD123" s="117">
        <f>82.2*1.67</f>
        <v>137.274</v>
      </c>
      <c r="AE123" s="117">
        <f>84.6*1.67</f>
        <v>141.28199999999998</v>
      </c>
      <c r="AF123" s="117">
        <f>77.9*1.67</f>
        <v>130.09300000000002</v>
      </c>
      <c r="AG123" s="118">
        <v>120</v>
      </c>
      <c r="AH123" s="47">
        <f t="shared" si="38"/>
        <v>164.8</v>
      </c>
      <c r="AI123" s="48">
        <f t="shared" si="39"/>
        <v>80</v>
      </c>
    </row>
    <row r="124" spans="1:35" x14ac:dyDescent="0.25">
      <c r="A124" s="173" t="s">
        <v>258</v>
      </c>
      <c r="B124" s="117">
        <v>75</v>
      </c>
      <c r="C124" s="117">
        <v>81</v>
      </c>
      <c r="D124" s="117">
        <v>77</v>
      </c>
      <c r="E124" s="117">
        <v>75</v>
      </c>
      <c r="F124" s="117">
        <v>76</v>
      </c>
      <c r="G124" s="117">
        <v>82</v>
      </c>
      <c r="H124" s="117">
        <v>86</v>
      </c>
      <c r="I124" s="117">
        <v>85</v>
      </c>
      <c r="J124" s="117">
        <v>90</v>
      </c>
      <c r="K124" s="117">
        <v>95</v>
      </c>
      <c r="L124" s="117">
        <v>107</v>
      </c>
      <c r="M124" s="117">
        <v>101.2</v>
      </c>
      <c r="N124" s="117">
        <v>96.8</v>
      </c>
      <c r="O124" s="117">
        <v>95.6</v>
      </c>
      <c r="P124" s="117">
        <v>82.3</v>
      </c>
      <c r="Q124" s="117">
        <v>89</v>
      </c>
      <c r="R124" s="117">
        <v>103</v>
      </c>
      <c r="S124" s="117">
        <v>103.8</v>
      </c>
      <c r="T124" s="117">
        <v>97.2</v>
      </c>
      <c r="U124" s="117">
        <v>101.5</v>
      </c>
      <c r="V124" s="117">
        <v>92.8</v>
      </c>
      <c r="W124" s="117">
        <v>95.9</v>
      </c>
      <c r="X124" s="117">
        <v>82.1</v>
      </c>
      <c r="Y124" s="117">
        <v>96</v>
      </c>
      <c r="Z124" s="117">
        <v>90.2</v>
      </c>
      <c r="AA124" s="117">
        <v>82</v>
      </c>
      <c r="AB124" s="117">
        <v>72.3</v>
      </c>
      <c r="AC124" s="117">
        <v>89</v>
      </c>
      <c r="AD124" s="117">
        <v>90.3</v>
      </c>
      <c r="AE124" s="117">
        <v>93.4</v>
      </c>
      <c r="AF124" s="117">
        <v>88.1</v>
      </c>
      <c r="AG124" s="118"/>
      <c r="AH124" s="47"/>
      <c r="AI124" s="48"/>
    </row>
    <row r="125" spans="1:35" x14ac:dyDescent="0.25">
      <c r="A125" s="173" t="s">
        <v>255</v>
      </c>
      <c r="B125" s="117">
        <v>63</v>
      </c>
      <c r="C125" s="117">
        <v>80</v>
      </c>
      <c r="D125" s="117">
        <v>77</v>
      </c>
      <c r="E125" s="117">
        <v>64.3</v>
      </c>
      <c r="F125" s="117">
        <v>62</v>
      </c>
      <c r="G125" s="117">
        <v>57.3</v>
      </c>
      <c r="H125" s="117">
        <v>39</v>
      </c>
      <c r="I125" s="117">
        <v>24.1</v>
      </c>
      <c r="J125" s="117">
        <v>20</v>
      </c>
      <c r="K125" s="117">
        <v>-12.3</v>
      </c>
      <c r="L125" s="117">
        <v>-10</v>
      </c>
      <c r="M125" s="117">
        <v>-13.8</v>
      </c>
      <c r="N125" s="117">
        <v>2.6</v>
      </c>
      <c r="O125" s="117">
        <v>3.2</v>
      </c>
      <c r="P125" s="117">
        <v>-9.5</v>
      </c>
      <c r="Q125" s="117">
        <v>8</v>
      </c>
      <c r="R125" s="117">
        <v>43</v>
      </c>
      <c r="S125" s="117">
        <v>43.1</v>
      </c>
      <c r="T125" s="117">
        <v>32.5</v>
      </c>
      <c r="U125" s="117">
        <v>35.200000000000003</v>
      </c>
      <c r="V125" s="117">
        <v>15.8</v>
      </c>
      <c r="W125" s="117">
        <v>14.3</v>
      </c>
      <c r="X125" s="117">
        <v>-31.9</v>
      </c>
      <c r="Y125" s="117">
        <v>-41.5</v>
      </c>
      <c r="Z125" s="117">
        <v>-51.4</v>
      </c>
      <c r="AA125" s="117">
        <v>-60.7</v>
      </c>
      <c r="AB125" s="117">
        <v>-66.3</v>
      </c>
      <c r="AC125" s="117">
        <v>-16.600000000000001</v>
      </c>
      <c r="AD125" s="117">
        <v>4.0999999999999996</v>
      </c>
      <c r="AE125" s="117">
        <v>41.8</v>
      </c>
      <c r="AF125" s="117">
        <v>70.2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95</v>
      </c>
      <c r="C126" s="117">
        <v>101</v>
      </c>
      <c r="D126" s="117">
        <v>92</v>
      </c>
      <c r="E126" s="117">
        <v>84</v>
      </c>
      <c r="F126" s="117">
        <v>93</v>
      </c>
      <c r="G126" s="117">
        <v>97</v>
      </c>
      <c r="H126" s="117">
        <v>102</v>
      </c>
      <c r="I126" s="117">
        <v>88</v>
      </c>
      <c r="J126" s="117">
        <v>98</v>
      </c>
      <c r="K126" s="117">
        <v>84</v>
      </c>
      <c r="L126" s="117">
        <v>92</v>
      </c>
      <c r="M126" s="117">
        <v>90.3</v>
      </c>
      <c r="N126" s="117">
        <v>87</v>
      </c>
      <c r="O126" s="117">
        <v>93.6</v>
      </c>
      <c r="P126" s="117">
        <v>84.7</v>
      </c>
      <c r="Q126" s="117">
        <v>98</v>
      </c>
      <c r="R126" s="117">
        <v>94</v>
      </c>
      <c r="S126" s="117">
        <v>99.7</v>
      </c>
      <c r="T126" s="117">
        <v>90.5</v>
      </c>
      <c r="U126" s="117">
        <v>94.7</v>
      </c>
      <c r="V126" s="117">
        <v>80.5</v>
      </c>
      <c r="W126" s="117">
        <v>85.3</v>
      </c>
      <c r="X126" s="117">
        <v>61.9</v>
      </c>
      <c r="Y126" s="117">
        <v>71.5</v>
      </c>
      <c r="Z126" s="117">
        <v>66</v>
      </c>
      <c r="AA126" s="117">
        <v>57.1</v>
      </c>
      <c r="AB126" s="117">
        <v>50.2</v>
      </c>
      <c r="AC126" s="117">
        <v>76.3</v>
      </c>
      <c r="AD126" s="117">
        <v>79.8</v>
      </c>
      <c r="AE126" s="117">
        <v>86</v>
      </c>
      <c r="AF126" s="117">
        <v>82.2</v>
      </c>
      <c r="AG126" s="114"/>
      <c r="AH126" s="47">
        <f t="shared" si="38"/>
        <v>102</v>
      </c>
      <c r="AI126" s="48">
        <f t="shared" si="39"/>
        <v>50.2</v>
      </c>
    </row>
    <row r="127" spans="1:35" x14ac:dyDescent="0.25">
      <c r="A127" s="172" t="s">
        <v>587</v>
      </c>
      <c r="B127" s="117">
        <v>15</v>
      </c>
      <c r="C127" s="117">
        <v>28</v>
      </c>
      <c r="D127" s="117">
        <v>25</v>
      </c>
      <c r="E127" s="117">
        <v>21</v>
      </c>
      <c r="F127" s="117">
        <v>22</v>
      </c>
      <c r="G127" s="117">
        <v>11</v>
      </c>
      <c r="H127" s="117">
        <v>5</v>
      </c>
      <c r="I127" s="117">
        <v>0</v>
      </c>
      <c r="J127" s="117">
        <v>-8</v>
      </c>
      <c r="K127" s="117">
        <v>-11.2</v>
      </c>
      <c r="L127" s="117">
        <v>-10</v>
      </c>
      <c r="M127" s="117">
        <v>-13.2</v>
      </c>
      <c r="N127" s="117">
        <v>-5</v>
      </c>
      <c r="O127" s="117">
        <v>-5</v>
      </c>
      <c r="P127" s="117">
        <v>-25.3</v>
      </c>
      <c r="Q127" s="117">
        <v>-16</v>
      </c>
      <c r="R127" s="117">
        <v>12</v>
      </c>
      <c r="S127" s="117">
        <v>14.8</v>
      </c>
      <c r="T127" s="117">
        <v>16.7</v>
      </c>
      <c r="U127" s="117">
        <v>19.399999999999999</v>
      </c>
      <c r="V127" s="117">
        <v>8</v>
      </c>
      <c r="W127" s="117">
        <v>8</v>
      </c>
      <c r="X127" s="117">
        <v>0</v>
      </c>
      <c r="Y127" s="117">
        <v>0</v>
      </c>
      <c r="Z127" s="117">
        <v>0</v>
      </c>
      <c r="AA127" s="117">
        <v>-12.6</v>
      </c>
      <c r="AB127" s="117">
        <v>-15.2</v>
      </c>
      <c r="AC127" s="117">
        <v>0</v>
      </c>
      <c r="AD127" s="117">
        <v>4.0999999999999996</v>
      </c>
      <c r="AE127" s="117">
        <v>18.2</v>
      </c>
      <c r="AF127" s="106">
        <v>22.5</v>
      </c>
      <c r="AG127" s="114"/>
      <c r="AH127" s="47">
        <f t="shared" si="38"/>
        <v>28</v>
      </c>
      <c r="AI127" s="48">
        <f t="shared" si="39"/>
        <v>-25.3</v>
      </c>
    </row>
    <row r="128" spans="1:35" x14ac:dyDescent="0.25">
      <c r="A128" s="173" t="s">
        <v>123</v>
      </c>
      <c r="B128" s="106">
        <v>-6</v>
      </c>
      <c r="C128" s="106">
        <v>-7</v>
      </c>
      <c r="D128" s="106">
        <v>-4</v>
      </c>
      <c r="E128" s="106">
        <v>-3</v>
      </c>
      <c r="F128" s="106">
        <v>-4.5</v>
      </c>
      <c r="G128" s="106">
        <v>-8.1</v>
      </c>
      <c r="H128" s="106">
        <v>-19</v>
      </c>
      <c r="I128" s="106">
        <v>-21.2</v>
      </c>
      <c r="J128" s="106">
        <v>-27.3</v>
      </c>
      <c r="K128" s="106">
        <v>-37</v>
      </c>
      <c r="L128" s="106">
        <v>-41</v>
      </c>
      <c r="M128" s="106">
        <v>-41.2</v>
      </c>
      <c r="N128" s="106">
        <v>-28</v>
      </c>
      <c r="O128" s="106">
        <v>-27.2</v>
      </c>
      <c r="P128" s="106">
        <v>-20.9</v>
      </c>
      <c r="Q128" s="106">
        <v>-17</v>
      </c>
      <c r="R128" s="106">
        <v>-18</v>
      </c>
      <c r="S128" s="106">
        <v>-19</v>
      </c>
      <c r="T128" s="106">
        <v>-22.1</v>
      </c>
      <c r="U128" s="106">
        <v>-23.4</v>
      </c>
      <c r="V128" s="106">
        <v>-30.6</v>
      </c>
      <c r="W128" s="106">
        <v>-30.6</v>
      </c>
      <c r="X128" s="106">
        <v>-45.1</v>
      </c>
      <c r="Y128" s="106">
        <v>-49</v>
      </c>
      <c r="Z128" s="106">
        <v>-42</v>
      </c>
      <c r="AA128" s="106">
        <v>-37.5</v>
      </c>
      <c r="AB128" s="106">
        <v>-31.5</v>
      </c>
      <c r="AC128" s="106">
        <v>-24.8</v>
      </c>
      <c r="AD128" s="106">
        <v>-19.7</v>
      </c>
      <c r="AE128" s="106">
        <v>-14.1</v>
      </c>
      <c r="AF128" s="106">
        <v>-8.5</v>
      </c>
      <c r="AG128" s="114"/>
      <c r="AH128" s="47">
        <f t="shared" si="38"/>
        <v>-3</v>
      </c>
      <c r="AI128" s="48">
        <f t="shared" si="39"/>
        <v>-49</v>
      </c>
    </row>
    <row r="129" spans="1:37" x14ac:dyDescent="0.25">
      <c r="A129" s="173" t="s">
        <v>260</v>
      </c>
      <c r="B129" s="106">
        <v>26</v>
      </c>
      <c r="C129" s="106">
        <v>26</v>
      </c>
      <c r="D129" s="106">
        <v>26</v>
      </c>
      <c r="E129" s="106">
        <v>27</v>
      </c>
      <c r="F129" s="106">
        <v>26.1</v>
      </c>
      <c r="G129" s="106">
        <v>28</v>
      </c>
      <c r="H129" s="106">
        <v>27</v>
      </c>
      <c r="I129" s="106">
        <v>29.1</v>
      </c>
      <c r="J129" s="106">
        <v>27.3</v>
      </c>
      <c r="K129" s="106">
        <v>12.8</v>
      </c>
      <c r="L129" s="106">
        <v>13</v>
      </c>
      <c r="M129" s="106">
        <v>13</v>
      </c>
      <c r="N129" s="106">
        <v>13</v>
      </c>
      <c r="O129" s="106">
        <v>13</v>
      </c>
      <c r="P129" s="106">
        <v>20.100000000000001</v>
      </c>
      <c r="Q129" s="106">
        <v>24</v>
      </c>
      <c r="R129" s="106">
        <v>32</v>
      </c>
      <c r="S129" s="106">
        <v>32.4</v>
      </c>
      <c r="T129" s="106">
        <v>31.9</v>
      </c>
      <c r="U129" s="106">
        <v>29.6</v>
      </c>
      <c r="V129" s="106">
        <v>11.4</v>
      </c>
      <c r="W129" s="106">
        <v>11.4</v>
      </c>
      <c r="X129" s="106">
        <v>10</v>
      </c>
      <c r="Y129" s="106">
        <v>11.1</v>
      </c>
      <c r="Z129" s="106">
        <v>10.6</v>
      </c>
      <c r="AA129" s="106">
        <v>11.2</v>
      </c>
      <c r="AB129" s="106">
        <v>10</v>
      </c>
      <c r="AC129" s="106">
        <v>10.199999999999999</v>
      </c>
      <c r="AD129" s="106">
        <v>12.3</v>
      </c>
      <c r="AE129" s="106">
        <v>19.100000000000001</v>
      </c>
      <c r="AF129" s="106">
        <v>26.6</v>
      </c>
      <c r="AG129" s="114"/>
      <c r="AH129" s="47">
        <f t="shared" si="38"/>
        <v>32.4</v>
      </c>
      <c r="AI129" s="48">
        <f t="shared" si="39"/>
        <v>10</v>
      </c>
    </row>
    <row r="130" spans="1:37" ht="15.75" thickBot="1" x14ac:dyDescent="0.3">
      <c r="A130" s="173" t="s">
        <v>257</v>
      </c>
      <c r="B130" s="106">
        <v>93</v>
      </c>
      <c r="C130" s="106">
        <v>88</v>
      </c>
      <c r="D130" s="106">
        <v>91</v>
      </c>
      <c r="E130" s="106">
        <v>89</v>
      </c>
      <c r="F130" s="106">
        <v>86</v>
      </c>
      <c r="G130" s="106">
        <v>100</v>
      </c>
      <c r="H130" s="106">
        <v>95</v>
      </c>
      <c r="I130" s="106">
        <v>103</v>
      </c>
      <c r="J130" s="106">
        <v>98.3</v>
      </c>
      <c r="K130" s="106">
        <v>98</v>
      </c>
      <c r="L130" s="106">
        <v>99</v>
      </c>
      <c r="M130" s="106">
        <v>97.4</v>
      </c>
      <c r="N130" s="106">
        <v>87</v>
      </c>
      <c r="O130" s="106">
        <v>86.5</v>
      </c>
      <c r="P130" s="106">
        <v>106.9</v>
      </c>
      <c r="Q130" s="106">
        <v>113</v>
      </c>
      <c r="R130" s="106">
        <v>105</v>
      </c>
      <c r="S130" s="106">
        <v>103.6</v>
      </c>
      <c r="T130" s="106">
        <v>112.6</v>
      </c>
      <c r="U130" s="106">
        <v>110.6</v>
      </c>
      <c r="V130" s="106">
        <v>94.5</v>
      </c>
      <c r="W130" s="106">
        <v>94.5</v>
      </c>
      <c r="X130" s="106">
        <v>90.7</v>
      </c>
      <c r="Y130" s="106">
        <v>98.7</v>
      </c>
      <c r="Z130" s="106">
        <v>93</v>
      </c>
      <c r="AA130" s="106">
        <v>99.3</v>
      </c>
      <c r="AB130" s="106">
        <v>96.7</v>
      </c>
      <c r="AC130" s="106">
        <v>90.2</v>
      </c>
      <c r="AD130" s="106">
        <v>93.1</v>
      </c>
      <c r="AE130" s="106">
        <v>103.1</v>
      </c>
      <c r="AF130" s="106">
        <v>99.6</v>
      </c>
      <c r="AG130" s="114"/>
      <c r="AH130" s="47">
        <f t="shared" si="38"/>
        <v>113</v>
      </c>
      <c r="AI130" s="48">
        <f t="shared" si="39"/>
        <v>86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1984.9</v>
      </c>
      <c r="C132" s="147">
        <v>1985.1</v>
      </c>
      <c r="D132" s="147">
        <v>1985.3</v>
      </c>
      <c r="E132" s="147">
        <v>1985.55</v>
      </c>
      <c r="F132" s="147">
        <v>1985.75</v>
      </c>
      <c r="G132" s="147">
        <v>1985.95</v>
      </c>
      <c r="H132" s="147">
        <v>1986</v>
      </c>
      <c r="I132" s="147">
        <v>1986.02</v>
      </c>
      <c r="J132" s="147">
        <v>1986.02</v>
      </c>
      <c r="K132" s="147">
        <v>1985.83</v>
      </c>
      <c r="L132" s="147">
        <v>1985.55</v>
      </c>
      <c r="M132" s="147">
        <v>1985.3</v>
      </c>
      <c r="N132" s="147">
        <v>1984.82</v>
      </c>
      <c r="O132" s="147">
        <v>1984.52</v>
      </c>
      <c r="P132" s="147">
        <v>1984.54</v>
      </c>
      <c r="Q132" s="147">
        <v>1984.54</v>
      </c>
      <c r="R132" s="147">
        <v>1984.5</v>
      </c>
      <c r="S132" s="147">
        <v>1984.45</v>
      </c>
      <c r="T132" s="147">
        <v>1984.38</v>
      </c>
      <c r="U132" s="147">
        <v>1984.32</v>
      </c>
      <c r="V132" s="147">
        <v>1984.39</v>
      </c>
      <c r="W132" s="147"/>
      <c r="X132" s="147">
        <v>1984.4</v>
      </c>
      <c r="Y132" s="147"/>
      <c r="Z132" s="147">
        <v>1983.92</v>
      </c>
      <c r="AA132" s="147">
        <v>1983.6</v>
      </c>
      <c r="AB132" s="147">
        <v>1983.49</v>
      </c>
      <c r="AC132" s="147"/>
      <c r="AD132" s="147">
        <v>1983.5</v>
      </c>
      <c r="AE132" s="147">
        <v>1983.62</v>
      </c>
      <c r="AF132" s="148">
        <v>1983.72</v>
      </c>
      <c r="AG132" s="149"/>
      <c r="AH132" s="47"/>
      <c r="AI132" s="48"/>
    </row>
    <row r="133" spans="1:37" x14ac:dyDescent="0.25">
      <c r="A133" s="185" t="s">
        <v>238</v>
      </c>
      <c r="B133" s="150">
        <v>521.61</v>
      </c>
      <c r="C133" s="150">
        <v>521.96</v>
      </c>
      <c r="D133" s="150">
        <v>522.22400000000005</v>
      </c>
      <c r="E133" s="150">
        <v>522.55999999999995</v>
      </c>
      <c r="F133" s="150">
        <v>522.86</v>
      </c>
      <c r="G133" s="150">
        <v>523.12</v>
      </c>
      <c r="H133" s="150">
        <v>523.25</v>
      </c>
      <c r="I133" s="150">
        <v>523.25</v>
      </c>
      <c r="J133" s="150">
        <v>523.28</v>
      </c>
      <c r="K133" s="150">
        <v>523.16</v>
      </c>
      <c r="L133" s="150">
        <v>523.04</v>
      </c>
      <c r="M133" s="150">
        <v>522.9</v>
      </c>
      <c r="N133" s="150">
        <v>522.70000000000005</v>
      </c>
      <c r="O133" s="150">
        <v>522.6</v>
      </c>
      <c r="P133" s="150">
        <v>522.54999999999995</v>
      </c>
      <c r="Q133" s="150">
        <v>522.14</v>
      </c>
      <c r="R133" s="150">
        <v>521.70000000000005</v>
      </c>
      <c r="S133" s="150">
        <v>521.48</v>
      </c>
      <c r="T133" s="150">
        <v>521.45000000000005</v>
      </c>
      <c r="U133" s="150">
        <v>521.35</v>
      </c>
      <c r="V133" s="150">
        <v>521.22</v>
      </c>
      <c r="W133" s="150"/>
      <c r="X133" s="150">
        <v>521.12</v>
      </c>
      <c r="Y133" s="150"/>
      <c r="Z133" s="150" t="s">
        <v>589</v>
      </c>
      <c r="AA133" s="150"/>
      <c r="AB133" s="150">
        <v>519.88</v>
      </c>
      <c r="AC133" s="150"/>
      <c r="AD133" s="150">
        <v>519.62</v>
      </c>
      <c r="AE133" s="150">
        <v>519.64</v>
      </c>
      <c r="AF133" s="151">
        <v>519.9</v>
      </c>
      <c r="AG133" s="149"/>
      <c r="AH133" s="47"/>
      <c r="AI133" s="48"/>
    </row>
    <row r="134" spans="1:37" x14ac:dyDescent="0.25">
      <c r="A134" s="185" t="s">
        <v>239</v>
      </c>
      <c r="B134" s="150">
        <v>622.96</v>
      </c>
      <c r="C134" s="150">
        <v>623.39</v>
      </c>
      <c r="D134" s="150">
        <v>623.84</v>
      </c>
      <c r="E134" s="150">
        <v>624.24</v>
      </c>
      <c r="F134" s="150">
        <v>624.46</v>
      </c>
      <c r="G134" s="150">
        <v>624.46</v>
      </c>
      <c r="H134" s="150">
        <v>624.45000000000005</v>
      </c>
      <c r="I134" s="150">
        <v>624.35</v>
      </c>
      <c r="J134" s="150">
        <v>624.21</v>
      </c>
      <c r="K134" s="150">
        <v>624.11</v>
      </c>
      <c r="L134" s="150">
        <v>623.99</v>
      </c>
      <c r="M134" s="150">
        <v>623.87</v>
      </c>
      <c r="N134" s="150">
        <v>623.6</v>
      </c>
      <c r="O134" s="150">
        <v>623.63</v>
      </c>
      <c r="P134" s="150">
        <v>623.65</v>
      </c>
      <c r="Q134" s="150">
        <v>623.28</v>
      </c>
      <c r="R134" s="150">
        <v>622.99</v>
      </c>
      <c r="S134" s="150">
        <v>622.83000000000004</v>
      </c>
      <c r="T134" s="150">
        <v>622.85</v>
      </c>
      <c r="U134" s="150">
        <v>622.91</v>
      </c>
      <c r="V134" s="150">
        <v>623.01</v>
      </c>
      <c r="W134" s="150"/>
      <c r="X134" s="150">
        <v>623.35</v>
      </c>
      <c r="Y134" s="150">
        <v>623.16999999999996</v>
      </c>
      <c r="Z134" s="150">
        <v>622.97</v>
      </c>
      <c r="AA134" s="150"/>
      <c r="AB134" s="150">
        <v>622.39</v>
      </c>
      <c r="AC134" s="150"/>
      <c r="AD134" s="150">
        <v>622.16</v>
      </c>
      <c r="AE134" s="150">
        <v>622.30999999999995</v>
      </c>
      <c r="AF134" s="151">
        <v>622.30999999999995</v>
      </c>
      <c r="AG134" s="149"/>
      <c r="AH134" s="47"/>
      <c r="AI134" s="48"/>
    </row>
    <row r="135" spans="1:37" x14ac:dyDescent="0.25">
      <c r="A135" s="185" t="s">
        <v>240</v>
      </c>
      <c r="B135" s="150">
        <v>335.44</v>
      </c>
      <c r="C135" s="150">
        <v>335.57</v>
      </c>
      <c r="D135" s="150">
        <v>335.58</v>
      </c>
      <c r="E135" s="150">
        <v>335.69</v>
      </c>
      <c r="F135" s="150">
        <v>336</v>
      </c>
      <c r="G135" s="150">
        <v>336.28</v>
      </c>
      <c r="H135" s="150">
        <v>336.35</v>
      </c>
      <c r="I135" s="150">
        <v>336.36</v>
      </c>
      <c r="J135" s="150">
        <v>336.32</v>
      </c>
      <c r="K135" s="150">
        <v>336.27</v>
      </c>
      <c r="L135" s="150">
        <v>336.17</v>
      </c>
      <c r="M135" s="150">
        <v>336.07</v>
      </c>
      <c r="N135" s="150">
        <v>335.77</v>
      </c>
      <c r="O135" s="150">
        <v>335.52</v>
      </c>
      <c r="P135" s="150">
        <v>335.45</v>
      </c>
      <c r="Q135" s="150">
        <v>335.51</v>
      </c>
      <c r="R135" s="150">
        <v>335.82</v>
      </c>
      <c r="S135" s="150">
        <v>336.11</v>
      </c>
      <c r="T135" s="150">
        <v>336.32</v>
      </c>
      <c r="U135" s="150">
        <v>336.29</v>
      </c>
      <c r="V135" s="150">
        <v>336.24</v>
      </c>
      <c r="W135" s="150"/>
      <c r="X135" s="150">
        <v>336.49</v>
      </c>
      <c r="Y135" s="150"/>
      <c r="Z135" s="150">
        <v>336.31</v>
      </c>
      <c r="AA135" s="150"/>
      <c r="AB135" s="150">
        <v>335.97</v>
      </c>
      <c r="AC135" s="150"/>
      <c r="AD135" s="150">
        <v>335.76</v>
      </c>
      <c r="AE135" s="150">
        <v>335.72</v>
      </c>
      <c r="AF135" s="151">
        <v>335.74</v>
      </c>
      <c r="AG135" s="149"/>
      <c r="AH135" s="47"/>
      <c r="AI135" s="48"/>
    </row>
    <row r="136" spans="1:37" x14ac:dyDescent="0.25">
      <c r="A136" s="185" t="s">
        <v>384</v>
      </c>
      <c r="B136" s="150">
        <v>885</v>
      </c>
      <c r="C136" s="150">
        <v>885.5</v>
      </c>
      <c r="D136" s="150">
        <v>886</v>
      </c>
      <c r="E136" s="150">
        <v>886.5</v>
      </c>
      <c r="F136" s="150">
        <v>886.9</v>
      </c>
      <c r="G136" s="150">
        <v>886.8</v>
      </c>
      <c r="H136" s="150">
        <v>886.8</v>
      </c>
      <c r="I136" s="150">
        <v>886.6</v>
      </c>
      <c r="J136" s="150">
        <v>886.2</v>
      </c>
      <c r="K136" s="150">
        <v>885.7</v>
      </c>
      <c r="L136" s="150">
        <v>884.9</v>
      </c>
      <c r="M136" s="150">
        <v>884.4</v>
      </c>
      <c r="N136" s="150">
        <v>883.5</v>
      </c>
      <c r="O136" s="150">
        <v>883.9</v>
      </c>
      <c r="P136" s="150">
        <v>884.7</v>
      </c>
      <c r="Q136" s="150">
        <v>884.7</v>
      </c>
      <c r="R136" s="150">
        <v>884</v>
      </c>
      <c r="S136" s="150">
        <v>883.9</v>
      </c>
      <c r="T136" s="150">
        <v>883.9</v>
      </c>
      <c r="U136" s="150">
        <v>883.7</v>
      </c>
      <c r="V136" s="150">
        <v>884</v>
      </c>
      <c r="W136" s="150"/>
      <c r="X136" s="150">
        <v>884.3</v>
      </c>
      <c r="Y136" s="150"/>
      <c r="Z136" s="150">
        <v>883.7</v>
      </c>
      <c r="AA136" s="150"/>
      <c r="AB136" s="150">
        <v>882.1</v>
      </c>
      <c r="AC136" s="150"/>
      <c r="AD136" s="150">
        <v>882.8</v>
      </c>
      <c r="AE136" s="150">
        <v>883.7</v>
      </c>
      <c r="AF136" s="151">
        <v>884.3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1519.03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34">SUM(B139:B243)</f>
        <v>0</v>
      </c>
      <c r="C244" s="134">
        <f t="shared" si="134"/>
        <v>0</v>
      </c>
      <c r="D244" s="134">
        <f t="shared" si="134"/>
        <v>0</v>
      </c>
      <c r="E244" s="134">
        <f t="shared" si="134"/>
        <v>0</v>
      </c>
      <c r="F244" s="134">
        <f t="shared" si="134"/>
        <v>0</v>
      </c>
      <c r="G244" s="134">
        <f t="shared" si="134"/>
        <v>0</v>
      </c>
      <c r="H244" s="134">
        <f t="shared" si="134"/>
        <v>0</v>
      </c>
      <c r="I244" s="134">
        <f t="shared" si="134"/>
        <v>0</v>
      </c>
      <c r="J244" s="134">
        <f t="shared" si="134"/>
        <v>0</v>
      </c>
      <c r="K244" s="134">
        <f t="shared" si="134"/>
        <v>0</v>
      </c>
      <c r="L244" s="134">
        <f t="shared" si="134"/>
        <v>0</v>
      </c>
      <c r="M244" s="134">
        <f t="shared" si="134"/>
        <v>0</v>
      </c>
      <c r="N244" s="134">
        <f t="shared" si="134"/>
        <v>0</v>
      </c>
      <c r="O244" s="134">
        <f t="shared" si="134"/>
        <v>0</v>
      </c>
      <c r="P244" s="134">
        <f t="shared" si="134"/>
        <v>0</v>
      </c>
      <c r="Q244" s="134">
        <f t="shared" si="134"/>
        <v>0</v>
      </c>
      <c r="R244" s="134">
        <f t="shared" si="134"/>
        <v>0</v>
      </c>
      <c r="S244" s="134">
        <f t="shared" si="134"/>
        <v>0</v>
      </c>
      <c r="T244" s="134">
        <f t="shared" si="134"/>
        <v>0</v>
      </c>
      <c r="U244" s="134">
        <f t="shared" si="134"/>
        <v>0</v>
      </c>
      <c r="V244" s="134">
        <f t="shared" si="134"/>
        <v>0</v>
      </c>
      <c r="W244" s="134">
        <f t="shared" si="134"/>
        <v>0</v>
      </c>
      <c r="X244" s="134">
        <f t="shared" si="134"/>
        <v>0</v>
      </c>
      <c r="Y244" s="134">
        <f t="shared" si="134"/>
        <v>0</v>
      </c>
      <c r="Z244" s="134">
        <f t="shared" si="134"/>
        <v>0</v>
      </c>
      <c r="AA244" s="134">
        <f t="shared" si="134"/>
        <v>0</v>
      </c>
      <c r="AB244" s="134">
        <f t="shared" si="134"/>
        <v>0</v>
      </c>
      <c r="AC244" s="134">
        <f t="shared" si="134"/>
        <v>0</v>
      </c>
      <c r="AD244" s="134">
        <f t="shared" si="134"/>
        <v>0</v>
      </c>
      <c r="AE244" s="134">
        <f t="shared" si="134"/>
        <v>0</v>
      </c>
      <c r="AF244" s="135">
        <f t="shared" si="134"/>
        <v>0</v>
      </c>
      <c r="AG244" s="136">
        <f t="shared" si="13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35">AF246</f>
        <v>0.3</v>
      </c>
      <c r="C246" s="138">
        <v>0.3</v>
      </c>
      <c r="D246" s="138">
        <f t="shared" ref="D246:S251" si="136">C246</f>
        <v>0.3</v>
      </c>
      <c r="E246" s="138">
        <f t="shared" si="136"/>
        <v>0.3</v>
      </c>
      <c r="F246" s="138">
        <f t="shared" si="136"/>
        <v>0.3</v>
      </c>
      <c r="G246" s="138">
        <f t="shared" si="136"/>
        <v>0.3</v>
      </c>
      <c r="H246" s="138">
        <f t="shared" si="136"/>
        <v>0.3</v>
      </c>
      <c r="I246" s="138">
        <f t="shared" si="136"/>
        <v>0.3</v>
      </c>
      <c r="J246" s="138">
        <f t="shared" si="136"/>
        <v>0.3</v>
      </c>
      <c r="K246" s="138">
        <f t="shared" si="136"/>
        <v>0.3</v>
      </c>
      <c r="L246" s="138">
        <f t="shared" si="136"/>
        <v>0.3</v>
      </c>
      <c r="M246" s="138">
        <f t="shared" si="136"/>
        <v>0.3</v>
      </c>
      <c r="N246" s="138">
        <f t="shared" si="136"/>
        <v>0.3</v>
      </c>
      <c r="O246" s="138">
        <f t="shared" si="136"/>
        <v>0.3</v>
      </c>
      <c r="P246" s="138">
        <f t="shared" si="136"/>
        <v>0.3</v>
      </c>
      <c r="Q246" s="138">
        <f t="shared" si="136"/>
        <v>0.3</v>
      </c>
      <c r="R246" s="138">
        <f t="shared" si="136"/>
        <v>0.3</v>
      </c>
      <c r="S246" s="138">
        <f t="shared" si="136"/>
        <v>0.3</v>
      </c>
      <c r="T246" s="138">
        <f t="shared" ref="T246:AF251" si="137">S246</f>
        <v>0.3</v>
      </c>
      <c r="U246" s="138">
        <f t="shared" si="137"/>
        <v>0.3</v>
      </c>
      <c r="V246" s="138">
        <f t="shared" si="137"/>
        <v>0.3</v>
      </c>
      <c r="W246" s="138">
        <f t="shared" si="137"/>
        <v>0.3</v>
      </c>
      <c r="X246" s="138">
        <f t="shared" si="137"/>
        <v>0.3</v>
      </c>
      <c r="Y246" s="138">
        <f t="shared" si="137"/>
        <v>0.3</v>
      </c>
      <c r="Z246" s="138">
        <f t="shared" si="137"/>
        <v>0.3</v>
      </c>
      <c r="AA246" s="138">
        <f t="shared" si="137"/>
        <v>0.3</v>
      </c>
      <c r="AB246" s="138">
        <f t="shared" si="137"/>
        <v>0.3</v>
      </c>
      <c r="AC246" s="138">
        <f t="shared" si="137"/>
        <v>0.3</v>
      </c>
      <c r="AD246" s="138">
        <f t="shared" si="137"/>
        <v>0.3</v>
      </c>
      <c r="AE246" s="138">
        <f t="shared" si="137"/>
        <v>0.3</v>
      </c>
      <c r="AF246" s="138">
        <f t="shared" si="137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35"/>
        <v>0.4</v>
      </c>
      <c r="C247" s="126">
        <v>0.4</v>
      </c>
      <c r="D247" s="126">
        <f t="shared" si="136"/>
        <v>0.4</v>
      </c>
      <c r="E247" s="126">
        <f t="shared" si="136"/>
        <v>0.4</v>
      </c>
      <c r="F247" s="126">
        <f t="shared" si="136"/>
        <v>0.4</v>
      </c>
      <c r="G247" s="126">
        <f t="shared" si="136"/>
        <v>0.4</v>
      </c>
      <c r="H247" s="126">
        <f t="shared" si="136"/>
        <v>0.4</v>
      </c>
      <c r="I247" s="126">
        <f t="shared" si="136"/>
        <v>0.4</v>
      </c>
      <c r="J247" s="126">
        <f t="shared" si="136"/>
        <v>0.4</v>
      </c>
      <c r="K247" s="126">
        <f t="shared" si="136"/>
        <v>0.4</v>
      </c>
      <c r="L247" s="126">
        <f t="shared" si="136"/>
        <v>0.4</v>
      </c>
      <c r="M247" s="126">
        <f t="shared" si="136"/>
        <v>0.4</v>
      </c>
      <c r="N247" s="126">
        <f t="shared" si="136"/>
        <v>0.4</v>
      </c>
      <c r="O247" s="126">
        <f t="shared" si="136"/>
        <v>0.4</v>
      </c>
      <c r="P247" s="126">
        <f t="shared" si="136"/>
        <v>0.4</v>
      </c>
      <c r="Q247" s="126">
        <f t="shared" si="136"/>
        <v>0.4</v>
      </c>
      <c r="R247" s="126">
        <f t="shared" si="136"/>
        <v>0.4</v>
      </c>
      <c r="S247" s="126">
        <f t="shared" si="136"/>
        <v>0.4</v>
      </c>
      <c r="T247" s="126">
        <f t="shared" si="137"/>
        <v>0.4</v>
      </c>
      <c r="U247" s="126">
        <f t="shared" si="137"/>
        <v>0.4</v>
      </c>
      <c r="V247" s="126">
        <f t="shared" si="137"/>
        <v>0.4</v>
      </c>
      <c r="W247" s="126">
        <f t="shared" si="137"/>
        <v>0.4</v>
      </c>
      <c r="X247" s="126">
        <f t="shared" si="137"/>
        <v>0.4</v>
      </c>
      <c r="Y247" s="126">
        <f t="shared" si="137"/>
        <v>0.4</v>
      </c>
      <c r="Z247" s="126">
        <f t="shared" si="137"/>
        <v>0.4</v>
      </c>
      <c r="AA247" s="126">
        <f t="shared" si="137"/>
        <v>0.4</v>
      </c>
      <c r="AB247" s="126">
        <f t="shared" si="137"/>
        <v>0.4</v>
      </c>
      <c r="AC247" s="126">
        <f t="shared" si="137"/>
        <v>0.4</v>
      </c>
      <c r="AD247" s="126">
        <f t="shared" si="137"/>
        <v>0.4</v>
      </c>
      <c r="AE247" s="126">
        <f t="shared" si="137"/>
        <v>0.4</v>
      </c>
      <c r="AF247" s="126">
        <f t="shared" si="137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35"/>
        <v>1.5</v>
      </c>
      <c r="C248" s="126">
        <v>1.5</v>
      </c>
      <c r="D248" s="126">
        <f t="shared" si="136"/>
        <v>1.5</v>
      </c>
      <c r="E248" s="126">
        <f t="shared" si="136"/>
        <v>1.5</v>
      </c>
      <c r="F248" s="126">
        <f t="shared" si="136"/>
        <v>1.5</v>
      </c>
      <c r="G248" s="126">
        <f t="shared" si="136"/>
        <v>1.5</v>
      </c>
      <c r="H248" s="126">
        <f t="shared" si="136"/>
        <v>1.5</v>
      </c>
      <c r="I248" s="126">
        <f t="shared" si="136"/>
        <v>1.5</v>
      </c>
      <c r="J248" s="126">
        <f t="shared" si="136"/>
        <v>1.5</v>
      </c>
      <c r="K248" s="126">
        <f t="shared" si="136"/>
        <v>1.5</v>
      </c>
      <c r="L248" s="126">
        <f t="shared" si="136"/>
        <v>1.5</v>
      </c>
      <c r="M248" s="126">
        <f t="shared" si="136"/>
        <v>1.5</v>
      </c>
      <c r="N248" s="126">
        <f t="shared" si="136"/>
        <v>1.5</v>
      </c>
      <c r="O248" s="126">
        <f t="shared" si="136"/>
        <v>1.5</v>
      </c>
      <c r="P248" s="126">
        <f t="shared" si="136"/>
        <v>1.5</v>
      </c>
      <c r="Q248" s="126">
        <f t="shared" si="136"/>
        <v>1.5</v>
      </c>
      <c r="R248" s="126">
        <f t="shared" si="136"/>
        <v>1.5</v>
      </c>
      <c r="S248" s="126">
        <f t="shared" si="136"/>
        <v>1.5</v>
      </c>
      <c r="T248" s="126">
        <f t="shared" si="137"/>
        <v>1.5</v>
      </c>
      <c r="U248" s="126">
        <f t="shared" si="137"/>
        <v>1.5</v>
      </c>
      <c r="V248" s="126">
        <f t="shared" si="137"/>
        <v>1.5</v>
      </c>
      <c r="W248" s="126">
        <f t="shared" si="137"/>
        <v>1.5</v>
      </c>
      <c r="X248" s="126">
        <f t="shared" si="137"/>
        <v>1.5</v>
      </c>
      <c r="Y248" s="126">
        <f t="shared" si="137"/>
        <v>1.5</v>
      </c>
      <c r="Z248" s="126">
        <f t="shared" si="137"/>
        <v>1.5</v>
      </c>
      <c r="AA248" s="126">
        <f t="shared" si="137"/>
        <v>1.5</v>
      </c>
      <c r="AB248" s="126">
        <f t="shared" si="137"/>
        <v>1.5</v>
      </c>
      <c r="AC248" s="126">
        <f t="shared" si="137"/>
        <v>1.5</v>
      </c>
      <c r="AD248" s="126">
        <f t="shared" si="137"/>
        <v>1.5</v>
      </c>
      <c r="AE248" s="126">
        <f t="shared" si="137"/>
        <v>1.5</v>
      </c>
      <c r="AF248" s="126">
        <f t="shared" si="137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35"/>
        <v>0.3</v>
      </c>
      <c r="C249" s="126">
        <v>0.3</v>
      </c>
      <c r="D249" s="126">
        <f t="shared" si="136"/>
        <v>0.3</v>
      </c>
      <c r="E249" s="126">
        <f t="shared" si="136"/>
        <v>0.3</v>
      </c>
      <c r="F249" s="126">
        <f t="shared" si="136"/>
        <v>0.3</v>
      </c>
      <c r="G249" s="126">
        <f t="shared" si="136"/>
        <v>0.3</v>
      </c>
      <c r="H249" s="126">
        <f t="shared" si="136"/>
        <v>0.3</v>
      </c>
      <c r="I249" s="126">
        <f t="shared" si="136"/>
        <v>0.3</v>
      </c>
      <c r="J249" s="126">
        <f t="shared" si="136"/>
        <v>0.3</v>
      </c>
      <c r="K249" s="126">
        <f t="shared" si="136"/>
        <v>0.3</v>
      </c>
      <c r="L249" s="126">
        <f t="shared" si="136"/>
        <v>0.3</v>
      </c>
      <c r="M249" s="126">
        <f t="shared" si="136"/>
        <v>0.3</v>
      </c>
      <c r="N249" s="126">
        <f t="shared" si="136"/>
        <v>0.3</v>
      </c>
      <c r="O249" s="126">
        <f t="shared" si="136"/>
        <v>0.3</v>
      </c>
      <c r="P249" s="126">
        <f t="shared" si="136"/>
        <v>0.3</v>
      </c>
      <c r="Q249" s="126">
        <f t="shared" si="136"/>
        <v>0.3</v>
      </c>
      <c r="R249" s="126">
        <f t="shared" si="136"/>
        <v>0.3</v>
      </c>
      <c r="S249" s="126">
        <f t="shared" si="136"/>
        <v>0.3</v>
      </c>
      <c r="T249" s="126">
        <f t="shared" si="137"/>
        <v>0.3</v>
      </c>
      <c r="U249" s="126">
        <f t="shared" si="137"/>
        <v>0.3</v>
      </c>
      <c r="V249" s="126">
        <f t="shared" si="137"/>
        <v>0.3</v>
      </c>
      <c r="W249" s="126">
        <f t="shared" si="137"/>
        <v>0.3</v>
      </c>
      <c r="X249" s="126">
        <f t="shared" si="137"/>
        <v>0.3</v>
      </c>
      <c r="Y249" s="126">
        <f t="shared" si="137"/>
        <v>0.3</v>
      </c>
      <c r="Z249" s="126">
        <f t="shared" si="137"/>
        <v>0.3</v>
      </c>
      <c r="AA249" s="126">
        <f t="shared" si="137"/>
        <v>0.3</v>
      </c>
      <c r="AB249" s="126">
        <f t="shared" si="137"/>
        <v>0.3</v>
      </c>
      <c r="AC249" s="126">
        <f t="shared" si="137"/>
        <v>0.3</v>
      </c>
      <c r="AD249" s="126">
        <f t="shared" si="137"/>
        <v>0.3</v>
      </c>
      <c r="AE249" s="126">
        <f t="shared" si="137"/>
        <v>0.3</v>
      </c>
      <c r="AF249" s="126">
        <f t="shared" si="137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35"/>
        <v>0.4</v>
      </c>
      <c r="C250" s="126">
        <v>0.4</v>
      </c>
      <c r="D250" s="126">
        <f t="shared" si="136"/>
        <v>0.4</v>
      </c>
      <c r="E250" s="126">
        <f t="shared" si="136"/>
        <v>0.4</v>
      </c>
      <c r="F250" s="126">
        <f t="shared" si="136"/>
        <v>0.4</v>
      </c>
      <c r="G250" s="126">
        <f t="shared" si="136"/>
        <v>0.4</v>
      </c>
      <c r="H250" s="126">
        <f t="shared" si="136"/>
        <v>0.4</v>
      </c>
      <c r="I250" s="126">
        <f t="shared" si="136"/>
        <v>0.4</v>
      </c>
      <c r="J250" s="126">
        <f t="shared" si="136"/>
        <v>0.4</v>
      </c>
      <c r="K250" s="126">
        <f t="shared" si="136"/>
        <v>0.4</v>
      </c>
      <c r="L250" s="126">
        <f t="shared" si="136"/>
        <v>0.4</v>
      </c>
      <c r="M250" s="126">
        <f t="shared" si="136"/>
        <v>0.4</v>
      </c>
      <c r="N250" s="126">
        <f t="shared" si="136"/>
        <v>0.4</v>
      </c>
      <c r="O250" s="126">
        <f t="shared" si="136"/>
        <v>0.4</v>
      </c>
      <c r="P250" s="126">
        <f t="shared" si="136"/>
        <v>0.4</v>
      </c>
      <c r="Q250" s="126">
        <f t="shared" si="136"/>
        <v>0.4</v>
      </c>
      <c r="R250" s="126">
        <f t="shared" si="136"/>
        <v>0.4</v>
      </c>
      <c r="S250" s="126">
        <f t="shared" si="136"/>
        <v>0.4</v>
      </c>
      <c r="T250" s="126">
        <f t="shared" si="137"/>
        <v>0.4</v>
      </c>
      <c r="U250" s="126">
        <f t="shared" si="137"/>
        <v>0.4</v>
      </c>
      <c r="V250" s="126">
        <f t="shared" si="137"/>
        <v>0.4</v>
      </c>
      <c r="W250" s="126">
        <f t="shared" si="137"/>
        <v>0.4</v>
      </c>
      <c r="X250" s="126">
        <f t="shared" si="137"/>
        <v>0.4</v>
      </c>
      <c r="Y250" s="126">
        <f t="shared" si="137"/>
        <v>0.4</v>
      </c>
      <c r="Z250" s="126">
        <f t="shared" si="137"/>
        <v>0.4</v>
      </c>
      <c r="AA250" s="126">
        <f t="shared" si="137"/>
        <v>0.4</v>
      </c>
      <c r="AB250" s="126">
        <f t="shared" si="137"/>
        <v>0.4</v>
      </c>
      <c r="AC250" s="126">
        <f t="shared" si="137"/>
        <v>0.4</v>
      </c>
      <c r="AD250" s="126">
        <f t="shared" si="137"/>
        <v>0.4</v>
      </c>
      <c r="AE250" s="126">
        <f t="shared" si="137"/>
        <v>0.4</v>
      </c>
      <c r="AF250" s="126">
        <f t="shared" si="137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35"/>
        <v>0.64</v>
      </c>
      <c r="C251" s="130">
        <v>0.64</v>
      </c>
      <c r="D251" s="130">
        <f t="shared" si="136"/>
        <v>0.64</v>
      </c>
      <c r="E251" s="130">
        <f t="shared" si="136"/>
        <v>0.64</v>
      </c>
      <c r="F251" s="130">
        <f t="shared" si="136"/>
        <v>0.64</v>
      </c>
      <c r="G251" s="130">
        <f t="shared" si="136"/>
        <v>0.64</v>
      </c>
      <c r="H251" s="130">
        <f t="shared" si="136"/>
        <v>0.64</v>
      </c>
      <c r="I251" s="130">
        <f t="shared" si="136"/>
        <v>0.64</v>
      </c>
      <c r="J251" s="130">
        <f t="shared" si="136"/>
        <v>0.64</v>
      </c>
      <c r="K251" s="130">
        <f t="shared" si="136"/>
        <v>0.64</v>
      </c>
      <c r="L251" s="130">
        <f t="shared" si="136"/>
        <v>0.64</v>
      </c>
      <c r="M251" s="130">
        <f t="shared" si="136"/>
        <v>0.64</v>
      </c>
      <c r="N251" s="130">
        <f t="shared" si="136"/>
        <v>0.64</v>
      </c>
      <c r="O251" s="130">
        <f t="shared" si="136"/>
        <v>0.64</v>
      </c>
      <c r="P251" s="130">
        <f t="shared" si="136"/>
        <v>0.64</v>
      </c>
      <c r="Q251" s="130">
        <f t="shared" si="136"/>
        <v>0.64</v>
      </c>
      <c r="R251" s="130">
        <f t="shared" si="136"/>
        <v>0.64</v>
      </c>
      <c r="S251" s="130">
        <f t="shared" si="136"/>
        <v>0.64</v>
      </c>
      <c r="T251" s="130">
        <f t="shared" si="137"/>
        <v>0.64</v>
      </c>
      <c r="U251" s="130">
        <f t="shared" si="137"/>
        <v>0.64</v>
      </c>
      <c r="V251" s="130">
        <f t="shared" si="137"/>
        <v>0.64</v>
      </c>
      <c r="W251" s="130">
        <f t="shared" si="137"/>
        <v>0.64</v>
      </c>
      <c r="X251" s="130">
        <f t="shared" si="137"/>
        <v>0.64</v>
      </c>
      <c r="Y251" s="130">
        <f t="shared" si="137"/>
        <v>0.64</v>
      </c>
      <c r="Z251" s="130">
        <f t="shared" si="137"/>
        <v>0.64</v>
      </c>
      <c r="AA251" s="130">
        <f t="shared" si="137"/>
        <v>0.64</v>
      </c>
      <c r="AB251" s="130">
        <f t="shared" si="137"/>
        <v>0.64</v>
      </c>
      <c r="AC251" s="130">
        <f t="shared" si="137"/>
        <v>0.64</v>
      </c>
      <c r="AD251" s="130">
        <f t="shared" si="137"/>
        <v>0.64</v>
      </c>
      <c r="AE251" s="130">
        <f t="shared" si="137"/>
        <v>0.64</v>
      </c>
      <c r="AF251" s="130">
        <f t="shared" si="137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38">SUM(B246:B251)</f>
        <v>3.54</v>
      </c>
      <c r="C252" s="134">
        <f t="shared" si="138"/>
        <v>3.54</v>
      </c>
      <c r="D252" s="134">
        <f t="shared" si="138"/>
        <v>3.54</v>
      </c>
      <c r="E252" s="134">
        <f t="shared" si="138"/>
        <v>3.54</v>
      </c>
      <c r="F252" s="134">
        <f t="shared" si="138"/>
        <v>3.54</v>
      </c>
      <c r="G252" s="134">
        <f t="shared" si="138"/>
        <v>3.54</v>
      </c>
      <c r="H252" s="134">
        <f t="shared" si="138"/>
        <v>3.54</v>
      </c>
      <c r="I252" s="134">
        <f t="shared" si="138"/>
        <v>3.54</v>
      </c>
      <c r="J252" s="134">
        <f t="shared" si="138"/>
        <v>3.54</v>
      </c>
      <c r="K252" s="134">
        <f t="shared" si="138"/>
        <v>3.54</v>
      </c>
      <c r="L252" s="134">
        <f t="shared" si="138"/>
        <v>3.54</v>
      </c>
      <c r="M252" s="134">
        <f t="shared" si="138"/>
        <v>3.54</v>
      </c>
      <c r="N252" s="134">
        <f t="shared" si="138"/>
        <v>3.54</v>
      </c>
      <c r="O252" s="134">
        <f t="shared" si="138"/>
        <v>3.54</v>
      </c>
      <c r="P252" s="134">
        <f t="shared" si="138"/>
        <v>3.54</v>
      </c>
      <c r="Q252" s="134">
        <f t="shared" si="138"/>
        <v>3.54</v>
      </c>
      <c r="R252" s="134">
        <f t="shared" si="138"/>
        <v>3.54</v>
      </c>
      <c r="S252" s="134">
        <f t="shared" si="138"/>
        <v>3.54</v>
      </c>
      <c r="T252" s="134">
        <f t="shared" si="138"/>
        <v>3.54</v>
      </c>
      <c r="U252" s="134">
        <f t="shared" si="138"/>
        <v>3.54</v>
      </c>
      <c r="V252" s="134">
        <f t="shared" si="138"/>
        <v>3.54</v>
      </c>
      <c r="W252" s="134">
        <f t="shared" si="138"/>
        <v>3.54</v>
      </c>
      <c r="X252" s="134">
        <f t="shared" si="138"/>
        <v>3.54</v>
      </c>
      <c r="Y252" s="134">
        <f t="shared" si="138"/>
        <v>3.54</v>
      </c>
      <c r="Z252" s="134">
        <f t="shared" si="138"/>
        <v>3.54</v>
      </c>
      <c r="AA252" s="134">
        <f t="shared" si="138"/>
        <v>3.54</v>
      </c>
      <c r="AB252" s="134">
        <f t="shared" si="138"/>
        <v>3.54</v>
      </c>
      <c r="AC252" s="134">
        <f t="shared" si="138"/>
        <v>3.54</v>
      </c>
      <c r="AD252" s="134">
        <f t="shared" si="138"/>
        <v>3.54</v>
      </c>
      <c r="AE252" s="134">
        <f t="shared" si="138"/>
        <v>3.54</v>
      </c>
      <c r="AF252" s="134">
        <f t="shared" si="138"/>
        <v>3.54</v>
      </c>
      <c r="AG252" s="143">
        <f t="shared" si="13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1728.6899999999998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4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2080/10/4)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2080/10/4)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139">B99</f>
        <v>1185.3899999999999</v>
      </c>
      <c r="U261" s="165">
        <f t="shared" si="139"/>
        <v>1219.3899999999999</v>
      </c>
      <c r="V261" s="165">
        <f t="shared" si="139"/>
        <v>1200.3899999999999</v>
      </c>
      <c r="W261" s="165">
        <f t="shared" si="139"/>
        <v>1144.99</v>
      </c>
      <c r="X261" s="165">
        <f t="shared" si="139"/>
        <v>1173.29</v>
      </c>
      <c r="Y261" s="165">
        <f t="shared" si="139"/>
        <v>1201.5900000000001</v>
      </c>
      <c r="Z261" s="165">
        <f t="shared" si="139"/>
        <v>1353.59</v>
      </c>
      <c r="AA261" s="165">
        <f t="shared" si="139"/>
        <v>1396.5900000000001</v>
      </c>
      <c r="AB261" s="165">
        <f t="shared" si="139"/>
        <v>1449.3899999999999</v>
      </c>
      <c r="AC261" s="165">
        <f t="shared" si="139"/>
        <v>1555.69</v>
      </c>
      <c r="AD261" s="165">
        <f t="shared" si="139"/>
        <v>1728.6899999999998</v>
      </c>
      <c r="AE261" s="165">
        <f t="shared" si="139"/>
        <v>1491.44</v>
      </c>
      <c r="AF261" s="165">
        <f t="shared" si="139"/>
        <v>1258.4899999999998</v>
      </c>
      <c r="AG261" s="165">
        <f t="shared" si="139"/>
        <v>1435.54</v>
      </c>
      <c r="AH261" s="165">
        <f t="shared" si="139"/>
        <v>1453.1399999999999</v>
      </c>
      <c r="AI261" s="165">
        <f t="shared" si="139"/>
        <v>1467.84</v>
      </c>
      <c r="AJ261" s="165">
        <f t="shared" si="139"/>
        <v>1458.1399999999999</v>
      </c>
      <c r="AK261" s="165">
        <f t="shared" si="139"/>
        <v>1482.54</v>
      </c>
      <c r="AL261" s="165">
        <f t="shared" si="139"/>
        <v>1525.54</v>
      </c>
      <c r="AM261" s="165">
        <f t="shared" si="139"/>
        <v>1543.54</v>
      </c>
      <c r="AN261" s="165">
        <f t="shared" si="139"/>
        <v>1585.54</v>
      </c>
      <c r="AO261" s="165">
        <f t="shared" si="139"/>
        <v>1560.54</v>
      </c>
      <c r="AP261" s="165">
        <f t="shared" si="139"/>
        <v>1585.34</v>
      </c>
      <c r="AQ261" s="165">
        <f t="shared" si="139"/>
        <v>1731.14</v>
      </c>
      <c r="AR261" s="165">
        <f t="shared" si="139"/>
        <v>1699.04</v>
      </c>
      <c r="AS261" s="165">
        <f t="shared" si="139"/>
        <v>1677.44</v>
      </c>
      <c r="AT261" s="165">
        <f t="shared" si="139"/>
        <v>1602.2730000000001</v>
      </c>
      <c r="AU261" s="165">
        <f t="shared" si="139"/>
        <v>1517.29</v>
      </c>
      <c r="AV261" s="165">
        <f t="shared" si="139"/>
        <v>1461.19</v>
      </c>
      <c r="AW261" s="165">
        <f t="shared" si="139"/>
        <v>1379.69</v>
      </c>
      <c r="AX261" s="165">
        <f t="shared" si="139"/>
        <v>1299.9899999999998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40">C251</f>
        <v>0.64</v>
      </c>
      <c r="C282" s="168">
        <f t="shared" si="140"/>
        <v>0.64</v>
      </c>
      <c r="D282" s="168">
        <f t="shared" si="140"/>
        <v>0.64</v>
      </c>
      <c r="E282" s="168">
        <f t="shared" si="140"/>
        <v>0.64</v>
      </c>
      <c r="F282" s="168">
        <f t="shared" si="140"/>
        <v>0.64</v>
      </c>
      <c r="G282" s="168">
        <f t="shared" si="140"/>
        <v>0.64</v>
      </c>
      <c r="H282" s="168">
        <f t="shared" si="140"/>
        <v>0.64</v>
      </c>
      <c r="I282" s="168">
        <f t="shared" si="140"/>
        <v>0.64</v>
      </c>
      <c r="J282" s="168">
        <f t="shared" si="140"/>
        <v>0.64</v>
      </c>
      <c r="K282" s="168">
        <f t="shared" si="140"/>
        <v>0.64</v>
      </c>
      <c r="L282" s="168">
        <f t="shared" si="140"/>
        <v>0.64</v>
      </c>
      <c r="M282" s="168">
        <f t="shared" si="140"/>
        <v>0.64</v>
      </c>
      <c r="N282" s="168">
        <f t="shared" si="140"/>
        <v>0.64</v>
      </c>
      <c r="O282" s="168">
        <f t="shared" si="140"/>
        <v>0.64</v>
      </c>
      <c r="P282" s="168">
        <f t="shared" si="140"/>
        <v>0.64</v>
      </c>
      <c r="Q282" s="168">
        <f t="shared" si="140"/>
        <v>0.64</v>
      </c>
      <c r="R282" s="168">
        <f t="shared" si="140"/>
        <v>0.64</v>
      </c>
      <c r="S282" s="168">
        <f t="shared" si="140"/>
        <v>0.64</v>
      </c>
      <c r="T282" s="168">
        <f t="shared" si="140"/>
        <v>0.64</v>
      </c>
      <c r="U282" s="168">
        <f t="shared" si="140"/>
        <v>0.64</v>
      </c>
      <c r="V282" s="168">
        <f t="shared" si="140"/>
        <v>0.64</v>
      </c>
      <c r="W282" s="168">
        <f t="shared" si="140"/>
        <v>0.64</v>
      </c>
      <c r="X282" s="168">
        <f t="shared" si="140"/>
        <v>0.64</v>
      </c>
      <c r="Y282" s="168">
        <f t="shared" si="140"/>
        <v>0.64</v>
      </c>
      <c r="Z282" s="168">
        <f t="shared" si="140"/>
        <v>0.64</v>
      </c>
      <c r="AA282" s="168">
        <f t="shared" si="140"/>
        <v>0.64</v>
      </c>
      <c r="AB282" s="168">
        <f t="shared" si="140"/>
        <v>0.64</v>
      </c>
      <c r="AC282" s="168">
        <f t="shared" si="140"/>
        <v>0.64</v>
      </c>
      <c r="AD282" s="168">
        <f t="shared" si="140"/>
        <v>0.64</v>
      </c>
      <c r="AE282" s="168">
        <f t="shared" si="140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4325" priority="1">
      <formula>$AH11=0</formula>
    </cfRule>
  </conditionalFormatting>
  <conditionalFormatting sqref="A132:A253">
    <cfRule type="expression" dxfId="4324" priority="6">
      <formula>$AH132=0</formula>
    </cfRule>
  </conditionalFormatting>
  <conditionalFormatting sqref="B8 M8 S8 AB8">
    <cfRule type="expression" dxfId="4323" priority="115">
      <formula>AND(C$9&gt;=8/24,C$9&lt;14/24)</formula>
    </cfRule>
    <cfRule type="expression" dxfId="4322" priority="114">
      <formula>AND(C$9&gt;=14/24,C$9&lt;20/24)</formula>
    </cfRule>
    <cfRule type="expression" dxfId="4321" priority="116">
      <formula>C$9&lt;8/24</formula>
    </cfRule>
  </conditionalFormatting>
  <conditionalFormatting sqref="B63:L74">
    <cfRule type="expression" dxfId="4320" priority="24">
      <formula>B$9&lt;8/24</formula>
    </cfRule>
    <cfRule type="expression" dxfId="4319" priority="21">
      <formula>B$9&gt;=20/24</formula>
    </cfRule>
    <cfRule type="expression" dxfId="4318" priority="22">
      <formula>AND(B$9&gt;=14/24,B$9&lt;20/24)</formula>
    </cfRule>
    <cfRule type="expression" dxfId="4317" priority="23">
      <formula>AND(B$9&gt;=8/24,B$9&lt;14/24)</formula>
    </cfRule>
  </conditionalFormatting>
  <conditionalFormatting sqref="B9:AF52">
    <cfRule type="expression" dxfId="4316" priority="27">
      <formula>AND(B$9&gt;=14/24,B$9&lt;20/24)</formula>
    </cfRule>
    <cfRule type="expression" dxfId="4315" priority="28">
      <formula>AND(B$9&gt;=8/24,B$9&lt;14/24)</formula>
    </cfRule>
    <cfRule type="expression" dxfId="4314" priority="29">
      <formula>B$9&lt;8/24</formula>
    </cfRule>
    <cfRule type="expression" dxfId="4313" priority="26">
      <formula>B$9&gt;=20/24</formula>
    </cfRule>
  </conditionalFormatting>
  <conditionalFormatting sqref="B11:AF54">
    <cfRule type="expression" dxfId="4312" priority="15">
      <formula>B11&gt;$AG11</formula>
    </cfRule>
  </conditionalFormatting>
  <conditionalFormatting sqref="B53:AF54">
    <cfRule type="expression" dxfId="4311" priority="13">
      <formula>AND(B$9&gt;=8/24,B$9&lt;14/24)</formula>
    </cfRule>
    <cfRule type="expression" dxfId="4310" priority="11">
      <formula>B$9&gt;=20/24</formula>
    </cfRule>
    <cfRule type="expression" dxfId="4309" priority="12">
      <formula>AND(B$9&gt;=14/24,B$9&lt;20/24)</formula>
    </cfRule>
    <cfRule type="expression" dxfId="4308" priority="14">
      <formula>B$9&lt;8/24</formula>
    </cfRule>
  </conditionalFormatting>
  <conditionalFormatting sqref="B55:AF55">
    <cfRule type="expression" dxfId="4307" priority="35">
      <formula>B55&gt;$AG55</formula>
    </cfRule>
  </conditionalFormatting>
  <conditionalFormatting sqref="B55:AF57">
    <cfRule type="expression" dxfId="4306" priority="34">
      <formula>B$9&lt;8/24</formula>
    </cfRule>
    <cfRule type="expression" dxfId="4305" priority="33">
      <formula>AND(B$9&gt;=8/24,B$9&lt;14/24)</formula>
    </cfRule>
    <cfRule type="expression" dxfId="4304" priority="32">
      <formula>AND(B$9&gt;=14/24,B$9&lt;20/24)</formula>
    </cfRule>
    <cfRule type="expression" dxfId="4303" priority="31">
      <formula>B$9&gt;=20/24</formula>
    </cfRule>
  </conditionalFormatting>
  <conditionalFormatting sqref="B56:AF61">
    <cfRule type="expression" dxfId="4302" priority="30">
      <formula>B56&gt;$AG56</formula>
    </cfRule>
  </conditionalFormatting>
  <conditionalFormatting sqref="B59:AF61">
    <cfRule type="expression" dxfId="4301" priority="41">
      <formula>B$9&gt;=20/24</formula>
    </cfRule>
    <cfRule type="expression" dxfId="4300" priority="42">
      <formula>AND(B$9&gt;=14/24,B$9&lt;20/24)</formula>
    </cfRule>
    <cfRule type="expression" dxfId="4299" priority="44">
      <formula>B$9&lt;8/24</formula>
    </cfRule>
    <cfRule type="expression" dxfId="4298" priority="43">
      <formula>AND(B$9&gt;=8/24,B$9&lt;14/24)</formula>
    </cfRule>
  </conditionalFormatting>
  <conditionalFormatting sqref="B63:AF74">
    <cfRule type="expression" dxfId="4297" priority="20">
      <formula>B63&gt;$AG63</formula>
    </cfRule>
  </conditionalFormatting>
  <conditionalFormatting sqref="B77:AF79">
    <cfRule type="expression" dxfId="4296" priority="47">
      <formula>AND(B$9&gt;=14/24,B$9&lt;20/24)</formula>
    </cfRule>
    <cfRule type="expression" dxfId="4295" priority="48">
      <formula>AND(B$9&gt;=8/24,B$9&lt;14/24)</formula>
    </cfRule>
    <cfRule type="expression" dxfId="4294" priority="49">
      <formula>B$9&lt;8/24</formula>
    </cfRule>
    <cfRule type="expression" dxfId="4293" priority="45">
      <formula>B77&gt;$AG77</formula>
    </cfRule>
    <cfRule type="expression" dxfId="4292" priority="46">
      <formula>B$9&gt;=20/24</formula>
    </cfRule>
  </conditionalFormatting>
  <conditionalFormatting sqref="B81:AF99">
    <cfRule type="expression" dxfId="4291" priority="19">
      <formula>B$9&lt;8/24</formula>
    </cfRule>
    <cfRule type="expression" dxfId="4290" priority="18">
      <formula>AND(B$9&gt;=8/24,B$9&lt;14/24)</formula>
    </cfRule>
    <cfRule type="expression" dxfId="4289" priority="17">
      <formula>AND(B$9&gt;=14/24,B$9&lt;20/24)</formula>
    </cfRule>
    <cfRule type="expression" dxfId="4288" priority="16">
      <formula>B$9&gt;=20/24</formula>
    </cfRule>
  </conditionalFormatting>
  <conditionalFormatting sqref="B101:AF117">
    <cfRule type="expression" dxfId="4287" priority="7">
      <formula>B$9&gt;=20/24</formula>
    </cfRule>
    <cfRule type="expression" dxfId="4286" priority="8">
      <formula>AND(B$9&gt;=14/24,B$9&lt;20/24)</formula>
    </cfRule>
    <cfRule type="expression" dxfId="4285" priority="10">
      <formula>B$9&lt;8/24</formula>
    </cfRule>
    <cfRule type="expression" dxfId="4284" priority="9">
      <formula>AND(B$9&gt;=8/24,B$9&lt;14/24)</formula>
    </cfRule>
  </conditionalFormatting>
  <conditionalFormatting sqref="B119:AF137">
    <cfRule type="expression" dxfId="4283" priority="2">
      <formula>B$9&gt;=20/24</formula>
    </cfRule>
    <cfRule type="expression" dxfId="4282" priority="3">
      <formula>AND(B$9&gt;=14/24,B$9&lt;20/24)</formula>
    </cfRule>
    <cfRule type="expression" dxfId="4281" priority="4">
      <formula>AND(B$9&gt;=8/24,B$9&lt;14/24)</formula>
    </cfRule>
    <cfRule type="expression" dxfId="4280" priority="5">
      <formula>B$9&lt;8/24</formula>
    </cfRule>
  </conditionalFormatting>
  <conditionalFormatting sqref="B244:AF244 B246:B252 D246:AF252 U260:AF260">
    <cfRule type="expression" dxfId="4279" priority="108">
      <formula>AND(B$9&gt;=14/24,B$9&lt;20/24)</formula>
    </cfRule>
    <cfRule type="expression" dxfId="4278" priority="107">
      <formula>B$9&gt;=20/24</formula>
    </cfRule>
    <cfRule type="expression" dxfId="4277" priority="109">
      <formula>AND(B$9&gt;=8/24,B$9&lt;14/24)</formula>
    </cfRule>
    <cfRule type="expression" dxfId="4276" priority="110">
      <formula>B$9&lt;8/24</formula>
    </cfRule>
  </conditionalFormatting>
  <conditionalFormatting sqref="B62:AG62">
    <cfRule type="expression" dxfId="4275" priority="50">
      <formula>B62&gt;$AG62</formula>
    </cfRule>
    <cfRule type="expression" dxfId="4274" priority="51">
      <formula>B$9&gt;=20/24</formula>
    </cfRule>
    <cfRule type="expression" dxfId="4273" priority="52">
      <formula>AND(B$9&gt;=14/24,B$9&lt;20/24)</formula>
    </cfRule>
    <cfRule type="expression" dxfId="4272" priority="53">
      <formula>AND(B$9&gt;=8/24,B$9&lt;14/24)</formula>
    </cfRule>
    <cfRule type="expression" dxfId="4271" priority="54">
      <formula>B$9&lt;8/24</formula>
    </cfRule>
  </conditionalFormatting>
  <conditionalFormatting sqref="B75:AG76 B80:AG80">
    <cfRule type="expression" dxfId="4270" priority="36">
      <formula>B75&gt;$AG75</formula>
    </cfRule>
  </conditionalFormatting>
  <conditionalFormatting sqref="B80:AG80">
    <cfRule type="expression" dxfId="4269" priority="38">
      <formula>AND(B$9&gt;=14/24,B$9&lt;20/24)</formula>
    </cfRule>
    <cfRule type="expression" dxfId="4268" priority="37">
      <formula>B$9&gt;=20/24</formula>
    </cfRule>
    <cfRule type="expression" dxfId="4267" priority="39">
      <formula>AND(B$9&gt;=8/24,B$9&lt;14/24)</formula>
    </cfRule>
    <cfRule type="expression" dxfId="4266" priority="40">
      <formula>B$9&lt;8/24</formula>
    </cfRule>
  </conditionalFormatting>
  <conditionalFormatting sqref="F63:L65">
    <cfRule type="expression" dxfId="4265" priority="88">
      <formula>F$9&gt;=20/24</formula>
    </cfRule>
    <cfRule type="expression" dxfId="4264" priority="89">
      <formula>AND(F$9&gt;=14/24,F$9&lt;20/24)</formula>
    </cfRule>
    <cfRule type="expression" dxfId="4263" priority="90">
      <formula>AND(F$9&gt;=8/24,F$9&lt;14/24)</formula>
    </cfRule>
    <cfRule type="expression" dxfId="4262" priority="91">
      <formula>F$9&lt;8/24</formula>
    </cfRule>
  </conditionalFormatting>
  <conditionalFormatting sqref="F68:AA68">
    <cfRule type="expression" dxfId="4261" priority="65">
      <formula>F$9&gt;=20/24</formula>
    </cfRule>
    <cfRule type="expression" dxfId="4260" priority="66">
      <formula>AND(F$9&gt;=14/24,F$9&lt;20/24)</formula>
    </cfRule>
    <cfRule type="expression" dxfId="4259" priority="67">
      <formula>AND(F$9&gt;=8/24,F$9&lt;14/24)</formula>
    </cfRule>
    <cfRule type="expression" dxfId="4258" priority="68">
      <formula>F$9&lt;8/24</formula>
    </cfRule>
  </conditionalFormatting>
  <conditionalFormatting sqref="F69:AF74">
    <cfRule type="expression" dxfId="4257" priority="55">
      <formula>F$9&gt;=20/24</formula>
    </cfRule>
    <cfRule type="expression" dxfId="4256" priority="56">
      <formula>AND(F$9&gt;=14/24,F$9&lt;20/24)</formula>
    </cfRule>
    <cfRule type="expression" dxfId="4255" priority="57">
      <formula>AND(F$9&gt;=8/24,F$9&lt;14/24)</formula>
    </cfRule>
    <cfRule type="expression" dxfId="4254" priority="58">
      <formula>F$9&lt;8/24</formula>
    </cfRule>
  </conditionalFormatting>
  <conditionalFormatting sqref="M63:AA67">
    <cfRule type="expression" dxfId="4253" priority="93">
      <formula>AND(M$9&gt;=14/24,M$9&lt;20/24)</formula>
    </cfRule>
    <cfRule type="expression" dxfId="4252" priority="92">
      <formula>M$9&gt;=20/24</formula>
    </cfRule>
    <cfRule type="expression" dxfId="4251" priority="94">
      <formula>AND(M$9&gt;=8/24,M$9&lt;14/24)</formula>
    </cfRule>
    <cfRule type="expression" dxfId="4250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249" priority="113">
      <formula>C$9&gt;=20/24</formula>
    </cfRule>
  </conditionalFormatting>
  <conditionalFormatting sqref="S8">
    <cfRule type="expression" dxfId="4248" priority="100">
      <formula>U$9&gt;=20/24</formula>
    </cfRule>
    <cfRule type="expression" dxfId="4247" priority="103">
      <formula>U$9&lt;8/24</formula>
    </cfRule>
    <cfRule type="expression" dxfId="4246" priority="102">
      <formula>AND(U$9&gt;=8/24,U$9&lt;14/24)</formula>
    </cfRule>
    <cfRule type="expression" dxfId="4245" priority="101">
      <formula>AND(U$9&gt;=14/24,U$9&lt;20/24)</formula>
    </cfRule>
  </conditionalFormatting>
  <conditionalFormatting sqref="T260">
    <cfRule type="expression" dxfId="4244" priority="128">
      <formula>AX$9&lt;8/24</formula>
    </cfRule>
    <cfRule type="expression" dxfId="4243" priority="125">
      <formula>AX$9&gt;=20/24</formula>
    </cfRule>
    <cfRule type="expression" dxfId="4242" priority="126">
      <formula>AND(AX$9&gt;=14/24,AX$9&lt;20/24)</formula>
    </cfRule>
    <cfRule type="expression" dxfId="4241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240" priority="97">
      <formula>AND(AD$9&gt;=14/24,AD$9&lt;20/24)</formula>
    </cfRule>
    <cfRule type="expression" dxfId="4239" priority="96">
      <formula>AD$9&gt;=20/24</formula>
    </cfRule>
    <cfRule type="expression" dxfId="4238" priority="99">
      <formula>AD$9&lt;8/24</formula>
    </cfRule>
    <cfRule type="expression" dxfId="4237" priority="98">
      <formula>AND(AD$9&gt;=8/24,AD$9&lt;14/24)</formula>
    </cfRule>
  </conditionalFormatting>
  <conditionalFormatting sqref="AB63:AF68">
    <cfRule type="expression" dxfId="4236" priority="59">
      <formula>AB$9&gt;=20/24</formula>
    </cfRule>
    <cfRule type="expression" dxfId="4235" priority="60">
      <formula>AND(AB$9&gt;=14/24,AB$9&lt;20/24)</formula>
    </cfRule>
    <cfRule type="expression" dxfId="4234" priority="61">
      <formula>AND(AB$9&gt;=8/24,AB$9&lt;14/24)</formula>
    </cfRule>
    <cfRule type="expression" dxfId="4233" priority="62">
      <formula>AB$9&lt;8/24</formula>
    </cfRule>
  </conditionalFormatting>
  <conditionalFormatting sqref="AG58">
    <cfRule type="expression" dxfId="4232" priority="83">
      <formula>AG58&gt;$AG58</formula>
    </cfRule>
  </conditionalFormatting>
  <conditionalFormatting sqref="AG97">
    <cfRule type="expression" dxfId="4231" priority="86">
      <formula>AND(AG$9&gt;=8/24,AG$9&lt;14/24)</formula>
    </cfRule>
    <cfRule type="expression" dxfId="4230" priority="87">
      <formula>AG$9&lt;8/24</formula>
    </cfRule>
    <cfRule type="expression" dxfId="4229" priority="85">
      <formula>AND(AG$9&gt;=14/24,AG$9&lt;20/24)</formula>
    </cfRule>
    <cfRule type="expression" dxfId="4228" priority="84">
      <formula>AG$9&gt;=20/24</formula>
    </cfRule>
  </conditionalFormatting>
  <conditionalFormatting sqref="AG260">
    <cfRule type="expression" dxfId="4227" priority="117">
      <formula>B$9&gt;=20/24</formula>
    </cfRule>
    <cfRule type="expression" dxfId="4226" priority="118">
      <formula>AND(B$9&gt;=14/24,B$9&lt;20/24)</formula>
    </cfRule>
    <cfRule type="expression" dxfId="4225" priority="119">
      <formula>AND(B$9&gt;=8/24,B$9&lt;14/24)</formula>
    </cfRule>
    <cfRule type="expression" dxfId="4224" priority="120">
      <formula>B$9&lt;8/24</formula>
    </cfRule>
  </conditionalFormatting>
  <conditionalFormatting sqref="AH260:AX260">
    <cfRule type="expression" dxfId="4223" priority="121">
      <formula>AG$9&gt;=20/24</formula>
    </cfRule>
    <cfRule type="expression" dxfId="4222" priority="122">
      <formula>AND(AG$9&gt;=14/24,AG$9&lt;20/24)</formula>
    </cfRule>
    <cfRule type="expression" dxfId="4221" priority="123">
      <formula>AND(AG$9&gt;=8/24,AG$9&lt;14/24)</formula>
    </cfRule>
    <cfRule type="expression" dxfId="4220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219" priority="130">
      <formula>AJ$9&gt;=20/24</formula>
    </cfRule>
    <cfRule type="expression" dxfId="4218" priority="131">
      <formula>AND(AJ$9&gt;=14/24,AJ$9&lt;20/24)</formula>
    </cfRule>
    <cfRule type="expression" dxfId="4217" priority="132">
      <formula>AND(AJ$9&gt;=8/24,AJ$9&lt;14/24)</formula>
    </cfRule>
    <cfRule type="expression" dxfId="4216" priority="133">
      <formula>AJ$9&lt;8/24</formula>
    </cfRule>
  </conditionalFormatting>
  <conditionalFormatting sqref="AL88:AN88 AL94:AN94">
    <cfRule type="expression" dxfId="4215" priority="76">
      <formula>AL$9&gt;=20/24</formula>
    </cfRule>
    <cfRule type="expression" dxfId="4214" priority="77">
      <formula>AND(AL$9&gt;=14/24,AL$9&lt;20/24)</formula>
    </cfRule>
    <cfRule type="expression" dxfId="4213" priority="78">
      <formula>AND(AL$9&gt;=8/24,AL$9&lt;14/24)</formula>
    </cfRule>
    <cfRule type="expression" dxfId="4212" priority="79">
      <formula>AL$9&lt;8/24</formula>
    </cfRule>
  </conditionalFormatting>
  <conditionalFormatting sqref="AN89:AN92">
    <cfRule type="expression" dxfId="4211" priority="72">
      <formula>AN$9&gt;=20/24</formula>
    </cfRule>
    <cfRule type="expression" dxfId="4210" priority="73">
      <formula>AND(AN$9&gt;=14/24,AN$9&lt;20/24)</formula>
    </cfRule>
    <cfRule type="expression" dxfId="4209" priority="74">
      <formula>AND(AN$9&gt;=8/24,AN$9&lt;14/24)</formula>
    </cfRule>
    <cfRule type="expression" dxfId="4208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9430-6BD0-4956-9F7D-E0CE0A6F142C}">
  <dimension ref="A1:CJ293"/>
  <sheetViews>
    <sheetView zoomScale="90" zoomScaleNormal="90" workbookViewId="0">
      <pane xSplit="1" ySplit="10" topLeftCell="B68" activePane="bottomRight" state="frozen"/>
      <selection activeCell="Z63" sqref="Z63"/>
      <selection pane="topRight" activeCell="Z63" sqref="Z63"/>
      <selection pane="bottomLeft" activeCell="Z63" sqref="Z63"/>
      <selection pane="bottomRight" activeCell="K65" sqref="K6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2080/10/5</v>
      </c>
      <c r="C4" s="272"/>
      <c r="D4" s="272"/>
      <c r="E4" s="273" t="str">
        <f ca="1">"2080/"&amp;"10/"&amp;INT(MID(CELL("filename",G6),FIND("]",CELL("filename",G6))+1,200))</f>
        <v>2080/10/5</v>
      </c>
      <c r="F4" s="273"/>
      <c r="G4" s="273"/>
      <c r="H4" s="273" t="str">
        <f ca="1">TEXT(E4,"dddd")</f>
        <v>Saturday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595</v>
      </c>
      <c r="C5" s="30">
        <f t="shared" si="0"/>
        <v>577.20000000000005</v>
      </c>
      <c r="D5" s="30">
        <f t="shared" si="0"/>
        <v>588.4</v>
      </c>
      <c r="E5" s="30">
        <f t="shared" si="0"/>
        <v>626</v>
      </c>
      <c r="F5" s="30">
        <f t="shared" si="0"/>
        <v>643.80000000000007</v>
      </c>
      <c r="G5" s="30">
        <f t="shared" si="0"/>
        <v>573</v>
      </c>
      <c r="H5" s="30">
        <f t="shared" si="0"/>
        <v>575.79999999999995</v>
      </c>
      <c r="I5" s="30">
        <f t="shared" si="0"/>
        <v>597.1</v>
      </c>
      <c r="J5" s="30">
        <f t="shared" si="0"/>
        <v>353.40000000000003</v>
      </c>
      <c r="K5" s="30">
        <f t="shared" si="0"/>
        <v>351.6</v>
      </c>
      <c r="L5" s="30">
        <f t="shared" si="0"/>
        <v>280.7</v>
      </c>
      <c r="M5" s="30">
        <f t="shared" si="0"/>
        <v>332.2</v>
      </c>
      <c r="N5" s="30">
        <f t="shared" si="0"/>
        <v>477.7</v>
      </c>
      <c r="O5" s="30">
        <f t="shared" si="0"/>
        <v>516.9</v>
      </c>
      <c r="P5" s="30">
        <f t="shared" si="0"/>
        <v>603.4</v>
      </c>
      <c r="Q5" s="30">
        <f t="shared" si="0"/>
        <v>616.1</v>
      </c>
      <c r="R5" s="30">
        <f t="shared" si="0"/>
        <v>593</v>
      </c>
      <c r="S5" s="30">
        <f t="shared" si="0"/>
        <v>642</v>
      </c>
      <c r="T5" s="30">
        <f t="shared" si="0"/>
        <v>649.1</v>
      </c>
      <c r="U5" s="30">
        <f t="shared" si="0"/>
        <v>501.3</v>
      </c>
      <c r="V5" s="30">
        <f t="shared" si="0"/>
        <v>523.20000000000005</v>
      </c>
      <c r="W5" s="30">
        <f t="shared" si="0"/>
        <v>276.40000000000003</v>
      </c>
      <c r="X5" s="30">
        <f t="shared" si="0"/>
        <v>396.5</v>
      </c>
      <c r="Y5" s="30">
        <f t="shared" si="0"/>
        <v>180.39999999999998</v>
      </c>
      <c r="Z5" s="30">
        <f t="shared" si="0"/>
        <v>195.7</v>
      </c>
      <c r="AA5" s="30">
        <f t="shared" si="0"/>
        <v>339.70000000000005</v>
      </c>
      <c r="AB5" s="30">
        <f t="shared" si="0"/>
        <v>316</v>
      </c>
      <c r="AC5" s="30">
        <f t="shared" si="0"/>
        <v>547</v>
      </c>
      <c r="AD5" s="30">
        <f t="shared" si="0"/>
        <v>519.6</v>
      </c>
      <c r="AE5" s="30">
        <f t="shared" si="0"/>
        <v>536</v>
      </c>
      <c r="AF5" s="30">
        <f>B92</f>
        <v>592.79999999999995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Load=1182</v>
      </c>
      <c r="B7" s="35">
        <f>B100</f>
        <v>1222.5899999999999</v>
      </c>
      <c r="C7" s="35">
        <f t="shared" ref="C7:AF7" si="1">C100</f>
        <v>1224.79</v>
      </c>
      <c r="D7" s="35">
        <f t="shared" si="1"/>
        <v>1181.5900000000001</v>
      </c>
      <c r="E7" s="35">
        <f t="shared" si="1"/>
        <v>1192.79</v>
      </c>
      <c r="F7" s="35">
        <f t="shared" si="1"/>
        <v>1230.19</v>
      </c>
      <c r="G7" s="35">
        <f t="shared" si="1"/>
        <v>1274.19</v>
      </c>
      <c r="H7" s="35">
        <f t="shared" si="1"/>
        <v>1258.79</v>
      </c>
      <c r="I7" s="35">
        <f t="shared" si="1"/>
        <v>1309.0900000000001</v>
      </c>
      <c r="J7" s="35">
        <f t="shared" si="1"/>
        <v>1415.5900000000001</v>
      </c>
      <c r="K7" s="35">
        <f t="shared" si="1"/>
        <v>1576.69</v>
      </c>
      <c r="L7" s="35">
        <f t="shared" si="1"/>
        <v>1643.29</v>
      </c>
      <c r="M7" s="35">
        <f t="shared" si="1"/>
        <v>1641.19</v>
      </c>
      <c r="N7" s="35">
        <f t="shared" si="1"/>
        <v>1555.29</v>
      </c>
      <c r="O7" s="35">
        <f t="shared" si="1"/>
        <v>1490.69</v>
      </c>
      <c r="P7" s="35">
        <f t="shared" si="1"/>
        <v>1523.0900000000001</v>
      </c>
      <c r="Q7" s="35">
        <f t="shared" si="1"/>
        <v>1385.59</v>
      </c>
      <c r="R7" s="35">
        <f t="shared" si="1"/>
        <v>1368.29</v>
      </c>
      <c r="S7" s="35">
        <f t="shared" si="1"/>
        <v>1326.5900000000001</v>
      </c>
      <c r="T7" s="35">
        <f t="shared" si="1"/>
        <v>1319.0900000000001</v>
      </c>
      <c r="U7" s="35">
        <f t="shared" si="1"/>
        <v>1330.19</v>
      </c>
      <c r="V7" s="35">
        <f t="shared" si="1"/>
        <v>1391.99</v>
      </c>
      <c r="W7" s="35">
        <f t="shared" si="1"/>
        <v>1483.5900000000001</v>
      </c>
      <c r="X7" s="35">
        <f t="shared" si="1"/>
        <v>1453.0900000000001</v>
      </c>
      <c r="Y7" s="35">
        <f t="shared" si="1"/>
        <v>1818.69</v>
      </c>
      <c r="Z7" s="35">
        <f t="shared" si="1"/>
        <v>1675.5900000000001</v>
      </c>
      <c r="AA7" s="35">
        <f t="shared" si="1"/>
        <v>1630.69</v>
      </c>
      <c r="AB7" s="35">
        <f t="shared" si="1"/>
        <v>1624.69</v>
      </c>
      <c r="AC7" s="35">
        <f t="shared" si="1"/>
        <v>1600.99</v>
      </c>
      <c r="AD7" s="35">
        <f t="shared" si="1"/>
        <v>1366.89</v>
      </c>
      <c r="AE7" s="35">
        <f t="shared" si="1"/>
        <v>1232.0900000000001</v>
      </c>
      <c r="AF7" s="35">
        <f t="shared" si="1"/>
        <v>1183.49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30.6</v>
      </c>
      <c r="C11" s="45">
        <v>30.6</v>
      </c>
      <c r="D11" s="45">
        <v>29.1</v>
      </c>
      <c r="E11" s="45">
        <v>29.1</v>
      </c>
      <c r="F11" s="45">
        <v>29.1</v>
      </c>
      <c r="G11" s="45">
        <v>29.1</v>
      </c>
      <c r="H11" s="45">
        <v>29.5</v>
      </c>
      <c r="I11" s="45">
        <v>29.5</v>
      </c>
      <c r="J11" s="45">
        <v>29.5</v>
      </c>
      <c r="K11" s="45">
        <v>29.5</v>
      </c>
      <c r="L11" s="45">
        <v>29.5</v>
      </c>
      <c r="M11" s="45">
        <v>29.5</v>
      </c>
      <c r="N11" s="45">
        <v>27.8</v>
      </c>
      <c r="O11" s="45">
        <v>28.4</v>
      </c>
      <c r="P11" s="45">
        <v>21.8</v>
      </c>
      <c r="Q11" s="45">
        <v>27.2</v>
      </c>
      <c r="R11" s="45">
        <v>27.2</v>
      </c>
      <c r="S11" s="45">
        <v>27.2</v>
      </c>
      <c r="T11" s="45">
        <v>27.2</v>
      </c>
      <c r="U11" s="45">
        <v>27.2</v>
      </c>
      <c r="V11" s="45">
        <v>27.2</v>
      </c>
      <c r="W11" s="45">
        <v>27.2</v>
      </c>
      <c r="X11" s="45">
        <v>27.2</v>
      </c>
      <c r="Y11" s="45">
        <v>27.2</v>
      </c>
      <c r="Z11" s="45">
        <v>27.2</v>
      </c>
      <c r="AA11" s="45">
        <v>27.2</v>
      </c>
      <c r="AB11" s="45">
        <v>27.2</v>
      </c>
      <c r="AC11" s="45">
        <v>27.2</v>
      </c>
      <c r="AD11" s="45">
        <v>27.2</v>
      </c>
      <c r="AE11" s="45">
        <v>27.2</v>
      </c>
      <c r="AF11" s="45">
        <v>27.2</v>
      </c>
      <c r="AG11" s="46">
        <v>86</v>
      </c>
      <c r="AH11" s="47">
        <f t="shared" ref="AH11:AH84" si="2">MAX(B11:AF11)</f>
        <v>30.6</v>
      </c>
      <c r="AI11" s="48">
        <f t="shared" ref="AI11:AI84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9.9</v>
      </c>
      <c r="C12" s="45">
        <v>9.9</v>
      </c>
      <c r="D12" s="45">
        <v>9.9</v>
      </c>
      <c r="E12" s="45">
        <v>9.9</v>
      </c>
      <c r="F12" s="45">
        <v>9.9</v>
      </c>
      <c r="G12" s="45">
        <v>9.9</v>
      </c>
      <c r="H12" s="45">
        <v>9.9</v>
      </c>
      <c r="I12" s="45">
        <v>9.9</v>
      </c>
      <c r="J12" s="45">
        <v>9.9</v>
      </c>
      <c r="K12" s="45">
        <v>9.9</v>
      </c>
      <c r="L12" s="45">
        <v>9.9</v>
      </c>
      <c r="M12" s="45">
        <v>9.9</v>
      </c>
      <c r="N12" s="45">
        <v>9.9</v>
      </c>
      <c r="O12" s="45">
        <v>9.9</v>
      </c>
      <c r="P12" s="45">
        <v>9.9</v>
      </c>
      <c r="Q12" s="45">
        <v>9.9</v>
      </c>
      <c r="R12" s="45">
        <v>9.9</v>
      </c>
      <c r="S12" s="45">
        <v>9.9</v>
      </c>
      <c r="T12" s="45">
        <v>9.9</v>
      </c>
      <c r="U12" s="45">
        <v>9.9</v>
      </c>
      <c r="V12" s="45">
        <v>9.9</v>
      </c>
      <c r="W12" s="45">
        <v>9.9</v>
      </c>
      <c r="X12" s="45">
        <v>9.9</v>
      </c>
      <c r="Y12" s="45">
        <v>9.9</v>
      </c>
      <c r="Z12" s="45">
        <v>9.9</v>
      </c>
      <c r="AA12" s="45">
        <v>9.9</v>
      </c>
      <c r="AB12" s="45">
        <v>9.9</v>
      </c>
      <c r="AC12" s="45">
        <v>9.9</v>
      </c>
      <c r="AD12" s="45">
        <v>9.9</v>
      </c>
      <c r="AE12" s="45">
        <v>9.9</v>
      </c>
      <c r="AF12" s="45">
        <v>9.9</v>
      </c>
      <c r="AG12" s="49">
        <v>54</v>
      </c>
      <c r="AH12" s="47">
        <f t="shared" si="2"/>
        <v>9.9</v>
      </c>
      <c r="AI12" s="48">
        <f t="shared" si="3"/>
        <v>9.9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10.3</v>
      </c>
      <c r="C13" s="45">
        <v>10.3</v>
      </c>
      <c r="D13" s="45">
        <v>10.3</v>
      </c>
      <c r="E13" s="45">
        <v>10.3</v>
      </c>
      <c r="F13" s="45">
        <v>10.3</v>
      </c>
      <c r="G13" s="45">
        <v>10.3</v>
      </c>
      <c r="H13" s="45">
        <v>10.199999999999999</v>
      </c>
      <c r="I13" s="45">
        <v>10.199999999999999</v>
      </c>
      <c r="J13" s="45">
        <v>10.199999999999999</v>
      </c>
      <c r="K13" s="45">
        <v>10.199999999999999</v>
      </c>
      <c r="L13" s="45">
        <v>10.199999999999999</v>
      </c>
      <c r="M13" s="45">
        <v>10.199999999999999</v>
      </c>
      <c r="N13" s="45">
        <v>10.199999999999999</v>
      </c>
      <c r="O13" s="45">
        <v>10.199999999999999</v>
      </c>
      <c r="P13" s="45">
        <v>10.199999999999999</v>
      </c>
      <c r="Q13" s="45">
        <v>10.199999999999999</v>
      </c>
      <c r="R13" s="45">
        <v>10.199999999999999</v>
      </c>
      <c r="S13" s="45">
        <v>10.199999999999999</v>
      </c>
      <c r="T13" s="45">
        <v>10.199999999999999</v>
      </c>
      <c r="U13" s="45">
        <v>10.199999999999999</v>
      </c>
      <c r="V13" s="45">
        <v>10.199999999999999</v>
      </c>
      <c r="W13" s="45">
        <v>10.199999999999999</v>
      </c>
      <c r="X13" s="45">
        <v>10.199999999999999</v>
      </c>
      <c r="Y13" s="45">
        <v>10.199999999999999</v>
      </c>
      <c r="Z13" s="45">
        <v>10.199999999999999</v>
      </c>
      <c r="AA13" s="45">
        <v>10.199999999999999</v>
      </c>
      <c r="AB13" s="45">
        <v>10.199999999999999</v>
      </c>
      <c r="AC13" s="45">
        <v>10.199999999999999</v>
      </c>
      <c r="AD13" s="45">
        <v>10.199999999999999</v>
      </c>
      <c r="AE13" s="45">
        <v>10.199999999999999</v>
      </c>
      <c r="AF13" s="45">
        <v>10.199999999999999</v>
      </c>
      <c r="AG13" s="49">
        <v>54</v>
      </c>
      <c r="AH13" s="47">
        <f t="shared" si="2"/>
        <v>10.3</v>
      </c>
      <c r="AI13" s="48">
        <f t="shared" si="3"/>
        <v>10.199999999999999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14.9</v>
      </c>
      <c r="C14" s="45">
        <v>14.9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46">
        <v>52.4</v>
      </c>
      <c r="AH14" s="47">
        <f t="shared" si="2"/>
        <v>15.4</v>
      </c>
      <c r="AI14" s="48">
        <f t="shared" si="3"/>
        <v>14.9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28.3</v>
      </c>
      <c r="C15" s="45">
        <v>28.3</v>
      </c>
      <c r="D15" s="45">
        <v>28.3</v>
      </c>
      <c r="E15" s="45">
        <v>28.3</v>
      </c>
      <c r="F15" s="45">
        <v>28.3</v>
      </c>
      <c r="G15" s="45">
        <v>28.3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28.7</v>
      </c>
      <c r="R15" s="45">
        <v>28.7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45">
        <v>28.7</v>
      </c>
      <c r="AA15" s="45">
        <v>28.7</v>
      </c>
      <c r="AB15" s="45">
        <v>28.7</v>
      </c>
      <c r="AC15" s="45">
        <v>28.7</v>
      </c>
      <c r="AD15" s="45">
        <v>28.7</v>
      </c>
      <c r="AE15" s="45">
        <v>28.7</v>
      </c>
      <c r="AF15" s="45">
        <v>28.7</v>
      </c>
      <c r="AG15" s="49">
        <v>50</v>
      </c>
      <c r="AH15" s="47">
        <f t="shared" si="2"/>
        <v>28.7</v>
      </c>
      <c r="AI15" s="48">
        <f t="shared" si="3"/>
        <v>28.3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17.100000000000001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  <c r="AC16" s="45">
        <v>1</v>
      </c>
      <c r="AD16" s="45">
        <v>1</v>
      </c>
      <c r="AE16" s="45">
        <v>1</v>
      </c>
      <c r="AF16" s="45">
        <v>1</v>
      </c>
      <c r="AG16" s="49">
        <v>45</v>
      </c>
      <c r="AH16" s="47">
        <f t="shared" si="2"/>
        <v>17.100000000000001</v>
      </c>
      <c r="AI16" s="48">
        <f t="shared" si="3"/>
        <v>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7.9</v>
      </c>
      <c r="C18" s="45">
        <v>7.9</v>
      </c>
      <c r="D18" s="45">
        <v>7.9</v>
      </c>
      <c r="E18" s="45">
        <v>7.9</v>
      </c>
      <c r="F18" s="45">
        <v>7.9</v>
      </c>
      <c r="G18" s="45">
        <v>7.9</v>
      </c>
      <c r="H18" s="45">
        <v>7.9</v>
      </c>
      <c r="I18" s="45">
        <v>7.9</v>
      </c>
      <c r="J18" s="45">
        <v>7.9</v>
      </c>
      <c r="K18" s="45">
        <v>7.9</v>
      </c>
      <c r="L18" s="45">
        <v>7.9</v>
      </c>
      <c r="M18" s="45">
        <v>7.9</v>
      </c>
      <c r="N18" s="45">
        <v>7.9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7.9</v>
      </c>
      <c r="Z18" s="45">
        <v>7.9</v>
      </c>
      <c r="AA18" s="45">
        <v>7.9</v>
      </c>
      <c r="AB18" s="45">
        <v>7.9</v>
      </c>
      <c r="AC18" s="45">
        <v>7.9</v>
      </c>
      <c r="AD18" s="45">
        <v>7.9</v>
      </c>
      <c r="AE18" s="45">
        <v>7.9</v>
      </c>
      <c r="AF18" s="45">
        <v>7.9</v>
      </c>
      <c r="AG18" s="49">
        <v>42</v>
      </c>
      <c r="AH18" s="47">
        <f t="shared" si="2"/>
        <v>7.9</v>
      </c>
      <c r="AI18" s="48">
        <f t="shared" si="3"/>
        <v>7.9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7.8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8.1999999999999993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6.4</v>
      </c>
      <c r="C25" s="45">
        <v>6.4</v>
      </c>
      <c r="D25" s="45">
        <v>6.4</v>
      </c>
      <c r="E25" s="45">
        <v>6.4</v>
      </c>
      <c r="F25" s="45">
        <v>6.4</v>
      </c>
      <c r="G25" s="45">
        <v>6.4</v>
      </c>
      <c r="H25" s="45">
        <v>6.4</v>
      </c>
      <c r="I25" s="45">
        <v>6.4</v>
      </c>
      <c r="J25" s="45">
        <v>6.4</v>
      </c>
      <c r="K25" s="45">
        <v>6.4</v>
      </c>
      <c r="L25" s="45">
        <v>6.4</v>
      </c>
      <c r="M25" s="45">
        <v>6.4</v>
      </c>
      <c r="N25" s="45">
        <v>6.4</v>
      </c>
      <c r="O25" s="45">
        <v>6.4</v>
      </c>
      <c r="P25" s="45">
        <v>6.4</v>
      </c>
      <c r="Q25" s="45">
        <v>6.4</v>
      </c>
      <c r="R25" s="45">
        <v>6.4</v>
      </c>
      <c r="S25" s="45">
        <v>6.4</v>
      </c>
      <c r="T25" s="45">
        <v>6.4</v>
      </c>
      <c r="U25" s="45">
        <v>6.4</v>
      </c>
      <c r="V25" s="45">
        <v>6.4</v>
      </c>
      <c r="W25" s="45">
        <v>6.4</v>
      </c>
      <c r="X25" s="45">
        <v>6.4</v>
      </c>
      <c r="Y25" s="45">
        <v>6.4</v>
      </c>
      <c r="Z25" s="45">
        <v>6.4</v>
      </c>
      <c r="AA25" s="45">
        <v>6.4</v>
      </c>
      <c r="AB25" s="45">
        <v>6.4</v>
      </c>
      <c r="AC25" s="45">
        <v>6.4</v>
      </c>
      <c r="AD25" s="45">
        <v>6.4</v>
      </c>
      <c r="AE25" s="45">
        <v>6.4</v>
      </c>
      <c r="AF25" s="45">
        <v>6.4</v>
      </c>
      <c r="AG25" s="52">
        <v>30</v>
      </c>
      <c r="AH25" s="47">
        <f t="shared" si="2"/>
        <v>6.4</v>
      </c>
      <c r="AI25" s="48">
        <f t="shared" si="3"/>
        <v>6.4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6.5</v>
      </c>
      <c r="C26" s="45">
        <v>6.5</v>
      </c>
      <c r="D26" s="45">
        <v>6.5</v>
      </c>
      <c r="E26" s="45">
        <v>6.5</v>
      </c>
      <c r="F26" s="45">
        <v>6.5</v>
      </c>
      <c r="G26" s="45">
        <v>6.5</v>
      </c>
      <c r="H26" s="45">
        <v>6.5</v>
      </c>
      <c r="I26" s="45">
        <v>6.5</v>
      </c>
      <c r="J26" s="45">
        <v>6.5</v>
      </c>
      <c r="K26" s="45">
        <v>6.5</v>
      </c>
      <c r="L26" s="45">
        <v>6.5</v>
      </c>
      <c r="M26" s="45">
        <v>6.5</v>
      </c>
      <c r="N26" s="45">
        <v>6.5</v>
      </c>
      <c r="O26" s="45">
        <v>6.5</v>
      </c>
      <c r="P26" s="45">
        <v>6.5</v>
      </c>
      <c r="Q26" s="45">
        <v>6.5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6.5</v>
      </c>
      <c r="AF26" s="45">
        <v>6.5</v>
      </c>
      <c r="AG26" s="49">
        <v>25</v>
      </c>
      <c r="AH26" s="47">
        <f t="shared" si="2"/>
        <v>6.5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7.2</v>
      </c>
      <c r="C29" s="45">
        <v>7.2</v>
      </c>
      <c r="D29" s="45">
        <v>7.2</v>
      </c>
      <c r="E29" s="45">
        <v>7.2</v>
      </c>
      <c r="F29" s="45">
        <v>7.2</v>
      </c>
      <c r="G29" s="45">
        <v>7.2</v>
      </c>
      <c r="H29" s="45">
        <v>7.2</v>
      </c>
      <c r="I29" s="45">
        <v>7.2</v>
      </c>
      <c r="J29" s="45">
        <v>7.2</v>
      </c>
      <c r="K29" s="45">
        <v>7.2</v>
      </c>
      <c r="L29" s="45">
        <v>7.2</v>
      </c>
      <c r="M29" s="45">
        <v>7.2</v>
      </c>
      <c r="N29" s="45">
        <v>7.2</v>
      </c>
      <c r="O29" s="45">
        <v>7.2</v>
      </c>
      <c r="P29" s="45">
        <v>7.2</v>
      </c>
      <c r="Q29" s="45">
        <v>7.2</v>
      </c>
      <c r="R29" s="45">
        <v>7.2</v>
      </c>
      <c r="S29" s="45">
        <v>7.2</v>
      </c>
      <c r="T29" s="45">
        <v>7.2</v>
      </c>
      <c r="U29" s="45">
        <v>7.2</v>
      </c>
      <c r="V29" s="45">
        <v>7.2</v>
      </c>
      <c r="W29" s="45">
        <v>7.2</v>
      </c>
      <c r="X29" s="45">
        <v>7.2</v>
      </c>
      <c r="Y29" s="45">
        <v>7.2</v>
      </c>
      <c r="Z29" s="45">
        <v>7.2</v>
      </c>
      <c r="AA29" s="45">
        <v>7.2</v>
      </c>
      <c r="AB29" s="45">
        <v>7.2</v>
      </c>
      <c r="AC29" s="45">
        <v>7.2</v>
      </c>
      <c r="AD29" s="45">
        <v>7.2</v>
      </c>
      <c r="AE29" s="45">
        <v>7.2</v>
      </c>
      <c r="AF29" s="45">
        <v>7.2</v>
      </c>
      <c r="AG29" s="49">
        <v>25</v>
      </c>
      <c r="AH29" s="47">
        <f t="shared" si="2"/>
        <v>7.2</v>
      </c>
      <c r="AI29" s="48">
        <f t="shared" si="3"/>
        <v>7.2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7.6</v>
      </c>
      <c r="C30" s="45">
        <v>7.6</v>
      </c>
      <c r="D30" s="45">
        <v>7.6</v>
      </c>
      <c r="E30" s="45">
        <v>7.6</v>
      </c>
      <c r="F30" s="45">
        <v>7.6</v>
      </c>
      <c r="G30" s="45">
        <v>7.6</v>
      </c>
      <c r="H30" s="45">
        <v>7.6</v>
      </c>
      <c r="I30" s="45">
        <v>7.6</v>
      </c>
      <c r="J30" s="45">
        <v>7.6</v>
      </c>
      <c r="K30" s="45">
        <v>7.6</v>
      </c>
      <c r="L30" s="45">
        <v>7.6</v>
      </c>
      <c r="M30" s="45">
        <v>7.6</v>
      </c>
      <c r="N30" s="45">
        <v>7.6</v>
      </c>
      <c r="O30" s="45">
        <v>7.6</v>
      </c>
      <c r="P30" s="45">
        <v>7.6</v>
      </c>
      <c r="Q30" s="45">
        <v>7.6</v>
      </c>
      <c r="R30" s="45">
        <v>7.6</v>
      </c>
      <c r="S30" s="45">
        <v>7.6</v>
      </c>
      <c r="T30" s="45">
        <v>7.6</v>
      </c>
      <c r="U30" s="45">
        <v>7.6</v>
      </c>
      <c r="V30" s="45">
        <v>7.6</v>
      </c>
      <c r="W30" s="45">
        <v>7.6</v>
      </c>
      <c r="X30" s="45">
        <v>7.6</v>
      </c>
      <c r="Y30" s="45">
        <v>7.6</v>
      </c>
      <c r="Z30" s="45">
        <v>7.6</v>
      </c>
      <c r="AA30" s="45">
        <v>7.6</v>
      </c>
      <c r="AB30" s="45">
        <v>7.6</v>
      </c>
      <c r="AC30" s="45">
        <v>7.6</v>
      </c>
      <c r="AD30" s="45">
        <v>7.6</v>
      </c>
      <c r="AE30" s="45">
        <v>7.6</v>
      </c>
      <c r="AF30" s="45">
        <v>7.6</v>
      </c>
      <c r="AG30" s="49">
        <v>23.5</v>
      </c>
      <c r="AH30" s="47">
        <f t="shared" si="2"/>
        <v>7.6</v>
      </c>
      <c r="AI30" s="48">
        <f t="shared" si="3"/>
        <v>7.6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10.4</v>
      </c>
      <c r="C34" s="45">
        <v>10.4</v>
      </c>
      <c r="D34" s="45">
        <v>10.4</v>
      </c>
      <c r="E34" s="45">
        <v>10.4</v>
      </c>
      <c r="F34" s="45">
        <v>10.4</v>
      </c>
      <c r="G34" s="45">
        <v>10.4</v>
      </c>
      <c r="H34" s="45">
        <v>10.4</v>
      </c>
      <c r="I34" s="45">
        <v>10.4</v>
      </c>
      <c r="J34" s="45">
        <v>10.4</v>
      </c>
      <c r="K34" s="45">
        <v>10.4</v>
      </c>
      <c r="L34" s="45">
        <v>10.4</v>
      </c>
      <c r="M34" s="45">
        <v>10.4</v>
      </c>
      <c r="N34" s="45">
        <v>10.4</v>
      </c>
      <c r="O34" s="45">
        <v>10.4</v>
      </c>
      <c r="P34" s="45">
        <v>10.4</v>
      </c>
      <c r="Q34" s="45">
        <v>10.4</v>
      </c>
      <c r="R34" s="45">
        <v>10.4</v>
      </c>
      <c r="S34" s="45">
        <v>10.4</v>
      </c>
      <c r="T34" s="45">
        <v>10.4</v>
      </c>
      <c r="U34" s="45">
        <v>10.4</v>
      </c>
      <c r="V34" s="45">
        <v>10.4</v>
      </c>
      <c r="W34" s="45">
        <v>10.4</v>
      </c>
      <c r="X34" s="45">
        <v>10.4</v>
      </c>
      <c r="Y34" s="45">
        <v>10.4</v>
      </c>
      <c r="Z34" s="45">
        <v>10.4</v>
      </c>
      <c r="AA34" s="45">
        <v>10.4</v>
      </c>
      <c r="AB34" s="45">
        <v>10.4</v>
      </c>
      <c r="AC34" s="45">
        <v>10.4</v>
      </c>
      <c r="AD34" s="45">
        <v>10.4</v>
      </c>
      <c r="AE34" s="45">
        <v>10.4</v>
      </c>
      <c r="AF34" s="45">
        <v>10.4</v>
      </c>
      <c r="AG34" s="49">
        <v>22</v>
      </c>
      <c r="AH34" s="47">
        <f t="shared" si="2"/>
        <v>10.4</v>
      </c>
      <c r="AI34" s="48">
        <f t="shared" si="3"/>
        <v>10.4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590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10</v>
      </c>
      <c r="O55" s="45">
        <v>14</v>
      </c>
      <c r="P55" s="45">
        <v>14</v>
      </c>
      <c r="Q55" s="45">
        <v>14</v>
      </c>
      <c r="R55" s="45">
        <v>14</v>
      </c>
      <c r="S55" s="45">
        <v>14</v>
      </c>
      <c r="T55" s="45">
        <v>14</v>
      </c>
      <c r="U55" s="45">
        <v>14</v>
      </c>
      <c r="V55" s="45">
        <v>14</v>
      </c>
      <c r="W55" s="45">
        <v>14</v>
      </c>
      <c r="X55" s="45">
        <v>14</v>
      </c>
      <c r="Y55" s="45">
        <v>14</v>
      </c>
      <c r="Z55" s="45">
        <v>14</v>
      </c>
      <c r="AA55" s="45">
        <v>14</v>
      </c>
      <c r="AB55" s="45">
        <v>14</v>
      </c>
      <c r="AC55" s="45">
        <v>14</v>
      </c>
      <c r="AD55" s="45">
        <v>14</v>
      </c>
      <c r="AE55" s="45">
        <v>14</v>
      </c>
      <c r="AF55" s="45">
        <v>14</v>
      </c>
      <c r="AG55" s="55">
        <v>10</v>
      </c>
      <c r="AH55" s="47">
        <f t="shared" si="2"/>
        <v>14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7.5+17.9</f>
        <v>25.4</v>
      </c>
      <c r="C57" s="57">
        <f t="shared" ref="C57:F57" si="4">7.5+17.9</f>
        <v>25.4</v>
      </c>
      <c r="D57" s="57">
        <f t="shared" si="4"/>
        <v>25.4</v>
      </c>
      <c r="E57" s="57">
        <f t="shared" si="4"/>
        <v>25.4</v>
      </c>
      <c r="F57" s="57">
        <f t="shared" si="4"/>
        <v>25.4</v>
      </c>
      <c r="G57" s="57">
        <v>26.2</v>
      </c>
      <c r="H57" s="57">
        <v>23.3</v>
      </c>
      <c r="I57" s="57">
        <v>23.3</v>
      </c>
      <c r="J57" s="57">
        <v>21.8</v>
      </c>
      <c r="K57" s="57">
        <v>21.8</v>
      </c>
      <c r="L57" s="57">
        <v>22.3</v>
      </c>
      <c r="M57" s="51">
        <v>23.2</v>
      </c>
      <c r="N57" s="51">
        <f>13.3+5.7</f>
        <v>19</v>
      </c>
      <c r="O57" s="51">
        <f>13.9+6</f>
        <v>19.899999999999999</v>
      </c>
      <c r="P57" s="51">
        <f>14.8+5.1</f>
        <v>19.899999999999999</v>
      </c>
      <c r="Q57" s="51">
        <f t="shared" ref="Q57:AF57" si="5">15.5+7.4</f>
        <v>22.9</v>
      </c>
      <c r="R57" s="51">
        <f t="shared" si="5"/>
        <v>22.9</v>
      </c>
      <c r="S57" s="51">
        <f t="shared" si="5"/>
        <v>22.9</v>
      </c>
      <c r="T57" s="51">
        <f t="shared" si="5"/>
        <v>22.9</v>
      </c>
      <c r="U57" s="51">
        <f t="shared" si="5"/>
        <v>22.9</v>
      </c>
      <c r="V57" s="51">
        <f t="shared" si="5"/>
        <v>22.9</v>
      </c>
      <c r="W57" s="51">
        <f t="shared" si="5"/>
        <v>22.9</v>
      </c>
      <c r="X57" s="51">
        <f t="shared" si="5"/>
        <v>22.9</v>
      </c>
      <c r="Y57" s="51">
        <f t="shared" si="5"/>
        <v>22.9</v>
      </c>
      <c r="Z57" s="51">
        <f t="shared" si="5"/>
        <v>22.9</v>
      </c>
      <c r="AA57" s="51">
        <f t="shared" si="5"/>
        <v>22.9</v>
      </c>
      <c r="AB57" s="51">
        <f t="shared" si="5"/>
        <v>22.9</v>
      </c>
      <c r="AC57" s="51">
        <f t="shared" si="5"/>
        <v>22.9</v>
      </c>
      <c r="AD57" s="51">
        <f t="shared" si="5"/>
        <v>22.9</v>
      </c>
      <c r="AE57" s="51">
        <f t="shared" si="5"/>
        <v>22.9</v>
      </c>
      <c r="AF57" s="51">
        <f t="shared" si="5"/>
        <v>22.9</v>
      </c>
      <c r="AG57" s="55">
        <v>240</v>
      </c>
      <c r="AH57" s="47">
        <f t="shared" si="2"/>
        <v>26.2</v>
      </c>
      <c r="AI57" s="48">
        <f t="shared" si="3"/>
        <v>19</v>
      </c>
      <c r="AK57" s="50"/>
    </row>
    <row r="58" spans="1:88" ht="15.75" thickBot="1" x14ac:dyDescent="0.3">
      <c r="A58" s="59" t="s">
        <v>58</v>
      </c>
      <c r="B58" s="60">
        <f>SUM(B11:B56)</f>
        <v>485.54999999999995</v>
      </c>
      <c r="C58" s="60">
        <f>SUM(C11:C56)</f>
        <v>485.54999999999995</v>
      </c>
      <c r="D58" s="60">
        <f t="shared" ref="D58:AF58" si="6">SUM(D11:D56)</f>
        <v>484.55</v>
      </c>
      <c r="E58" s="60">
        <f t="shared" ref="E58:F58" si="7">SUM(E11:E56)</f>
        <v>484.55</v>
      </c>
      <c r="F58" s="60">
        <f t="shared" si="7"/>
        <v>484.55</v>
      </c>
      <c r="G58" s="60">
        <f t="shared" si="6"/>
        <v>484.55</v>
      </c>
      <c r="H58" s="60">
        <f t="shared" si="6"/>
        <v>471.15000000000003</v>
      </c>
      <c r="I58" s="60">
        <f t="shared" ref="I58" si="8">SUM(I11:I56)</f>
        <v>471.15000000000003</v>
      </c>
      <c r="J58" s="60">
        <f t="shared" si="6"/>
        <v>471.15000000000003</v>
      </c>
      <c r="K58" s="60">
        <f t="shared" si="6"/>
        <v>471.15000000000003</v>
      </c>
      <c r="L58" s="60">
        <f t="shared" si="6"/>
        <v>471.15000000000003</v>
      </c>
      <c r="M58" s="60">
        <f t="shared" si="6"/>
        <v>471.15000000000003</v>
      </c>
      <c r="N58" s="60">
        <f t="shared" si="6"/>
        <v>479.45</v>
      </c>
      <c r="O58" s="60">
        <f t="shared" si="6"/>
        <v>484.05</v>
      </c>
      <c r="P58" s="60">
        <f t="shared" si="6"/>
        <v>477.45</v>
      </c>
      <c r="Q58" s="60">
        <f t="shared" si="6"/>
        <v>482.85</v>
      </c>
      <c r="R58" s="60">
        <f t="shared" si="6"/>
        <v>482.85</v>
      </c>
      <c r="S58" s="60">
        <f t="shared" si="6"/>
        <v>482.85</v>
      </c>
      <c r="T58" s="60">
        <f t="shared" ref="T58:U58" si="9">SUM(T11:T56)</f>
        <v>482.85</v>
      </c>
      <c r="U58" s="60">
        <f t="shared" si="9"/>
        <v>482.85</v>
      </c>
      <c r="V58" s="60">
        <f t="shared" ref="V58:W58" si="10">SUM(V11:V56)</f>
        <v>482.85</v>
      </c>
      <c r="W58" s="60">
        <f t="shared" si="10"/>
        <v>482.85</v>
      </c>
      <c r="X58" s="60">
        <f t="shared" ref="X58" si="11">SUM(X11:X56)</f>
        <v>482.85</v>
      </c>
      <c r="Y58" s="60">
        <f t="shared" ref="Y58:Z58" si="12">SUM(Y11:Y56)</f>
        <v>482.85</v>
      </c>
      <c r="Z58" s="60">
        <f t="shared" si="12"/>
        <v>482.85</v>
      </c>
      <c r="AA58" s="60">
        <f t="shared" ref="AA58:AB58" si="13">SUM(AA11:AA56)</f>
        <v>482.85</v>
      </c>
      <c r="AB58" s="60">
        <f t="shared" si="13"/>
        <v>482.85</v>
      </c>
      <c r="AC58" s="60">
        <f t="shared" si="6"/>
        <v>482.85</v>
      </c>
      <c r="AD58" s="60">
        <f t="shared" si="6"/>
        <v>482.85</v>
      </c>
      <c r="AE58" s="60">
        <f t="shared" si="6"/>
        <v>482.85</v>
      </c>
      <c r="AF58" s="60">
        <f t="shared" si="6"/>
        <v>482.85</v>
      </c>
      <c r="AG58" s="61">
        <f>SUM(AG14:AG56)</f>
        <v>1042.4000000000001</v>
      </c>
      <c r="AH58" s="47">
        <f t="shared" si="2"/>
        <v>485.54999999999995</v>
      </c>
      <c r="AI58" s="48">
        <f t="shared" si="3"/>
        <v>471.15000000000003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15</v>
      </c>
      <c r="I59" s="45">
        <v>15</v>
      </c>
      <c r="J59" s="45">
        <v>65</v>
      </c>
      <c r="K59" s="45">
        <v>300</v>
      </c>
      <c r="L59" s="45">
        <v>260</v>
      </c>
      <c r="M59" s="45">
        <v>290</v>
      </c>
      <c r="N59" s="63">
        <v>190</v>
      </c>
      <c r="O59" s="63">
        <v>0</v>
      </c>
      <c r="P59" s="63">
        <v>0</v>
      </c>
      <c r="Q59" s="63">
        <v>0</v>
      </c>
      <c r="R59" s="63">
        <v>0</v>
      </c>
      <c r="S59" s="45">
        <v>0</v>
      </c>
      <c r="T59" s="45">
        <v>0</v>
      </c>
      <c r="U59" s="45">
        <v>0</v>
      </c>
      <c r="V59" s="45">
        <v>0</v>
      </c>
      <c r="W59" s="45">
        <v>30</v>
      </c>
      <c r="X59" s="45">
        <v>70</v>
      </c>
      <c r="Y59" s="45">
        <v>300</v>
      </c>
      <c r="Z59" s="45">
        <v>360</v>
      </c>
      <c r="AA59" s="45">
        <v>280</v>
      </c>
      <c r="AB59" s="45">
        <v>130</v>
      </c>
      <c r="AC59" s="45">
        <v>130</v>
      </c>
      <c r="AD59" s="45">
        <v>15</v>
      </c>
      <c r="AE59" s="45">
        <v>15</v>
      </c>
      <c r="AF59" s="45">
        <v>0</v>
      </c>
      <c r="AG59" s="52">
        <v>456</v>
      </c>
      <c r="AH59" s="47">
        <f t="shared" si="2"/>
        <v>360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28</v>
      </c>
      <c r="C60" s="65">
        <v>28</v>
      </c>
      <c r="D60" s="65">
        <v>28</v>
      </c>
      <c r="E60" s="65">
        <v>28</v>
      </c>
      <c r="F60" s="65">
        <v>28</v>
      </c>
      <c r="G60" s="65">
        <v>28</v>
      </c>
      <c r="H60" s="65">
        <v>28</v>
      </c>
      <c r="I60" s="65">
        <v>28</v>
      </c>
      <c r="J60" s="65">
        <v>28</v>
      </c>
      <c r="K60" s="65">
        <v>28</v>
      </c>
      <c r="L60" s="65">
        <v>28</v>
      </c>
      <c r="M60" s="65">
        <v>28</v>
      </c>
      <c r="N60" s="65">
        <v>28</v>
      </c>
      <c r="O60" s="65">
        <v>28</v>
      </c>
      <c r="P60" s="65">
        <v>28</v>
      </c>
      <c r="Q60" s="65">
        <v>28</v>
      </c>
      <c r="R60" s="65">
        <v>28</v>
      </c>
      <c r="S60" s="65">
        <v>28</v>
      </c>
      <c r="T60" s="65">
        <v>28</v>
      </c>
      <c r="U60" s="65">
        <v>28</v>
      </c>
      <c r="V60" s="65">
        <v>28</v>
      </c>
      <c r="W60" s="65">
        <v>28</v>
      </c>
      <c r="X60" s="65">
        <v>28</v>
      </c>
      <c r="Y60" s="65">
        <v>28</v>
      </c>
      <c r="Z60" s="65">
        <v>28</v>
      </c>
      <c r="AA60" s="65">
        <v>28</v>
      </c>
      <c r="AB60" s="65">
        <v>28</v>
      </c>
      <c r="AC60" s="65">
        <v>28</v>
      </c>
      <c r="AD60" s="65">
        <v>28</v>
      </c>
      <c r="AE60" s="65">
        <v>28</v>
      </c>
      <c r="AF60" s="65">
        <v>28</v>
      </c>
      <c r="AG60" s="55">
        <v>60</v>
      </c>
      <c r="AH60" s="47">
        <f t="shared" si="2"/>
        <v>28</v>
      </c>
      <c r="AI60" s="48">
        <f t="shared" si="3"/>
        <v>28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10.3</v>
      </c>
      <c r="I61" s="67">
        <v>10.3</v>
      </c>
      <c r="J61" s="67">
        <v>10.3</v>
      </c>
      <c r="K61" s="67">
        <v>10.3</v>
      </c>
      <c r="L61" s="67">
        <v>10.3</v>
      </c>
      <c r="M61" s="67">
        <v>10.3</v>
      </c>
      <c r="N61" s="67">
        <v>10.3</v>
      </c>
      <c r="O61" s="67">
        <v>10.3</v>
      </c>
      <c r="P61" s="67">
        <v>10.3</v>
      </c>
      <c r="Q61" s="67">
        <v>10.3</v>
      </c>
      <c r="R61" s="67">
        <v>10.3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</v>
      </c>
      <c r="AE61" s="67">
        <v>10</v>
      </c>
      <c r="AF61" s="67">
        <v>10</v>
      </c>
      <c r="AG61" s="68">
        <v>22.1</v>
      </c>
      <c r="AH61" s="47">
        <f t="shared" si="2"/>
        <v>10.3</v>
      </c>
      <c r="AI61" s="48">
        <f t="shared" si="3"/>
        <v>10</v>
      </c>
      <c r="AK61" s="50"/>
    </row>
    <row r="62" spans="1:88" ht="15.75" thickBot="1" x14ac:dyDescent="0.3">
      <c r="A62" s="69" t="s">
        <v>62</v>
      </c>
      <c r="B62" s="60">
        <f t="shared" ref="B62:AG62" si="14">SUM(B59:B61)</f>
        <v>38.200000000000003</v>
      </c>
      <c r="C62" s="60">
        <f t="shared" si="14"/>
        <v>38.200000000000003</v>
      </c>
      <c r="D62" s="60">
        <f t="shared" si="14"/>
        <v>38.200000000000003</v>
      </c>
      <c r="E62" s="60">
        <f t="shared" ref="E62:F62" si="15">SUM(E59:E61)</f>
        <v>38.200000000000003</v>
      </c>
      <c r="F62" s="60">
        <f t="shared" si="15"/>
        <v>38.200000000000003</v>
      </c>
      <c r="G62" s="60">
        <f t="shared" si="14"/>
        <v>38.200000000000003</v>
      </c>
      <c r="H62" s="60">
        <f t="shared" si="14"/>
        <v>53.3</v>
      </c>
      <c r="I62" s="60">
        <f t="shared" ref="I62" si="16">SUM(I59:I61)</f>
        <v>53.3</v>
      </c>
      <c r="J62" s="60">
        <f t="shared" si="14"/>
        <v>103.3</v>
      </c>
      <c r="K62" s="60">
        <f t="shared" si="14"/>
        <v>338.3</v>
      </c>
      <c r="L62" s="60">
        <f t="shared" si="14"/>
        <v>298.3</v>
      </c>
      <c r="M62" s="60">
        <f t="shared" si="14"/>
        <v>328.3</v>
      </c>
      <c r="N62" s="60">
        <f t="shared" si="14"/>
        <v>228.3</v>
      </c>
      <c r="O62" s="60">
        <f t="shared" si="14"/>
        <v>38.299999999999997</v>
      </c>
      <c r="P62" s="60">
        <f t="shared" si="14"/>
        <v>38.299999999999997</v>
      </c>
      <c r="Q62" s="60">
        <f t="shared" si="14"/>
        <v>38.299999999999997</v>
      </c>
      <c r="R62" s="60">
        <f t="shared" si="14"/>
        <v>38.299999999999997</v>
      </c>
      <c r="S62" s="60">
        <f t="shared" si="14"/>
        <v>38.200000000000003</v>
      </c>
      <c r="T62" s="60">
        <f t="shared" ref="T62:U62" si="17">SUM(T59:T61)</f>
        <v>38.200000000000003</v>
      </c>
      <c r="U62" s="60">
        <f t="shared" si="17"/>
        <v>38.200000000000003</v>
      </c>
      <c r="V62" s="60">
        <f t="shared" ref="V62:W62" si="18">SUM(V59:V61)</f>
        <v>38.200000000000003</v>
      </c>
      <c r="W62" s="60">
        <f t="shared" si="18"/>
        <v>68.2</v>
      </c>
      <c r="X62" s="60">
        <f t="shared" ref="X62" si="19">SUM(X59:X61)</f>
        <v>108.2</v>
      </c>
      <c r="Y62" s="60">
        <f t="shared" ref="Y62:Z62" si="20">SUM(Y59:Y61)</f>
        <v>338.2</v>
      </c>
      <c r="Z62" s="60">
        <f t="shared" si="20"/>
        <v>398.2</v>
      </c>
      <c r="AA62" s="60">
        <f t="shared" ref="AA62:AB62" si="21">SUM(AA59:AA61)</f>
        <v>318.2</v>
      </c>
      <c r="AB62" s="60">
        <f t="shared" si="21"/>
        <v>168.2</v>
      </c>
      <c r="AC62" s="60">
        <f t="shared" si="14"/>
        <v>168.2</v>
      </c>
      <c r="AD62" s="60">
        <f t="shared" si="14"/>
        <v>53</v>
      </c>
      <c r="AE62" s="60">
        <f t="shared" si="14"/>
        <v>53</v>
      </c>
      <c r="AF62" s="60">
        <f t="shared" si="14"/>
        <v>38</v>
      </c>
      <c r="AG62" s="61">
        <f t="shared" si="14"/>
        <v>538.1</v>
      </c>
      <c r="AH62" s="47">
        <f t="shared" si="2"/>
        <v>398.2</v>
      </c>
      <c r="AI62" s="48">
        <f t="shared" si="3"/>
        <v>38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61</v>
      </c>
      <c r="J63" s="45">
        <v>61.2</v>
      </c>
      <c r="K63" s="45">
        <v>61.2</v>
      </c>
      <c r="L63" s="45">
        <v>81</v>
      </c>
      <c r="M63" s="45">
        <v>98.1</v>
      </c>
      <c r="N63" s="45">
        <v>91.4</v>
      </c>
      <c r="O63" s="45">
        <v>62.2</v>
      </c>
      <c r="P63" s="45">
        <v>61.8</v>
      </c>
      <c r="Q63" s="45">
        <v>48</v>
      </c>
      <c r="R63" s="45">
        <v>48</v>
      </c>
      <c r="S63" s="45">
        <v>48.9</v>
      </c>
      <c r="T63" s="45">
        <v>30.6</v>
      </c>
      <c r="U63" s="45">
        <v>30.6</v>
      </c>
      <c r="V63" s="45">
        <v>20.8</v>
      </c>
      <c r="W63" s="45">
        <v>30.8</v>
      </c>
      <c r="X63" s="45">
        <v>141.9</v>
      </c>
      <c r="Y63" s="45">
        <v>144.5</v>
      </c>
      <c r="Z63" s="45">
        <v>144.5</v>
      </c>
      <c r="AA63" s="45">
        <v>144.5</v>
      </c>
      <c r="AB63" s="45">
        <v>144.5</v>
      </c>
      <c r="AC63" s="45">
        <v>144.5</v>
      </c>
      <c r="AD63" s="45">
        <v>93.4</v>
      </c>
      <c r="AE63" s="45">
        <v>30</v>
      </c>
      <c r="AF63" s="45">
        <v>30</v>
      </c>
      <c r="AG63" s="52">
        <v>144</v>
      </c>
      <c r="AH63" s="47">
        <f t="shared" si="2"/>
        <v>144.5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</v>
      </c>
      <c r="I64" s="65">
        <v>25</v>
      </c>
      <c r="J64" s="65">
        <v>35</v>
      </c>
      <c r="K64" s="65">
        <v>50</v>
      </c>
      <c r="L64" s="65">
        <v>50</v>
      </c>
      <c r="M64" s="65">
        <v>60</v>
      </c>
      <c r="N64" s="65">
        <v>43</v>
      </c>
      <c r="O64" s="65">
        <v>43</v>
      </c>
      <c r="P64" s="65">
        <v>43</v>
      </c>
      <c r="Q64" s="65">
        <v>45</v>
      </c>
      <c r="R64" s="65">
        <v>45</v>
      </c>
      <c r="S64" s="45">
        <v>35</v>
      </c>
      <c r="T64" s="45">
        <v>0</v>
      </c>
      <c r="U64" s="45">
        <v>0</v>
      </c>
      <c r="V64" s="45">
        <v>0</v>
      </c>
      <c r="W64" s="45">
        <v>25</v>
      </c>
      <c r="X64" s="45">
        <v>68.900000000000006</v>
      </c>
      <c r="Y64" s="45">
        <v>68.900000000000006</v>
      </c>
      <c r="Z64" s="45">
        <v>68.900000000000006</v>
      </c>
      <c r="AA64" s="45">
        <v>68.900000000000006</v>
      </c>
      <c r="AB64" s="45">
        <v>68.900000000000006</v>
      </c>
      <c r="AC64" s="45">
        <v>68.900000000000006</v>
      </c>
      <c r="AD64" s="65">
        <v>50</v>
      </c>
      <c r="AE64" s="65">
        <v>25</v>
      </c>
      <c r="AF64" s="65">
        <v>0</v>
      </c>
      <c r="AG64" s="55">
        <v>70</v>
      </c>
      <c r="AH64" s="47">
        <f t="shared" si="2"/>
        <v>68.900000000000006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22.9</v>
      </c>
      <c r="C65" s="65">
        <v>22.9</v>
      </c>
      <c r="D65" s="65">
        <v>0</v>
      </c>
      <c r="E65" s="65">
        <v>0</v>
      </c>
      <c r="F65" s="65">
        <v>0</v>
      </c>
      <c r="G65" s="65">
        <v>16</v>
      </c>
      <c r="H65" s="65">
        <v>16</v>
      </c>
      <c r="I65" s="65">
        <v>32.5</v>
      </c>
      <c r="J65" s="65">
        <v>45.8</v>
      </c>
      <c r="K65" s="65">
        <v>45.8</v>
      </c>
      <c r="L65" s="65">
        <v>33.6</v>
      </c>
      <c r="M65" s="65">
        <v>45.3</v>
      </c>
      <c r="N65" s="65">
        <v>33</v>
      </c>
      <c r="O65" s="65">
        <v>33</v>
      </c>
      <c r="P65" s="65">
        <v>33</v>
      </c>
      <c r="Q65" s="65">
        <v>32</v>
      </c>
      <c r="R65" s="65">
        <v>32</v>
      </c>
      <c r="S65" s="45">
        <v>33.200000000000003</v>
      </c>
      <c r="T65" s="45">
        <v>33.200000000000003</v>
      </c>
      <c r="U65" s="45">
        <v>32.700000000000003</v>
      </c>
      <c r="V65" s="45">
        <v>17.7</v>
      </c>
      <c r="W65" s="45">
        <v>23.3</v>
      </c>
      <c r="X65" s="45">
        <v>45</v>
      </c>
      <c r="Y65" s="45">
        <v>47.9</v>
      </c>
      <c r="Z65" s="45">
        <v>47.9</v>
      </c>
      <c r="AA65" s="45">
        <v>67.7</v>
      </c>
      <c r="AB65" s="45">
        <v>67.7</v>
      </c>
      <c r="AC65" s="45">
        <v>67.7</v>
      </c>
      <c r="AD65" s="65">
        <v>51</v>
      </c>
      <c r="AE65" s="65">
        <v>32</v>
      </c>
      <c r="AF65" s="65">
        <v>17</v>
      </c>
      <c r="AG65" s="55">
        <v>69</v>
      </c>
      <c r="AH65" s="47">
        <f t="shared" si="2"/>
        <v>67.7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39.799999999999997</v>
      </c>
      <c r="C66" s="65">
        <v>39.799999999999997</v>
      </c>
      <c r="D66" s="65">
        <v>39.799999999999997</v>
      </c>
      <c r="E66" s="65">
        <v>39.799999999999997</v>
      </c>
      <c r="F66" s="65">
        <v>39.799999999999997</v>
      </c>
      <c r="G66" s="65">
        <v>39.799999999999997</v>
      </c>
      <c r="H66" s="65">
        <v>38.5</v>
      </c>
      <c r="I66" s="65">
        <v>38.5</v>
      </c>
      <c r="J66" s="65">
        <v>38.299999999999997</v>
      </c>
      <c r="K66" s="65">
        <v>38.299999999999997</v>
      </c>
      <c r="L66" s="57">
        <v>39</v>
      </c>
      <c r="M66" s="65">
        <v>40</v>
      </c>
      <c r="N66" s="65">
        <v>38</v>
      </c>
      <c r="O66" s="65">
        <v>38</v>
      </c>
      <c r="P66" s="65">
        <v>37.799999999999997</v>
      </c>
      <c r="Q66" s="65">
        <v>38</v>
      </c>
      <c r="R66" s="65">
        <v>38</v>
      </c>
      <c r="S66" s="45">
        <v>30</v>
      </c>
      <c r="T66" s="45">
        <v>30</v>
      </c>
      <c r="U66" s="45">
        <v>39.6</v>
      </c>
      <c r="V66" s="45">
        <v>38</v>
      </c>
      <c r="W66" s="45">
        <v>38</v>
      </c>
      <c r="X66" s="45">
        <v>38</v>
      </c>
      <c r="Y66" s="45">
        <v>38</v>
      </c>
      <c r="Z66" s="45">
        <v>38</v>
      </c>
      <c r="AA66" s="45">
        <v>38</v>
      </c>
      <c r="AB66" s="45">
        <v>38</v>
      </c>
      <c r="AC66" s="45">
        <v>38</v>
      </c>
      <c r="AD66" s="65">
        <v>37.799999999999997</v>
      </c>
      <c r="AE66" s="65">
        <v>37.799999999999997</v>
      </c>
      <c r="AF66" s="65">
        <v>37.799999999999997</v>
      </c>
      <c r="AG66" s="55">
        <v>60</v>
      </c>
      <c r="AH66" s="47">
        <f t="shared" si="2"/>
        <v>40</v>
      </c>
      <c r="AI66" s="48">
        <f t="shared" si="3"/>
        <v>30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10</v>
      </c>
      <c r="I67" s="65">
        <v>10</v>
      </c>
      <c r="J67" s="65">
        <v>23</v>
      </c>
      <c r="K67" s="65">
        <v>28</v>
      </c>
      <c r="L67" s="57">
        <v>28</v>
      </c>
      <c r="M67" s="65">
        <v>23</v>
      </c>
      <c r="N67" s="65">
        <v>10</v>
      </c>
      <c r="O67" s="65">
        <v>10</v>
      </c>
      <c r="P67" s="65">
        <v>10</v>
      </c>
      <c r="Q67" s="65">
        <v>10</v>
      </c>
      <c r="R67" s="65">
        <v>10</v>
      </c>
      <c r="S67" s="45">
        <v>10</v>
      </c>
      <c r="T67" s="45">
        <v>10</v>
      </c>
      <c r="U67" s="45">
        <v>10</v>
      </c>
      <c r="V67" s="45">
        <v>0</v>
      </c>
      <c r="W67" s="45">
        <v>0</v>
      </c>
      <c r="X67" s="45">
        <v>0</v>
      </c>
      <c r="Y67" s="45">
        <v>10</v>
      </c>
      <c r="Z67" s="45">
        <v>23</v>
      </c>
      <c r="AA67" s="45">
        <v>23</v>
      </c>
      <c r="AB67" s="45">
        <v>23</v>
      </c>
      <c r="AC67" s="45">
        <v>23</v>
      </c>
      <c r="AD67" s="65">
        <v>10</v>
      </c>
      <c r="AE67" s="65">
        <v>10</v>
      </c>
      <c r="AF67" s="6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</v>
      </c>
      <c r="M68" s="65">
        <v>2.8</v>
      </c>
      <c r="N68" s="65">
        <v>8.1</v>
      </c>
      <c r="O68" s="65">
        <v>12.6</v>
      </c>
      <c r="P68" s="65">
        <v>13</v>
      </c>
      <c r="Q68" s="65">
        <v>16.2</v>
      </c>
      <c r="R68" s="65">
        <v>16.2</v>
      </c>
      <c r="S68" s="65">
        <v>13.6</v>
      </c>
      <c r="T68" s="65">
        <v>10.4</v>
      </c>
      <c r="U68" s="65">
        <v>5.3</v>
      </c>
      <c r="V68" s="65">
        <v>1.3</v>
      </c>
      <c r="W68" s="65">
        <v>0.4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"/>
        <v>16.2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8.1999999999999993</v>
      </c>
      <c r="K71" s="65">
        <v>8.5</v>
      </c>
      <c r="L71" s="65">
        <v>8.6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8.1999999999999993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</v>
      </c>
      <c r="C72" s="65">
        <v>5</v>
      </c>
      <c r="D72" s="65">
        <v>3.5</v>
      </c>
      <c r="E72" s="65">
        <v>3.5</v>
      </c>
      <c r="F72" s="65">
        <v>3.3</v>
      </c>
      <c r="G72" s="65">
        <v>3.5</v>
      </c>
      <c r="H72" s="65">
        <v>3.5</v>
      </c>
      <c r="I72" s="65">
        <v>3.5</v>
      </c>
      <c r="J72" s="65">
        <v>4</v>
      </c>
      <c r="K72" s="65">
        <v>3.5</v>
      </c>
      <c r="L72" s="65">
        <v>3.5</v>
      </c>
      <c r="M72" s="65">
        <v>3.5</v>
      </c>
      <c r="N72" s="65">
        <v>3.5</v>
      </c>
      <c r="O72" s="65">
        <v>3.5</v>
      </c>
      <c r="P72" s="65">
        <v>3.5</v>
      </c>
      <c r="Q72" s="65">
        <v>3.5</v>
      </c>
      <c r="R72" s="65">
        <v>3.5</v>
      </c>
      <c r="S72" s="65">
        <v>3.5</v>
      </c>
      <c r="T72" s="65">
        <v>3.5</v>
      </c>
      <c r="U72" s="65">
        <v>3.5</v>
      </c>
      <c r="V72" s="65">
        <v>3.5</v>
      </c>
      <c r="W72" s="65">
        <v>3.5</v>
      </c>
      <c r="X72" s="65">
        <v>3.5</v>
      </c>
      <c r="Y72" s="65">
        <v>3.5</v>
      </c>
      <c r="Z72" s="65">
        <v>3.5</v>
      </c>
      <c r="AA72" s="65">
        <v>3.5</v>
      </c>
      <c r="AB72" s="65">
        <v>3.5</v>
      </c>
      <c r="AC72" s="65">
        <v>3.5</v>
      </c>
      <c r="AD72" s="65">
        <v>3.5</v>
      </c>
      <c r="AE72" s="65">
        <v>3.5</v>
      </c>
      <c r="AF72" s="65">
        <v>3.5</v>
      </c>
      <c r="AG72" s="55">
        <v>14</v>
      </c>
      <c r="AH72" s="47">
        <f t="shared" si="2"/>
        <v>5</v>
      </c>
      <c r="AI72" s="48">
        <f t="shared" si="3"/>
        <v>3.3</v>
      </c>
      <c r="AK72" s="50"/>
    </row>
    <row r="73" spans="1:41" x14ac:dyDescent="0.25">
      <c r="A73" s="54" t="s">
        <v>73</v>
      </c>
      <c r="B73" s="65">
        <v>4</v>
      </c>
      <c r="C73" s="65">
        <v>4</v>
      </c>
      <c r="D73" s="65">
        <v>4</v>
      </c>
      <c r="E73" s="65">
        <v>4</v>
      </c>
      <c r="F73" s="65">
        <v>4</v>
      </c>
      <c r="G73" s="65">
        <v>4</v>
      </c>
      <c r="H73" s="65">
        <v>4</v>
      </c>
      <c r="I73" s="65">
        <v>4</v>
      </c>
      <c r="J73" s="65">
        <v>4</v>
      </c>
      <c r="K73" s="65">
        <v>4</v>
      </c>
      <c r="L73" s="65">
        <v>4</v>
      </c>
      <c r="M73" s="65">
        <v>4</v>
      </c>
      <c r="N73" s="65">
        <v>4</v>
      </c>
      <c r="O73" s="65">
        <v>4</v>
      </c>
      <c r="P73" s="65">
        <v>4</v>
      </c>
      <c r="Q73" s="65">
        <v>4</v>
      </c>
      <c r="R73" s="65">
        <v>4</v>
      </c>
      <c r="S73" s="65">
        <v>4</v>
      </c>
      <c r="T73" s="65">
        <v>4</v>
      </c>
      <c r="U73" s="65">
        <v>4</v>
      </c>
      <c r="V73" s="65">
        <v>4</v>
      </c>
      <c r="W73" s="65">
        <v>4</v>
      </c>
      <c r="X73" s="65">
        <v>4</v>
      </c>
      <c r="Y73" s="65">
        <v>4</v>
      </c>
      <c r="Z73" s="65">
        <v>4</v>
      </c>
      <c r="AA73" s="65">
        <v>4</v>
      </c>
      <c r="AB73" s="65">
        <v>4</v>
      </c>
      <c r="AC73" s="65">
        <v>4</v>
      </c>
      <c r="AD73" s="65">
        <v>4</v>
      </c>
      <c r="AE73" s="65">
        <v>4</v>
      </c>
      <c r="AF73" s="65">
        <v>4</v>
      </c>
      <c r="AG73" s="55">
        <v>10.050000000000001</v>
      </c>
      <c r="AH73" s="47">
        <f t="shared" si="2"/>
        <v>4</v>
      </c>
      <c r="AI73" s="48">
        <f t="shared" si="3"/>
        <v>4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22">SUM(B63:B75)</f>
        <v>106.03999999999999</v>
      </c>
      <c r="C76" s="60">
        <f t="shared" si="22"/>
        <v>106.03999999999999</v>
      </c>
      <c r="D76" s="60">
        <f t="shared" si="22"/>
        <v>81.64</v>
      </c>
      <c r="E76" s="60">
        <f t="shared" ref="E76" si="23">SUM(E63:E75)</f>
        <v>81.64</v>
      </c>
      <c r="F76" s="60">
        <f t="shared" si="22"/>
        <v>81.44</v>
      </c>
      <c r="G76" s="60">
        <f t="shared" si="22"/>
        <v>107.64</v>
      </c>
      <c r="H76" s="60">
        <f t="shared" si="22"/>
        <v>161.34</v>
      </c>
      <c r="I76" s="60">
        <f t="shared" si="22"/>
        <v>208.84</v>
      </c>
      <c r="J76" s="60">
        <f t="shared" si="22"/>
        <v>244.04</v>
      </c>
      <c r="K76" s="60">
        <f t="shared" si="22"/>
        <v>263.84000000000003</v>
      </c>
      <c r="L76" s="60">
        <f t="shared" si="22"/>
        <v>272.24</v>
      </c>
      <c r="M76" s="60">
        <f t="shared" si="22"/>
        <v>311.04000000000002</v>
      </c>
      <c r="N76" s="60">
        <f t="shared" si="22"/>
        <v>265.34000000000003</v>
      </c>
      <c r="O76" s="60">
        <f t="shared" si="22"/>
        <v>240.64</v>
      </c>
      <c r="P76" s="60">
        <f t="shared" si="22"/>
        <v>240.44000000000003</v>
      </c>
      <c r="Q76" s="60">
        <f t="shared" si="22"/>
        <v>231.04</v>
      </c>
      <c r="R76" s="60">
        <f t="shared" si="22"/>
        <v>231.04</v>
      </c>
      <c r="S76" s="60">
        <f t="shared" si="22"/>
        <v>212.54000000000002</v>
      </c>
      <c r="T76" s="60">
        <f t="shared" ref="T76:U76" si="24">SUM(T63:T75)</f>
        <v>156.04000000000002</v>
      </c>
      <c r="U76" s="60">
        <f t="shared" si="24"/>
        <v>160.04</v>
      </c>
      <c r="V76" s="60">
        <f t="shared" ref="V76:W76" si="25">SUM(V63:V75)</f>
        <v>119.64</v>
      </c>
      <c r="W76" s="60">
        <f t="shared" si="25"/>
        <v>159.34</v>
      </c>
      <c r="X76" s="60">
        <f t="shared" ref="X76" si="26">SUM(X63:X75)</f>
        <v>335.64000000000004</v>
      </c>
      <c r="Y76" s="60">
        <f t="shared" ref="Y76:Z76" si="27">SUM(Y63:Y75)</f>
        <v>351.14000000000004</v>
      </c>
      <c r="Z76" s="60">
        <f t="shared" si="27"/>
        <v>364.14000000000004</v>
      </c>
      <c r="AA76" s="60">
        <f t="shared" ref="AA76" si="28">SUM(AA63:AA75)</f>
        <v>383.94000000000005</v>
      </c>
      <c r="AB76" s="60">
        <f t="shared" si="22"/>
        <v>383.94000000000005</v>
      </c>
      <c r="AC76" s="60">
        <f t="shared" si="22"/>
        <v>383.94000000000005</v>
      </c>
      <c r="AD76" s="60">
        <f t="shared" si="22"/>
        <v>284.04000000000002</v>
      </c>
      <c r="AE76" s="60">
        <f t="shared" si="22"/>
        <v>176.64000000000001</v>
      </c>
      <c r="AF76" s="60">
        <f t="shared" si="22"/>
        <v>126.64</v>
      </c>
      <c r="AG76" s="61">
        <f t="shared" si="22"/>
        <v>489.91</v>
      </c>
      <c r="AH76" s="47">
        <f t="shared" si="2"/>
        <v>383.94000000000005</v>
      </c>
      <c r="AI76" s="48">
        <f t="shared" si="3"/>
        <v>81.44</v>
      </c>
      <c r="AK76" s="50"/>
    </row>
    <row r="77" spans="1:41" x14ac:dyDescent="0.25">
      <c r="A77" s="44" t="s">
        <v>77</v>
      </c>
      <c r="B77" s="45">
        <v>0</v>
      </c>
      <c r="C77" s="45">
        <v>0</v>
      </c>
      <c r="D77" s="45">
        <v>0</v>
      </c>
      <c r="E77" s="45">
        <v>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>
        <v>0</v>
      </c>
      <c r="C78" s="65">
        <v>0</v>
      </c>
      <c r="D78" s="65">
        <v>0</v>
      </c>
      <c r="E78" s="65">
        <v>0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>
        <v>0</v>
      </c>
      <c r="C79" s="67">
        <v>0</v>
      </c>
      <c r="D79" s="67">
        <v>0</v>
      </c>
      <c r="E79" s="67">
        <v>0</v>
      </c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29">B77+B78+B79</f>
        <v>0</v>
      </c>
      <c r="C80" s="60">
        <f t="shared" si="29"/>
        <v>0</v>
      </c>
      <c r="D80" s="60">
        <f t="shared" si="29"/>
        <v>0</v>
      </c>
      <c r="E80" s="60">
        <f t="shared" ref="E80" si="30">E77+E78+E79</f>
        <v>0</v>
      </c>
      <c r="F80" s="60">
        <f t="shared" si="29"/>
        <v>0</v>
      </c>
      <c r="G80" s="60">
        <f t="shared" si="29"/>
        <v>0</v>
      </c>
      <c r="H80" s="60">
        <f t="shared" si="29"/>
        <v>0</v>
      </c>
      <c r="I80" s="60">
        <f t="shared" si="29"/>
        <v>0</v>
      </c>
      <c r="J80" s="60">
        <f t="shared" si="29"/>
        <v>0</v>
      </c>
      <c r="K80" s="60">
        <f t="shared" si="29"/>
        <v>0</v>
      </c>
      <c r="L80" s="60">
        <f t="shared" si="29"/>
        <v>0</v>
      </c>
      <c r="M80" s="60">
        <f t="shared" si="29"/>
        <v>0</v>
      </c>
      <c r="N80" s="60">
        <f t="shared" si="29"/>
        <v>0</v>
      </c>
      <c r="O80" s="60">
        <f t="shared" si="29"/>
        <v>0</v>
      </c>
      <c r="P80" s="60">
        <f t="shared" si="29"/>
        <v>0</v>
      </c>
      <c r="Q80" s="60">
        <f t="shared" si="29"/>
        <v>0</v>
      </c>
      <c r="R80" s="60">
        <f t="shared" si="29"/>
        <v>0</v>
      </c>
      <c r="S80" s="60">
        <f t="shared" si="29"/>
        <v>0</v>
      </c>
      <c r="T80" s="60">
        <f t="shared" ref="T80:U80" si="31">T77+T78+T79</f>
        <v>0</v>
      </c>
      <c r="U80" s="60">
        <f t="shared" si="31"/>
        <v>0</v>
      </c>
      <c r="V80" s="60">
        <f t="shared" ref="V80:W80" si="32">V77+V78+V79</f>
        <v>0</v>
      </c>
      <c r="W80" s="60">
        <f t="shared" si="32"/>
        <v>0</v>
      </c>
      <c r="X80" s="60">
        <f t="shared" ref="X80" si="33">X77+X78+X79</f>
        <v>0</v>
      </c>
      <c r="Y80" s="60">
        <f t="shared" ref="Y80:Z80" si="34">Y77+Y78+Y79</f>
        <v>0</v>
      </c>
      <c r="Z80" s="60">
        <f t="shared" si="34"/>
        <v>0</v>
      </c>
      <c r="AA80" s="60">
        <f t="shared" ref="AA80" si="35">AA77+AA78+AA79</f>
        <v>0</v>
      </c>
      <c r="AB80" s="60">
        <f t="shared" si="29"/>
        <v>0</v>
      </c>
      <c r="AC80" s="60">
        <f t="shared" si="29"/>
        <v>0</v>
      </c>
      <c r="AD80" s="60">
        <f t="shared" si="29"/>
        <v>0</v>
      </c>
      <c r="AE80" s="60">
        <f t="shared" si="29"/>
        <v>0</v>
      </c>
      <c r="AF80" s="60">
        <f t="shared" si="29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67.400000000000006</v>
      </c>
      <c r="C81" s="45">
        <v>64</v>
      </c>
      <c r="D81" s="45">
        <v>66.400000000000006</v>
      </c>
      <c r="E81" s="45">
        <v>71.400000000000006</v>
      </c>
      <c r="F81" s="45">
        <v>74</v>
      </c>
      <c r="G81" s="45">
        <v>63.2</v>
      </c>
      <c r="H81" s="45">
        <v>66.400000000000006</v>
      </c>
      <c r="I81" s="45">
        <v>65.8</v>
      </c>
      <c r="J81" s="45">
        <v>63.5</v>
      </c>
      <c r="K81" s="45">
        <v>63</v>
      </c>
      <c r="L81" s="45">
        <v>64.599999999999994</v>
      </c>
      <c r="M81" s="45">
        <v>61.1</v>
      </c>
      <c r="N81" s="45">
        <v>61.5</v>
      </c>
      <c r="O81" s="45">
        <v>61.5</v>
      </c>
      <c r="P81" s="45">
        <v>64.7</v>
      </c>
      <c r="Q81" s="45">
        <v>65.8</v>
      </c>
      <c r="R81" s="45">
        <v>58.8</v>
      </c>
      <c r="S81" s="45">
        <v>60.2</v>
      </c>
      <c r="T81" s="45">
        <v>64.3</v>
      </c>
      <c r="U81" s="45">
        <v>53.4</v>
      </c>
      <c r="V81" s="45">
        <v>47.3</v>
      </c>
      <c r="W81" s="45">
        <v>56.1</v>
      </c>
      <c r="X81" s="45">
        <v>56.5</v>
      </c>
      <c r="Y81" s="45">
        <v>66.3</v>
      </c>
      <c r="Z81" s="45">
        <v>58.5</v>
      </c>
      <c r="AA81" s="45">
        <v>57.3</v>
      </c>
      <c r="AB81" s="45">
        <v>67.3</v>
      </c>
      <c r="AC81" s="45">
        <v>67</v>
      </c>
      <c r="AD81" s="45">
        <v>56</v>
      </c>
      <c r="AE81" s="45">
        <v>55.6</v>
      </c>
      <c r="AF81" s="45">
        <v>45</v>
      </c>
      <c r="AG81" s="52"/>
      <c r="AH81" s="47">
        <f t="shared" si="2"/>
        <v>74</v>
      </c>
      <c r="AI81" s="48">
        <f t="shared" si="3"/>
        <v>45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365</v>
      </c>
      <c r="C83" s="65">
        <v>370</v>
      </c>
      <c r="D83" s="65">
        <v>359.8</v>
      </c>
      <c r="E83" s="65">
        <v>412</v>
      </c>
      <c r="F83" s="65">
        <v>442</v>
      </c>
      <c r="G83" s="65">
        <v>460</v>
      </c>
      <c r="H83" s="65">
        <v>402</v>
      </c>
      <c r="I83" s="65">
        <v>412</v>
      </c>
      <c r="J83" s="65">
        <v>391</v>
      </c>
      <c r="K83" s="65">
        <v>195</v>
      </c>
      <c r="L83" s="65">
        <v>251</v>
      </c>
      <c r="M83" s="65">
        <v>186</v>
      </c>
      <c r="N83" s="65">
        <v>238</v>
      </c>
      <c r="O83" s="65">
        <v>378.5</v>
      </c>
      <c r="P83" s="65">
        <v>403.8</v>
      </c>
      <c r="Q83" s="65">
        <v>390</v>
      </c>
      <c r="R83" s="65">
        <v>403</v>
      </c>
      <c r="S83" s="65">
        <v>375</v>
      </c>
      <c r="T83" s="65">
        <v>387.8</v>
      </c>
      <c r="U83" s="65">
        <v>421.8</v>
      </c>
      <c r="V83" s="65">
        <v>345.6</v>
      </c>
      <c r="W83" s="65">
        <v>359.8</v>
      </c>
      <c r="X83" s="65">
        <v>112.6</v>
      </c>
      <c r="Y83" s="65">
        <v>209.8</v>
      </c>
      <c r="Z83" s="65">
        <v>47.1</v>
      </c>
      <c r="AA83" s="65">
        <v>65.900000000000006</v>
      </c>
      <c r="AB83" s="65">
        <v>205.3</v>
      </c>
      <c r="AC83" s="65">
        <v>205</v>
      </c>
      <c r="AD83" s="65">
        <v>435</v>
      </c>
      <c r="AE83" s="65">
        <v>392</v>
      </c>
      <c r="AF83" s="65">
        <v>413</v>
      </c>
      <c r="AG83" s="75"/>
      <c r="AH83" s="47">
        <f t="shared" si="2"/>
        <v>460</v>
      </c>
      <c r="AI83" s="48">
        <f t="shared" si="3"/>
        <v>47.1</v>
      </c>
      <c r="AK83" s="50"/>
    </row>
    <row r="84" spans="1:40" x14ac:dyDescent="0.25">
      <c r="A84" s="54" t="s">
        <v>84</v>
      </c>
      <c r="B84" s="65">
        <v>0</v>
      </c>
      <c r="C84" s="65">
        <v>0</v>
      </c>
      <c r="D84" s="65">
        <v>0</v>
      </c>
      <c r="E84" s="65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116</v>
      </c>
      <c r="C85" s="45">
        <v>110</v>
      </c>
      <c r="D85" s="45">
        <v>101</v>
      </c>
      <c r="E85" s="45">
        <v>105</v>
      </c>
      <c r="F85" s="45">
        <v>110</v>
      </c>
      <c r="G85" s="45">
        <v>120.6</v>
      </c>
      <c r="H85" s="45">
        <v>104.6</v>
      </c>
      <c r="I85" s="45">
        <v>98</v>
      </c>
      <c r="J85" s="45">
        <v>105.2</v>
      </c>
      <c r="K85" s="45">
        <v>54.3</v>
      </c>
      <c r="L85" s="45">
        <v>0</v>
      </c>
      <c r="M85" s="45">
        <v>0</v>
      </c>
      <c r="N85" s="45"/>
      <c r="O85" s="45"/>
      <c r="P85" s="45"/>
      <c r="Q85" s="45">
        <v>102</v>
      </c>
      <c r="R85" s="45">
        <v>103.6</v>
      </c>
      <c r="S85" s="45">
        <v>109.6</v>
      </c>
      <c r="T85" s="45">
        <v>112.8</v>
      </c>
      <c r="U85" s="45">
        <v>104.8</v>
      </c>
      <c r="V85" s="45">
        <v>53.4</v>
      </c>
      <c r="W85" s="45">
        <v>49</v>
      </c>
      <c r="X85" s="45">
        <v>45.2</v>
      </c>
      <c r="Y85" s="45">
        <f>23.6*2</f>
        <v>47.2</v>
      </c>
      <c r="Z85" s="45">
        <v>0</v>
      </c>
      <c r="AA85" s="45">
        <v>0</v>
      </c>
      <c r="AB85" s="45">
        <v>0</v>
      </c>
      <c r="AC85" s="45">
        <v>0</v>
      </c>
      <c r="AD85" s="45">
        <v>12</v>
      </c>
      <c r="AE85" s="45">
        <v>16</v>
      </c>
      <c r="AF85" s="45">
        <v>18</v>
      </c>
      <c r="AG85" s="75"/>
      <c r="AH85" s="47">
        <f t="shared" ref="AH85:AH130" si="36">MAX(B85:AF85)</f>
        <v>120.6</v>
      </c>
      <c r="AI85" s="48">
        <f t="shared" ref="AI85:AI130" si="37">MIN(B85:AF85)</f>
        <v>0</v>
      </c>
      <c r="AK85" s="50"/>
    </row>
    <row r="86" spans="1:40" x14ac:dyDescent="0.25">
      <c r="A86" s="54" t="s">
        <v>86</v>
      </c>
      <c r="B86" s="77">
        <v>0</v>
      </c>
      <c r="C86" s="77">
        <v>0</v>
      </c>
      <c r="D86" s="77">
        <v>0</v>
      </c>
      <c r="E86" s="77">
        <v>0</v>
      </c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6"/>
        <v>0</v>
      </c>
      <c r="AI86" s="48">
        <f t="shared" si="37"/>
        <v>0</v>
      </c>
      <c r="AK86" s="50"/>
    </row>
    <row r="87" spans="1:40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>
        <v>0</v>
      </c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6"/>
        <v>0</v>
      </c>
      <c r="AI87" s="48">
        <f t="shared" si="3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>
        <v>0</v>
      </c>
      <c r="C88" s="77">
        <v>0</v>
      </c>
      <c r="D88" s="77">
        <v>0</v>
      </c>
      <c r="E88" s="77">
        <v>0</v>
      </c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6"/>
        <v>0</v>
      </c>
      <c r="AI88" s="48">
        <f t="shared" si="3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>
        <v>0</v>
      </c>
      <c r="C89" s="77">
        <v>0</v>
      </c>
      <c r="D89" s="77">
        <v>0</v>
      </c>
      <c r="E89" s="77">
        <v>0</v>
      </c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6"/>
        <v>0</v>
      </c>
      <c r="AI89" s="48">
        <f t="shared" si="3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>
        <v>0</v>
      </c>
      <c r="C90" s="77">
        <v>0</v>
      </c>
      <c r="D90" s="77">
        <v>0</v>
      </c>
      <c r="E90" s="77">
        <v>0</v>
      </c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6"/>
        <v>0</v>
      </c>
      <c r="AI90" s="48">
        <f t="shared" si="3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44.4</v>
      </c>
      <c r="C91" s="77">
        <v>51</v>
      </c>
      <c r="D91" s="77">
        <v>50</v>
      </c>
      <c r="E91" s="77">
        <v>0</v>
      </c>
      <c r="F91" s="77"/>
      <c r="G91" s="77">
        <v>0</v>
      </c>
      <c r="H91" s="77"/>
      <c r="I91" s="77"/>
      <c r="J91" s="77">
        <v>37.4</v>
      </c>
      <c r="K91" s="77">
        <v>41.1</v>
      </c>
      <c r="L91" s="77">
        <v>36</v>
      </c>
      <c r="M91" s="77">
        <v>33.6</v>
      </c>
      <c r="N91" s="77">
        <v>32.700000000000003</v>
      </c>
      <c r="O91" s="77">
        <v>37.700000000000003</v>
      </c>
      <c r="P91" s="77">
        <v>48.4</v>
      </c>
      <c r="Q91" s="77">
        <v>45.6</v>
      </c>
      <c r="R91" s="77">
        <v>50.7</v>
      </c>
      <c r="S91" s="77">
        <v>48.2</v>
      </c>
      <c r="T91" s="77">
        <v>77.099999999999994</v>
      </c>
      <c r="U91" s="77">
        <v>69.099999999999994</v>
      </c>
      <c r="V91" s="77">
        <v>55</v>
      </c>
      <c r="W91" s="77">
        <v>58.3</v>
      </c>
      <c r="X91" s="77">
        <v>62.1</v>
      </c>
      <c r="Y91" s="77">
        <v>73.2</v>
      </c>
      <c r="Z91" s="77">
        <v>74.8</v>
      </c>
      <c r="AA91" s="77">
        <v>72.5</v>
      </c>
      <c r="AB91" s="77">
        <v>67.099999999999994</v>
      </c>
      <c r="AC91" s="77">
        <v>44</v>
      </c>
      <c r="AD91" s="77">
        <v>44</v>
      </c>
      <c r="AE91" s="77">
        <v>56</v>
      </c>
      <c r="AF91" s="77">
        <v>60</v>
      </c>
      <c r="AG91" s="85"/>
      <c r="AH91" s="47">
        <f t="shared" si="36"/>
        <v>77.099999999999994</v>
      </c>
      <c r="AI91" s="48">
        <f t="shared" si="37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AF92" si="38">SUMIF(B81:B91,"&gt;0")</f>
        <v>592.79999999999995</v>
      </c>
      <c r="C92" s="60">
        <f t="shared" si="38"/>
        <v>595</v>
      </c>
      <c r="D92" s="60">
        <f t="shared" si="38"/>
        <v>577.20000000000005</v>
      </c>
      <c r="E92" s="60">
        <f t="shared" si="38"/>
        <v>588.4</v>
      </c>
      <c r="F92" s="60">
        <f t="shared" si="38"/>
        <v>626</v>
      </c>
      <c r="G92" s="60">
        <f t="shared" si="38"/>
        <v>643.80000000000007</v>
      </c>
      <c r="H92" s="60">
        <f t="shared" si="38"/>
        <v>573</v>
      </c>
      <c r="I92" s="60">
        <f t="shared" si="38"/>
        <v>575.79999999999995</v>
      </c>
      <c r="J92" s="60">
        <f t="shared" si="38"/>
        <v>597.1</v>
      </c>
      <c r="K92" s="60">
        <f t="shared" si="38"/>
        <v>353.40000000000003</v>
      </c>
      <c r="L92" s="60">
        <f t="shared" si="38"/>
        <v>351.6</v>
      </c>
      <c r="M92" s="60">
        <f t="shared" si="38"/>
        <v>280.7</v>
      </c>
      <c r="N92" s="60">
        <f t="shared" si="38"/>
        <v>332.2</v>
      </c>
      <c r="O92" s="60">
        <f t="shared" si="38"/>
        <v>477.7</v>
      </c>
      <c r="P92" s="60">
        <f t="shared" si="38"/>
        <v>516.9</v>
      </c>
      <c r="Q92" s="60">
        <f t="shared" si="38"/>
        <v>603.4</v>
      </c>
      <c r="R92" s="60">
        <f t="shared" si="38"/>
        <v>616.1</v>
      </c>
      <c r="S92" s="60">
        <f t="shared" si="38"/>
        <v>593</v>
      </c>
      <c r="T92" s="60">
        <f t="shared" ref="T92:U92" si="39">SUMIF(T81:T91,"&gt;0")</f>
        <v>642</v>
      </c>
      <c r="U92" s="60">
        <f t="shared" si="39"/>
        <v>649.1</v>
      </c>
      <c r="V92" s="60">
        <f t="shared" ref="V92:W92" si="40">SUMIF(V81:V91,"&gt;0")</f>
        <v>501.3</v>
      </c>
      <c r="W92" s="60">
        <f t="shared" si="40"/>
        <v>523.20000000000005</v>
      </c>
      <c r="X92" s="60">
        <f t="shared" ref="X92" si="41">SUMIF(X81:X91,"&gt;0")</f>
        <v>276.40000000000003</v>
      </c>
      <c r="Y92" s="60">
        <f t="shared" ref="Y92:Z92" si="42">SUMIF(Y81:Y91,"&gt;0")</f>
        <v>396.5</v>
      </c>
      <c r="Z92" s="60">
        <f t="shared" si="42"/>
        <v>180.39999999999998</v>
      </c>
      <c r="AA92" s="60">
        <f t="shared" ref="AA92" si="43">SUMIF(AA81:AA91,"&gt;0")</f>
        <v>195.7</v>
      </c>
      <c r="AB92" s="60">
        <f t="shared" si="38"/>
        <v>339.70000000000005</v>
      </c>
      <c r="AC92" s="60">
        <f t="shared" si="38"/>
        <v>316</v>
      </c>
      <c r="AD92" s="60">
        <f t="shared" si="38"/>
        <v>547</v>
      </c>
      <c r="AE92" s="60">
        <f t="shared" si="38"/>
        <v>519.6</v>
      </c>
      <c r="AF92" s="60">
        <f t="shared" si="38"/>
        <v>536</v>
      </c>
      <c r="AG92" s="88">
        <f>SUM(AG81:AG91)</f>
        <v>0</v>
      </c>
      <c r="AH92" s="47">
        <f t="shared" si="36"/>
        <v>649.1</v>
      </c>
      <c r="AI92" s="48">
        <f t="shared" si="37"/>
        <v>180.39999999999998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6"/>
        <v>0</v>
      </c>
      <c r="AI93" s="48">
        <f t="shared" si="37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6"/>
        <v>0</v>
      </c>
      <c r="AI94" s="48">
        <f t="shared" si="37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6"/>
        <v>0</v>
      </c>
      <c r="AI95" s="48">
        <f t="shared" si="37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6"/>
        <v>0</v>
      </c>
      <c r="AI96" s="48">
        <f t="shared" si="37"/>
        <v>0</v>
      </c>
    </row>
    <row r="97" spans="1:37" ht="15.75" thickBot="1" x14ac:dyDescent="0.3">
      <c r="A97" s="74" t="s">
        <v>99</v>
      </c>
      <c r="B97" s="95">
        <f t="shared" ref="B97:AG97" si="44">B58+B62+B80+B76+B92+B96</f>
        <v>1222.5899999999999</v>
      </c>
      <c r="C97" s="95">
        <f t="shared" si="44"/>
        <v>1224.79</v>
      </c>
      <c r="D97" s="95">
        <f t="shared" si="44"/>
        <v>1181.5900000000001</v>
      </c>
      <c r="E97" s="95">
        <f t="shared" si="44"/>
        <v>1192.79</v>
      </c>
      <c r="F97" s="95">
        <f t="shared" si="44"/>
        <v>1230.19</v>
      </c>
      <c r="G97" s="95">
        <f t="shared" si="44"/>
        <v>1274.19</v>
      </c>
      <c r="H97" s="95">
        <f t="shared" si="44"/>
        <v>1258.79</v>
      </c>
      <c r="I97" s="95">
        <f t="shared" si="44"/>
        <v>1309.0900000000001</v>
      </c>
      <c r="J97" s="95">
        <f t="shared" si="44"/>
        <v>1415.5900000000001</v>
      </c>
      <c r="K97" s="95">
        <f t="shared" si="44"/>
        <v>1426.69</v>
      </c>
      <c r="L97" s="95">
        <f t="shared" si="44"/>
        <v>1393.29</v>
      </c>
      <c r="M97" s="95">
        <f t="shared" si="44"/>
        <v>1391.19</v>
      </c>
      <c r="N97" s="95">
        <f t="shared" si="44"/>
        <v>1305.29</v>
      </c>
      <c r="O97" s="95">
        <f t="shared" si="44"/>
        <v>1240.69</v>
      </c>
      <c r="P97" s="95">
        <f t="shared" si="44"/>
        <v>1273.0900000000001</v>
      </c>
      <c r="Q97" s="95">
        <f t="shared" si="44"/>
        <v>1355.59</v>
      </c>
      <c r="R97" s="95">
        <f t="shared" si="44"/>
        <v>1368.29</v>
      </c>
      <c r="S97" s="95">
        <f t="shared" si="44"/>
        <v>1326.5900000000001</v>
      </c>
      <c r="T97" s="95">
        <f t="shared" ref="T97:U97" si="45">T58+T62+T80+T76+T92+T96</f>
        <v>1319.0900000000001</v>
      </c>
      <c r="U97" s="95">
        <f t="shared" si="45"/>
        <v>1330.19</v>
      </c>
      <c r="V97" s="95">
        <f t="shared" ref="V97:W97" si="46">V58+V62+V80+V76+V92+V96</f>
        <v>1141.99</v>
      </c>
      <c r="W97" s="95">
        <f t="shared" si="46"/>
        <v>1233.5900000000001</v>
      </c>
      <c r="X97" s="95">
        <f t="shared" ref="X97" si="47">X58+X62+X80+X76+X92+X96</f>
        <v>1203.0900000000001</v>
      </c>
      <c r="Y97" s="95">
        <f t="shared" ref="Y97:Z97" si="48">Y58+Y62+Y80+Y76+Y92+Y96</f>
        <v>1568.69</v>
      </c>
      <c r="Z97" s="95">
        <f t="shared" si="48"/>
        <v>1425.5900000000001</v>
      </c>
      <c r="AA97" s="95">
        <f t="shared" ref="AA97" si="49">AA58+AA62+AA80+AA76+AA92+AA96</f>
        <v>1380.69</v>
      </c>
      <c r="AB97" s="95">
        <f t="shared" si="44"/>
        <v>1374.69</v>
      </c>
      <c r="AC97" s="95">
        <f t="shared" si="44"/>
        <v>1350.99</v>
      </c>
      <c r="AD97" s="95">
        <f t="shared" si="44"/>
        <v>1366.89</v>
      </c>
      <c r="AE97" s="95">
        <f t="shared" si="44"/>
        <v>1232.0900000000001</v>
      </c>
      <c r="AF97" s="95">
        <f t="shared" si="44"/>
        <v>1183.49</v>
      </c>
      <c r="AG97" s="61">
        <f t="shared" si="44"/>
        <v>2231.81</v>
      </c>
      <c r="AH97" s="47">
        <f t="shared" si="36"/>
        <v>1568.69</v>
      </c>
      <c r="AI97" s="48">
        <f t="shared" si="37"/>
        <v>1141.99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250</v>
      </c>
      <c r="M98" s="97">
        <v>250</v>
      </c>
      <c r="N98" s="97">
        <v>250</v>
      </c>
      <c r="O98" s="97">
        <v>250</v>
      </c>
      <c r="P98" s="97">
        <v>250</v>
      </c>
      <c r="Q98" s="97">
        <v>30</v>
      </c>
      <c r="R98" s="97"/>
      <c r="S98" s="97"/>
      <c r="T98" s="97"/>
      <c r="U98" s="97"/>
      <c r="V98" s="97">
        <v>250</v>
      </c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/>
      <c r="AE98" s="97"/>
      <c r="AF98" s="97"/>
      <c r="AG98" s="88"/>
      <c r="AH98" s="47">
        <f t="shared" si="36"/>
        <v>250</v>
      </c>
      <c r="AI98" s="48">
        <f t="shared" si="37"/>
        <v>30</v>
      </c>
    </row>
    <row r="99" spans="1:37" ht="15.75" thickBot="1" x14ac:dyDescent="0.3">
      <c r="A99" s="74" t="s">
        <v>101</v>
      </c>
      <c r="B99" s="95">
        <f t="shared" ref="B99:AF99" si="50">B97+B98</f>
        <v>1222.5899999999999</v>
      </c>
      <c r="C99" s="95">
        <f t="shared" si="50"/>
        <v>1224.79</v>
      </c>
      <c r="D99" s="95">
        <f t="shared" si="50"/>
        <v>1181.5900000000001</v>
      </c>
      <c r="E99" s="95">
        <f t="shared" si="50"/>
        <v>1192.79</v>
      </c>
      <c r="F99" s="95">
        <f t="shared" si="50"/>
        <v>1230.19</v>
      </c>
      <c r="G99" s="95">
        <f t="shared" si="50"/>
        <v>1274.19</v>
      </c>
      <c r="H99" s="95">
        <f t="shared" si="50"/>
        <v>1258.79</v>
      </c>
      <c r="I99" s="95">
        <f t="shared" si="50"/>
        <v>1309.0900000000001</v>
      </c>
      <c r="J99" s="95">
        <f t="shared" si="50"/>
        <v>1415.5900000000001</v>
      </c>
      <c r="K99" s="95">
        <f t="shared" si="50"/>
        <v>1576.69</v>
      </c>
      <c r="L99" s="95">
        <f t="shared" si="50"/>
        <v>1643.29</v>
      </c>
      <c r="M99" s="95">
        <f t="shared" si="50"/>
        <v>1641.19</v>
      </c>
      <c r="N99" s="95">
        <f t="shared" si="50"/>
        <v>1555.29</v>
      </c>
      <c r="O99" s="95">
        <f t="shared" si="50"/>
        <v>1490.69</v>
      </c>
      <c r="P99" s="95">
        <f t="shared" si="50"/>
        <v>1523.0900000000001</v>
      </c>
      <c r="Q99" s="95">
        <f t="shared" si="50"/>
        <v>1385.59</v>
      </c>
      <c r="R99" s="95">
        <f t="shared" si="50"/>
        <v>1368.29</v>
      </c>
      <c r="S99" s="95">
        <f t="shared" si="50"/>
        <v>1326.5900000000001</v>
      </c>
      <c r="T99" s="95">
        <f t="shared" ref="T99:U99" si="51">T97+T98</f>
        <v>1319.0900000000001</v>
      </c>
      <c r="U99" s="95">
        <f t="shared" si="51"/>
        <v>1330.19</v>
      </c>
      <c r="V99" s="95">
        <f t="shared" ref="V99:W99" si="52">V97+V98</f>
        <v>1391.99</v>
      </c>
      <c r="W99" s="95">
        <f t="shared" si="52"/>
        <v>1483.5900000000001</v>
      </c>
      <c r="X99" s="95">
        <f t="shared" ref="X99" si="53">X97+X98</f>
        <v>1453.0900000000001</v>
      </c>
      <c r="Y99" s="95">
        <f t="shared" ref="Y99:Z99" si="54">Y97+Y98</f>
        <v>1818.69</v>
      </c>
      <c r="Z99" s="95">
        <f t="shared" si="54"/>
        <v>1675.5900000000001</v>
      </c>
      <c r="AA99" s="95">
        <f t="shared" ref="AA99" si="55">AA97+AA98</f>
        <v>1630.69</v>
      </c>
      <c r="AB99" s="95">
        <f t="shared" si="50"/>
        <v>1624.69</v>
      </c>
      <c r="AC99" s="95">
        <f t="shared" si="50"/>
        <v>1600.99</v>
      </c>
      <c r="AD99" s="95">
        <f t="shared" si="50"/>
        <v>1366.89</v>
      </c>
      <c r="AE99" s="95">
        <f t="shared" si="50"/>
        <v>1232.0900000000001</v>
      </c>
      <c r="AF99" s="95">
        <f t="shared" si="50"/>
        <v>1183.49</v>
      </c>
      <c r="AG99" s="88">
        <f>AG96+AG92+AG80+AG76+AG58+AG98</f>
        <v>1693.71</v>
      </c>
      <c r="AH99" s="47">
        <f t="shared" si="36"/>
        <v>1818.69</v>
      </c>
      <c r="AI99" s="48">
        <f t="shared" si="37"/>
        <v>1181.5900000000001</v>
      </c>
    </row>
    <row r="100" spans="1:37" ht="15.75" thickBot="1" x14ac:dyDescent="0.3">
      <c r="A100" s="74" t="s">
        <v>102</v>
      </c>
      <c r="B100" s="95">
        <f t="shared" ref="B100:M100" si="56">B99-(B107)</f>
        <v>1222.5899999999999</v>
      </c>
      <c r="C100" s="95">
        <f t="shared" si="56"/>
        <v>1224.79</v>
      </c>
      <c r="D100" s="95">
        <f t="shared" si="56"/>
        <v>1181.5900000000001</v>
      </c>
      <c r="E100" s="95">
        <f t="shared" si="56"/>
        <v>1192.79</v>
      </c>
      <c r="F100" s="95">
        <f t="shared" si="56"/>
        <v>1230.19</v>
      </c>
      <c r="G100" s="95">
        <f t="shared" si="56"/>
        <v>1274.19</v>
      </c>
      <c r="H100" s="95">
        <f t="shared" si="56"/>
        <v>1258.79</v>
      </c>
      <c r="I100" s="95">
        <f t="shared" si="56"/>
        <v>1309.0900000000001</v>
      </c>
      <c r="J100" s="95">
        <f t="shared" si="56"/>
        <v>1415.5900000000001</v>
      </c>
      <c r="K100" s="95">
        <f t="shared" si="56"/>
        <v>1576.69</v>
      </c>
      <c r="L100" s="95">
        <f t="shared" si="56"/>
        <v>1643.29</v>
      </c>
      <c r="M100" s="95">
        <f t="shared" si="56"/>
        <v>1641.19</v>
      </c>
      <c r="N100" s="95">
        <f>N99-(N107)</f>
        <v>1555.29</v>
      </c>
      <c r="O100" s="95">
        <f t="shared" ref="O100:AF100" si="57">O99-(O107)</f>
        <v>1490.69</v>
      </c>
      <c r="P100" s="95">
        <f t="shared" si="57"/>
        <v>1523.0900000000001</v>
      </c>
      <c r="Q100" s="95">
        <f t="shared" si="57"/>
        <v>1385.59</v>
      </c>
      <c r="R100" s="95">
        <f t="shared" si="57"/>
        <v>1368.29</v>
      </c>
      <c r="S100" s="95">
        <f t="shared" si="57"/>
        <v>1326.5900000000001</v>
      </c>
      <c r="T100" s="95">
        <f t="shared" ref="T100:U100" si="58">T99-(T107)</f>
        <v>1319.0900000000001</v>
      </c>
      <c r="U100" s="95">
        <f t="shared" si="58"/>
        <v>1330.19</v>
      </c>
      <c r="V100" s="95">
        <f t="shared" ref="V100:W100" si="59">V99-(V107)</f>
        <v>1391.99</v>
      </c>
      <c r="W100" s="95">
        <f t="shared" si="59"/>
        <v>1483.5900000000001</v>
      </c>
      <c r="X100" s="95">
        <f t="shared" ref="X100" si="60">X99-(X107)</f>
        <v>1453.0900000000001</v>
      </c>
      <c r="Y100" s="95">
        <f t="shared" ref="Y100:Z100" si="61">Y99-(Y107)</f>
        <v>1818.69</v>
      </c>
      <c r="Z100" s="95">
        <f t="shared" si="61"/>
        <v>1675.5900000000001</v>
      </c>
      <c r="AA100" s="95">
        <f t="shared" ref="AA100" si="62">AA99-(AA107)</f>
        <v>1630.69</v>
      </c>
      <c r="AB100" s="95">
        <f t="shared" si="57"/>
        <v>1624.69</v>
      </c>
      <c r="AC100" s="95">
        <f t="shared" si="57"/>
        <v>1600.99</v>
      </c>
      <c r="AD100" s="95">
        <f t="shared" si="57"/>
        <v>1366.89</v>
      </c>
      <c r="AE100" s="95">
        <f t="shared" si="57"/>
        <v>1232.0900000000001</v>
      </c>
      <c r="AF100" s="95">
        <f t="shared" si="57"/>
        <v>1183.49</v>
      </c>
      <c r="AG100" s="88"/>
      <c r="AH100" s="47">
        <f t="shared" si="36"/>
        <v>1818.69</v>
      </c>
      <c r="AI100" s="48">
        <f t="shared" si="37"/>
        <v>1181.5900000000001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AF101" si="63">IF(C84&lt;0,C84*-1,0)</f>
        <v>0</v>
      </c>
      <c r="D101" s="76">
        <f t="shared" si="63"/>
        <v>0</v>
      </c>
      <c r="E101" s="76">
        <f t="shared" si="63"/>
        <v>0</v>
      </c>
      <c r="F101" s="76">
        <f t="shared" si="63"/>
        <v>0</v>
      </c>
      <c r="G101" s="76">
        <f t="shared" si="63"/>
        <v>0</v>
      </c>
      <c r="H101" s="76">
        <f t="shared" si="63"/>
        <v>0</v>
      </c>
      <c r="I101" s="76">
        <f t="shared" si="63"/>
        <v>0</v>
      </c>
      <c r="J101" s="76">
        <f t="shared" si="63"/>
        <v>0</v>
      </c>
      <c r="K101" s="76">
        <f t="shared" si="63"/>
        <v>0</v>
      </c>
      <c r="L101" s="76">
        <f t="shared" si="63"/>
        <v>0</v>
      </c>
      <c r="M101" s="76">
        <f t="shared" si="63"/>
        <v>0</v>
      </c>
      <c r="N101" s="76">
        <f t="shared" si="63"/>
        <v>0</v>
      </c>
      <c r="O101" s="76">
        <f t="shared" si="63"/>
        <v>0</v>
      </c>
      <c r="P101" s="76">
        <f t="shared" si="63"/>
        <v>0</v>
      </c>
      <c r="Q101" s="76">
        <f t="shared" si="63"/>
        <v>0</v>
      </c>
      <c r="R101" s="76">
        <f t="shared" si="63"/>
        <v>0</v>
      </c>
      <c r="S101" s="76">
        <f t="shared" si="63"/>
        <v>0</v>
      </c>
      <c r="T101" s="76">
        <f t="shared" ref="T101:U101" si="64">IF(T84&lt;0,T84*-1,0)</f>
        <v>0</v>
      </c>
      <c r="U101" s="76">
        <f t="shared" si="64"/>
        <v>0</v>
      </c>
      <c r="V101" s="76">
        <f t="shared" ref="V101:W101" si="65">IF(V84&lt;0,V84*-1,0)</f>
        <v>0</v>
      </c>
      <c r="W101" s="76">
        <f t="shared" si="65"/>
        <v>0</v>
      </c>
      <c r="X101" s="76">
        <f t="shared" ref="X101" si="66">IF(X84&lt;0,X84*-1,0)</f>
        <v>0</v>
      </c>
      <c r="Y101" s="76">
        <f t="shared" ref="Y101:Z101" si="67">IF(Y84&lt;0,Y84*-1,0)</f>
        <v>0</v>
      </c>
      <c r="Z101" s="76">
        <f t="shared" si="67"/>
        <v>0</v>
      </c>
      <c r="AA101" s="76">
        <f t="shared" ref="AA101" si="68">IF(AA84&lt;0,AA84*-1,0)</f>
        <v>0</v>
      </c>
      <c r="AB101" s="76">
        <f t="shared" si="63"/>
        <v>0</v>
      </c>
      <c r="AC101" s="76">
        <f t="shared" si="63"/>
        <v>0</v>
      </c>
      <c r="AD101" s="76">
        <f t="shared" si="63"/>
        <v>0</v>
      </c>
      <c r="AE101" s="76">
        <f t="shared" si="63"/>
        <v>0</v>
      </c>
      <c r="AF101" s="76">
        <f t="shared" si="63"/>
        <v>0</v>
      </c>
      <c r="AG101" s="52"/>
      <c r="AH101" s="47">
        <f t="shared" si="36"/>
        <v>0</v>
      </c>
      <c r="AI101" s="48">
        <f t="shared" si="37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AF102" si="69">IF(C82&lt;0,C82*-1,0)</f>
        <v>0</v>
      </c>
      <c r="D102" s="76">
        <f t="shared" si="69"/>
        <v>0</v>
      </c>
      <c r="E102" s="76">
        <f t="shared" si="69"/>
        <v>0</v>
      </c>
      <c r="F102" s="76">
        <f t="shared" si="69"/>
        <v>0</v>
      </c>
      <c r="G102" s="76">
        <f t="shared" si="69"/>
        <v>0</v>
      </c>
      <c r="H102" s="76">
        <f t="shared" si="69"/>
        <v>0</v>
      </c>
      <c r="I102" s="76">
        <f t="shared" si="69"/>
        <v>0</v>
      </c>
      <c r="J102" s="76">
        <f t="shared" si="69"/>
        <v>0</v>
      </c>
      <c r="K102" s="76">
        <f t="shared" si="69"/>
        <v>0</v>
      </c>
      <c r="L102" s="76">
        <f t="shared" si="69"/>
        <v>0</v>
      </c>
      <c r="M102" s="76">
        <f t="shared" si="69"/>
        <v>0</v>
      </c>
      <c r="N102" s="76">
        <f t="shared" si="69"/>
        <v>0</v>
      </c>
      <c r="O102" s="76">
        <f t="shared" si="69"/>
        <v>0</v>
      </c>
      <c r="P102" s="76">
        <f t="shared" si="69"/>
        <v>0</v>
      </c>
      <c r="Q102" s="76">
        <f t="shared" si="69"/>
        <v>0</v>
      </c>
      <c r="R102" s="76">
        <f t="shared" si="69"/>
        <v>0</v>
      </c>
      <c r="S102" s="76">
        <f t="shared" si="69"/>
        <v>0</v>
      </c>
      <c r="T102" s="76">
        <f t="shared" ref="T102:U102" si="70">IF(T82&lt;0,T82*-1,0)</f>
        <v>0</v>
      </c>
      <c r="U102" s="76">
        <f t="shared" si="70"/>
        <v>0</v>
      </c>
      <c r="V102" s="76">
        <f t="shared" ref="V102:W102" si="71">IF(V82&lt;0,V82*-1,0)</f>
        <v>0</v>
      </c>
      <c r="W102" s="76">
        <f t="shared" si="71"/>
        <v>0</v>
      </c>
      <c r="X102" s="76">
        <f t="shared" ref="X102" si="72">IF(X82&lt;0,X82*-1,0)</f>
        <v>0</v>
      </c>
      <c r="Y102" s="76">
        <f t="shared" ref="Y102:Z102" si="73">IF(Y82&lt;0,Y82*-1,0)</f>
        <v>0</v>
      </c>
      <c r="Z102" s="76">
        <f t="shared" si="73"/>
        <v>0</v>
      </c>
      <c r="AA102" s="76">
        <f t="shared" ref="AA102" si="74">IF(AA82&lt;0,AA82*-1,0)</f>
        <v>0</v>
      </c>
      <c r="AB102" s="76">
        <f t="shared" si="69"/>
        <v>0</v>
      </c>
      <c r="AC102" s="76">
        <f t="shared" si="69"/>
        <v>0</v>
      </c>
      <c r="AD102" s="76">
        <f t="shared" si="69"/>
        <v>0</v>
      </c>
      <c r="AE102" s="76">
        <f t="shared" si="69"/>
        <v>0</v>
      </c>
      <c r="AF102" s="76">
        <f t="shared" si="69"/>
        <v>0</v>
      </c>
      <c r="AG102" s="55"/>
      <c r="AH102" s="47">
        <f t="shared" si="36"/>
        <v>0</v>
      </c>
      <c r="AI102" s="48">
        <f t="shared" si="37"/>
        <v>0</v>
      </c>
    </row>
    <row r="103" spans="1:37" x14ac:dyDescent="0.25">
      <c r="A103" s="84" t="s">
        <v>103</v>
      </c>
      <c r="B103" s="76">
        <f>IF(B85&lt;0,B85*-1,0)</f>
        <v>0</v>
      </c>
      <c r="C103" s="76">
        <f t="shared" ref="C103:AF103" si="75">IF(C85&lt;0,C85*-1,0)</f>
        <v>0</v>
      </c>
      <c r="D103" s="76">
        <f t="shared" si="75"/>
        <v>0</v>
      </c>
      <c r="E103" s="76">
        <f t="shared" si="75"/>
        <v>0</v>
      </c>
      <c r="F103" s="76">
        <f t="shared" si="75"/>
        <v>0</v>
      </c>
      <c r="G103" s="76">
        <f t="shared" si="75"/>
        <v>0</v>
      </c>
      <c r="H103" s="76">
        <f t="shared" si="75"/>
        <v>0</v>
      </c>
      <c r="I103" s="76">
        <f t="shared" si="75"/>
        <v>0</v>
      </c>
      <c r="J103" s="76">
        <f t="shared" si="75"/>
        <v>0</v>
      </c>
      <c r="K103" s="76">
        <f t="shared" si="75"/>
        <v>0</v>
      </c>
      <c r="L103" s="76">
        <f t="shared" si="75"/>
        <v>0</v>
      </c>
      <c r="M103" s="76">
        <f t="shared" si="75"/>
        <v>0</v>
      </c>
      <c r="N103" s="76">
        <f t="shared" si="75"/>
        <v>0</v>
      </c>
      <c r="O103" s="76">
        <f t="shared" si="75"/>
        <v>0</v>
      </c>
      <c r="P103" s="76">
        <f t="shared" si="75"/>
        <v>0</v>
      </c>
      <c r="Q103" s="76">
        <f t="shared" si="75"/>
        <v>0</v>
      </c>
      <c r="R103" s="76">
        <f t="shared" si="75"/>
        <v>0</v>
      </c>
      <c r="S103" s="76">
        <f t="shared" si="75"/>
        <v>0</v>
      </c>
      <c r="T103" s="76">
        <f t="shared" ref="T103:U103" si="76">IF(T85&lt;0,T85*-1,0)</f>
        <v>0</v>
      </c>
      <c r="U103" s="76">
        <f t="shared" si="76"/>
        <v>0</v>
      </c>
      <c r="V103" s="76">
        <f t="shared" ref="V103:W103" si="77">IF(V85&lt;0,V85*-1,0)</f>
        <v>0</v>
      </c>
      <c r="W103" s="76">
        <f t="shared" si="77"/>
        <v>0</v>
      </c>
      <c r="X103" s="76">
        <f t="shared" ref="X103" si="78">IF(X85&lt;0,X85*-1,0)</f>
        <v>0</v>
      </c>
      <c r="Y103" s="76">
        <f t="shared" ref="Y103:Z103" si="79">IF(Y85&lt;0,Y85*-1,0)</f>
        <v>0</v>
      </c>
      <c r="Z103" s="76">
        <f t="shared" si="79"/>
        <v>0</v>
      </c>
      <c r="AA103" s="76">
        <f t="shared" ref="AA103" si="80">IF(AA85&lt;0,AA85*-1,0)</f>
        <v>0</v>
      </c>
      <c r="AB103" s="76">
        <f t="shared" si="75"/>
        <v>0</v>
      </c>
      <c r="AC103" s="76">
        <f t="shared" si="75"/>
        <v>0</v>
      </c>
      <c r="AD103" s="76">
        <f t="shared" si="75"/>
        <v>0</v>
      </c>
      <c r="AE103" s="76">
        <f t="shared" si="75"/>
        <v>0</v>
      </c>
      <c r="AF103" s="76">
        <f t="shared" si="75"/>
        <v>0</v>
      </c>
      <c r="AG103" s="98"/>
      <c r="AH103" s="47">
        <f t="shared" si="36"/>
        <v>0</v>
      </c>
      <c r="AI103" s="48">
        <f t="shared" si="37"/>
        <v>0</v>
      </c>
    </row>
    <row r="104" spans="1:37" x14ac:dyDescent="0.25">
      <c r="A104" s="84" t="s">
        <v>104</v>
      </c>
      <c r="B104" s="76">
        <f>IF(B83&lt;0,B83*-1,0)</f>
        <v>0</v>
      </c>
      <c r="C104" s="76">
        <f t="shared" ref="C104:AF104" si="81">IF(C83&lt;0,C83*-1,0)</f>
        <v>0</v>
      </c>
      <c r="D104" s="76">
        <f t="shared" si="81"/>
        <v>0</v>
      </c>
      <c r="E104" s="76">
        <f t="shared" si="81"/>
        <v>0</v>
      </c>
      <c r="F104" s="76">
        <f t="shared" si="81"/>
        <v>0</v>
      </c>
      <c r="G104" s="76">
        <f t="shared" si="81"/>
        <v>0</v>
      </c>
      <c r="H104" s="76">
        <f t="shared" si="81"/>
        <v>0</v>
      </c>
      <c r="I104" s="76">
        <f t="shared" si="81"/>
        <v>0</v>
      </c>
      <c r="J104" s="76">
        <f t="shared" si="81"/>
        <v>0</v>
      </c>
      <c r="K104" s="76">
        <f t="shared" si="81"/>
        <v>0</v>
      </c>
      <c r="L104" s="76">
        <f t="shared" si="81"/>
        <v>0</v>
      </c>
      <c r="M104" s="76">
        <f t="shared" si="81"/>
        <v>0</v>
      </c>
      <c r="N104" s="76">
        <f t="shared" si="81"/>
        <v>0</v>
      </c>
      <c r="O104" s="76">
        <f t="shared" si="81"/>
        <v>0</v>
      </c>
      <c r="P104" s="76">
        <f t="shared" si="81"/>
        <v>0</v>
      </c>
      <c r="Q104" s="76">
        <f t="shared" si="81"/>
        <v>0</v>
      </c>
      <c r="R104" s="76">
        <f t="shared" si="81"/>
        <v>0</v>
      </c>
      <c r="S104" s="76">
        <f t="shared" si="81"/>
        <v>0</v>
      </c>
      <c r="T104" s="76">
        <f t="shared" ref="T104:U104" si="82">IF(T83&lt;0,T83*-1,0)</f>
        <v>0</v>
      </c>
      <c r="U104" s="76">
        <f t="shared" si="82"/>
        <v>0</v>
      </c>
      <c r="V104" s="76">
        <f t="shared" ref="V104:W104" si="83">IF(V83&lt;0,V83*-1,0)</f>
        <v>0</v>
      </c>
      <c r="W104" s="76">
        <f t="shared" si="83"/>
        <v>0</v>
      </c>
      <c r="X104" s="76">
        <f t="shared" ref="X104" si="84">IF(X83&lt;0,X83*-1,0)</f>
        <v>0</v>
      </c>
      <c r="Y104" s="76">
        <f t="shared" ref="Y104:Z104" si="85">IF(Y83&lt;0,Y83*-1,0)</f>
        <v>0</v>
      </c>
      <c r="Z104" s="76">
        <f t="shared" si="85"/>
        <v>0</v>
      </c>
      <c r="AA104" s="76">
        <f t="shared" ref="AA104" si="86">IF(AA83&lt;0,AA83*-1,0)</f>
        <v>0</v>
      </c>
      <c r="AB104" s="76">
        <f t="shared" si="81"/>
        <v>0</v>
      </c>
      <c r="AC104" s="76">
        <f t="shared" si="81"/>
        <v>0</v>
      </c>
      <c r="AD104" s="76">
        <f t="shared" si="81"/>
        <v>0</v>
      </c>
      <c r="AE104" s="76">
        <f t="shared" si="81"/>
        <v>0</v>
      </c>
      <c r="AF104" s="76">
        <f t="shared" si="81"/>
        <v>0</v>
      </c>
      <c r="AG104" s="98"/>
      <c r="AH104" s="47">
        <f t="shared" si="36"/>
        <v>0</v>
      </c>
      <c r="AI104" s="48">
        <f t="shared" si="37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AF105" si="87">IF(C81&lt;0,C81*-1,0)</f>
        <v>0</v>
      </c>
      <c r="D105" s="76">
        <f t="shared" si="87"/>
        <v>0</v>
      </c>
      <c r="E105" s="76">
        <f t="shared" si="87"/>
        <v>0</v>
      </c>
      <c r="F105" s="76">
        <f t="shared" si="87"/>
        <v>0</v>
      </c>
      <c r="G105" s="76">
        <f t="shared" si="87"/>
        <v>0</v>
      </c>
      <c r="H105" s="76">
        <f t="shared" si="87"/>
        <v>0</v>
      </c>
      <c r="I105" s="76">
        <f t="shared" si="87"/>
        <v>0</v>
      </c>
      <c r="J105" s="76">
        <f t="shared" si="87"/>
        <v>0</v>
      </c>
      <c r="K105" s="76">
        <f t="shared" si="87"/>
        <v>0</v>
      </c>
      <c r="L105" s="76">
        <f t="shared" si="87"/>
        <v>0</v>
      </c>
      <c r="M105" s="76">
        <f t="shared" si="87"/>
        <v>0</v>
      </c>
      <c r="N105" s="76">
        <f t="shared" si="87"/>
        <v>0</v>
      </c>
      <c r="O105" s="76">
        <f t="shared" si="87"/>
        <v>0</v>
      </c>
      <c r="P105" s="76">
        <f t="shared" si="87"/>
        <v>0</v>
      </c>
      <c r="Q105" s="76">
        <f t="shared" si="87"/>
        <v>0</v>
      </c>
      <c r="R105" s="76">
        <f t="shared" si="87"/>
        <v>0</v>
      </c>
      <c r="S105" s="76">
        <f t="shared" si="87"/>
        <v>0</v>
      </c>
      <c r="T105" s="76">
        <f t="shared" ref="T105:U105" si="88">IF(T81&lt;0,T81*-1,0)</f>
        <v>0</v>
      </c>
      <c r="U105" s="76">
        <f t="shared" si="88"/>
        <v>0</v>
      </c>
      <c r="V105" s="76">
        <f t="shared" ref="V105:W105" si="89">IF(V81&lt;0,V81*-1,0)</f>
        <v>0</v>
      </c>
      <c r="W105" s="76">
        <f t="shared" si="89"/>
        <v>0</v>
      </c>
      <c r="X105" s="76">
        <f t="shared" ref="X105" si="90">IF(X81&lt;0,X81*-1,0)</f>
        <v>0</v>
      </c>
      <c r="Y105" s="76">
        <f t="shared" ref="Y105:Z105" si="91">IF(Y81&lt;0,Y81*-1,0)</f>
        <v>0</v>
      </c>
      <c r="Z105" s="76">
        <f t="shared" si="91"/>
        <v>0</v>
      </c>
      <c r="AA105" s="76">
        <f t="shared" ref="AA105" si="92">IF(AA81&lt;0,AA81*-1,0)</f>
        <v>0</v>
      </c>
      <c r="AB105" s="76">
        <f t="shared" si="87"/>
        <v>0</v>
      </c>
      <c r="AC105" s="76">
        <f t="shared" si="87"/>
        <v>0</v>
      </c>
      <c r="AD105" s="76">
        <f t="shared" si="87"/>
        <v>0</v>
      </c>
      <c r="AE105" s="76">
        <f t="shared" si="87"/>
        <v>0</v>
      </c>
      <c r="AF105" s="76">
        <f t="shared" si="87"/>
        <v>0</v>
      </c>
      <c r="AG105" s="98"/>
      <c r="AH105" s="47">
        <f t="shared" si="36"/>
        <v>0</v>
      </c>
      <c r="AI105" s="48">
        <f t="shared" si="37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36"/>
        <v>0</v>
      </c>
      <c r="AI106" s="48">
        <f t="shared" si="37"/>
        <v>0</v>
      </c>
    </row>
    <row r="107" spans="1:37" ht="15.75" thickBot="1" x14ac:dyDescent="0.3">
      <c r="A107" s="99" t="s">
        <v>106</v>
      </c>
      <c r="B107" s="60">
        <f>SUM(B101:B106)</f>
        <v>0</v>
      </c>
      <c r="C107" s="60">
        <f t="shared" ref="C107:AF107" si="93">SUM(C101:C106)</f>
        <v>0</v>
      </c>
      <c r="D107" s="60">
        <f t="shared" si="93"/>
        <v>0</v>
      </c>
      <c r="E107" s="60">
        <f t="shared" si="93"/>
        <v>0</v>
      </c>
      <c r="F107" s="60">
        <f t="shared" si="93"/>
        <v>0</v>
      </c>
      <c r="G107" s="60">
        <f t="shared" si="93"/>
        <v>0</v>
      </c>
      <c r="H107" s="60">
        <f t="shared" si="93"/>
        <v>0</v>
      </c>
      <c r="I107" s="60">
        <f t="shared" si="93"/>
        <v>0</v>
      </c>
      <c r="J107" s="60">
        <f t="shared" si="93"/>
        <v>0</v>
      </c>
      <c r="K107" s="60">
        <f t="shared" si="93"/>
        <v>0</v>
      </c>
      <c r="L107" s="60">
        <f t="shared" si="93"/>
        <v>0</v>
      </c>
      <c r="M107" s="60">
        <f t="shared" si="93"/>
        <v>0</v>
      </c>
      <c r="N107" s="60">
        <f t="shared" si="93"/>
        <v>0</v>
      </c>
      <c r="O107" s="60">
        <f t="shared" si="93"/>
        <v>0</v>
      </c>
      <c r="P107" s="60">
        <f t="shared" si="93"/>
        <v>0</v>
      </c>
      <c r="Q107" s="60">
        <f t="shared" si="93"/>
        <v>0</v>
      </c>
      <c r="R107" s="60">
        <f t="shared" si="93"/>
        <v>0</v>
      </c>
      <c r="S107" s="60">
        <f t="shared" si="93"/>
        <v>0</v>
      </c>
      <c r="T107" s="60">
        <f t="shared" ref="T107:U107" si="94">SUM(T101:T106)</f>
        <v>0</v>
      </c>
      <c r="U107" s="60">
        <f t="shared" si="94"/>
        <v>0</v>
      </c>
      <c r="V107" s="60">
        <f t="shared" ref="V107:W107" si="95">SUM(V101:V106)</f>
        <v>0</v>
      </c>
      <c r="W107" s="60">
        <f t="shared" si="95"/>
        <v>0</v>
      </c>
      <c r="X107" s="60">
        <f t="shared" ref="X107" si="96">SUM(X101:X106)</f>
        <v>0</v>
      </c>
      <c r="Y107" s="60">
        <f t="shared" ref="Y107:Z107" si="97">SUM(Y101:Y106)</f>
        <v>0</v>
      </c>
      <c r="Z107" s="60">
        <f t="shared" si="97"/>
        <v>0</v>
      </c>
      <c r="AA107" s="60">
        <v>0</v>
      </c>
      <c r="AB107" s="60">
        <f t="shared" si="93"/>
        <v>0</v>
      </c>
      <c r="AC107" s="60">
        <f t="shared" si="93"/>
        <v>0</v>
      </c>
      <c r="AD107" s="60">
        <f t="shared" si="93"/>
        <v>0</v>
      </c>
      <c r="AE107" s="60">
        <f t="shared" si="93"/>
        <v>0</v>
      </c>
      <c r="AF107" s="60">
        <f t="shared" si="93"/>
        <v>0</v>
      </c>
      <c r="AG107" s="88"/>
      <c r="AH107" s="47">
        <f t="shared" si="36"/>
        <v>0</v>
      </c>
      <c r="AI107" s="48">
        <f t="shared" si="37"/>
        <v>0</v>
      </c>
      <c r="AK107" s="50"/>
    </row>
    <row r="108" spans="1:37" ht="15.75" thickBot="1" x14ac:dyDescent="0.3">
      <c r="A108" s="74" t="s">
        <v>107</v>
      </c>
      <c r="B108" s="60">
        <f t="shared" ref="B108:AF108" si="98">B92-B107</f>
        <v>592.79999999999995</v>
      </c>
      <c r="C108" s="60">
        <f t="shared" si="98"/>
        <v>595</v>
      </c>
      <c r="D108" s="60">
        <f t="shared" si="98"/>
        <v>577.20000000000005</v>
      </c>
      <c r="E108" s="60">
        <f t="shared" si="98"/>
        <v>588.4</v>
      </c>
      <c r="F108" s="60">
        <f t="shared" si="98"/>
        <v>626</v>
      </c>
      <c r="G108" s="60">
        <f t="shared" si="98"/>
        <v>643.80000000000007</v>
      </c>
      <c r="H108" s="60">
        <f t="shared" si="98"/>
        <v>573</v>
      </c>
      <c r="I108" s="60">
        <f t="shared" si="98"/>
        <v>575.79999999999995</v>
      </c>
      <c r="J108" s="60">
        <f t="shared" si="98"/>
        <v>597.1</v>
      </c>
      <c r="K108" s="60">
        <f t="shared" si="98"/>
        <v>353.40000000000003</v>
      </c>
      <c r="L108" s="60">
        <f t="shared" si="98"/>
        <v>351.6</v>
      </c>
      <c r="M108" s="60">
        <f t="shared" si="98"/>
        <v>280.7</v>
      </c>
      <c r="N108" s="60">
        <f t="shared" si="98"/>
        <v>332.2</v>
      </c>
      <c r="O108" s="60">
        <f t="shared" si="98"/>
        <v>477.7</v>
      </c>
      <c r="P108" s="60">
        <f t="shared" si="98"/>
        <v>516.9</v>
      </c>
      <c r="Q108" s="60">
        <f t="shared" si="98"/>
        <v>603.4</v>
      </c>
      <c r="R108" s="60">
        <f t="shared" si="98"/>
        <v>616.1</v>
      </c>
      <c r="S108" s="60">
        <f t="shared" si="98"/>
        <v>593</v>
      </c>
      <c r="T108" s="60">
        <f t="shared" ref="T108:U108" si="99">T92-T107</f>
        <v>642</v>
      </c>
      <c r="U108" s="60">
        <f t="shared" si="99"/>
        <v>649.1</v>
      </c>
      <c r="V108" s="60">
        <f t="shared" ref="V108:W108" si="100">V92-V107</f>
        <v>501.3</v>
      </c>
      <c r="W108" s="60">
        <f t="shared" si="100"/>
        <v>523.20000000000005</v>
      </c>
      <c r="X108" s="60">
        <f t="shared" ref="X108" si="101">X92-X107</f>
        <v>276.40000000000003</v>
      </c>
      <c r="Y108" s="60">
        <f t="shared" ref="Y108:Z108" si="102">Y92-Y107</f>
        <v>396.5</v>
      </c>
      <c r="Z108" s="60">
        <f t="shared" si="102"/>
        <v>180.39999999999998</v>
      </c>
      <c r="AA108" s="60">
        <f t="shared" ref="AA108" si="103">AA92-AA107</f>
        <v>195.7</v>
      </c>
      <c r="AB108" s="60">
        <f t="shared" si="98"/>
        <v>339.70000000000005</v>
      </c>
      <c r="AC108" s="60">
        <f t="shared" si="98"/>
        <v>316</v>
      </c>
      <c r="AD108" s="60">
        <f t="shared" si="98"/>
        <v>547</v>
      </c>
      <c r="AE108" s="60">
        <f t="shared" si="98"/>
        <v>519.6</v>
      </c>
      <c r="AF108" s="60">
        <f t="shared" si="98"/>
        <v>536</v>
      </c>
      <c r="AG108" s="88"/>
      <c r="AH108" s="47">
        <f t="shared" si="36"/>
        <v>649.1</v>
      </c>
      <c r="AI108" s="48">
        <f t="shared" si="37"/>
        <v>180.39999999999998</v>
      </c>
    </row>
    <row r="109" spans="1:37" x14ac:dyDescent="0.25">
      <c r="A109" s="100" t="s">
        <v>108</v>
      </c>
      <c r="B109" s="101">
        <v>50.018999999999998</v>
      </c>
      <c r="C109" s="101">
        <v>50</v>
      </c>
      <c r="D109" s="101">
        <v>50.006999999999998</v>
      </c>
      <c r="E109" s="101">
        <v>49.974499999999999</v>
      </c>
      <c r="F109" s="101">
        <v>49.953000000000003</v>
      </c>
      <c r="G109" s="101">
        <v>49.859000000000002</v>
      </c>
      <c r="H109" s="101">
        <v>50.002000000000002</v>
      </c>
      <c r="I109" s="101">
        <v>49.942999999999998</v>
      </c>
      <c r="J109" s="101">
        <v>50.015999999999998</v>
      </c>
      <c r="K109" s="101">
        <v>50.024000000000001</v>
      </c>
      <c r="L109" s="101">
        <v>50.072000000000003</v>
      </c>
      <c r="M109" s="101">
        <v>50.088999999999999</v>
      </c>
      <c r="N109" s="101">
        <v>50.036000000000001</v>
      </c>
      <c r="O109" s="101">
        <v>49.973999999999997</v>
      </c>
      <c r="P109" s="101">
        <v>50.17</v>
      </c>
      <c r="Q109" s="101">
        <v>50.061999999999998</v>
      </c>
      <c r="R109" s="101">
        <v>49.994999999999997</v>
      </c>
      <c r="S109" s="101">
        <v>50.081000000000003</v>
      </c>
      <c r="T109" s="101">
        <v>50</v>
      </c>
      <c r="U109" s="101">
        <v>50</v>
      </c>
      <c r="V109" s="101">
        <v>49.98</v>
      </c>
      <c r="W109" s="101">
        <v>50.02</v>
      </c>
      <c r="X109" s="101">
        <v>49.92</v>
      </c>
      <c r="Y109" s="101">
        <v>49.8</v>
      </c>
      <c r="Z109" s="101">
        <v>49.86</v>
      </c>
      <c r="AA109" s="101">
        <v>49.96</v>
      </c>
      <c r="AB109" s="101">
        <v>49.933999999999997</v>
      </c>
      <c r="AC109" s="101">
        <v>49.933999999999997</v>
      </c>
      <c r="AD109" s="101">
        <v>50.03</v>
      </c>
      <c r="AE109" s="101">
        <v>49.895000000000003</v>
      </c>
      <c r="AF109" s="101">
        <v>50.091999999999999</v>
      </c>
      <c r="AG109" s="102"/>
      <c r="AH109" s="47">
        <f t="shared" si="36"/>
        <v>50.17</v>
      </c>
      <c r="AI109" s="48">
        <f t="shared" si="37"/>
        <v>49.8</v>
      </c>
    </row>
    <row r="110" spans="1:37" x14ac:dyDescent="0.25">
      <c r="A110" s="103" t="s">
        <v>109</v>
      </c>
      <c r="B110" s="65">
        <v>129.5</v>
      </c>
      <c r="C110" s="65">
        <v>129.4</v>
      </c>
      <c r="D110" s="65">
        <v>130.4</v>
      </c>
      <c r="E110" s="65">
        <v>127.6</v>
      </c>
      <c r="F110" s="65">
        <v>125.1</v>
      </c>
      <c r="G110" s="65">
        <v>127</v>
      </c>
      <c r="H110" s="65">
        <v>128.30000000000001</v>
      </c>
      <c r="I110" s="65">
        <v>126.8</v>
      </c>
      <c r="J110" s="65">
        <v>124.5</v>
      </c>
      <c r="K110" s="65">
        <v>129.30000000000001</v>
      </c>
      <c r="L110" s="65">
        <v>126.3</v>
      </c>
      <c r="M110" s="65">
        <v>125.4</v>
      </c>
      <c r="N110" s="65">
        <v>124.8</v>
      </c>
      <c r="O110" s="65">
        <v>125.5</v>
      </c>
      <c r="P110" s="65">
        <v>126.4</v>
      </c>
      <c r="Q110" s="65">
        <v>125.5</v>
      </c>
      <c r="R110" s="65">
        <v>126.2</v>
      </c>
      <c r="S110" s="65">
        <v>126.3</v>
      </c>
      <c r="T110" s="65">
        <v>126.6</v>
      </c>
      <c r="U110" s="65">
        <v>125.3</v>
      </c>
      <c r="V110" s="65">
        <v>130.1</v>
      </c>
      <c r="W110" s="65">
        <v>129.19999999999999</v>
      </c>
      <c r="X110" s="65">
        <v>130</v>
      </c>
      <c r="Y110" s="65">
        <v>127.8</v>
      </c>
      <c r="Z110" s="65">
        <v>127.8</v>
      </c>
      <c r="AA110" s="65">
        <v>128</v>
      </c>
      <c r="AB110" s="65">
        <v>127.7</v>
      </c>
      <c r="AC110" s="65">
        <v>127.7</v>
      </c>
      <c r="AD110" s="65">
        <v>127.4</v>
      </c>
      <c r="AE110" s="65">
        <v>128.4</v>
      </c>
      <c r="AF110" s="65">
        <v>128</v>
      </c>
      <c r="AG110" s="104"/>
      <c r="AH110" s="47">
        <f t="shared" si="36"/>
        <v>130.4</v>
      </c>
      <c r="AI110" s="48">
        <f t="shared" si="37"/>
        <v>124.5</v>
      </c>
    </row>
    <row r="111" spans="1:37" x14ac:dyDescent="0.25">
      <c r="A111" s="103" t="s">
        <v>110</v>
      </c>
      <c r="B111" s="65">
        <v>132.9</v>
      </c>
      <c r="C111" s="65">
        <v>132.80000000000001</v>
      </c>
      <c r="D111" s="65">
        <v>133.30000000000001</v>
      </c>
      <c r="E111" s="65">
        <v>131.19999999999999</v>
      </c>
      <c r="F111" s="65">
        <v>129</v>
      </c>
      <c r="G111" s="65">
        <v>130.4</v>
      </c>
      <c r="H111" s="65">
        <v>131.5</v>
      </c>
      <c r="I111" s="65">
        <v>130.4</v>
      </c>
      <c r="J111" s="65">
        <v>127.4</v>
      </c>
      <c r="K111" s="65">
        <v>130.69999999999999</v>
      </c>
      <c r="L111" s="65">
        <v>127.9</v>
      </c>
      <c r="M111" s="65">
        <v>126.7</v>
      </c>
      <c r="N111" s="65">
        <v>126.4</v>
      </c>
      <c r="O111" s="65">
        <v>127.4</v>
      </c>
      <c r="P111" s="65">
        <v>128.1</v>
      </c>
      <c r="Q111" s="65">
        <v>128.5</v>
      </c>
      <c r="R111" s="65">
        <v>129</v>
      </c>
      <c r="S111" s="65">
        <v>129.4</v>
      </c>
      <c r="T111" s="65">
        <v>129.4</v>
      </c>
      <c r="U111" s="65">
        <v>128.4</v>
      </c>
      <c r="V111" s="65">
        <v>132.1</v>
      </c>
      <c r="W111" s="65">
        <v>130.9</v>
      </c>
      <c r="X111" s="65">
        <v>131.1</v>
      </c>
      <c r="Y111" s="65">
        <v>128.69999999999999</v>
      </c>
      <c r="Z111" s="65">
        <v>128.69999999999999</v>
      </c>
      <c r="AA111" s="65">
        <v>130</v>
      </c>
      <c r="AB111" s="65">
        <v>129.80000000000001</v>
      </c>
      <c r="AC111" s="65">
        <v>129.80000000000001</v>
      </c>
      <c r="AD111" s="65">
        <v>130.4</v>
      </c>
      <c r="AE111" s="65">
        <v>131.6</v>
      </c>
      <c r="AF111" s="65">
        <v>132</v>
      </c>
      <c r="AG111" s="104"/>
      <c r="AH111" s="47">
        <f t="shared" si="36"/>
        <v>133.30000000000001</v>
      </c>
      <c r="AI111" s="48">
        <f t="shared" si="37"/>
        <v>126.4</v>
      </c>
    </row>
    <row r="112" spans="1:37" x14ac:dyDescent="0.25">
      <c r="A112" s="103" t="s">
        <v>111</v>
      </c>
      <c r="B112" s="65">
        <v>128.69999999999999</v>
      </c>
      <c r="C112" s="65">
        <v>130</v>
      </c>
      <c r="D112" s="65">
        <v>130.9</v>
      </c>
      <c r="E112" s="65">
        <v>128</v>
      </c>
      <c r="F112" s="65">
        <v>127.9</v>
      </c>
      <c r="G112" s="65">
        <v>126.4</v>
      </c>
      <c r="H112" s="65">
        <v>129.4</v>
      </c>
      <c r="I112" s="65">
        <v>128.5</v>
      </c>
      <c r="J112" s="65">
        <v>125.3</v>
      </c>
      <c r="K112" s="65">
        <v>129.5</v>
      </c>
      <c r="L112" s="65">
        <v>126.4</v>
      </c>
      <c r="M112" s="65">
        <v>128.5</v>
      </c>
      <c r="N112" s="65">
        <v>132.30000000000001</v>
      </c>
      <c r="O112" s="65">
        <v>131</v>
      </c>
      <c r="P112" s="65">
        <v>130</v>
      </c>
      <c r="Q112" s="65">
        <v>127</v>
      </c>
      <c r="R112" s="65">
        <v>128.6</v>
      </c>
      <c r="S112" s="65">
        <v>129.6</v>
      </c>
      <c r="T112" s="65">
        <v>128.9</v>
      </c>
      <c r="U112" s="65">
        <v>129.69999999999999</v>
      </c>
      <c r="V112" s="65">
        <v>131.4</v>
      </c>
      <c r="W112" s="65">
        <v>126.5</v>
      </c>
      <c r="X112" s="65">
        <v>129.69999999999999</v>
      </c>
      <c r="Y112" s="65">
        <v>122.9</v>
      </c>
      <c r="Z112" s="65">
        <v>122.9</v>
      </c>
      <c r="AA112" s="65">
        <v>132.4</v>
      </c>
      <c r="AB112" s="65">
        <v>130.19999999999999</v>
      </c>
      <c r="AC112" s="65">
        <v>130.19999999999999</v>
      </c>
      <c r="AD112" s="65">
        <v>127.6</v>
      </c>
      <c r="AE112" s="65">
        <v>130.6</v>
      </c>
      <c r="AF112" s="65">
        <v>128.69999999999999</v>
      </c>
      <c r="AG112" s="104"/>
      <c r="AH112" s="47">
        <f t="shared" si="36"/>
        <v>132.4</v>
      </c>
      <c r="AI112" s="48">
        <f t="shared" si="37"/>
        <v>122.9</v>
      </c>
    </row>
    <row r="113" spans="1:35" x14ac:dyDescent="0.25">
      <c r="A113" s="105" t="s">
        <v>112</v>
      </c>
      <c r="B113" s="65">
        <v>131.5</v>
      </c>
      <c r="C113" s="65">
        <v>132</v>
      </c>
      <c r="D113" s="65">
        <v>132.9</v>
      </c>
      <c r="E113" s="65">
        <v>131.30000000000001</v>
      </c>
      <c r="F113" s="65">
        <v>131.1</v>
      </c>
      <c r="G113" s="65">
        <v>129.69999999999999</v>
      </c>
      <c r="H113" s="65">
        <v>131.69999999999999</v>
      </c>
      <c r="I113" s="65">
        <v>130.4</v>
      </c>
      <c r="J113" s="65">
        <v>130.30000000000001</v>
      </c>
      <c r="K113" s="65">
        <v>132.1</v>
      </c>
      <c r="L113" s="65">
        <v>128.5</v>
      </c>
      <c r="M113" s="65">
        <v>128.9</v>
      </c>
      <c r="N113" s="65"/>
      <c r="O113" s="65"/>
      <c r="P113" s="65"/>
      <c r="Q113" s="65"/>
      <c r="R113" s="65"/>
      <c r="S113" s="65"/>
      <c r="T113" s="65"/>
      <c r="U113" s="65"/>
      <c r="V113" s="65">
        <v>130.80000000000001</v>
      </c>
      <c r="W113" s="65">
        <v>125.3</v>
      </c>
      <c r="X113" s="65">
        <v>127.9</v>
      </c>
      <c r="Y113" s="65">
        <v>122.5</v>
      </c>
      <c r="Z113" s="65">
        <v>122.5</v>
      </c>
      <c r="AA113" s="65">
        <v>132.4</v>
      </c>
      <c r="AB113" s="65">
        <v>131.6</v>
      </c>
      <c r="AC113" s="65">
        <v>131.6</v>
      </c>
      <c r="AD113" s="65">
        <v>131</v>
      </c>
      <c r="AE113" s="65">
        <v>134.1</v>
      </c>
      <c r="AF113" s="65">
        <v>132.6</v>
      </c>
      <c r="AG113" s="104"/>
      <c r="AH113" s="47">
        <f t="shared" si="36"/>
        <v>134.1</v>
      </c>
      <c r="AI113" s="48">
        <f t="shared" si="37"/>
        <v>122.5</v>
      </c>
    </row>
    <row r="114" spans="1:35" x14ac:dyDescent="0.25">
      <c r="A114" s="105" t="s">
        <v>113</v>
      </c>
      <c r="B114" s="106">
        <v>133.80000000000001</v>
      </c>
      <c r="C114" s="106">
        <v>133</v>
      </c>
      <c r="D114" s="106">
        <v>133.5</v>
      </c>
      <c r="E114" s="106">
        <v>131.30000000000001</v>
      </c>
      <c r="F114" s="106">
        <v>128.30000000000001</v>
      </c>
      <c r="G114" s="106">
        <v>129.80000000000001</v>
      </c>
      <c r="H114" s="106">
        <v>132.30000000000001</v>
      </c>
      <c r="I114" s="106">
        <v>133.80000000000001</v>
      </c>
      <c r="J114" s="106">
        <v>130.5</v>
      </c>
      <c r="K114" s="106">
        <v>135.6</v>
      </c>
      <c r="L114" s="106">
        <v>134.19999999999999</v>
      </c>
      <c r="M114" s="106">
        <v>133.30000000000001</v>
      </c>
      <c r="N114" s="106">
        <v>131.9</v>
      </c>
      <c r="O114" s="106">
        <v>132.1</v>
      </c>
      <c r="P114" s="106">
        <v>131.69999999999999</v>
      </c>
      <c r="Q114" s="106">
        <v>131.69999999999999</v>
      </c>
      <c r="R114" s="106">
        <v>133.4</v>
      </c>
      <c r="S114" s="106">
        <v>133.5</v>
      </c>
      <c r="T114" s="106">
        <v>133.19999999999999</v>
      </c>
      <c r="U114" s="106">
        <v>134</v>
      </c>
      <c r="V114" s="106">
        <v>136.30000000000001</v>
      </c>
      <c r="W114" s="106">
        <v>135.5</v>
      </c>
      <c r="X114" s="106">
        <v>135.30000000000001</v>
      </c>
      <c r="Y114" s="106">
        <v>132.9</v>
      </c>
      <c r="Z114" s="106">
        <v>132.9</v>
      </c>
      <c r="AA114" s="106">
        <v>133.5</v>
      </c>
      <c r="AB114" s="106">
        <v>133.69999999999999</v>
      </c>
      <c r="AC114" s="106">
        <v>133.69999999999999</v>
      </c>
      <c r="AD114" s="106">
        <v>136</v>
      </c>
      <c r="AE114" s="106">
        <v>133.19999999999999</v>
      </c>
      <c r="AF114" s="106">
        <v>31</v>
      </c>
      <c r="AG114" s="107"/>
      <c r="AH114" s="47">
        <f t="shared" si="36"/>
        <v>136.30000000000001</v>
      </c>
      <c r="AI114" s="48">
        <f t="shared" si="37"/>
        <v>31</v>
      </c>
    </row>
    <row r="115" spans="1:35" x14ac:dyDescent="0.25">
      <c r="A115" s="103" t="s">
        <v>114</v>
      </c>
      <c r="B115" s="65">
        <v>133.30000000000001</v>
      </c>
      <c r="C115" s="65">
        <v>134.80000000000001</v>
      </c>
      <c r="D115" s="65">
        <v>135.4</v>
      </c>
      <c r="E115" s="65">
        <v>131.69999999999999</v>
      </c>
      <c r="F115" s="65">
        <v>127.9</v>
      </c>
      <c r="G115" s="65">
        <v>126.6</v>
      </c>
      <c r="H115" s="65">
        <v>128.80000000000001</v>
      </c>
      <c r="I115" s="65">
        <v>130.30000000000001</v>
      </c>
      <c r="J115" s="65">
        <v>127.5</v>
      </c>
      <c r="K115" s="65">
        <v>131.69999999999999</v>
      </c>
      <c r="L115" s="65">
        <v>125.3</v>
      </c>
      <c r="M115" s="65">
        <v>133</v>
      </c>
      <c r="N115" s="65">
        <v>129.30000000000001</v>
      </c>
      <c r="O115" s="65">
        <v>125.3</v>
      </c>
      <c r="P115" s="65">
        <v>133.69999999999999</v>
      </c>
      <c r="Q115" s="65">
        <v>129.9</v>
      </c>
      <c r="R115" s="65">
        <v>130.5</v>
      </c>
      <c r="S115" s="65">
        <v>134.5</v>
      </c>
      <c r="T115" s="65">
        <v>134.9</v>
      </c>
      <c r="U115" s="65">
        <v>132.30000000000001</v>
      </c>
      <c r="V115" s="65">
        <v>137.5</v>
      </c>
      <c r="W115" s="65">
        <v>131.30000000000001</v>
      </c>
      <c r="X115" s="65">
        <v>132.19999999999999</v>
      </c>
      <c r="Y115" s="65">
        <v>130.6</v>
      </c>
      <c r="Z115" s="65">
        <v>130.6</v>
      </c>
      <c r="AA115" s="65">
        <v>133.4</v>
      </c>
      <c r="AB115" s="65">
        <v>132.30000000000001</v>
      </c>
      <c r="AC115" s="65">
        <v>132.30000000000001</v>
      </c>
      <c r="AD115" s="65">
        <v>132</v>
      </c>
      <c r="AE115" s="65">
        <v>130.19999999999999</v>
      </c>
      <c r="AF115" s="65">
        <v>131.69999999999999</v>
      </c>
      <c r="AG115" s="104"/>
      <c r="AH115" s="47">
        <f t="shared" si="36"/>
        <v>137.5</v>
      </c>
      <c r="AI115" s="48">
        <f t="shared" si="37"/>
        <v>125.3</v>
      </c>
    </row>
    <row r="116" spans="1:35" ht="15.75" thickBot="1" x14ac:dyDescent="0.3">
      <c r="A116" s="103" t="s">
        <v>115</v>
      </c>
      <c r="B116" s="92">
        <v>67.2</v>
      </c>
      <c r="C116" s="92">
        <v>67</v>
      </c>
      <c r="D116" s="92">
        <v>67.3</v>
      </c>
      <c r="E116" s="92">
        <v>66.400000000000006</v>
      </c>
      <c r="F116" s="92">
        <v>65.2</v>
      </c>
      <c r="G116" s="92">
        <v>65.8</v>
      </c>
      <c r="H116" s="92">
        <v>66.3</v>
      </c>
      <c r="I116" s="92">
        <v>65.8</v>
      </c>
      <c r="J116" s="92">
        <v>64.2</v>
      </c>
      <c r="K116" s="92">
        <v>66</v>
      </c>
      <c r="L116" s="92">
        <v>64.5</v>
      </c>
      <c r="M116" s="92">
        <v>63.8</v>
      </c>
      <c r="N116" s="92">
        <v>63.6</v>
      </c>
      <c r="O116" s="92">
        <v>64.099999999999994</v>
      </c>
      <c r="P116" s="92">
        <v>64.400000000000006</v>
      </c>
      <c r="Q116" s="92">
        <v>64.7</v>
      </c>
      <c r="R116" s="92">
        <v>65.2</v>
      </c>
      <c r="S116" s="92">
        <v>65.3</v>
      </c>
      <c r="T116" s="92">
        <v>65.400000000000006</v>
      </c>
      <c r="U116" s="92">
        <v>64.7</v>
      </c>
      <c r="V116" s="92">
        <v>66.599999999999994</v>
      </c>
      <c r="W116" s="92">
        <v>65.8</v>
      </c>
      <c r="X116" s="92">
        <v>65.599999999999994</v>
      </c>
      <c r="Y116" s="92">
        <v>64.3</v>
      </c>
      <c r="Z116" s="92">
        <v>64.3</v>
      </c>
      <c r="AA116" s="92">
        <v>65</v>
      </c>
      <c r="AB116" s="92">
        <v>65</v>
      </c>
      <c r="AC116" s="92">
        <v>65</v>
      </c>
      <c r="AD116" s="92">
        <v>65.3</v>
      </c>
      <c r="AE116" s="92">
        <v>66.2</v>
      </c>
      <c r="AF116" s="92">
        <v>66.3</v>
      </c>
      <c r="AG116" s="108"/>
      <c r="AH116" s="47">
        <f t="shared" si="36"/>
        <v>67.3</v>
      </c>
      <c r="AI116" s="48">
        <f t="shared" si="37"/>
        <v>63.6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6"/>
        <v>0</v>
      </c>
      <c r="AI117" s="48">
        <f t="shared" si="37"/>
        <v>0</v>
      </c>
    </row>
    <row r="118" spans="1:35" ht="15.75" thickBot="1" x14ac:dyDescent="0.3">
      <c r="A118" s="110" t="s">
        <v>117</v>
      </c>
      <c r="B118" s="111">
        <f t="shared" ref="B118:O118" si="104">SUM(B22,B28,B31:B32,B66,B68:B69,B71,B73,B119:B123,B155,B161,B167,B176,B178,B190,B197,B200:B201,B208,B210,B212,B216:B218,B220:B222,B227,B233:B234,B236:B238,B246,B251)</f>
        <v>171.18199999999996</v>
      </c>
      <c r="C118" s="111">
        <f t="shared" si="104"/>
        <v>153.52199999999999</v>
      </c>
      <c r="D118" s="111">
        <f t="shared" si="104"/>
        <v>150.54399999999998</v>
      </c>
      <c r="E118" s="111">
        <f t="shared" si="104"/>
        <v>150.648</v>
      </c>
      <c r="F118" s="111">
        <f t="shared" si="104"/>
        <v>167.91199999999998</v>
      </c>
      <c r="G118" s="111">
        <f t="shared" si="104"/>
        <v>173.51999999999998</v>
      </c>
      <c r="H118" s="111">
        <f t="shared" si="104"/>
        <v>194.67199999999997</v>
      </c>
      <c r="I118" s="111">
        <f t="shared" si="104"/>
        <v>235.37199999999996</v>
      </c>
      <c r="J118" s="111">
        <f t="shared" si="104"/>
        <v>271.13599999999997</v>
      </c>
      <c r="K118" s="111">
        <f t="shared" si="104"/>
        <v>299.47999999999996</v>
      </c>
      <c r="L118" s="111">
        <f t="shared" si="104"/>
        <v>343.16800000000001</v>
      </c>
      <c r="M118" s="111">
        <f t="shared" si="104"/>
        <v>360.76399999999995</v>
      </c>
      <c r="N118" s="111">
        <f t="shared" si="104"/>
        <v>373.42399999999998</v>
      </c>
      <c r="O118" s="111">
        <f t="shared" si="104"/>
        <v>350.92</v>
      </c>
      <c r="P118" s="111">
        <v>42</v>
      </c>
      <c r="Q118" s="111">
        <f t="shared" ref="Q118:AF118" si="105">SUM(Q22,Q28,Q31:Q32,Q66,Q68:Q69,Q71,Q73,Q119:Q123,Q155,Q161,Q167,Q176,Q178,Q190,Q197,Q200:Q201,Q208,Q210,Q212,Q216:Q218,Q220:Q222,Q227,Q233:Q234,Q236:Q238,Q246,Q251)</f>
        <v>293.78000000000003</v>
      </c>
      <c r="R118" s="111">
        <f t="shared" si="105"/>
        <v>279.988</v>
      </c>
      <c r="S118" s="111">
        <f t="shared" si="105"/>
        <v>266.15799999999996</v>
      </c>
      <c r="T118" s="111">
        <f t="shared" ref="T118:U118" si="106">SUM(T22,T28,T31:T32,T66,T68:T69,T71,T73,T119:T123,T155,T161,T167,T176,T178,T190,T197,T200:T201,T208,T210,T212,T216:T218,T220:T222,T227,T233:T234,T236:T238,T246,T251)</f>
        <v>256.7</v>
      </c>
      <c r="U118" s="111">
        <f t="shared" si="106"/>
        <v>254.54000000000002</v>
      </c>
      <c r="V118" s="111">
        <f t="shared" ref="V118:W118" si="107">SUM(V22,V28,V31:V32,V66,V68:V69,V71,V73,V119:V123,V155,V161,V167,V176,V178,V190,V197,V200:V201,V208,V210,V212,V216:V218,V220:V222,V227,V233:V234,V236:V238,V246,V251)</f>
        <v>270.42</v>
      </c>
      <c r="W118" s="111">
        <f t="shared" si="107"/>
        <v>283.28000000000003</v>
      </c>
      <c r="X118" s="111">
        <f t="shared" ref="X118" si="108">SUM(X22,X28,X31:X32,X66,X68:X69,X71,X73,X119:X123,X155,X161,X167,X176,X178,X190,X197,X200:X201,X208,X210,X212,X216:X218,X220:X222,X227,X233:X234,X236:X238,X246,X251)</f>
        <v>335.08</v>
      </c>
      <c r="Y118" s="111">
        <f t="shared" ref="Y118:Z118" si="109">SUM(Y22,Y28,Y31:Y32,Y66,Y68:Y69,Y71,Y73,Y119:Y123,Y155,Y161,Y167,Y176,Y178,Y190,Y197,Y200:Y201,Y208,Y210,Y212,Y216:Y218,Y220:Y222,Y227,Y233:Y234,Y236:Y238,Y246,Y251)</f>
        <v>378.38000000000005</v>
      </c>
      <c r="Z118" s="111">
        <f t="shared" si="109"/>
        <v>396.78</v>
      </c>
      <c r="AA118" s="111">
        <f t="shared" ref="AA118" si="110">SUM(AA22,AA28,AA31:AA32,AA66,AA68:AA69,AA71,AA73,AA119:AA123,AA155,AA161,AA167,AA176,AA178,AA190,AA197,AA200:AA201,AA208,AA210,AA212,AA216:AA218,AA220:AA222,AA227,AA233:AA234,AA236:AA238,AA246,AA251)</f>
        <v>377.05999999999995</v>
      </c>
      <c r="AB118" s="111">
        <f t="shared" si="105"/>
        <v>409.03999999999996</v>
      </c>
      <c r="AC118" s="111">
        <f t="shared" si="105"/>
        <v>414.03999999999996</v>
      </c>
      <c r="AD118" s="111">
        <f t="shared" si="105"/>
        <v>293.14000000000004</v>
      </c>
      <c r="AE118" s="111">
        <f t="shared" si="105"/>
        <v>181.83999999999997</v>
      </c>
      <c r="AF118" s="111">
        <f t="shared" si="105"/>
        <v>166.94</v>
      </c>
      <c r="AG118" s="112"/>
      <c r="AH118" s="47">
        <f t="shared" si="36"/>
        <v>414.03999999999996</v>
      </c>
      <c r="AI118" s="48">
        <f t="shared" si="37"/>
        <v>42</v>
      </c>
    </row>
    <row r="119" spans="1:35" x14ac:dyDescent="0.25">
      <c r="A119" s="172" t="s">
        <v>118</v>
      </c>
      <c r="B119" s="113">
        <v>1.1000000000000001</v>
      </c>
      <c r="C119" s="113">
        <v>-7</v>
      </c>
      <c r="D119" s="113">
        <v>-4.8</v>
      </c>
      <c r="E119" s="113">
        <v>-17.7</v>
      </c>
      <c r="F119" s="113">
        <v>-18</v>
      </c>
      <c r="G119" s="113">
        <v>-16.7</v>
      </c>
      <c r="H119" s="113">
        <v>-5.7</v>
      </c>
      <c r="I119" s="113">
        <v>3.8</v>
      </c>
      <c r="J119" s="113">
        <v>9.6</v>
      </c>
      <c r="K119" s="113">
        <v>16.3</v>
      </c>
      <c r="L119" s="113">
        <v>21</v>
      </c>
      <c r="M119" s="113">
        <v>28.7</v>
      </c>
      <c r="N119" s="113">
        <v>26.3</v>
      </c>
      <c r="O119" s="113">
        <v>25.1</v>
      </c>
      <c r="P119" s="113">
        <v>23.7</v>
      </c>
      <c r="Q119" s="113">
        <v>17.100000000000001</v>
      </c>
      <c r="R119" s="113">
        <v>15.7</v>
      </c>
      <c r="S119" s="113">
        <v>16.3</v>
      </c>
      <c r="T119" s="113">
        <v>9.1999999999999993</v>
      </c>
      <c r="U119" s="113">
        <v>6.9</v>
      </c>
      <c r="V119" s="113">
        <v>10.5</v>
      </c>
      <c r="W119" s="113">
        <v>8.5</v>
      </c>
      <c r="X119" s="113">
        <v>54.6</v>
      </c>
      <c r="Y119" s="113">
        <v>49.4</v>
      </c>
      <c r="Z119" s="113">
        <v>51.8</v>
      </c>
      <c r="AA119" s="113">
        <v>60.3</v>
      </c>
      <c r="AB119" s="113">
        <v>60.3</v>
      </c>
      <c r="AC119" s="113">
        <v>60.3</v>
      </c>
      <c r="AD119" s="113">
        <v>27.6</v>
      </c>
      <c r="AE119" s="113">
        <v>4.5999999999999996</v>
      </c>
      <c r="AF119" s="113">
        <v>5</v>
      </c>
      <c r="AG119" s="114">
        <v>75</v>
      </c>
      <c r="AH119" s="47">
        <f t="shared" si="36"/>
        <v>60.3</v>
      </c>
      <c r="AI119" s="48">
        <f t="shared" si="37"/>
        <v>-18</v>
      </c>
    </row>
    <row r="120" spans="1:35" x14ac:dyDescent="0.25">
      <c r="A120" s="173" t="s">
        <v>119</v>
      </c>
      <c r="B120" s="115">
        <v>-4.2</v>
      </c>
      <c r="C120" s="115">
        <v>-14.9</v>
      </c>
      <c r="D120" s="115">
        <v>-11.9</v>
      </c>
      <c r="E120" s="115">
        <v>-29.9</v>
      </c>
      <c r="F120" s="115">
        <v>-29.3</v>
      </c>
      <c r="G120" s="115">
        <v>-27.8</v>
      </c>
      <c r="H120" s="115">
        <v>-13</v>
      </c>
      <c r="I120" s="115">
        <v>1.1000000000000001</v>
      </c>
      <c r="J120" s="115">
        <v>7.1</v>
      </c>
      <c r="K120" s="115">
        <v>27.3</v>
      </c>
      <c r="L120" s="115">
        <v>32.1</v>
      </c>
      <c r="M120" s="115">
        <v>39.700000000000003</v>
      </c>
      <c r="N120" s="115">
        <v>37.299999999999997</v>
      </c>
      <c r="O120" s="115">
        <v>36.9</v>
      </c>
      <c r="P120" s="115">
        <v>27.6</v>
      </c>
      <c r="Q120" s="115">
        <v>18.7</v>
      </c>
      <c r="R120" s="115">
        <v>16.3</v>
      </c>
      <c r="S120" s="115">
        <v>17.899999999999999</v>
      </c>
      <c r="T120" s="115">
        <v>5.5</v>
      </c>
      <c r="U120" s="115">
        <v>1.5</v>
      </c>
      <c r="V120" s="115">
        <v>11.6</v>
      </c>
      <c r="W120" s="115">
        <v>12.8</v>
      </c>
      <c r="X120" s="115">
        <v>77.5</v>
      </c>
      <c r="Y120" s="115">
        <v>69.5</v>
      </c>
      <c r="Z120" s="115">
        <v>73.3</v>
      </c>
      <c r="AA120" s="115">
        <v>84.1</v>
      </c>
      <c r="AB120" s="115">
        <v>84.3</v>
      </c>
      <c r="AC120" s="115">
        <v>84.3</v>
      </c>
      <c r="AD120" s="115">
        <v>32.4</v>
      </c>
      <c r="AE120" s="115">
        <v>1.9</v>
      </c>
      <c r="AF120" s="115">
        <v>2.2000000000000002</v>
      </c>
      <c r="AG120" s="114">
        <v>240</v>
      </c>
      <c r="AH120" s="47">
        <f t="shared" si="36"/>
        <v>84.3</v>
      </c>
      <c r="AI120" s="48">
        <f t="shared" si="37"/>
        <v>-29.9</v>
      </c>
    </row>
    <row r="121" spans="1:35" x14ac:dyDescent="0.25">
      <c r="A121" s="173" t="s">
        <v>120</v>
      </c>
      <c r="B121" s="115">
        <v>-16.2</v>
      </c>
      <c r="C121" s="115">
        <v>-17</v>
      </c>
      <c r="D121" s="115">
        <v>-19.3</v>
      </c>
      <c r="E121" s="115">
        <v>-14.9</v>
      </c>
      <c r="F121" s="115">
        <v>-11.2</v>
      </c>
      <c r="G121" s="115">
        <v>-9.3000000000000007</v>
      </c>
      <c r="H121" s="115">
        <v>-9</v>
      </c>
      <c r="I121" s="115">
        <v>0</v>
      </c>
      <c r="J121" s="115">
        <v>5.5</v>
      </c>
      <c r="K121" s="115">
        <v>20.6</v>
      </c>
      <c r="L121" s="115">
        <v>28.4</v>
      </c>
      <c r="M121" s="115">
        <v>27.7</v>
      </c>
      <c r="N121" s="115">
        <f>15+18.6</f>
        <v>33.6</v>
      </c>
      <c r="O121" s="115">
        <f>13.8+17.1</f>
        <v>30.900000000000002</v>
      </c>
      <c r="P121" s="115">
        <f>12+15</f>
        <v>27</v>
      </c>
      <c r="Q121" s="115">
        <f>6+7.6</f>
        <v>13.6</v>
      </c>
      <c r="R121" s="115">
        <v>12</v>
      </c>
      <c r="S121" s="115">
        <v>9.4</v>
      </c>
      <c r="T121" s="115">
        <v>13.6</v>
      </c>
      <c r="U121" s="115">
        <v>11</v>
      </c>
      <c r="V121" s="115">
        <v>27.6</v>
      </c>
      <c r="W121" s="115">
        <v>30</v>
      </c>
      <c r="X121" s="115">
        <v>25</v>
      </c>
      <c r="Y121" s="115">
        <v>38.5</v>
      </c>
      <c r="Z121" s="115">
        <v>29</v>
      </c>
      <c r="AA121" s="115">
        <v>20</v>
      </c>
      <c r="AB121" s="115">
        <v>18.600000000000001</v>
      </c>
      <c r="AC121" s="115">
        <v>18.600000000000001</v>
      </c>
      <c r="AD121" s="115">
        <v>15</v>
      </c>
      <c r="AE121" s="115">
        <v>-20</v>
      </c>
      <c r="AF121" s="115">
        <v>-26</v>
      </c>
      <c r="AG121" s="114">
        <v>240</v>
      </c>
      <c r="AH121" s="47">
        <f t="shared" si="36"/>
        <v>38.5</v>
      </c>
      <c r="AI121" s="48">
        <f t="shared" si="37"/>
        <v>-26</v>
      </c>
    </row>
    <row r="122" spans="1:35" ht="15.75" thickBot="1" x14ac:dyDescent="0.3">
      <c r="A122" s="173" t="s">
        <v>121</v>
      </c>
      <c r="B122" s="115">
        <v>-7.4</v>
      </c>
      <c r="C122" s="115">
        <v>-8.8000000000000007</v>
      </c>
      <c r="D122" s="115">
        <v>-9</v>
      </c>
      <c r="E122" s="115">
        <v>-6.8</v>
      </c>
      <c r="F122" s="115">
        <v>-10.1</v>
      </c>
      <c r="G122" s="115">
        <v>-8.6999999999999993</v>
      </c>
      <c r="H122" s="115">
        <v>-3</v>
      </c>
      <c r="I122" s="115">
        <v>-3.1</v>
      </c>
      <c r="J122" s="115">
        <v>0.6</v>
      </c>
      <c r="K122" s="115">
        <v>16</v>
      </c>
      <c r="L122" s="115">
        <v>18.3</v>
      </c>
      <c r="M122" s="115">
        <v>18.100000000000001</v>
      </c>
      <c r="N122" s="115">
        <v>19.8</v>
      </c>
      <c r="O122" s="115">
        <v>19.399999999999999</v>
      </c>
      <c r="P122" s="115">
        <v>5.5</v>
      </c>
      <c r="Q122" s="115">
        <v>3.8</v>
      </c>
      <c r="R122" s="115">
        <v>-1.5</v>
      </c>
      <c r="S122" s="115">
        <v>-2.7</v>
      </c>
      <c r="T122" s="115">
        <v>3.1</v>
      </c>
      <c r="U122" s="115">
        <v>-2.5</v>
      </c>
      <c r="V122" s="115">
        <v>14.6</v>
      </c>
      <c r="W122" s="115">
        <v>17</v>
      </c>
      <c r="X122" s="115">
        <v>22.6</v>
      </c>
      <c r="Y122" s="115">
        <v>25.6</v>
      </c>
      <c r="Z122" s="115">
        <v>25.7</v>
      </c>
      <c r="AA122" s="115">
        <v>24.8</v>
      </c>
      <c r="AB122" s="115">
        <v>24.3</v>
      </c>
      <c r="AC122" s="115">
        <v>24.3</v>
      </c>
      <c r="AD122" s="115">
        <v>6.8</v>
      </c>
      <c r="AE122" s="115">
        <v>-6</v>
      </c>
      <c r="AF122" s="115">
        <v>-5.6</v>
      </c>
      <c r="AG122" s="114">
        <v>60</v>
      </c>
      <c r="AH122" s="47">
        <f t="shared" si="36"/>
        <v>25.7</v>
      </c>
      <c r="AI122" s="48">
        <f t="shared" si="37"/>
        <v>-10.1</v>
      </c>
    </row>
    <row r="123" spans="1:35" x14ac:dyDescent="0.25">
      <c r="A123" s="172" t="s">
        <v>259</v>
      </c>
      <c r="B123" s="117">
        <f>62.6*1.67</f>
        <v>104.542</v>
      </c>
      <c r="C123" s="117">
        <f>64.6*1.67</f>
        <v>107.88199999999999</v>
      </c>
      <c r="D123" s="117">
        <f>61.2*1.67</f>
        <v>102.20399999999999</v>
      </c>
      <c r="E123" s="117">
        <f>1.64*77.2</f>
        <v>126.608</v>
      </c>
      <c r="F123" s="117">
        <f>1.64*87.3</f>
        <v>143.172</v>
      </c>
      <c r="G123" s="117">
        <f>1.64*87</f>
        <v>142.67999999999998</v>
      </c>
      <c r="H123" s="117">
        <f>1.64*81.3</f>
        <v>133.33199999999999</v>
      </c>
      <c r="I123" s="117">
        <f>1.64*86.3</f>
        <v>141.53199999999998</v>
      </c>
      <c r="J123" s="117">
        <f>1.64*96.4</f>
        <v>158.096</v>
      </c>
      <c r="K123" s="117">
        <f>1.64*78.5</f>
        <v>128.73999999999998</v>
      </c>
      <c r="L123" s="117">
        <f>1.64*92.7</f>
        <v>152.02799999999999</v>
      </c>
      <c r="M123" s="117">
        <f>1.64*91.6</f>
        <v>150.22399999999999</v>
      </c>
      <c r="N123" s="117">
        <f>95.6*1.64</f>
        <v>156.78399999999999</v>
      </c>
      <c r="O123" s="117">
        <f>82*1.64</f>
        <v>134.47999999999999</v>
      </c>
      <c r="P123" s="117">
        <f>83.9*1.64</f>
        <v>137.596</v>
      </c>
      <c r="Q123" s="117">
        <f>81*1.64</f>
        <v>132.84</v>
      </c>
      <c r="R123" s="117">
        <f>79.6*1.63</f>
        <v>129.74799999999999</v>
      </c>
      <c r="S123" s="117">
        <f>78.6*1.63</f>
        <v>128.11799999999999</v>
      </c>
      <c r="T123" s="117">
        <f>82.1*1.6</f>
        <v>131.35999999999999</v>
      </c>
      <c r="U123" s="117">
        <f>87*1.6</f>
        <v>139.20000000000002</v>
      </c>
      <c r="V123" s="117">
        <f>70.8*1.6</f>
        <v>113.28</v>
      </c>
      <c r="W123" s="117">
        <f>76.9*1.6</f>
        <v>123.04000000000002</v>
      </c>
      <c r="X123" s="117">
        <f>39.9*1.6</f>
        <v>63.84</v>
      </c>
      <c r="Y123" s="117">
        <f>64.9*1.6</f>
        <v>103.84000000000002</v>
      </c>
      <c r="Z123" s="117">
        <f>78.4*1.6</f>
        <v>125.44000000000001</v>
      </c>
      <c r="AA123" s="117">
        <f>60.2*1.6</f>
        <v>96.320000000000007</v>
      </c>
      <c r="AB123" s="117">
        <v>130</v>
      </c>
      <c r="AC123" s="117">
        <v>135</v>
      </c>
      <c r="AD123" s="117">
        <v>120</v>
      </c>
      <c r="AE123" s="117">
        <v>110</v>
      </c>
      <c r="AF123" s="117">
        <v>100</v>
      </c>
      <c r="AG123" s="118">
        <v>120</v>
      </c>
      <c r="AH123" s="47">
        <f t="shared" si="36"/>
        <v>158.096</v>
      </c>
      <c r="AI123" s="48">
        <f t="shared" si="37"/>
        <v>63.84</v>
      </c>
    </row>
    <row r="124" spans="1:35" x14ac:dyDescent="0.25">
      <c r="A124" s="173" t="s">
        <v>258</v>
      </c>
      <c r="B124" s="117">
        <v>76.099999999999994</v>
      </c>
      <c r="C124" s="117">
        <v>77.400000000000006</v>
      </c>
      <c r="D124" s="117">
        <v>75.5</v>
      </c>
      <c r="E124" s="117">
        <v>87.7</v>
      </c>
      <c r="F124" s="117">
        <v>98.7</v>
      </c>
      <c r="G124" s="117">
        <v>95.2</v>
      </c>
      <c r="H124" s="117">
        <v>90.5</v>
      </c>
      <c r="I124" s="117">
        <v>93.4</v>
      </c>
      <c r="J124" s="117">
        <v>101.6</v>
      </c>
      <c r="K124" s="117">
        <v>88.1</v>
      </c>
      <c r="L124" s="117">
        <v>99</v>
      </c>
      <c r="M124" s="117">
        <v>97.8</v>
      </c>
      <c r="N124" s="117">
        <v>101.6</v>
      </c>
      <c r="O124" s="117">
        <v>88.5</v>
      </c>
      <c r="P124" s="117">
        <v>92.6</v>
      </c>
      <c r="Q124" s="117">
        <v>89.4</v>
      </c>
      <c r="R124" s="117">
        <v>85.2</v>
      </c>
      <c r="S124" s="117">
        <v>87.5</v>
      </c>
      <c r="T124" s="117">
        <v>88.7</v>
      </c>
      <c r="U124" s="117">
        <v>95</v>
      </c>
      <c r="V124" s="117">
        <v>80.599999999999994</v>
      </c>
      <c r="W124" s="117">
        <v>83.7</v>
      </c>
      <c r="X124" s="117">
        <v>53.9</v>
      </c>
      <c r="Y124" s="117">
        <v>74.099999999999994</v>
      </c>
      <c r="Z124" s="117">
        <v>85.8</v>
      </c>
      <c r="AA124" s="117">
        <v>71.599999999999994</v>
      </c>
      <c r="AB124" s="117">
        <v>64.400000000000006</v>
      </c>
      <c r="AC124" s="117">
        <v>64.400000000000006</v>
      </c>
      <c r="AD124" s="117">
        <v>92</v>
      </c>
      <c r="AE124" s="117">
        <v>85</v>
      </c>
      <c r="AF124" s="117">
        <v>81</v>
      </c>
      <c r="AG124" s="118"/>
      <c r="AH124" s="47"/>
      <c r="AI124" s="48"/>
    </row>
    <row r="125" spans="1:35" x14ac:dyDescent="0.25">
      <c r="A125" s="173" t="s">
        <v>255</v>
      </c>
      <c r="B125" s="117">
        <v>57.3</v>
      </c>
      <c r="C125" s="117">
        <v>71</v>
      </c>
      <c r="D125" s="117">
        <v>68.8</v>
      </c>
      <c r="E125" s="117">
        <v>32.700000000000003</v>
      </c>
      <c r="F125" s="117">
        <v>31.7</v>
      </c>
      <c r="G125" s="117">
        <v>80</v>
      </c>
      <c r="H125" s="117">
        <v>64.8</v>
      </c>
      <c r="I125" s="117">
        <v>48.7</v>
      </c>
      <c r="J125" s="117">
        <v>41</v>
      </c>
      <c r="K125" s="117">
        <v>-2.6</v>
      </c>
      <c r="L125" s="117">
        <v>-5.3</v>
      </c>
      <c r="M125" s="117">
        <v>-13.8</v>
      </c>
      <c r="N125" s="117">
        <v>-8.3000000000000007</v>
      </c>
      <c r="O125" s="117">
        <v>-15.8</v>
      </c>
      <c r="P125" s="117">
        <v>4</v>
      </c>
      <c r="Q125" s="117">
        <v>22.2</v>
      </c>
      <c r="R125" s="117">
        <v>23.7</v>
      </c>
      <c r="S125" s="117">
        <v>31.2</v>
      </c>
      <c r="T125" s="117">
        <v>37.1</v>
      </c>
      <c r="U125" s="117">
        <v>40.5</v>
      </c>
      <c r="V125" s="117">
        <v>6.3</v>
      </c>
      <c r="W125" s="117">
        <v>2.1</v>
      </c>
      <c r="X125" s="117">
        <v>-65.5</v>
      </c>
      <c r="Y125" s="117">
        <v>-54</v>
      </c>
      <c r="Z125" s="117">
        <v>-42.8</v>
      </c>
      <c r="AA125" s="117">
        <v>-56</v>
      </c>
      <c r="AB125" s="117">
        <v>-59.9</v>
      </c>
      <c r="AC125" s="117">
        <v>-59.9</v>
      </c>
      <c r="AD125" s="117">
        <v>12</v>
      </c>
      <c r="AE125" s="117">
        <v>55</v>
      </c>
      <c r="AF125" s="117">
        <v>58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74</v>
      </c>
      <c r="C126" s="117">
        <v>73.400000000000006</v>
      </c>
      <c r="D126" s="117">
        <v>70.900000000000006</v>
      </c>
      <c r="E126" s="117">
        <v>96</v>
      </c>
      <c r="F126" s="117">
        <v>102</v>
      </c>
      <c r="G126" s="117">
        <v>95.6</v>
      </c>
      <c r="H126" s="117">
        <v>93</v>
      </c>
      <c r="I126" s="117">
        <v>88.5</v>
      </c>
      <c r="J126" s="117">
        <v>92.3</v>
      </c>
      <c r="K126" s="117">
        <v>68.5</v>
      </c>
      <c r="L126" s="117">
        <v>91.4</v>
      </c>
      <c r="M126" s="117">
        <v>84.5</v>
      </c>
      <c r="N126" s="117">
        <v>101.1</v>
      </c>
      <c r="O126" s="117">
        <v>87.2</v>
      </c>
      <c r="P126" s="117">
        <v>84</v>
      </c>
      <c r="Q126" s="117">
        <v>82.8</v>
      </c>
      <c r="R126" s="117">
        <v>82.2</v>
      </c>
      <c r="S126" s="117">
        <v>83.3</v>
      </c>
      <c r="T126" s="117">
        <v>85.7</v>
      </c>
      <c r="U126" s="117">
        <v>93</v>
      </c>
      <c r="V126" s="117">
        <v>68.7</v>
      </c>
      <c r="W126" s="117">
        <v>72.5</v>
      </c>
      <c r="X126" s="117">
        <v>30.9</v>
      </c>
      <c r="Y126" s="117">
        <v>52.6</v>
      </c>
      <c r="Z126" s="117">
        <v>62.9</v>
      </c>
      <c r="AA126" s="117">
        <v>51.7</v>
      </c>
      <c r="AB126" s="117">
        <v>52.7</v>
      </c>
      <c r="AC126" s="117">
        <v>52.7</v>
      </c>
      <c r="AD126" s="117">
        <v>95</v>
      </c>
      <c r="AE126" s="117">
        <v>90</v>
      </c>
      <c r="AF126" s="117">
        <v>94</v>
      </c>
      <c r="AG126" s="114"/>
      <c r="AH126" s="47">
        <f t="shared" si="36"/>
        <v>102</v>
      </c>
      <c r="AI126" s="48">
        <f t="shared" si="37"/>
        <v>30.9</v>
      </c>
    </row>
    <row r="127" spans="1:35" x14ac:dyDescent="0.25">
      <c r="A127" s="172" t="s">
        <v>587</v>
      </c>
      <c r="B127" s="117">
        <v>21.1</v>
      </c>
      <c r="C127" s="117">
        <v>23.2</v>
      </c>
      <c r="D127" s="117">
        <v>21.6</v>
      </c>
      <c r="E127" s="117">
        <v>32.799999999999997</v>
      </c>
      <c r="F127" s="117">
        <v>37</v>
      </c>
      <c r="G127" s="117">
        <v>35.1</v>
      </c>
      <c r="H127" s="117">
        <v>30.8</v>
      </c>
      <c r="I127" s="117">
        <v>23.4</v>
      </c>
      <c r="J127" s="117">
        <v>18</v>
      </c>
      <c r="K127" s="117">
        <v>11.8</v>
      </c>
      <c r="L127" s="117">
        <v>7.7</v>
      </c>
      <c r="M127" s="117">
        <v>5.4</v>
      </c>
      <c r="N127" s="117">
        <v>5.3</v>
      </c>
      <c r="O127" s="117">
        <v>8.6999999999999993</v>
      </c>
      <c r="P127" s="117">
        <v>12.9</v>
      </c>
      <c r="Q127" s="117">
        <v>20</v>
      </c>
      <c r="R127" s="117">
        <v>13.8</v>
      </c>
      <c r="S127" s="117">
        <v>30.4</v>
      </c>
      <c r="T127" s="117">
        <v>15.4</v>
      </c>
      <c r="U127" s="117">
        <v>15.9</v>
      </c>
      <c r="V127" s="117">
        <v>8.8000000000000007</v>
      </c>
      <c r="W127" s="117">
        <v>8.6999999999999993</v>
      </c>
      <c r="X127" s="117">
        <v>-16.100000000000001</v>
      </c>
      <c r="Y127" s="117">
        <v>-11</v>
      </c>
      <c r="Z127" s="117">
        <v>-12.9</v>
      </c>
      <c r="AA127" s="117">
        <v>-14.1</v>
      </c>
      <c r="AB127" s="117">
        <v>-13.9</v>
      </c>
      <c r="AC127" s="117">
        <v>-13.9</v>
      </c>
      <c r="AD127" s="117">
        <v>6.8</v>
      </c>
      <c r="AE127" s="117">
        <v>17</v>
      </c>
      <c r="AF127" s="106">
        <v>15</v>
      </c>
      <c r="AG127" s="114"/>
      <c r="AH127" s="47">
        <f t="shared" si="36"/>
        <v>37</v>
      </c>
      <c r="AI127" s="48">
        <f t="shared" si="37"/>
        <v>-16.100000000000001</v>
      </c>
    </row>
    <row r="128" spans="1:35" x14ac:dyDescent="0.25">
      <c r="A128" s="173" t="s">
        <v>123</v>
      </c>
      <c r="B128" s="106">
        <v>-5.8</v>
      </c>
      <c r="C128" s="106">
        <v>-4.8</v>
      </c>
      <c r="D128" s="106">
        <v>-5.3</v>
      </c>
      <c r="E128" s="106">
        <f>--5.2</f>
        <v>5.2</v>
      </c>
      <c r="F128" s="106">
        <v>-5.5</v>
      </c>
      <c r="G128" s="106">
        <v>-5.8</v>
      </c>
      <c r="H128" s="106">
        <v>-12.1</v>
      </c>
      <c r="I128" s="106">
        <v>-18.2</v>
      </c>
      <c r="J128" s="106">
        <v>-28.7</v>
      </c>
      <c r="K128" s="106">
        <v>-31</v>
      </c>
      <c r="L128" s="106">
        <v>-35.299999999999997</v>
      </c>
      <c r="M128" s="106">
        <v>-33.200000000000003</v>
      </c>
      <c r="N128" s="106">
        <v>-2.1</v>
      </c>
      <c r="O128" s="106">
        <v>-2.2000000000000002</v>
      </c>
      <c r="P128" s="106">
        <v>4.8</v>
      </c>
      <c r="Q128" s="106">
        <v>8</v>
      </c>
      <c r="R128" s="106">
        <v>6.2</v>
      </c>
      <c r="S128" s="106">
        <v>6</v>
      </c>
      <c r="T128" s="106">
        <v>7.4</v>
      </c>
      <c r="U128" s="106">
        <v>6</v>
      </c>
      <c r="V128" s="106">
        <v>-20.3</v>
      </c>
      <c r="W128" s="106">
        <v>-45.4</v>
      </c>
      <c r="X128" s="106">
        <v>-55.9</v>
      </c>
      <c r="Y128" s="106">
        <v>-55.1</v>
      </c>
      <c r="Z128" s="106">
        <v>-49.9</v>
      </c>
      <c r="AA128" s="106">
        <v>-42.8</v>
      </c>
      <c r="AB128" s="106">
        <v>-34.799999999999997</v>
      </c>
      <c r="AC128" s="106">
        <v>-34.799999999999997</v>
      </c>
      <c r="AD128" s="106">
        <v>-21</v>
      </c>
      <c r="AE128" s="106">
        <v>-10</v>
      </c>
      <c r="AF128" s="106">
        <v>-9.8000000000000007</v>
      </c>
      <c r="AG128" s="114"/>
      <c r="AH128" s="47">
        <f t="shared" si="36"/>
        <v>8</v>
      </c>
      <c r="AI128" s="48">
        <f t="shared" si="37"/>
        <v>-55.9</v>
      </c>
    </row>
    <row r="129" spans="1:37" x14ac:dyDescent="0.25">
      <c r="A129" s="173" t="s">
        <v>260</v>
      </c>
      <c r="B129" s="106">
        <v>26.4</v>
      </c>
      <c r="C129" s="106">
        <v>26.6</v>
      </c>
      <c r="D129" s="106">
        <v>26.4</v>
      </c>
      <c r="E129" s="106">
        <v>26.3</v>
      </c>
      <c r="F129" s="106">
        <v>26.7</v>
      </c>
      <c r="G129" s="106">
        <v>26.6</v>
      </c>
      <c r="H129" s="106">
        <v>27.4</v>
      </c>
      <c r="I129" s="106">
        <v>28</v>
      </c>
      <c r="J129" s="106">
        <v>29.2</v>
      </c>
      <c r="K129" s="106">
        <v>9.8000000000000007</v>
      </c>
      <c r="L129" s="106">
        <v>9.6999999999999993</v>
      </c>
      <c r="M129" s="106">
        <v>9.6999999999999993</v>
      </c>
      <c r="N129" s="106">
        <v>9.8000000000000007</v>
      </c>
      <c r="O129" s="106">
        <v>7.6</v>
      </c>
      <c r="P129" s="106">
        <v>13.7</v>
      </c>
      <c r="Q129" s="106">
        <v>27.5</v>
      </c>
      <c r="R129" s="106">
        <v>27.4</v>
      </c>
      <c r="S129" s="106">
        <v>27.1</v>
      </c>
      <c r="T129" s="106">
        <v>27.1</v>
      </c>
      <c r="U129" s="106">
        <v>27.5</v>
      </c>
      <c r="V129" s="106">
        <v>8.6</v>
      </c>
      <c r="W129" s="106">
        <v>8.4</v>
      </c>
      <c r="X129" s="106">
        <v>9.6999999999999993</v>
      </c>
      <c r="Y129" s="106">
        <v>10</v>
      </c>
      <c r="Z129" s="106">
        <v>9.8000000000000007</v>
      </c>
      <c r="AA129" s="106">
        <v>9.1999999999999993</v>
      </c>
      <c r="AB129" s="106">
        <v>8.5</v>
      </c>
      <c r="AC129" s="106">
        <v>8.5</v>
      </c>
      <c r="AD129" s="106">
        <v>8</v>
      </c>
      <c r="AE129" s="106">
        <v>25</v>
      </c>
      <c r="AF129" s="106">
        <v>25</v>
      </c>
      <c r="AG129" s="114"/>
      <c r="AH129" s="47">
        <f t="shared" si="36"/>
        <v>29.2</v>
      </c>
      <c r="AI129" s="48">
        <f t="shared" si="37"/>
        <v>7.6</v>
      </c>
    </row>
    <row r="130" spans="1:37" ht="15.75" thickBot="1" x14ac:dyDescent="0.3">
      <c r="A130" s="173" t="s">
        <v>257</v>
      </c>
      <c r="B130" s="106">
        <v>90.1</v>
      </c>
      <c r="C130" s="106">
        <v>83.6</v>
      </c>
      <c r="D130" s="106">
        <v>84.4</v>
      </c>
      <c r="E130" s="106">
        <v>80.7</v>
      </c>
      <c r="F130" s="106">
        <v>93.1</v>
      </c>
      <c r="G130" s="106">
        <v>89.4</v>
      </c>
      <c r="H130" s="106">
        <v>86.7</v>
      </c>
      <c r="I130" s="106">
        <v>87.8</v>
      </c>
      <c r="J130" s="106">
        <v>99.3</v>
      </c>
      <c r="K130" s="106">
        <v>89.5</v>
      </c>
      <c r="L130" s="106">
        <v>90.8</v>
      </c>
      <c r="M130" s="106">
        <v>90.4</v>
      </c>
      <c r="N130" s="106">
        <v>55.4</v>
      </c>
      <c r="O130" s="106">
        <v>52.2</v>
      </c>
      <c r="P130" s="106">
        <v>68.900000000000006</v>
      </c>
      <c r="Q130" s="106">
        <v>63.4</v>
      </c>
      <c r="R130" s="106">
        <v>72.5</v>
      </c>
      <c r="S130" s="106">
        <v>69.8</v>
      </c>
      <c r="T130" s="106">
        <v>69.599999999999994</v>
      </c>
      <c r="U130" s="106">
        <v>68.7</v>
      </c>
      <c r="V130" s="106">
        <v>68</v>
      </c>
      <c r="W130" s="106">
        <v>79.7</v>
      </c>
      <c r="X130" s="106">
        <v>90.1</v>
      </c>
      <c r="Y130" s="106">
        <v>106.9</v>
      </c>
      <c r="Z130" s="106">
        <v>106.4</v>
      </c>
      <c r="AA130" s="106">
        <v>98.7</v>
      </c>
      <c r="AB130" s="106">
        <v>99.2</v>
      </c>
      <c r="AC130" s="106">
        <v>99.2</v>
      </c>
      <c r="AD130" s="106">
        <v>104</v>
      </c>
      <c r="AE130" s="106">
        <v>92</v>
      </c>
      <c r="AF130" s="106">
        <v>88.9</v>
      </c>
      <c r="AG130" s="114"/>
      <c r="AH130" s="47">
        <f t="shared" si="36"/>
        <v>106.9</v>
      </c>
      <c r="AI130" s="48">
        <f t="shared" si="37"/>
        <v>52.2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1983.9</v>
      </c>
      <c r="C132" s="147">
        <v>1984.2</v>
      </c>
      <c r="D132" s="147">
        <v>1984.45</v>
      </c>
      <c r="E132" s="147">
        <v>1984.66</v>
      </c>
      <c r="F132" s="147">
        <v>1984.89</v>
      </c>
      <c r="G132" s="147">
        <v>1985.11</v>
      </c>
      <c r="H132" s="147"/>
      <c r="I132" s="147">
        <v>1985.3</v>
      </c>
      <c r="J132" s="147"/>
      <c r="K132" s="147">
        <v>1985.12</v>
      </c>
      <c r="L132" s="147"/>
      <c r="M132" s="147">
        <v>1984.65</v>
      </c>
      <c r="N132" s="147">
        <v>1984</v>
      </c>
      <c r="O132" s="147">
        <v>1983.7</v>
      </c>
      <c r="P132" s="147">
        <v>1983.98</v>
      </c>
      <c r="Q132" s="147">
        <v>1984.2</v>
      </c>
      <c r="R132" s="147">
        <v>1984.4</v>
      </c>
      <c r="S132" s="147">
        <v>1984.6</v>
      </c>
      <c r="T132" s="147">
        <v>1984.8</v>
      </c>
      <c r="U132" s="147">
        <v>1985</v>
      </c>
      <c r="V132" s="147">
        <v>1985.2</v>
      </c>
      <c r="W132" s="147"/>
      <c r="X132" s="147">
        <v>1985.35</v>
      </c>
      <c r="Y132" s="147">
        <v>1985.26</v>
      </c>
      <c r="Z132" s="147">
        <v>1984.91</v>
      </c>
      <c r="AA132" s="147">
        <v>1984.55</v>
      </c>
      <c r="AB132" s="147">
        <v>1984.3</v>
      </c>
      <c r="AC132" s="147"/>
      <c r="AD132" s="147">
        <v>1984.3</v>
      </c>
      <c r="AE132" s="147">
        <v>1984.4</v>
      </c>
      <c r="AF132" s="148">
        <v>1984.55</v>
      </c>
      <c r="AG132" s="149"/>
      <c r="AH132" s="47"/>
      <c r="AI132" s="48"/>
    </row>
    <row r="133" spans="1:37" x14ac:dyDescent="0.25">
      <c r="A133" s="185" t="s">
        <v>238</v>
      </c>
      <c r="B133" s="150">
        <v>520.28</v>
      </c>
      <c r="C133" s="150">
        <v>520.66</v>
      </c>
      <c r="D133" s="150">
        <v>521.02</v>
      </c>
      <c r="E133" s="150">
        <v>521.36</v>
      </c>
      <c r="F133" s="150">
        <v>521.67999999999995</v>
      </c>
      <c r="G133" s="150">
        <v>521.98</v>
      </c>
      <c r="H133" s="150"/>
      <c r="I133" s="150">
        <v>522.13</v>
      </c>
      <c r="J133" s="150"/>
      <c r="K133" s="150">
        <v>522.08000000000004</v>
      </c>
      <c r="L133" s="150"/>
      <c r="M133" s="150">
        <v>521.96</v>
      </c>
      <c r="N133" s="150">
        <v>521.76</v>
      </c>
      <c r="O133" s="150">
        <v>521.6</v>
      </c>
      <c r="P133" s="150">
        <v>521.58000000000004</v>
      </c>
      <c r="Q133" s="150">
        <v>521.54999999999995</v>
      </c>
      <c r="R133" s="150">
        <v>521.6</v>
      </c>
      <c r="S133" s="150">
        <v>521.74</v>
      </c>
      <c r="T133" s="150">
        <v>521.88</v>
      </c>
      <c r="U133" s="150">
        <v>522</v>
      </c>
      <c r="V133" s="150">
        <v>522.1</v>
      </c>
      <c r="W133" s="150"/>
      <c r="X133" s="150">
        <v>522.17999999999995</v>
      </c>
      <c r="Y133" s="150"/>
      <c r="Z133" s="150">
        <v>521.66</v>
      </c>
      <c r="AA133" s="150"/>
      <c r="AB133" s="150">
        <v>521</v>
      </c>
      <c r="AC133" s="150"/>
      <c r="AD133" s="150">
        <v>520.54</v>
      </c>
      <c r="AE133" s="150">
        <v>520.29999999999995</v>
      </c>
      <c r="AF133" s="151">
        <v>520.34</v>
      </c>
      <c r="AG133" s="149"/>
      <c r="AH133" s="47"/>
      <c r="AI133" s="48"/>
    </row>
    <row r="134" spans="1:37" x14ac:dyDescent="0.25">
      <c r="A134" s="185" t="s">
        <v>239</v>
      </c>
      <c r="B134" s="150">
        <v>623.08000000000004</v>
      </c>
      <c r="C134" s="150">
        <v>623.41999999999996</v>
      </c>
      <c r="D134" s="150">
        <v>623.84</v>
      </c>
      <c r="E134" s="150">
        <v>624.14</v>
      </c>
      <c r="F134" s="150">
        <v>624.54</v>
      </c>
      <c r="G134" s="150">
        <v>624.85</v>
      </c>
      <c r="H134" s="150"/>
      <c r="I134" s="150">
        <v>624.84</v>
      </c>
      <c r="J134" s="150"/>
      <c r="K134" s="150">
        <v>624.91</v>
      </c>
      <c r="L134" s="150"/>
      <c r="M134" s="150">
        <v>624.61</v>
      </c>
      <c r="N134" s="150">
        <v>624.36</v>
      </c>
      <c r="O134" s="150">
        <v>624.03</v>
      </c>
      <c r="P134" s="150">
        <v>623.78</v>
      </c>
      <c r="Q134" s="150">
        <v>623.54999999999995</v>
      </c>
      <c r="R134" s="150">
        <v>623.41999999999996</v>
      </c>
      <c r="S134" s="150">
        <v>623.44000000000005</v>
      </c>
      <c r="T134" s="150">
        <v>623.6</v>
      </c>
      <c r="U134" s="150">
        <v>623.96</v>
      </c>
      <c r="V134" s="150">
        <v>624.28</v>
      </c>
      <c r="W134" s="150"/>
      <c r="X134" s="150">
        <v>624.34</v>
      </c>
      <c r="Y134" s="150"/>
      <c r="Z134" s="150">
        <v>623.89</v>
      </c>
      <c r="AA134" s="150"/>
      <c r="AB134" s="150">
        <v>623.29999999999995</v>
      </c>
      <c r="AC134" s="150"/>
      <c r="AD134" s="150">
        <v>622.89</v>
      </c>
      <c r="AE134" s="150">
        <v>622.97</v>
      </c>
      <c r="AF134" s="151">
        <v>623.16</v>
      </c>
      <c r="AG134" s="149"/>
      <c r="AH134" s="47"/>
      <c r="AI134" s="48"/>
    </row>
    <row r="135" spans="1:37" x14ac:dyDescent="0.25">
      <c r="A135" s="185" t="s">
        <v>240</v>
      </c>
      <c r="B135" s="150">
        <v>335.78</v>
      </c>
      <c r="C135" s="150">
        <v>336.18</v>
      </c>
      <c r="D135" s="150">
        <v>336.6</v>
      </c>
      <c r="E135" s="150">
        <v>336.91</v>
      </c>
      <c r="F135" s="150">
        <v>337.13</v>
      </c>
      <c r="G135" s="150">
        <v>337.33</v>
      </c>
      <c r="H135" s="150"/>
      <c r="I135" s="150">
        <v>337.37</v>
      </c>
      <c r="J135" s="150"/>
      <c r="K135" s="150">
        <v>337.22</v>
      </c>
      <c r="L135" s="150"/>
      <c r="M135" s="150">
        <v>337.02</v>
      </c>
      <c r="N135" s="150">
        <v>336.75</v>
      </c>
      <c r="O135" s="150">
        <v>336.56</v>
      </c>
      <c r="P135" s="150">
        <v>336.35</v>
      </c>
      <c r="Q135" s="150">
        <v>336.15</v>
      </c>
      <c r="R135" s="150">
        <v>335.97</v>
      </c>
      <c r="S135" s="150">
        <v>336.17</v>
      </c>
      <c r="T135" s="150">
        <v>336.34</v>
      </c>
      <c r="U135" s="150">
        <v>336.44</v>
      </c>
      <c r="V135" s="150">
        <v>336.53</v>
      </c>
      <c r="W135" s="150"/>
      <c r="X135" s="150">
        <v>336.71</v>
      </c>
      <c r="Y135" s="150"/>
      <c r="Z135" s="150">
        <v>336.64</v>
      </c>
      <c r="AA135" s="150"/>
      <c r="AB135" s="150">
        <v>336.29</v>
      </c>
      <c r="AC135" s="150"/>
      <c r="AD135" s="150"/>
      <c r="AE135" s="150">
        <v>335.73</v>
      </c>
      <c r="AF135" s="151">
        <v>335.64</v>
      </c>
      <c r="AG135" s="149"/>
      <c r="AH135" s="47"/>
      <c r="AI135" s="48"/>
    </row>
    <row r="136" spans="1:37" x14ac:dyDescent="0.25">
      <c r="A136" s="185" t="s">
        <v>384</v>
      </c>
      <c r="B136" s="150">
        <v>884.9</v>
      </c>
      <c r="C136" s="150">
        <v>885.5</v>
      </c>
      <c r="D136" s="150">
        <v>886</v>
      </c>
      <c r="E136" s="150">
        <v>886.5</v>
      </c>
      <c r="F136" s="150">
        <v>886.9</v>
      </c>
      <c r="G136" s="150">
        <v>887.1</v>
      </c>
      <c r="H136" s="150"/>
      <c r="I136" s="150">
        <v>887.1</v>
      </c>
      <c r="J136" s="150"/>
      <c r="K136" s="150">
        <v>886.5</v>
      </c>
      <c r="L136" s="150"/>
      <c r="M136" s="150">
        <v>885.6</v>
      </c>
      <c r="N136" s="150">
        <v>884.8</v>
      </c>
      <c r="O136" s="150"/>
      <c r="P136" s="150">
        <v>884.6</v>
      </c>
      <c r="Q136" s="150">
        <v>884.5</v>
      </c>
      <c r="R136" s="150">
        <v>884.3</v>
      </c>
      <c r="S136" s="150">
        <v>884.2</v>
      </c>
      <c r="T136" s="150">
        <v>884.1</v>
      </c>
      <c r="U136" s="150">
        <v>884.5</v>
      </c>
      <c r="V136" s="150">
        <v>885.1</v>
      </c>
      <c r="W136" s="150"/>
      <c r="X136" s="150">
        <v>885.7</v>
      </c>
      <c r="Y136" s="150"/>
      <c r="Z136" s="150">
        <v>885.6</v>
      </c>
      <c r="AA136" s="150">
        <v>885</v>
      </c>
      <c r="AB136" s="150">
        <v>884.7</v>
      </c>
      <c r="AC136" s="150"/>
      <c r="AD136" s="150">
        <v>884.4</v>
      </c>
      <c r="AE136" s="150">
        <v>884.3</v>
      </c>
      <c r="AF136" s="151">
        <v>884.9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1519.04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11">SUM(B139:B243)</f>
        <v>0</v>
      </c>
      <c r="C244" s="134">
        <f t="shared" si="111"/>
        <v>0</v>
      </c>
      <c r="D244" s="134">
        <f t="shared" si="111"/>
        <v>0</v>
      </c>
      <c r="E244" s="134">
        <f t="shared" si="111"/>
        <v>0</v>
      </c>
      <c r="F244" s="134">
        <f t="shared" si="111"/>
        <v>0</v>
      </c>
      <c r="G244" s="134">
        <f t="shared" si="111"/>
        <v>0</v>
      </c>
      <c r="H244" s="134">
        <f t="shared" si="111"/>
        <v>0</v>
      </c>
      <c r="I244" s="134">
        <f t="shared" si="111"/>
        <v>0</v>
      </c>
      <c r="J244" s="134">
        <f t="shared" si="111"/>
        <v>0</v>
      </c>
      <c r="K244" s="134">
        <f t="shared" si="111"/>
        <v>0</v>
      </c>
      <c r="L244" s="134">
        <f t="shared" si="111"/>
        <v>0</v>
      </c>
      <c r="M244" s="134">
        <f t="shared" si="111"/>
        <v>0</v>
      </c>
      <c r="N244" s="134">
        <f t="shared" si="111"/>
        <v>0</v>
      </c>
      <c r="O244" s="134">
        <f t="shared" si="111"/>
        <v>0</v>
      </c>
      <c r="P244" s="134">
        <f t="shared" si="111"/>
        <v>0</v>
      </c>
      <c r="Q244" s="134">
        <f t="shared" si="111"/>
        <v>0</v>
      </c>
      <c r="R244" s="134">
        <f t="shared" si="111"/>
        <v>0</v>
      </c>
      <c r="S244" s="134">
        <f t="shared" si="111"/>
        <v>0</v>
      </c>
      <c r="T244" s="134">
        <f t="shared" si="111"/>
        <v>0</v>
      </c>
      <c r="U244" s="134">
        <f t="shared" si="111"/>
        <v>0</v>
      </c>
      <c r="V244" s="134">
        <f t="shared" si="111"/>
        <v>0</v>
      </c>
      <c r="W244" s="134">
        <f t="shared" si="111"/>
        <v>0</v>
      </c>
      <c r="X244" s="134">
        <f t="shared" si="111"/>
        <v>0</v>
      </c>
      <c r="Y244" s="134">
        <f t="shared" si="111"/>
        <v>0</v>
      </c>
      <c r="Z244" s="134">
        <f t="shared" si="111"/>
        <v>0</v>
      </c>
      <c r="AA244" s="134">
        <f t="shared" si="111"/>
        <v>0</v>
      </c>
      <c r="AB244" s="134">
        <f t="shared" si="111"/>
        <v>0</v>
      </c>
      <c r="AC244" s="134">
        <f t="shared" si="111"/>
        <v>0</v>
      </c>
      <c r="AD244" s="134">
        <f t="shared" si="111"/>
        <v>0</v>
      </c>
      <c r="AE244" s="134">
        <f t="shared" si="111"/>
        <v>0</v>
      </c>
      <c r="AF244" s="135">
        <f t="shared" si="111"/>
        <v>0</v>
      </c>
      <c r="AG244" s="136">
        <f t="shared" si="11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12">AF246</f>
        <v>0.3</v>
      </c>
      <c r="C246" s="138">
        <v>0.3</v>
      </c>
      <c r="D246" s="138">
        <f t="shared" ref="D246:S251" si="113">C246</f>
        <v>0.3</v>
      </c>
      <c r="E246" s="138">
        <f t="shared" si="113"/>
        <v>0.3</v>
      </c>
      <c r="F246" s="138">
        <f t="shared" si="113"/>
        <v>0.3</v>
      </c>
      <c r="G246" s="138">
        <f t="shared" si="113"/>
        <v>0.3</v>
      </c>
      <c r="H246" s="138">
        <f t="shared" si="113"/>
        <v>0.3</v>
      </c>
      <c r="I246" s="138">
        <f t="shared" si="113"/>
        <v>0.3</v>
      </c>
      <c r="J246" s="138">
        <f t="shared" si="113"/>
        <v>0.3</v>
      </c>
      <c r="K246" s="138">
        <f t="shared" si="113"/>
        <v>0.3</v>
      </c>
      <c r="L246" s="138">
        <f t="shared" si="113"/>
        <v>0.3</v>
      </c>
      <c r="M246" s="138">
        <f t="shared" si="113"/>
        <v>0.3</v>
      </c>
      <c r="N246" s="138">
        <f t="shared" si="113"/>
        <v>0.3</v>
      </c>
      <c r="O246" s="138">
        <f t="shared" si="113"/>
        <v>0.3</v>
      </c>
      <c r="P246" s="138">
        <f t="shared" si="113"/>
        <v>0.3</v>
      </c>
      <c r="Q246" s="138">
        <f t="shared" si="113"/>
        <v>0.3</v>
      </c>
      <c r="R246" s="138">
        <f t="shared" si="113"/>
        <v>0.3</v>
      </c>
      <c r="S246" s="138">
        <f t="shared" si="113"/>
        <v>0.3</v>
      </c>
      <c r="T246" s="138">
        <f t="shared" ref="T246:AF251" si="114">S246</f>
        <v>0.3</v>
      </c>
      <c r="U246" s="138">
        <f t="shared" si="114"/>
        <v>0.3</v>
      </c>
      <c r="V246" s="138">
        <f t="shared" si="114"/>
        <v>0.3</v>
      </c>
      <c r="W246" s="138">
        <f t="shared" si="114"/>
        <v>0.3</v>
      </c>
      <c r="X246" s="138">
        <f t="shared" si="114"/>
        <v>0.3</v>
      </c>
      <c r="Y246" s="138">
        <f t="shared" si="114"/>
        <v>0.3</v>
      </c>
      <c r="Z246" s="138">
        <f t="shared" si="114"/>
        <v>0.3</v>
      </c>
      <c r="AA246" s="138">
        <f t="shared" si="114"/>
        <v>0.3</v>
      </c>
      <c r="AB246" s="138">
        <f t="shared" si="114"/>
        <v>0.3</v>
      </c>
      <c r="AC246" s="138">
        <f t="shared" si="114"/>
        <v>0.3</v>
      </c>
      <c r="AD246" s="138">
        <f t="shared" si="114"/>
        <v>0.3</v>
      </c>
      <c r="AE246" s="138">
        <f t="shared" si="114"/>
        <v>0.3</v>
      </c>
      <c r="AF246" s="138">
        <f t="shared" si="11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12"/>
        <v>0.4</v>
      </c>
      <c r="C247" s="126">
        <v>0.4</v>
      </c>
      <c r="D247" s="126">
        <f t="shared" si="113"/>
        <v>0.4</v>
      </c>
      <c r="E247" s="126">
        <f t="shared" si="113"/>
        <v>0.4</v>
      </c>
      <c r="F247" s="126">
        <f t="shared" si="113"/>
        <v>0.4</v>
      </c>
      <c r="G247" s="126">
        <f t="shared" si="113"/>
        <v>0.4</v>
      </c>
      <c r="H247" s="126">
        <f t="shared" si="113"/>
        <v>0.4</v>
      </c>
      <c r="I247" s="126">
        <f t="shared" si="113"/>
        <v>0.4</v>
      </c>
      <c r="J247" s="126">
        <f t="shared" si="113"/>
        <v>0.4</v>
      </c>
      <c r="K247" s="126">
        <f t="shared" si="113"/>
        <v>0.4</v>
      </c>
      <c r="L247" s="126">
        <f t="shared" si="113"/>
        <v>0.4</v>
      </c>
      <c r="M247" s="126">
        <f t="shared" si="113"/>
        <v>0.4</v>
      </c>
      <c r="N247" s="126">
        <f t="shared" si="113"/>
        <v>0.4</v>
      </c>
      <c r="O247" s="126">
        <f t="shared" si="113"/>
        <v>0.4</v>
      </c>
      <c r="P247" s="126">
        <f t="shared" si="113"/>
        <v>0.4</v>
      </c>
      <c r="Q247" s="126">
        <f t="shared" si="113"/>
        <v>0.4</v>
      </c>
      <c r="R247" s="126">
        <f t="shared" si="113"/>
        <v>0.4</v>
      </c>
      <c r="S247" s="126">
        <f t="shared" si="113"/>
        <v>0.4</v>
      </c>
      <c r="T247" s="126">
        <f t="shared" si="114"/>
        <v>0.4</v>
      </c>
      <c r="U247" s="126">
        <f t="shared" si="114"/>
        <v>0.4</v>
      </c>
      <c r="V247" s="126">
        <f t="shared" si="114"/>
        <v>0.4</v>
      </c>
      <c r="W247" s="126">
        <f t="shared" si="114"/>
        <v>0.4</v>
      </c>
      <c r="X247" s="126">
        <f t="shared" si="114"/>
        <v>0.4</v>
      </c>
      <c r="Y247" s="126">
        <f t="shared" si="114"/>
        <v>0.4</v>
      </c>
      <c r="Z247" s="126">
        <f t="shared" si="114"/>
        <v>0.4</v>
      </c>
      <c r="AA247" s="126">
        <f t="shared" si="114"/>
        <v>0.4</v>
      </c>
      <c r="AB247" s="126">
        <f t="shared" si="114"/>
        <v>0.4</v>
      </c>
      <c r="AC247" s="126">
        <f t="shared" si="114"/>
        <v>0.4</v>
      </c>
      <c r="AD247" s="126">
        <f t="shared" si="114"/>
        <v>0.4</v>
      </c>
      <c r="AE247" s="126">
        <f t="shared" si="114"/>
        <v>0.4</v>
      </c>
      <c r="AF247" s="126">
        <f t="shared" si="11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12"/>
        <v>1.5</v>
      </c>
      <c r="C248" s="126">
        <v>1.5</v>
      </c>
      <c r="D248" s="126">
        <f t="shared" si="113"/>
        <v>1.5</v>
      </c>
      <c r="E248" s="126">
        <f t="shared" si="113"/>
        <v>1.5</v>
      </c>
      <c r="F248" s="126">
        <f t="shared" si="113"/>
        <v>1.5</v>
      </c>
      <c r="G248" s="126">
        <f t="shared" si="113"/>
        <v>1.5</v>
      </c>
      <c r="H248" s="126">
        <f t="shared" si="113"/>
        <v>1.5</v>
      </c>
      <c r="I248" s="126">
        <f t="shared" si="113"/>
        <v>1.5</v>
      </c>
      <c r="J248" s="126">
        <f t="shared" si="113"/>
        <v>1.5</v>
      </c>
      <c r="K248" s="126">
        <f t="shared" si="113"/>
        <v>1.5</v>
      </c>
      <c r="L248" s="126">
        <f t="shared" si="113"/>
        <v>1.5</v>
      </c>
      <c r="M248" s="126">
        <f t="shared" si="113"/>
        <v>1.5</v>
      </c>
      <c r="N248" s="126">
        <f t="shared" si="113"/>
        <v>1.5</v>
      </c>
      <c r="O248" s="126">
        <f t="shared" si="113"/>
        <v>1.5</v>
      </c>
      <c r="P248" s="126">
        <f t="shared" si="113"/>
        <v>1.5</v>
      </c>
      <c r="Q248" s="126">
        <f t="shared" si="113"/>
        <v>1.5</v>
      </c>
      <c r="R248" s="126">
        <f t="shared" si="113"/>
        <v>1.5</v>
      </c>
      <c r="S248" s="126">
        <f t="shared" si="113"/>
        <v>1.5</v>
      </c>
      <c r="T248" s="126">
        <f t="shared" si="114"/>
        <v>1.5</v>
      </c>
      <c r="U248" s="126">
        <f t="shared" si="114"/>
        <v>1.5</v>
      </c>
      <c r="V248" s="126">
        <f t="shared" si="114"/>
        <v>1.5</v>
      </c>
      <c r="W248" s="126">
        <f t="shared" si="114"/>
        <v>1.5</v>
      </c>
      <c r="X248" s="126">
        <f t="shared" si="114"/>
        <v>1.5</v>
      </c>
      <c r="Y248" s="126">
        <f t="shared" si="114"/>
        <v>1.5</v>
      </c>
      <c r="Z248" s="126">
        <f t="shared" si="114"/>
        <v>1.5</v>
      </c>
      <c r="AA248" s="126">
        <f t="shared" si="114"/>
        <v>1.5</v>
      </c>
      <c r="AB248" s="126">
        <f t="shared" si="114"/>
        <v>1.5</v>
      </c>
      <c r="AC248" s="126">
        <f t="shared" si="114"/>
        <v>1.5</v>
      </c>
      <c r="AD248" s="126">
        <f t="shared" si="114"/>
        <v>1.5</v>
      </c>
      <c r="AE248" s="126">
        <f t="shared" si="114"/>
        <v>1.5</v>
      </c>
      <c r="AF248" s="126">
        <f t="shared" si="11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12"/>
        <v>0.3</v>
      </c>
      <c r="C249" s="126">
        <v>0.3</v>
      </c>
      <c r="D249" s="126">
        <f t="shared" si="113"/>
        <v>0.3</v>
      </c>
      <c r="E249" s="126">
        <f t="shared" si="113"/>
        <v>0.3</v>
      </c>
      <c r="F249" s="126">
        <f t="shared" si="113"/>
        <v>0.3</v>
      </c>
      <c r="G249" s="126">
        <f t="shared" si="113"/>
        <v>0.3</v>
      </c>
      <c r="H249" s="126">
        <f t="shared" si="113"/>
        <v>0.3</v>
      </c>
      <c r="I249" s="126">
        <f t="shared" si="113"/>
        <v>0.3</v>
      </c>
      <c r="J249" s="126">
        <f t="shared" si="113"/>
        <v>0.3</v>
      </c>
      <c r="K249" s="126">
        <f t="shared" si="113"/>
        <v>0.3</v>
      </c>
      <c r="L249" s="126">
        <f t="shared" si="113"/>
        <v>0.3</v>
      </c>
      <c r="M249" s="126">
        <f t="shared" si="113"/>
        <v>0.3</v>
      </c>
      <c r="N249" s="126">
        <f t="shared" si="113"/>
        <v>0.3</v>
      </c>
      <c r="O249" s="126">
        <f t="shared" si="113"/>
        <v>0.3</v>
      </c>
      <c r="P249" s="126">
        <f t="shared" si="113"/>
        <v>0.3</v>
      </c>
      <c r="Q249" s="126">
        <f t="shared" si="113"/>
        <v>0.3</v>
      </c>
      <c r="R249" s="126">
        <f t="shared" si="113"/>
        <v>0.3</v>
      </c>
      <c r="S249" s="126">
        <f t="shared" si="113"/>
        <v>0.3</v>
      </c>
      <c r="T249" s="126">
        <f t="shared" si="114"/>
        <v>0.3</v>
      </c>
      <c r="U249" s="126">
        <f t="shared" si="114"/>
        <v>0.3</v>
      </c>
      <c r="V249" s="126">
        <f t="shared" si="114"/>
        <v>0.3</v>
      </c>
      <c r="W249" s="126">
        <f t="shared" si="114"/>
        <v>0.3</v>
      </c>
      <c r="X249" s="126">
        <f t="shared" si="114"/>
        <v>0.3</v>
      </c>
      <c r="Y249" s="126">
        <f t="shared" si="114"/>
        <v>0.3</v>
      </c>
      <c r="Z249" s="126">
        <f t="shared" si="114"/>
        <v>0.3</v>
      </c>
      <c r="AA249" s="126">
        <f t="shared" si="114"/>
        <v>0.3</v>
      </c>
      <c r="AB249" s="126">
        <f t="shared" si="114"/>
        <v>0.3</v>
      </c>
      <c r="AC249" s="126">
        <f t="shared" si="114"/>
        <v>0.3</v>
      </c>
      <c r="AD249" s="126">
        <f t="shared" si="114"/>
        <v>0.3</v>
      </c>
      <c r="AE249" s="126">
        <f t="shared" si="114"/>
        <v>0.3</v>
      </c>
      <c r="AF249" s="126">
        <f t="shared" si="11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12"/>
        <v>0.4</v>
      </c>
      <c r="C250" s="126">
        <v>0.4</v>
      </c>
      <c r="D250" s="126">
        <f t="shared" si="113"/>
        <v>0.4</v>
      </c>
      <c r="E250" s="126">
        <f t="shared" si="113"/>
        <v>0.4</v>
      </c>
      <c r="F250" s="126">
        <f t="shared" si="113"/>
        <v>0.4</v>
      </c>
      <c r="G250" s="126">
        <f t="shared" si="113"/>
        <v>0.4</v>
      </c>
      <c r="H250" s="126">
        <f t="shared" si="113"/>
        <v>0.4</v>
      </c>
      <c r="I250" s="126">
        <f t="shared" si="113"/>
        <v>0.4</v>
      </c>
      <c r="J250" s="126">
        <f t="shared" si="113"/>
        <v>0.4</v>
      </c>
      <c r="K250" s="126">
        <f t="shared" si="113"/>
        <v>0.4</v>
      </c>
      <c r="L250" s="126">
        <f t="shared" si="113"/>
        <v>0.4</v>
      </c>
      <c r="M250" s="126">
        <f t="shared" si="113"/>
        <v>0.4</v>
      </c>
      <c r="N250" s="126">
        <f t="shared" si="113"/>
        <v>0.4</v>
      </c>
      <c r="O250" s="126">
        <f t="shared" si="113"/>
        <v>0.4</v>
      </c>
      <c r="P250" s="126">
        <f t="shared" si="113"/>
        <v>0.4</v>
      </c>
      <c r="Q250" s="126">
        <f t="shared" si="113"/>
        <v>0.4</v>
      </c>
      <c r="R250" s="126">
        <f t="shared" si="113"/>
        <v>0.4</v>
      </c>
      <c r="S250" s="126">
        <f t="shared" si="113"/>
        <v>0.4</v>
      </c>
      <c r="T250" s="126">
        <f t="shared" si="114"/>
        <v>0.4</v>
      </c>
      <c r="U250" s="126">
        <f t="shared" si="114"/>
        <v>0.4</v>
      </c>
      <c r="V250" s="126">
        <f t="shared" si="114"/>
        <v>0.4</v>
      </c>
      <c r="W250" s="126">
        <f t="shared" si="114"/>
        <v>0.4</v>
      </c>
      <c r="X250" s="126">
        <f t="shared" si="114"/>
        <v>0.4</v>
      </c>
      <c r="Y250" s="126">
        <f t="shared" si="114"/>
        <v>0.4</v>
      </c>
      <c r="Z250" s="126">
        <f t="shared" si="114"/>
        <v>0.4</v>
      </c>
      <c r="AA250" s="126">
        <f t="shared" si="114"/>
        <v>0.4</v>
      </c>
      <c r="AB250" s="126">
        <f t="shared" si="114"/>
        <v>0.4</v>
      </c>
      <c r="AC250" s="126">
        <f t="shared" si="114"/>
        <v>0.4</v>
      </c>
      <c r="AD250" s="126">
        <f t="shared" si="114"/>
        <v>0.4</v>
      </c>
      <c r="AE250" s="126">
        <f t="shared" si="114"/>
        <v>0.4</v>
      </c>
      <c r="AF250" s="126">
        <f t="shared" si="11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12"/>
        <v>0.64</v>
      </c>
      <c r="C251" s="130">
        <v>0.64</v>
      </c>
      <c r="D251" s="130">
        <f t="shared" si="113"/>
        <v>0.64</v>
      </c>
      <c r="E251" s="130">
        <f t="shared" si="113"/>
        <v>0.64</v>
      </c>
      <c r="F251" s="130">
        <f t="shared" si="113"/>
        <v>0.64</v>
      </c>
      <c r="G251" s="130">
        <f t="shared" si="113"/>
        <v>0.64</v>
      </c>
      <c r="H251" s="130">
        <f t="shared" si="113"/>
        <v>0.64</v>
      </c>
      <c r="I251" s="130">
        <f t="shared" si="113"/>
        <v>0.64</v>
      </c>
      <c r="J251" s="130">
        <f t="shared" si="113"/>
        <v>0.64</v>
      </c>
      <c r="K251" s="130">
        <f t="shared" si="113"/>
        <v>0.64</v>
      </c>
      <c r="L251" s="130">
        <f t="shared" si="113"/>
        <v>0.64</v>
      </c>
      <c r="M251" s="130">
        <f t="shared" si="113"/>
        <v>0.64</v>
      </c>
      <c r="N251" s="130">
        <f t="shared" si="113"/>
        <v>0.64</v>
      </c>
      <c r="O251" s="130">
        <f t="shared" si="113"/>
        <v>0.64</v>
      </c>
      <c r="P251" s="130">
        <f t="shared" si="113"/>
        <v>0.64</v>
      </c>
      <c r="Q251" s="130">
        <f t="shared" si="113"/>
        <v>0.64</v>
      </c>
      <c r="R251" s="130">
        <f t="shared" si="113"/>
        <v>0.64</v>
      </c>
      <c r="S251" s="130">
        <f t="shared" si="113"/>
        <v>0.64</v>
      </c>
      <c r="T251" s="130">
        <f t="shared" si="114"/>
        <v>0.64</v>
      </c>
      <c r="U251" s="130">
        <f t="shared" si="114"/>
        <v>0.64</v>
      </c>
      <c r="V251" s="130">
        <f t="shared" si="114"/>
        <v>0.64</v>
      </c>
      <c r="W251" s="130">
        <f t="shared" si="114"/>
        <v>0.64</v>
      </c>
      <c r="X251" s="130">
        <f t="shared" si="114"/>
        <v>0.64</v>
      </c>
      <c r="Y251" s="130">
        <f t="shared" si="114"/>
        <v>0.64</v>
      </c>
      <c r="Z251" s="130">
        <f t="shared" si="114"/>
        <v>0.64</v>
      </c>
      <c r="AA251" s="130">
        <f t="shared" si="114"/>
        <v>0.64</v>
      </c>
      <c r="AB251" s="130">
        <f t="shared" si="114"/>
        <v>0.64</v>
      </c>
      <c r="AC251" s="130">
        <f t="shared" si="114"/>
        <v>0.64</v>
      </c>
      <c r="AD251" s="130">
        <f t="shared" si="114"/>
        <v>0.64</v>
      </c>
      <c r="AE251" s="130">
        <f t="shared" si="114"/>
        <v>0.64</v>
      </c>
      <c r="AF251" s="130">
        <f t="shared" si="11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5">SUM(B246:B251)</f>
        <v>3.54</v>
      </c>
      <c r="C252" s="134">
        <f t="shared" si="115"/>
        <v>3.54</v>
      </c>
      <c r="D252" s="134">
        <f t="shared" si="115"/>
        <v>3.54</v>
      </c>
      <c r="E252" s="134">
        <f t="shared" si="115"/>
        <v>3.54</v>
      </c>
      <c r="F252" s="134">
        <f t="shared" si="115"/>
        <v>3.54</v>
      </c>
      <c r="G252" s="134">
        <f t="shared" si="115"/>
        <v>3.54</v>
      </c>
      <c r="H252" s="134">
        <f t="shared" si="115"/>
        <v>3.54</v>
      </c>
      <c r="I252" s="134">
        <f t="shared" si="115"/>
        <v>3.54</v>
      </c>
      <c r="J252" s="134">
        <f t="shared" si="115"/>
        <v>3.54</v>
      </c>
      <c r="K252" s="134">
        <f t="shared" si="115"/>
        <v>3.54</v>
      </c>
      <c r="L252" s="134">
        <f t="shared" si="115"/>
        <v>3.54</v>
      </c>
      <c r="M252" s="134">
        <f t="shared" si="115"/>
        <v>3.54</v>
      </c>
      <c r="N252" s="134">
        <f t="shared" si="115"/>
        <v>3.54</v>
      </c>
      <c r="O252" s="134">
        <f t="shared" si="115"/>
        <v>3.54</v>
      </c>
      <c r="P252" s="134">
        <f t="shared" si="115"/>
        <v>3.54</v>
      </c>
      <c r="Q252" s="134">
        <f t="shared" si="115"/>
        <v>3.54</v>
      </c>
      <c r="R252" s="134">
        <f t="shared" si="115"/>
        <v>3.54</v>
      </c>
      <c r="S252" s="134">
        <f t="shared" si="115"/>
        <v>3.54</v>
      </c>
      <c r="T252" s="134">
        <f t="shared" si="115"/>
        <v>3.54</v>
      </c>
      <c r="U252" s="134">
        <f t="shared" si="115"/>
        <v>3.54</v>
      </c>
      <c r="V252" s="134">
        <f t="shared" si="115"/>
        <v>3.54</v>
      </c>
      <c r="W252" s="134">
        <f t="shared" si="115"/>
        <v>3.54</v>
      </c>
      <c r="X252" s="134">
        <f t="shared" si="115"/>
        <v>3.54</v>
      </c>
      <c r="Y252" s="134">
        <f t="shared" si="115"/>
        <v>3.54</v>
      </c>
      <c r="Z252" s="134">
        <f t="shared" si="115"/>
        <v>3.54</v>
      </c>
      <c r="AA252" s="134">
        <f t="shared" si="115"/>
        <v>3.54</v>
      </c>
      <c r="AB252" s="134">
        <f t="shared" si="115"/>
        <v>3.54</v>
      </c>
      <c r="AC252" s="134">
        <f t="shared" si="115"/>
        <v>3.54</v>
      </c>
      <c r="AD252" s="134">
        <f t="shared" si="115"/>
        <v>3.54</v>
      </c>
      <c r="AE252" s="134">
        <f t="shared" si="115"/>
        <v>3.54</v>
      </c>
      <c r="AF252" s="134">
        <f t="shared" si="115"/>
        <v>3.54</v>
      </c>
      <c r="AG252" s="143">
        <f t="shared" si="11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1643.29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5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2080/10/5)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2080/10/5)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116">B99</f>
        <v>1222.5899999999999</v>
      </c>
      <c r="U261" s="165">
        <f t="shared" si="116"/>
        <v>1224.79</v>
      </c>
      <c r="V261" s="165">
        <f t="shared" si="116"/>
        <v>1181.5900000000001</v>
      </c>
      <c r="W261" s="165">
        <f t="shared" si="116"/>
        <v>1192.79</v>
      </c>
      <c r="X261" s="165">
        <f t="shared" si="116"/>
        <v>1230.19</v>
      </c>
      <c r="Y261" s="165">
        <f t="shared" si="116"/>
        <v>1274.19</v>
      </c>
      <c r="Z261" s="165">
        <f t="shared" si="116"/>
        <v>1258.79</v>
      </c>
      <c r="AA261" s="165">
        <f t="shared" si="116"/>
        <v>1309.0900000000001</v>
      </c>
      <c r="AB261" s="165">
        <f t="shared" si="116"/>
        <v>1415.5900000000001</v>
      </c>
      <c r="AC261" s="165">
        <f t="shared" si="116"/>
        <v>1576.69</v>
      </c>
      <c r="AD261" s="165">
        <f t="shared" si="116"/>
        <v>1643.29</v>
      </c>
      <c r="AE261" s="165">
        <f t="shared" si="116"/>
        <v>1641.19</v>
      </c>
      <c r="AF261" s="165">
        <f t="shared" si="116"/>
        <v>1555.29</v>
      </c>
      <c r="AG261" s="165">
        <f t="shared" si="116"/>
        <v>1490.69</v>
      </c>
      <c r="AH261" s="165">
        <f t="shared" si="116"/>
        <v>1523.0900000000001</v>
      </c>
      <c r="AI261" s="165">
        <f t="shared" si="116"/>
        <v>1385.59</v>
      </c>
      <c r="AJ261" s="165">
        <f t="shared" si="116"/>
        <v>1368.29</v>
      </c>
      <c r="AK261" s="165">
        <f t="shared" si="116"/>
        <v>1326.5900000000001</v>
      </c>
      <c r="AL261" s="165">
        <f t="shared" si="116"/>
        <v>1319.0900000000001</v>
      </c>
      <c r="AM261" s="165">
        <f t="shared" si="116"/>
        <v>1330.19</v>
      </c>
      <c r="AN261" s="165">
        <f t="shared" si="116"/>
        <v>1391.99</v>
      </c>
      <c r="AO261" s="165">
        <f t="shared" si="116"/>
        <v>1483.5900000000001</v>
      </c>
      <c r="AP261" s="165">
        <f t="shared" si="116"/>
        <v>1453.0900000000001</v>
      </c>
      <c r="AQ261" s="165">
        <f t="shared" si="116"/>
        <v>1818.69</v>
      </c>
      <c r="AR261" s="165">
        <f t="shared" si="116"/>
        <v>1675.5900000000001</v>
      </c>
      <c r="AS261" s="165">
        <f t="shared" si="116"/>
        <v>1630.69</v>
      </c>
      <c r="AT261" s="165">
        <f t="shared" si="116"/>
        <v>1624.69</v>
      </c>
      <c r="AU261" s="165">
        <f t="shared" si="116"/>
        <v>1600.99</v>
      </c>
      <c r="AV261" s="165">
        <f t="shared" si="116"/>
        <v>1366.89</v>
      </c>
      <c r="AW261" s="165">
        <f t="shared" si="116"/>
        <v>1232.0900000000001</v>
      </c>
      <c r="AX261" s="165">
        <f t="shared" si="116"/>
        <v>1183.49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17">C251</f>
        <v>0.64</v>
      </c>
      <c r="C282" s="168">
        <f t="shared" si="117"/>
        <v>0.64</v>
      </c>
      <c r="D282" s="168">
        <f t="shared" si="117"/>
        <v>0.64</v>
      </c>
      <c r="E282" s="168">
        <f t="shared" si="117"/>
        <v>0.64</v>
      </c>
      <c r="F282" s="168">
        <f t="shared" si="117"/>
        <v>0.64</v>
      </c>
      <c r="G282" s="168">
        <f t="shared" si="117"/>
        <v>0.64</v>
      </c>
      <c r="H282" s="168">
        <f t="shared" si="117"/>
        <v>0.64</v>
      </c>
      <c r="I282" s="168">
        <f t="shared" si="117"/>
        <v>0.64</v>
      </c>
      <c r="J282" s="168">
        <f t="shared" si="117"/>
        <v>0.64</v>
      </c>
      <c r="K282" s="168">
        <f t="shared" si="117"/>
        <v>0.64</v>
      </c>
      <c r="L282" s="168">
        <f t="shared" si="117"/>
        <v>0.64</v>
      </c>
      <c r="M282" s="168">
        <f t="shared" si="117"/>
        <v>0.64</v>
      </c>
      <c r="N282" s="168">
        <f t="shared" si="117"/>
        <v>0.64</v>
      </c>
      <c r="O282" s="168">
        <f t="shared" si="117"/>
        <v>0.64</v>
      </c>
      <c r="P282" s="168">
        <f t="shared" si="117"/>
        <v>0.64</v>
      </c>
      <c r="Q282" s="168">
        <f t="shared" si="117"/>
        <v>0.64</v>
      </c>
      <c r="R282" s="168">
        <f t="shared" si="117"/>
        <v>0.64</v>
      </c>
      <c r="S282" s="168">
        <f t="shared" si="117"/>
        <v>0.64</v>
      </c>
      <c r="T282" s="168">
        <f t="shared" si="117"/>
        <v>0.64</v>
      </c>
      <c r="U282" s="168">
        <f t="shared" si="117"/>
        <v>0.64</v>
      </c>
      <c r="V282" s="168">
        <f t="shared" si="117"/>
        <v>0.64</v>
      </c>
      <c r="W282" s="168">
        <f t="shared" si="117"/>
        <v>0.64</v>
      </c>
      <c r="X282" s="168">
        <f t="shared" si="117"/>
        <v>0.64</v>
      </c>
      <c r="Y282" s="168">
        <f t="shared" si="117"/>
        <v>0.64</v>
      </c>
      <c r="Z282" s="168">
        <f t="shared" si="117"/>
        <v>0.64</v>
      </c>
      <c r="AA282" s="168">
        <f t="shared" si="117"/>
        <v>0.64</v>
      </c>
      <c r="AB282" s="168">
        <f t="shared" si="117"/>
        <v>0.64</v>
      </c>
      <c r="AC282" s="168">
        <f t="shared" si="117"/>
        <v>0.64</v>
      </c>
      <c r="AD282" s="168">
        <f t="shared" si="117"/>
        <v>0.64</v>
      </c>
      <c r="AE282" s="168">
        <f t="shared" si="117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4207" priority="1">
      <formula>$AH11=0</formula>
    </cfRule>
  </conditionalFormatting>
  <conditionalFormatting sqref="A132:A253">
    <cfRule type="expression" dxfId="4206" priority="6">
      <formula>$AH132=0</formula>
    </cfRule>
  </conditionalFormatting>
  <conditionalFormatting sqref="B8 M8 S8 AB8">
    <cfRule type="expression" dxfId="4205" priority="115">
      <formula>AND(C$9&gt;=8/24,C$9&lt;14/24)</formula>
    </cfRule>
    <cfRule type="expression" dxfId="4204" priority="116">
      <formula>C$9&lt;8/24</formula>
    </cfRule>
    <cfRule type="expression" dxfId="4203" priority="114">
      <formula>AND(C$9&gt;=14/24,C$9&lt;20/24)</formula>
    </cfRule>
  </conditionalFormatting>
  <conditionalFormatting sqref="B63:I74 K64:K68 J64:J74 AB69:AF73 K69:AA74">
    <cfRule type="expression" dxfId="4202" priority="21">
      <formula>B$9&gt;=20/24</formula>
    </cfRule>
    <cfRule type="expression" dxfId="4201" priority="22">
      <formula>AND(B$9&gt;=14/24,B$9&lt;20/24)</formula>
    </cfRule>
    <cfRule type="expression" dxfId="4200" priority="23">
      <formula>AND(B$9&gt;=8/24,B$9&lt;14/24)</formula>
    </cfRule>
    <cfRule type="expression" dxfId="4199" priority="24">
      <formula>B$9&lt;8/24</formula>
    </cfRule>
  </conditionalFormatting>
  <conditionalFormatting sqref="B56:Q56 R56:AF57 M57:Q57">
    <cfRule type="expression" dxfId="4198" priority="63">
      <formula>B$9&lt;8/24</formula>
    </cfRule>
  </conditionalFormatting>
  <conditionalFormatting sqref="B9:AF52">
    <cfRule type="expression" dxfId="4197" priority="26">
      <formula>B$9&gt;=20/24</formula>
    </cfRule>
    <cfRule type="expression" dxfId="4196" priority="27">
      <formula>AND(B$9&gt;=14/24,B$9&lt;20/24)</formula>
    </cfRule>
    <cfRule type="expression" dxfId="4195" priority="28">
      <formula>AND(B$9&gt;=8/24,B$9&lt;14/24)</formula>
    </cfRule>
    <cfRule type="expression" dxfId="4194" priority="29">
      <formula>B$9&lt;8/24</formula>
    </cfRule>
  </conditionalFormatting>
  <conditionalFormatting sqref="B11:AF54">
    <cfRule type="expression" dxfId="4193" priority="15">
      <formula>B11&gt;$AG11</formula>
    </cfRule>
  </conditionalFormatting>
  <conditionalFormatting sqref="B53:AF54">
    <cfRule type="expression" dxfId="4192" priority="11">
      <formula>B$9&gt;=20/24</formula>
    </cfRule>
    <cfRule type="expression" dxfId="4191" priority="12">
      <formula>AND(B$9&gt;=14/24,B$9&lt;20/24)</formula>
    </cfRule>
    <cfRule type="expression" dxfId="4190" priority="13">
      <formula>AND(B$9&gt;=8/24,B$9&lt;14/24)</formula>
    </cfRule>
    <cfRule type="expression" dxfId="4189" priority="14">
      <formula>B$9&lt;8/24</formula>
    </cfRule>
  </conditionalFormatting>
  <conditionalFormatting sqref="B55:AF55">
    <cfRule type="expression" dxfId="4188" priority="35">
      <formula>B55&gt;$AG55</formula>
    </cfRule>
  </conditionalFormatting>
  <conditionalFormatting sqref="B55:AF57">
    <cfRule type="expression" dxfId="4187" priority="31">
      <formula>B$9&gt;=20/24</formula>
    </cfRule>
    <cfRule type="expression" dxfId="4186" priority="32">
      <formula>AND(B$9&gt;=14/24,B$9&lt;20/24)</formula>
    </cfRule>
    <cfRule type="expression" dxfId="4185" priority="33">
      <formula>AND(B$9&gt;=8/24,B$9&lt;14/24)</formula>
    </cfRule>
  </conditionalFormatting>
  <conditionalFormatting sqref="B56:AF61">
    <cfRule type="expression" dxfId="4184" priority="30">
      <formula>B56&gt;$AG56</formula>
    </cfRule>
  </conditionalFormatting>
  <conditionalFormatting sqref="B59:AF61">
    <cfRule type="expression" dxfId="4183" priority="44">
      <formula>B$9&lt;8/24</formula>
    </cfRule>
    <cfRule type="expression" dxfId="4182" priority="43">
      <formula>AND(B$9&gt;=8/24,B$9&lt;14/24)</formula>
    </cfRule>
    <cfRule type="expression" dxfId="4181" priority="42">
      <formula>AND(B$9&gt;=14/24,B$9&lt;20/24)</formula>
    </cfRule>
    <cfRule type="expression" dxfId="4180" priority="41">
      <formula>B$9&gt;=20/24</formula>
    </cfRule>
  </conditionalFormatting>
  <conditionalFormatting sqref="B63:AF74">
    <cfRule type="expression" dxfId="4179" priority="20">
      <formula>B63&gt;$AG63</formula>
    </cfRule>
  </conditionalFormatting>
  <conditionalFormatting sqref="B77:AF79">
    <cfRule type="expression" dxfId="4178" priority="46">
      <formula>B$9&gt;=20/24</formula>
    </cfRule>
    <cfRule type="expression" dxfId="4177" priority="47">
      <formula>AND(B$9&gt;=14/24,B$9&lt;20/24)</formula>
    </cfRule>
    <cfRule type="expression" dxfId="4176" priority="48">
      <formula>AND(B$9&gt;=8/24,B$9&lt;14/24)</formula>
    </cfRule>
    <cfRule type="expression" dxfId="4175" priority="49">
      <formula>B$9&lt;8/24</formula>
    </cfRule>
    <cfRule type="expression" dxfId="4174" priority="45">
      <formula>B77&gt;$AG77</formula>
    </cfRule>
  </conditionalFormatting>
  <conditionalFormatting sqref="B81:AF99">
    <cfRule type="expression" dxfId="4173" priority="18">
      <formula>AND(B$9&gt;=8/24,B$9&lt;14/24)</formula>
    </cfRule>
    <cfRule type="expression" dxfId="4172" priority="16">
      <formula>B$9&gt;=20/24</formula>
    </cfRule>
    <cfRule type="expression" dxfId="4171" priority="19">
      <formula>B$9&lt;8/24</formula>
    </cfRule>
    <cfRule type="expression" dxfId="4170" priority="17">
      <formula>AND(B$9&gt;=14/24,B$9&lt;20/24)</formula>
    </cfRule>
  </conditionalFormatting>
  <conditionalFormatting sqref="B101:AF117">
    <cfRule type="expression" dxfId="4169" priority="9">
      <formula>AND(B$9&gt;=8/24,B$9&lt;14/24)</formula>
    </cfRule>
    <cfRule type="expression" dxfId="4168" priority="10">
      <formula>B$9&lt;8/24</formula>
    </cfRule>
    <cfRule type="expression" dxfId="4167" priority="8">
      <formula>AND(B$9&gt;=14/24,B$9&lt;20/24)</formula>
    </cfRule>
    <cfRule type="expression" dxfId="4166" priority="7">
      <formula>B$9&gt;=20/24</formula>
    </cfRule>
  </conditionalFormatting>
  <conditionalFormatting sqref="B119:AF137">
    <cfRule type="expression" dxfId="4165" priority="2">
      <formula>B$9&gt;=20/24</formula>
    </cfRule>
    <cfRule type="expression" dxfId="4164" priority="3">
      <formula>AND(B$9&gt;=14/24,B$9&lt;20/24)</formula>
    </cfRule>
    <cfRule type="expression" dxfId="4163" priority="4">
      <formula>AND(B$9&gt;=8/24,B$9&lt;14/24)</formula>
    </cfRule>
    <cfRule type="expression" dxfId="4162" priority="5">
      <formula>B$9&lt;8/24</formula>
    </cfRule>
  </conditionalFormatting>
  <conditionalFormatting sqref="B244:AF244 B246:B252 D246:AF252 U260:AF260">
    <cfRule type="expression" dxfId="4161" priority="110">
      <formula>B$9&lt;8/24</formula>
    </cfRule>
    <cfRule type="expression" dxfId="4160" priority="109">
      <formula>AND(B$9&gt;=8/24,B$9&lt;14/24)</formula>
    </cfRule>
    <cfRule type="expression" dxfId="4159" priority="107">
      <formula>B$9&gt;=20/24</formula>
    </cfRule>
    <cfRule type="expression" dxfId="4158" priority="108">
      <formula>AND(B$9&gt;=14/24,B$9&lt;20/24)</formula>
    </cfRule>
  </conditionalFormatting>
  <conditionalFormatting sqref="B62:AG62">
    <cfRule type="expression" dxfId="4157" priority="50">
      <formula>B62&gt;$AG62</formula>
    </cfRule>
    <cfRule type="expression" dxfId="4156" priority="51">
      <formula>B$9&gt;=20/24</formula>
    </cfRule>
    <cfRule type="expression" dxfId="4155" priority="52">
      <formula>AND(B$9&gt;=14/24,B$9&lt;20/24)</formula>
    </cfRule>
    <cfRule type="expression" dxfId="4154" priority="53">
      <formula>AND(B$9&gt;=8/24,B$9&lt;14/24)</formula>
    </cfRule>
    <cfRule type="expression" dxfId="4153" priority="54">
      <formula>B$9&lt;8/24</formula>
    </cfRule>
  </conditionalFormatting>
  <conditionalFormatting sqref="B75:AG76 B80:AG80">
    <cfRule type="expression" dxfId="4152" priority="36">
      <formula>B75&gt;$AG75</formula>
    </cfRule>
  </conditionalFormatting>
  <conditionalFormatting sqref="B80:AG80">
    <cfRule type="expression" dxfId="4151" priority="39">
      <formula>AND(B$9&gt;=8/24,B$9&lt;14/24)</formula>
    </cfRule>
    <cfRule type="expression" dxfId="4150" priority="40">
      <formula>B$9&lt;8/24</formula>
    </cfRule>
    <cfRule type="expression" dxfId="4149" priority="37">
      <formula>B$9&gt;=20/24</formula>
    </cfRule>
    <cfRule type="expression" dxfId="4148" priority="38">
      <formula>AND(B$9&gt;=14/24,B$9&lt;20/24)</formula>
    </cfRule>
  </conditionalFormatting>
  <conditionalFormatting sqref="G63:L65">
    <cfRule type="expression" dxfId="4147" priority="91">
      <formula>G$9&lt;8/24</formula>
    </cfRule>
    <cfRule type="expression" dxfId="4146" priority="90">
      <formula>AND(G$9&gt;=8/24,G$9&lt;14/24)</formula>
    </cfRule>
    <cfRule type="expression" dxfId="4145" priority="89">
      <formula>AND(G$9&gt;=14/24,G$9&lt;20/24)</formula>
    </cfRule>
    <cfRule type="expression" dxfId="4144" priority="88">
      <formula>G$9&gt;=20/24</formula>
    </cfRule>
  </conditionalFormatting>
  <conditionalFormatting sqref="G68:AF68">
    <cfRule type="expression" dxfId="4143" priority="67">
      <formula>AND(G$9&gt;=8/24,G$9&lt;14/24)</formula>
    </cfRule>
    <cfRule type="expression" dxfId="4142" priority="68">
      <formula>G$9&lt;8/24</formula>
    </cfRule>
    <cfRule type="expression" dxfId="4141" priority="65">
      <formula>G$9&gt;=20/24</formula>
    </cfRule>
    <cfRule type="expression" dxfId="4140" priority="66">
      <formula>AND(G$9&gt;=14/24,G$9&lt;20/24)</formula>
    </cfRule>
  </conditionalFormatting>
  <conditionalFormatting sqref="G69:AF74">
    <cfRule type="expression" dxfId="4139" priority="55">
      <formula>G$9&gt;=20/24</formula>
    </cfRule>
    <cfRule type="expression" dxfId="4138" priority="57">
      <formula>AND(G$9&gt;=8/24,G$9&lt;14/24)</formula>
    </cfRule>
    <cfRule type="expression" dxfId="4137" priority="58">
      <formula>G$9&lt;8/24</formula>
    </cfRule>
    <cfRule type="expression" dxfId="4136" priority="56">
      <formula>AND(G$9&gt;=14/24,G$9&lt;20/24)</formula>
    </cfRule>
  </conditionalFormatting>
  <conditionalFormatting sqref="M63:R67">
    <cfRule type="expression" dxfId="4135" priority="95">
      <formula>M$9&lt;8/24</formula>
    </cfRule>
    <cfRule type="expression" dxfId="4134" priority="92">
      <formula>M$9&gt;=20/24</formula>
    </cfRule>
    <cfRule type="expression" dxfId="4133" priority="93">
      <formula>AND(M$9&gt;=14/24,M$9&lt;20/24)</formula>
    </cfRule>
    <cfRule type="expression" dxfId="4132" priority="94">
      <formula>AND(M$9&gt;=8/24,M$9&lt;14/24)</formula>
    </cfRule>
  </conditionalFormatting>
  <conditionalFormatting sqref="M55:AF56 B55:L57">
    <cfRule type="expression" dxfId="4131" priority="34">
      <formula>B$9&lt;8/24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130" priority="113">
      <formula>C$9&gt;=20/24</formula>
    </cfRule>
  </conditionalFormatting>
  <conditionalFormatting sqref="S8">
    <cfRule type="expression" dxfId="4129" priority="102">
      <formula>AND(U$9&gt;=8/24,U$9&lt;14/24)</formula>
    </cfRule>
    <cfRule type="expression" dxfId="4128" priority="103">
      <formula>U$9&lt;8/24</formula>
    </cfRule>
    <cfRule type="expression" dxfId="4127" priority="100">
      <formula>U$9&gt;=20/24</formula>
    </cfRule>
    <cfRule type="expression" dxfId="4126" priority="101">
      <formula>AND(U$9&gt;=14/24,U$9&lt;20/24)</formula>
    </cfRule>
  </conditionalFormatting>
  <conditionalFormatting sqref="S63:AF68">
    <cfRule type="expression" dxfId="4125" priority="62">
      <formula>S$9&lt;8/24</formula>
    </cfRule>
    <cfRule type="expression" dxfId="4124" priority="61">
      <formula>AND(S$9&gt;=8/24,S$9&lt;14/24)</formula>
    </cfRule>
    <cfRule type="expression" dxfId="4123" priority="60">
      <formula>AND(S$9&gt;=14/24,S$9&lt;20/24)</formula>
    </cfRule>
    <cfRule type="expression" dxfId="4122" priority="59">
      <formula>S$9&gt;=20/24</formula>
    </cfRule>
  </conditionalFormatting>
  <conditionalFormatting sqref="T260">
    <cfRule type="expression" dxfId="4121" priority="128">
      <formula>AX$9&lt;8/24</formula>
    </cfRule>
    <cfRule type="expression" dxfId="4120" priority="125">
      <formula>AX$9&gt;=20/24</formula>
    </cfRule>
    <cfRule type="expression" dxfId="4119" priority="126">
      <formula>AND(AX$9&gt;=14/24,AX$9&lt;20/24)</formula>
    </cfRule>
    <cfRule type="expression" dxfId="4118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117" priority="96">
      <formula>AD$9&gt;=20/24</formula>
    </cfRule>
    <cfRule type="expression" dxfId="4116" priority="97">
      <formula>AND(AD$9&gt;=14/24,AD$9&lt;20/24)</formula>
    </cfRule>
    <cfRule type="expression" dxfId="4115" priority="98">
      <formula>AND(AD$9&gt;=8/24,AD$9&lt;14/24)</formula>
    </cfRule>
    <cfRule type="expression" dxfId="4114" priority="99">
      <formula>AD$9&lt;8/24</formula>
    </cfRule>
  </conditionalFormatting>
  <conditionalFormatting sqref="AG58">
    <cfRule type="expression" dxfId="4113" priority="83">
      <formula>AG58&gt;$AG58</formula>
    </cfRule>
  </conditionalFormatting>
  <conditionalFormatting sqref="AG97">
    <cfRule type="expression" dxfId="4112" priority="84">
      <formula>AG$9&gt;=20/24</formula>
    </cfRule>
    <cfRule type="expression" dxfId="4111" priority="86">
      <formula>AND(AG$9&gt;=8/24,AG$9&lt;14/24)</formula>
    </cfRule>
    <cfRule type="expression" dxfId="4110" priority="85">
      <formula>AND(AG$9&gt;=14/24,AG$9&lt;20/24)</formula>
    </cfRule>
    <cfRule type="expression" dxfId="4109" priority="87">
      <formula>AG$9&lt;8/24</formula>
    </cfRule>
  </conditionalFormatting>
  <conditionalFormatting sqref="AG260">
    <cfRule type="expression" dxfId="4108" priority="118">
      <formula>AND(B$9&gt;=14/24,B$9&lt;20/24)</formula>
    </cfRule>
    <cfRule type="expression" dxfId="4107" priority="120">
      <formula>B$9&lt;8/24</formula>
    </cfRule>
    <cfRule type="expression" dxfId="4106" priority="119">
      <formula>AND(B$9&gt;=8/24,B$9&lt;14/24)</formula>
    </cfRule>
    <cfRule type="expression" dxfId="4105" priority="117">
      <formula>B$9&gt;=20/24</formula>
    </cfRule>
  </conditionalFormatting>
  <conditionalFormatting sqref="AH260:AX260">
    <cfRule type="expression" dxfId="4104" priority="121">
      <formula>AG$9&gt;=20/24</formula>
    </cfRule>
    <cfRule type="expression" dxfId="4103" priority="122">
      <formula>AND(AG$9&gt;=14/24,AG$9&lt;20/24)</formula>
    </cfRule>
    <cfRule type="expression" dxfId="4102" priority="123">
      <formula>AND(AG$9&gt;=8/24,AG$9&lt;14/24)</formula>
    </cfRule>
    <cfRule type="expression" dxfId="4101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100" priority="130">
      <formula>AJ$9&gt;=20/24</formula>
    </cfRule>
    <cfRule type="expression" dxfId="4099" priority="131">
      <formula>AND(AJ$9&gt;=14/24,AJ$9&lt;20/24)</formula>
    </cfRule>
    <cfRule type="expression" dxfId="4098" priority="132">
      <formula>AND(AJ$9&gt;=8/24,AJ$9&lt;14/24)</formula>
    </cfRule>
    <cfRule type="expression" dxfId="4097" priority="133">
      <formula>AJ$9&lt;8/24</formula>
    </cfRule>
  </conditionalFormatting>
  <conditionalFormatting sqref="AL88:AN88 AL94:AN94">
    <cfRule type="expression" dxfId="4096" priority="79">
      <formula>AL$9&lt;8/24</formula>
    </cfRule>
    <cfRule type="expression" dxfId="4095" priority="77">
      <formula>AND(AL$9&gt;=14/24,AL$9&lt;20/24)</formula>
    </cfRule>
    <cfRule type="expression" dxfId="4094" priority="76">
      <formula>AL$9&gt;=20/24</formula>
    </cfRule>
    <cfRule type="expression" dxfId="4093" priority="78">
      <formula>AND(AL$9&gt;=8/24,AL$9&lt;14/24)</formula>
    </cfRule>
  </conditionalFormatting>
  <conditionalFormatting sqref="AN89:AN92">
    <cfRule type="expression" dxfId="4092" priority="75">
      <formula>AN$9&lt;8/24</formula>
    </cfRule>
    <cfRule type="expression" dxfId="4091" priority="74">
      <formula>AND(AN$9&gt;=8/24,AN$9&lt;14/24)</formula>
    </cfRule>
    <cfRule type="expression" dxfId="4090" priority="73">
      <formula>AND(AN$9&gt;=14/24,AN$9&lt;20/24)</formula>
    </cfRule>
    <cfRule type="expression" dxfId="4089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B6E9-F4E3-44B8-9877-59C9D8B906B2}">
  <dimension ref="A1:DI293"/>
  <sheetViews>
    <sheetView zoomScale="55" zoomScaleNormal="55" workbookViewId="0">
      <pane xSplit="1" ySplit="10" topLeftCell="AY62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8.85546875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57" width="9.140625" style="1"/>
    <col min="58" max="58" width="11.140625" style="1" customWidth="1"/>
    <col min="59" max="16384" width="9.140625" style="1"/>
  </cols>
  <sheetData>
    <row r="1" spans="1:113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113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113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</row>
    <row r="4" spans="1:113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2080/10/6</v>
      </c>
      <c r="C4" s="272"/>
      <c r="D4" s="272"/>
      <c r="E4" s="273" t="str">
        <f ca="1">"2080/"&amp;"10/"&amp;INT(MID(CELL("filename",G6),FIND("]",CELL("filename",G6))+1,200))</f>
        <v>2080/10/6</v>
      </c>
      <c r="F4" s="273"/>
      <c r="G4" s="273"/>
      <c r="H4" s="273" t="str">
        <f ca="1">TEXT(E4,"dddd")</f>
        <v>Sunday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</row>
    <row r="5" spans="1:113" ht="15.75" hidden="1" customHeight="1" x14ac:dyDescent="0.25">
      <c r="A5" s="29"/>
      <c r="B5" s="30">
        <f t="shared" ref="B5:AE5" si="0">C92</f>
        <v>559.20000000000005</v>
      </c>
      <c r="C5" s="30">
        <f t="shared" si="0"/>
        <v>481</v>
      </c>
      <c r="D5" s="30">
        <f t="shared" si="0"/>
        <v>512.6</v>
      </c>
      <c r="E5" s="30">
        <f t="shared" si="0"/>
        <v>538.1</v>
      </c>
      <c r="F5" s="30">
        <f t="shared" si="0"/>
        <v>571</v>
      </c>
      <c r="G5" s="30">
        <f t="shared" si="0"/>
        <v>553.97699999999998</v>
      </c>
      <c r="H5" s="30">
        <f t="shared" si="0"/>
        <v>553.79999999999995</v>
      </c>
      <c r="I5" s="30">
        <f t="shared" si="0"/>
        <v>608</v>
      </c>
      <c r="J5" s="30">
        <f t="shared" si="0"/>
        <v>539.5</v>
      </c>
      <c r="K5" s="30">
        <f t="shared" si="0"/>
        <v>409</v>
      </c>
      <c r="L5" s="30">
        <f t="shared" si="0"/>
        <v>398.5</v>
      </c>
      <c r="M5" s="30">
        <f t="shared" si="0"/>
        <v>405.8</v>
      </c>
      <c r="N5" s="30">
        <f t="shared" si="0"/>
        <v>458.9</v>
      </c>
      <c r="O5" s="30">
        <f t="shared" si="0"/>
        <v>561</v>
      </c>
      <c r="P5" s="30">
        <f t="shared" si="0"/>
        <v>633.20000000000005</v>
      </c>
      <c r="Q5" s="30">
        <f t="shared" si="0"/>
        <v>620</v>
      </c>
      <c r="R5" s="30">
        <f t="shared" si="0"/>
        <v>627</v>
      </c>
      <c r="S5" s="30">
        <f t="shared" si="0"/>
        <v>727.5</v>
      </c>
      <c r="T5" s="30">
        <f t="shared" si="0"/>
        <v>596</v>
      </c>
      <c r="U5" s="30">
        <f t="shared" si="0"/>
        <v>472.40000000000003</v>
      </c>
      <c r="V5" s="30">
        <f t="shared" si="0"/>
        <v>498.6</v>
      </c>
      <c r="W5" s="30">
        <f t="shared" si="0"/>
        <v>484.1</v>
      </c>
      <c r="X5" s="30">
        <f t="shared" si="0"/>
        <v>463.1</v>
      </c>
      <c r="Y5" s="30">
        <f t="shared" si="0"/>
        <v>427.5</v>
      </c>
      <c r="Z5" s="30">
        <f t="shared" si="0"/>
        <v>404.59999999999997</v>
      </c>
      <c r="AA5" s="30">
        <f t="shared" si="0"/>
        <v>298.48</v>
      </c>
      <c r="AB5" s="30">
        <f t="shared" si="0"/>
        <v>394.1</v>
      </c>
      <c r="AC5" s="30">
        <f t="shared" si="0"/>
        <v>421.6</v>
      </c>
      <c r="AD5" s="30">
        <f t="shared" si="0"/>
        <v>434.7</v>
      </c>
      <c r="AE5" s="30">
        <f t="shared" si="0"/>
        <v>614.1</v>
      </c>
      <c r="AF5" s="30">
        <f>B92</f>
        <v>551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</row>
    <row r="6" spans="1:113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1712MW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</row>
    <row r="7" spans="1:113" ht="16.5" thickBot="1" x14ac:dyDescent="0.3">
      <c r="A7" s="34" t="str">
        <f>"Base Load="&amp;ROUND(MIN($B$7:$AF$7),0)</f>
        <v>Base Load=1097</v>
      </c>
      <c r="B7" s="35">
        <f>B100</f>
        <v>1167.0900000000001</v>
      </c>
      <c r="C7" s="35">
        <f t="shared" ref="C7:AF7" si="1">C100</f>
        <v>1175.29</v>
      </c>
      <c r="D7" s="35">
        <f t="shared" si="1"/>
        <v>1097.0900000000001</v>
      </c>
      <c r="E7" s="35">
        <f t="shared" si="1"/>
        <v>1128.69</v>
      </c>
      <c r="F7" s="35">
        <f t="shared" si="1"/>
        <v>1154.19</v>
      </c>
      <c r="G7" s="35">
        <f t="shared" si="1"/>
        <v>1197.0900000000001</v>
      </c>
      <c r="H7" s="35">
        <f t="shared" si="1"/>
        <v>1306.067</v>
      </c>
      <c r="I7" s="35">
        <f t="shared" si="1"/>
        <v>1395.19</v>
      </c>
      <c r="J7" s="35">
        <f t="shared" si="1"/>
        <v>1480.79</v>
      </c>
      <c r="K7" s="35">
        <f t="shared" si="1"/>
        <v>1440.0889999999999</v>
      </c>
      <c r="L7" s="35">
        <f t="shared" si="1"/>
        <v>1425.29</v>
      </c>
      <c r="M7" s="35">
        <f t="shared" si="1"/>
        <v>1712.39</v>
      </c>
      <c r="N7" s="35">
        <f t="shared" si="1"/>
        <v>1610.89</v>
      </c>
      <c r="O7" s="35">
        <f t="shared" si="1"/>
        <v>1497.09</v>
      </c>
      <c r="P7" s="35">
        <f t="shared" si="1"/>
        <v>1395.3899999999999</v>
      </c>
      <c r="Q7" s="35">
        <f t="shared" si="1"/>
        <v>1487.69</v>
      </c>
      <c r="R7" s="35">
        <f t="shared" si="1"/>
        <v>1471.99</v>
      </c>
      <c r="S7" s="35">
        <f t="shared" si="1"/>
        <v>1478.79</v>
      </c>
      <c r="T7" s="35">
        <f t="shared" si="1"/>
        <v>1531.8899999999999</v>
      </c>
      <c r="U7" s="35">
        <f t="shared" si="1"/>
        <v>1526.69</v>
      </c>
      <c r="V7" s="35">
        <f t="shared" si="1"/>
        <v>1303.79</v>
      </c>
      <c r="W7" s="35">
        <f t="shared" si="1"/>
        <v>1343.69</v>
      </c>
      <c r="X7" s="35">
        <f t="shared" si="1"/>
        <v>1540.29</v>
      </c>
      <c r="Y7" s="35">
        <f t="shared" si="1"/>
        <v>1804.9899999999998</v>
      </c>
      <c r="Z7" s="35">
        <f t="shared" si="1"/>
        <v>1751.95</v>
      </c>
      <c r="AA7" s="35">
        <f t="shared" si="1"/>
        <v>1721.09</v>
      </c>
      <c r="AB7" s="35">
        <f t="shared" si="1"/>
        <v>1548.37</v>
      </c>
      <c r="AC7" s="35">
        <f t="shared" si="1"/>
        <v>1442.5900000000001</v>
      </c>
      <c r="AD7" s="35">
        <f t="shared" si="1"/>
        <v>1340.0900000000001</v>
      </c>
      <c r="AE7" s="35">
        <f t="shared" si="1"/>
        <v>1146.19</v>
      </c>
      <c r="AF7" s="35">
        <f t="shared" si="1"/>
        <v>1241.69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</row>
    <row r="8" spans="1:113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</row>
    <row r="9" spans="1:113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</row>
    <row r="10" spans="1:113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</row>
    <row r="11" spans="1:113" ht="15.75" thickTop="1" x14ac:dyDescent="0.25">
      <c r="A11" s="44" t="s">
        <v>19</v>
      </c>
      <c r="B11" s="45">
        <v>27.2</v>
      </c>
      <c r="C11" s="45">
        <v>27.2</v>
      </c>
      <c r="D11" s="45">
        <v>27.2</v>
      </c>
      <c r="E11" s="45">
        <v>27.2</v>
      </c>
      <c r="F11" s="45">
        <v>27.2</v>
      </c>
      <c r="G11" s="45">
        <v>27.2</v>
      </c>
      <c r="H11" s="45">
        <v>27.2</v>
      </c>
      <c r="I11" s="45">
        <v>27.2</v>
      </c>
      <c r="J11" s="45">
        <v>27.2</v>
      </c>
      <c r="K11" s="45">
        <v>27.2</v>
      </c>
      <c r="L11" s="45">
        <v>27.2</v>
      </c>
      <c r="M11" s="45">
        <v>27.2</v>
      </c>
      <c r="N11" s="45">
        <v>27.2</v>
      </c>
      <c r="O11" s="45">
        <v>27</v>
      </c>
      <c r="P11" s="45">
        <v>27</v>
      </c>
      <c r="Q11" s="45">
        <v>27</v>
      </c>
      <c r="R11" s="45">
        <v>27</v>
      </c>
      <c r="S11" s="45">
        <v>27</v>
      </c>
      <c r="T11" s="45">
        <v>27</v>
      </c>
      <c r="U11" s="45">
        <v>27</v>
      </c>
      <c r="V11" s="45">
        <v>27</v>
      </c>
      <c r="W11" s="45">
        <v>27</v>
      </c>
      <c r="X11" s="45">
        <v>27</v>
      </c>
      <c r="Y11" s="45">
        <v>27</v>
      </c>
      <c r="Z11" s="45">
        <v>27</v>
      </c>
      <c r="AA11" s="45">
        <v>27</v>
      </c>
      <c r="AB11" s="45">
        <v>27</v>
      </c>
      <c r="AC11" s="45">
        <v>27</v>
      </c>
      <c r="AD11" s="45">
        <v>27</v>
      </c>
      <c r="AE11" s="45">
        <v>27</v>
      </c>
      <c r="AF11" s="45">
        <v>27</v>
      </c>
      <c r="AG11" s="46">
        <v>86</v>
      </c>
      <c r="AH11" s="47">
        <f t="shared" ref="AH11:AH84" si="2">MAX(B11:AF11)</f>
        <v>27.2</v>
      </c>
      <c r="AI11" s="48">
        <f t="shared" ref="AI11:AI84" si="3">MIN(B11:AF11)</f>
        <v>27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</row>
    <row r="12" spans="1:113" x14ac:dyDescent="0.25">
      <c r="A12" s="44" t="s">
        <v>261</v>
      </c>
      <c r="B12" s="45">
        <v>9.9</v>
      </c>
      <c r="C12" s="45">
        <v>9.9</v>
      </c>
      <c r="D12" s="45">
        <v>9.9</v>
      </c>
      <c r="E12" s="45">
        <v>9.9</v>
      </c>
      <c r="F12" s="45">
        <v>9.9</v>
      </c>
      <c r="G12" s="45">
        <v>9.9</v>
      </c>
      <c r="H12" s="45">
        <v>9.9</v>
      </c>
      <c r="I12" s="45">
        <v>9.9</v>
      </c>
      <c r="J12" s="45">
        <v>9.9</v>
      </c>
      <c r="K12" s="45">
        <v>9.9</v>
      </c>
      <c r="L12" s="45">
        <v>9.9</v>
      </c>
      <c r="M12" s="45">
        <v>9.9</v>
      </c>
      <c r="N12" s="45">
        <v>9.9</v>
      </c>
      <c r="O12" s="45">
        <v>9.9</v>
      </c>
      <c r="P12" s="45">
        <v>9.9</v>
      </c>
      <c r="Q12" s="45">
        <v>9.9</v>
      </c>
      <c r="R12" s="45">
        <v>9.9</v>
      </c>
      <c r="S12" s="45">
        <v>9.9</v>
      </c>
      <c r="T12" s="45">
        <v>9.9</v>
      </c>
      <c r="U12" s="45">
        <v>9.9</v>
      </c>
      <c r="V12" s="45">
        <v>9.9</v>
      </c>
      <c r="W12" s="45">
        <v>9.9</v>
      </c>
      <c r="X12" s="45">
        <v>9.9</v>
      </c>
      <c r="Y12" s="45">
        <v>9.9</v>
      </c>
      <c r="Z12" s="45">
        <v>9.9</v>
      </c>
      <c r="AA12" s="45">
        <v>9.9</v>
      </c>
      <c r="AB12" s="45">
        <v>9.9</v>
      </c>
      <c r="AC12" s="45">
        <v>9.9</v>
      </c>
      <c r="AD12" s="45">
        <v>9.9</v>
      </c>
      <c r="AE12" s="45">
        <v>9.9</v>
      </c>
      <c r="AF12" s="45">
        <v>9.9</v>
      </c>
      <c r="AG12" s="49">
        <v>54</v>
      </c>
      <c r="AH12" s="47">
        <f t="shared" si="2"/>
        <v>9.9</v>
      </c>
      <c r="AI12" s="48">
        <f t="shared" si="3"/>
        <v>9.9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</row>
    <row r="13" spans="1:113" x14ac:dyDescent="0.25">
      <c r="A13" s="44" t="s">
        <v>20</v>
      </c>
      <c r="B13" s="45">
        <v>10.199999999999999</v>
      </c>
      <c r="C13" s="45">
        <v>10.199999999999999</v>
      </c>
      <c r="D13" s="45">
        <v>10.199999999999999</v>
      </c>
      <c r="E13" s="45">
        <v>10.199999999999999</v>
      </c>
      <c r="F13" s="45">
        <v>10.199999999999999</v>
      </c>
      <c r="G13" s="45">
        <v>10.199999999999999</v>
      </c>
      <c r="H13" s="45">
        <v>10.199999999999999</v>
      </c>
      <c r="I13" s="45">
        <v>10.199999999999999</v>
      </c>
      <c r="J13" s="45">
        <v>10.199999999999999</v>
      </c>
      <c r="K13" s="45">
        <v>10.199999999999999</v>
      </c>
      <c r="L13" s="45">
        <v>10.199999999999999</v>
      </c>
      <c r="M13" s="45">
        <v>10.199999999999999</v>
      </c>
      <c r="N13" s="45">
        <v>10.199999999999999</v>
      </c>
      <c r="O13" s="45">
        <v>10.199999999999999</v>
      </c>
      <c r="P13" s="45">
        <v>10.199999999999999</v>
      </c>
      <c r="Q13" s="45">
        <v>10.199999999999999</v>
      </c>
      <c r="R13" s="45">
        <v>10.199999999999999</v>
      </c>
      <c r="S13" s="45">
        <v>10.199999999999999</v>
      </c>
      <c r="T13" s="45">
        <v>10.199999999999999</v>
      </c>
      <c r="U13" s="45">
        <v>10.199999999999999</v>
      </c>
      <c r="V13" s="45">
        <v>10.199999999999999</v>
      </c>
      <c r="W13" s="45">
        <v>10.199999999999999</v>
      </c>
      <c r="X13" s="45">
        <v>10.199999999999999</v>
      </c>
      <c r="Y13" s="45">
        <v>10.199999999999999</v>
      </c>
      <c r="Z13" s="45">
        <v>10.199999999999999</v>
      </c>
      <c r="AA13" s="45">
        <v>10.199999999999999</v>
      </c>
      <c r="AB13" s="45">
        <v>10.199999999999999</v>
      </c>
      <c r="AC13" s="45">
        <v>10.199999999999999</v>
      </c>
      <c r="AD13" s="45">
        <v>10.199999999999999</v>
      </c>
      <c r="AE13" s="45">
        <v>10.199999999999999</v>
      </c>
      <c r="AF13" s="45">
        <v>10.199999999999999</v>
      </c>
      <c r="AG13" s="49">
        <v>54</v>
      </c>
      <c r="AH13" s="47">
        <f t="shared" si="2"/>
        <v>10.199999999999999</v>
      </c>
      <c r="AI13" s="48">
        <f t="shared" si="3"/>
        <v>10.199999999999999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</row>
    <row r="14" spans="1:113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15.4</v>
      </c>
      <c r="AF14" s="45">
        <v>15.4</v>
      </c>
      <c r="AG14" s="46">
        <v>52.4</v>
      </c>
      <c r="AH14" s="47">
        <f t="shared" si="2"/>
        <v>15.4</v>
      </c>
      <c r="AI14" s="48">
        <f t="shared" si="3"/>
        <v>15.4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</row>
    <row r="15" spans="1:113" x14ac:dyDescent="0.25">
      <c r="A15" s="44" t="s">
        <v>22</v>
      </c>
      <c r="B15" s="45">
        <v>28.7</v>
      </c>
      <c r="C15" s="45">
        <v>28.7</v>
      </c>
      <c r="D15" s="45">
        <v>28.7</v>
      </c>
      <c r="E15" s="45">
        <v>28.7</v>
      </c>
      <c r="F15" s="45">
        <v>28.7</v>
      </c>
      <c r="G15" s="45">
        <v>28.7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28.7</v>
      </c>
      <c r="R15" s="45">
        <v>28.7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45">
        <v>28.7</v>
      </c>
      <c r="AA15" s="45">
        <v>28.7</v>
      </c>
      <c r="AB15" s="45">
        <v>28.7</v>
      </c>
      <c r="AC15" s="45">
        <v>28.7</v>
      </c>
      <c r="AD15" s="45">
        <v>28.7</v>
      </c>
      <c r="AE15" s="45">
        <v>28.7</v>
      </c>
      <c r="AF15" s="45">
        <v>28.7</v>
      </c>
      <c r="AG15" s="49">
        <v>50</v>
      </c>
      <c r="AH15" s="47">
        <f t="shared" si="2"/>
        <v>28.7</v>
      </c>
      <c r="AI15" s="48">
        <f t="shared" si="3"/>
        <v>28.7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</row>
    <row r="16" spans="1:113" x14ac:dyDescent="0.25">
      <c r="A16" s="44" t="s">
        <v>23</v>
      </c>
      <c r="B16" s="45">
        <v>16.600000000000001</v>
      </c>
      <c r="C16" s="45">
        <v>16.600000000000001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16.600000000000001</v>
      </c>
      <c r="AC16" s="45">
        <v>16.600000000000001</v>
      </c>
      <c r="AD16" s="45">
        <v>16.600000000000001</v>
      </c>
      <c r="AE16" s="45">
        <v>16.600000000000001</v>
      </c>
      <c r="AF16" s="45">
        <v>16.600000000000001</v>
      </c>
      <c r="AG16" s="49">
        <v>45</v>
      </c>
      <c r="AH16" s="47">
        <f t="shared" si="2"/>
        <v>16.600000000000001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</row>
    <row r="17" spans="1:113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</row>
    <row r="18" spans="1:113" x14ac:dyDescent="0.25">
      <c r="A18" s="44" t="s">
        <v>25</v>
      </c>
      <c r="B18" s="45">
        <v>7.9</v>
      </c>
      <c r="C18" s="45">
        <v>7.9</v>
      </c>
      <c r="D18" s="45">
        <v>7.9</v>
      </c>
      <c r="E18" s="45">
        <v>7.9</v>
      </c>
      <c r="F18" s="45">
        <v>7.9</v>
      </c>
      <c r="G18" s="45">
        <v>7.9</v>
      </c>
      <c r="H18" s="45">
        <v>7.9</v>
      </c>
      <c r="I18" s="45">
        <v>7.9</v>
      </c>
      <c r="J18" s="45">
        <v>7.9</v>
      </c>
      <c r="K18" s="45">
        <v>7.9</v>
      </c>
      <c r="L18" s="45">
        <v>7.9</v>
      </c>
      <c r="M18" s="45">
        <v>7.9</v>
      </c>
      <c r="N18" s="45">
        <v>7.9</v>
      </c>
      <c r="O18" s="45">
        <v>7.9</v>
      </c>
      <c r="P18" s="45">
        <v>7.9</v>
      </c>
      <c r="Q18" s="45">
        <v>7.9</v>
      </c>
      <c r="R18" s="45">
        <v>7.9</v>
      </c>
      <c r="S18" s="45">
        <v>7.9</v>
      </c>
      <c r="T18" s="45">
        <v>7.9</v>
      </c>
      <c r="U18" s="45">
        <v>7.9</v>
      </c>
      <c r="V18" s="45">
        <v>7.9</v>
      </c>
      <c r="W18" s="45">
        <v>7.9</v>
      </c>
      <c r="X18" s="45">
        <v>7.9</v>
      </c>
      <c r="Y18" s="45">
        <v>7</v>
      </c>
      <c r="Z18" s="45">
        <v>7</v>
      </c>
      <c r="AA18" s="45">
        <v>7</v>
      </c>
      <c r="AB18" s="45">
        <v>7</v>
      </c>
      <c r="AC18" s="45">
        <v>7</v>
      </c>
      <c r="AD18" s="45">
        <v>7</v>
      </c>
      <c r="AE18" s="45">
        <v>7</v>
      </c>
      <c r="AF18" s="45">
        <v>7</v>
      </c>
      <c r="AG18" s="49">
        <v>42</v>
      </c>
      <c r="AH18" s="47">
        <f t="shared" si="2"/>
        <v>7.9</v>
      </c>
      <c r="AI18" s="48">
        <f t="shared" si="3"/>
        <v>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</row>
    <row r="19" spans="1:113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</row>
    <row r="20" spans="1:113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</row>
    <row r="21" spans="1:113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</row>
    <row r="22" spans="1:113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8.4</v>
      </c>
      <c r="AF22" s="45">
        <v>8.4</v>
      </c>
      <c r="AG22" s="52">
        <v>30</v>
      </c>
      <c r="AH22" s="47">
        <f t="shared" si="2"/>
        <v>8.4</v>
      </c>
      <c r="AI22" s="48">
        <f t="shared" si="3"/>
        <v>7.8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</row>
    <row r="23" spans="1:113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</row>
    <row r="24" spans="1:113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8.1999999999999993</v>
      </c>
      <c r="AG24" s="49">
        <v>28</v>
      </c>
      <c r="AH24" s="47">
        <f t="shared" si="2"/>
        <v>8.1999999999999993</v>
      </c>
      <c r="AI24" s="48">
        <f t="shared" si="3"/>
        <v>8.1999999999999993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</row>
    <row r="25" spans="1:113" x14ac:dyDescent="0.25">
      <c r="A25" s="44" t="s">
        <v>31</v>
      </c>
      <c r="B25" s="45">
        <v>6.4</v>
      </c>
      <c r="C25" s="45">
        <v>6.4</v>
      </c>
      <c r="D25" s="45">
        <v>6.4</v>
      </c>
      <c r="E25" s="45">
        <v>6.4</v>
      </c>
      <c r="F25" s="45">
        <v>6.4</v>
      </c>
      <c r="G25" s="45">
        <v>6.4</v>
      </c>
      <c r="H25" s="45">
        <v>6.4</v>
      </c>
      <c r="I25" s="45">
        <v>6.4</v>
      </c>
      <c r="J25" s="45">
        <v>6.4</v>
      </c>
      <c r="K25" s="45">
        <v>6.4</v>
      </c>
      <c r="L25" s="45">
        <v>6.4</v>
      </c>
      <c r="M25" s="45">
        <v>6.4</v>
      </c>
      <c r="N25" s="45">
        <v>6.4</v>
      </c>
      <c r="O25" s="45">
        <v>6.4</v>
      </c>
      <c r="P25" s="45">
        <v>6.4</v>
      </c>
      <c r="Q25" s="45">
        <v>6.4</v>
      </c>
      <c r="R25" s="45">
        <v>6.4</v>
      </c>
      <c r="S25" s="45">
        <v>6.4</v>
      </c>
      <c r="T25" s="45">
        <v>6.4</v>
      </c>
      <c r="U25" s="45">
        <v>6.4</v>
      </c>
      <c r="V25" s="45">
        <v>6.4</v>
      </c>
      <c r="W25" s="45">
        <v>6.4</v>
      </c>
      <c r="X25" s="45">
        <v>6.4</v>
      </c>
      <c r="Y25" s="45">
        <v>6.4</v>
      </c>
      <c r="Z25" s="45">
        <v>6.4</v>
      </c>
      <c r="AA25" s="45">
        <v>6.4</v>
      </c>
      <c r="AB25" s="45">
        <v>6.4</v>
      </c>
      <c r="AC25" s="45">
        <v>6.4</v>
      </c>
      <c r="AD25" s="45">
        <v>6.4</v>
      </c>
      <c r="AE25" s="45">
        <v>6.4</v>
      </c>
      <c r="AF25" s="45">
        <v>6.4</v>
      </c>
      <c r="AG25" s="52">
        <v>30</v>
      </c>
      <c r="AH25" s="47">
        <f t="shared" si="2"/>
        <v>6.4</v>
      </c>
      <c r="AI25" s="48">
        <f t="shared" si="3"/>
        <v>6.4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</row>
    <row r="26" spans="1:113" x14ac:dyDescent="0.25">
      <c r="A26" s="44" t="s">
        <v>32</v>
      </c>
      <c r="B26" s="45">
        <v>6.5</v>
      </c>
      <c r="C26" s="45">
        <v>6.5</v>
      </c>
      <c r="D26" s="45">
        <v>6.5</v>
      </c>
      <c r="E26" s="45">
        <v>6.5</v>
      </c>
      <c r="F26" s="45">
        <v>6.5</v>
      </c>
      <c r="G26" s="45">
        <v>6.5</v>
      </c>
      <c r="H26" s="45">
        <v>6.5</v>
      </c>
      <c r="I26" s="45">
        <v>6.5</v>
      </c>
      <c r="J26" s="45">
        <v>6.5</v>
      </c>
      <c r="K26" s="45">
        <v>6.5</v>
      </c>
      <c r="L26" s="45">
        <v>6.5</v>
      </c>
      <c r="M26" s="45">
        <v>6.5</v>
      </c>
      <c r="N26" s="45">
        <v>6.5</v>
      </c>
      <c r="O26" s="45">
        <v>6.5</v>
      </c>
      <c r="P26" s="45">
        <v>6.5</v>
      </c>
      <c r="Q26" s="45">
        <v>6.5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6.5</v>
      </c>
      <c r="AF26" s="45">
        <v>6.5</v>
      </c>
      <c r="AG26" s="49">
        <v>25</v>
      </c>
      <c r="AH26" s="47">
        <f t="shared" si="2"/>
        <v>6.5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</row>
    <row r="27" spans="1:113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</row>
    <row r="28" spans="1:113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</row>
    <row r="29" spans="1:113" x14ac:dyDescent="0.25">
      <c r="A29" s="44" t="s">
        <v>35</v>
      </c>
      <c r="B29" s="45">
        <v>7.2</v>
      </c>
      <c r="C29" s="45">
        <v>7.2</v>
      </c>
      <c r="D29" s="45">
        <v>7.2</v>
      </c>
      <c r="E29" s="45">
        <v>7.2</v>
      </c>
      <c r="F29" s="45">
        <v>7.2</v>
      </c>
      <c r="G29" s="45">
        <v>7.2</v>
      </c>
      <c r="H29" s="45">
        <v>7.2</v>
      </c>
      <c r="I29" s="45">
        <v>7.2</v>
      </c>
      <c r="J29" s="45">
        <v>7.2</v>
      </c>
      <c r="K29" s="45">
        <v>7.2</v>
      </c>
      <c r="L29" s="45">
        <v>7.2</v>
      </c>
      <c r="M29" s="45">
        <v>7.2</v>
      </c>
      <c r="N29" s="45">
        <v>7.2</v>
      </c>
      <c r="O29" s="45">
        <v>7.2</v>
      </c>
      <c r="P29" s="45">
        <v>7.2</v>
      </c>
      <c r="Q29" s="45">
        <v>7.2</v>
      </c>
      <c r="R29" s="45">
        <v>7.2</v>
      </c>
      <c r="S29" s="45">
        <v>7.2</v>
      </c>
      <c r="T29" s="45">
        <v>7.2</v>
      </c>
      <c r="U29" s="45">
        <v>7.2</v>
      </c>
      <c r="V29" s="45">
        <v>7.2</v>
      </c>
      <c r="W29" s="45">
        <v>7.2</v>
      </c>
      <c r="X29" s="45">
        <v>7.2</v>
      </c>
      <c r="Y29" s="45">
        <v>7.2</v>
      </c>
      <c r="Z29" s="45">
        <v>7.2</v>
      </c>
      <c r="AA29" s="45">
        <v>7.2</v>
      </c>
      <c r="AB29" s="45">
        <v>7.2</v>
      </c>
      <c r="AC29" s="45">
        <v>7.2</v>
      </c>
      <c r="AD29" s="45">
        <v>7.2</v>
      </c>
      <c r="AE29" s="45">
        <v>7.2</v>
      </c>
      <c r="AF29" s="45">
        <v>7.2</v>
      </c>
      <c r="AG29" s="49">
        <v>25</v>
      </c>
      <c r="AH29" s="47">
        <f t="shared" si="2"/>
        <v>7.2</v>
      </c>
      <c r="AI29" s="48">
        <f t="shared" si="3"/>
        <v>7.2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</row>
    <row r="30" spans="1:113" x14ac:dyDescent="0.25">
      <c r="A30" s="44" t="s">
        <v>36</v>
      </c>
      <c r="B30" s="45">
        <v>7.6</v>
      </c>
      <c r="C30" s="45">
        <v>7.6</v>
      </c>
      <c r="D30" s="45">
        <v>7.6</v>
      </c>
      <c r="E30" s="45">
        <v>7.6</v>
      </c>
      <c r="F30" s="45">
        <v>7.6</v>
      </c>
      <c r="G30" s="45">
        <v>7.6</v>
      </c>
      <c r="H30" s="45">
        <v>7.6</v>
      </c>
      <c r="I30" s="45">
        <v>7.6</v>
      </c>
      <c r="J30" s="45">
        <v>7.6</v>
      </c>
      <c r="K30" s="45">
        <v>7.6</v>
      </c>
      <c r="L30" s="45">
        <v>7.6</v>
      </c>
      <c r="M30" s="45">
        <v>7.6</v>
      </c>
      <c r="N30" s="45">
        <v>7.6</v>
      </c>
      <c r="O30" s="45">
        <v>7.6</v>
      </c>
      <c r="P30" s="45">
        <v>7.6</v>
      </c>
      <c r="Q30" s="45">
        <v>7.6</v>
      </c>
      <c r="R30" s="45">
        <v>7.6</v>
      </c>
      <c r="S30" s="45">
        <v>7.6</v>
      </c>
      <c r="T30" s="45">
        <v>7.6</v>
      </c>
      <c r="U30" s="45">
        <v>7.6</v>
      </c>
      <c r="V30" s="45">
        <v>7.6</v>
      </c>
      <c r="W30" s="45">
        <v>7.6</v>
      </c>
      <c r="X30" s="45">
        <v>7.6</v>
      </c>
      <c r="Y30" s="45">
        <v>7.6</v>
      </c>
      <c r="Z30" s="45">
        <v>7.6</v>
      </c>
      <c r="AA30" s="45">
        <v>7.6</v>
      </c>
      <c r="AB30" s="45">
        <v>7.6</v>
      </c>
      <c r="AC30" s="45">
        <v>7.6</v>
      </c>
      <c r="AD30" s="45">
        <v>7.6</v>
      </c>
      <c r="AE30" s="45">
        <v>7.6</v>
      </c>
      <c r="AF30" s="45">
        <v>7.6</v>
      </c>
      <c r="AG30" s="49">
        <v>23.5</v>
      </c>
      <c r="AH30" s="47">
        <f t="shared" si="2"/>
        <v>7.6</v>
      </c>
      <c r="AI30" s="48">
        <f t="shared" si="3"/>
        <v>7.6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</row>
    <row r="31" spans="1:113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4.5</v>
      </c>
      <c r="R31" s="45">
        <v>4.5</v>
      </c>
      <c r="S31" s="45">
        <v>4.5</v>
      </c>
      <c r="T31" s="45">
        <v>4.5</v>
      </c>
      <c r="U31" s="45">
        <v>4.5</v>
      </c>
      <c r="V31" s="45">
        <v>4.5</v>
      </c>
      <c r="W31" s="45">
        <v>4.5</v>
      </c>
      <c r="X31" s="45">
        <v>4.5</v>
      </c>
      <c r="Y31" s="45">
        <v>4.5</v>
      </c>
      <c r="Z31" s="45">
        <v>4.5</v>
      </c>
      <c r="AA31" s="45">
        <v>4.5</v>
      </c>
      <c r="AB31" s="45">
        <v>4.5</v>
      </c>
      <c r="AC31" s="45">
        <v>4.5</v>
      </c>
      <c r="AD31" s="45">
        <v>4.5</v>
      </c>
      <c r="AE31" s="45">
        <v>4.5</v>
      </c>
      <c r="AF31" s="45">
        <v>4.5</v>
      </c>
      <c r="AG31" s="49">
        <v>22.2</v>
      </c>
      <c r="AH31" s="47">
        <f t="shared" si="2"/>
        <v>4.5</v>
      </c>
      <c r="AI31" s="48">
        <f t="shared" si="3"/>
        <v>4.5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</row>
    <row r="32" spans="1:113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</row>
    <row r="33" spans="1:113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</row>
    <row r="34" spans="1:113" x14ac:dyDescent="0.25">
      <c r="A34" s="44" t="s">
        <v>40</v>
      </c>
      <c r="B34" s="45">
        <v>10.4</v>
      </c>
      <c r="C34" s="45">
        <v>10.4</v>
      </c>
      <c r="D34" s="45">
        <v>10.4</v>
      </c>
      <c r="E34" s="45">
        <v>10.4</v>
      </c>
      <c r="F34" s="45">
        <v>10.4</v>
      </c>
      <c r="G34" s="45">
        <v>10.4</v>
      </c>
      <c r="H34" s="45">
        <v>10.4</v>
      </c>
      <c r="I34" s="45">
        <v>10.4</v>
      </c>
      <c r="J34" s="45">
        <v>10.4</v>
      </c>
      <c r="K34" s="45">
        <v>10.4</v>
      </c>
      <c r="L34" s="45">
        <v>10.4</v>
      </c>
      <c r="M34" s="45">
        <v>10.4</v>
      </c>
      <c r="N34" s="45">
        <v>10.4</v>
      </c>
      <c r="O34" s="45">
        <v>10.4</v>
      </c>
      <c r="P34" s="45">
        <v>10.4</v>
      </c>
      <c r="Q34" s="45">
        <v>10.4</v>
      </c>
      <c r="R34" s="45">
        <v>10.4</v>
      </c>
      <c r="S34" s="45">
        <v>10.4</v>
      </c>
      <c r="T34" s="45">
        <v>10.4</v>
      </c>
      <c r="U34" s="45">
        <v>10.4</v>
      </c>
      <c r="V34" s="45">
        <v>10.4</v>
      </c>
      <c r="W34" s="45">
        <v>10.4</v>
      </c>
      <c r="X34" s="45">
        <v>10.4</v>
      </c>
      <c r="Y34" s="45">
        <v>10.4</v>
      </c>
      <c r="Z34" s="45">
        <v>10.4</v>
      </c>
      <c r="AA34" s="45">
        <v>10.4</v>
      </c>
      <c r="AB34" s="45">
        <v>10.4</v>
      </c>
      <c r="AC34" s="45">
        <v>10.4</v>
      </c>
      <c r="AD34" s="45">
        <v>10.4</v>
      </c>
      <c r="AE34" s="45">
        <v>10.4</v>
      </c>
      <c r="AF34" s="45">
        <v>10.4</v>
      </c>
      <c r="AG34" s="49">
        <v>22</v>
      </c>
      <c r="AH34" s="47">
        <f t="shared" si="2"/>
        <v>10.4</v>
      </c>
      <c r="AI34" s="48">
        <f t="shared" si="3"/>
        <v>10.4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</row>
    <row r="35" spans="1:113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</row>
    <row r="36" spans="1:113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</row>
    <row r="37" spans="1:113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</row>
    <row r="38" spans="1:113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</row>
    <row r="39" spans="1:113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</row>
    <row r="40" spans="1:113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</row>
    <row r="41" spans="1:113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</row>
    <row r="42" spans="1:113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</row>
    <row r="43" spans="1:113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</row>
    <row r="44" spans="1:113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</row>
    <row r="45" spans="1:113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</row>
    <row r="46" spans="1:113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</row>
    <row r="47" spans="1:113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</row>
    <row r="48" spans="1:113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</row>
    <row r="49" spans="1:113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</row>
    <row r="50" spans="1:113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</row>
    <row r="51" spans="1:113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</row>
    <row r="52" spans="1:113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</row>
    <row r="53" spans="1:113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</row>
    <row r="54" spans="1:113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</row>
    <row r="55" spans="1:113" x14ac:dyDescent="0.25">
      <c r="A55" s="54" t="s">
        <v>268</v>
      </c>
      <c r="B55" s="45">
        <v>14</v>
      </c>
      <c r="C55" s="45">
        <v>14</v>
      </c>
      <c r="D55" s="45">
        <v>14</v>
      </c>
      <c r="E55" s="45">
        <v>14</v>
      </c>
      <c r="F55" s="45">
        <v>14</v>
      </c>
      <c r="G55" s="45">
        <v>14</v>
      </c>
      <c r="H55" s="45">
        <v>14</v>
      </c>
      <c r="I55" s="45">
        <v>14</v>
      </c>
      <c r="J55" s="45">
        <v>14</v>
      </c>
      <c r="K55" s="45">
        <v>14</v>
      </c>
      <c r="L55" s="45">
        <v>14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14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</row>
    <row r="56" spans="1:113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113" ht="15.75" thickBot="1" x14ac:dyDescent="0.3">
      <c r="A57" s="58" t="s">
        <v>57</v>
      </c>
      <c r="B57" s="57">
        <v>22.9</v>
      </c>
      <c r="C57" s="57">
        <v>22.9</v>
      </c>
      <c r="D57" s="57">
        <v>22.9</v>
      </c>
      <c r="E57" s="57">
        <v>22.9</v>
      </c>
      <c r="F57" s="57">
        <v>22.9</v>
      </c>
      <c r="G57" s="57">
        <v>22.9</v>
      </c>
      <c r="H57" s="57">
        <v>22.9</v>
      </c>
      <c r="I57" s="57">
        <v>22.9</v>
      </c>
      <c r="J57" s="57">
        <v>22.9</v>
      </c>
      <c r="K57" s="57">
        <v>22.9</v>
      </c>
      <c r="L57" s="57">
        <v>22.9</v>
      </c>
      <c r="M57" s="57">
        <v>22.9</v>
      </c>
      <c r="N57" s="51">
        <v>22.9</v>
      </c>
      <c r="O57" s="51">
        <v>22.9</v>
      </c>
      <c r="P57" s="51">
        <v>22.9</v>
      </c>
      <c r="Q57" s="51">
        <f>22.9</f>
        <v>22.9</v>
      </c>
      <c r="R57" s="51">
        <v>22.9</v>
      </c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22.9</v>
      </c>
      <c r="AI57" s="48">
        <f t="shared" si="3"/>
        <v>22.9</v>
      </c>
      <c r="AK57" s="50"/>
    </row>
    <row r="58" spans="1:113" ht="15.75" thickBot="1" x14ac:dyDescent="0.3">
      <c r="A58" s="59" t="s">
        <v>58</v>
      </c>
      <c r="B58" s="60">
        <f>SUM(B11:B56)</f>
        <v>498.45</v>
      </c>
      <c r="C58" s="60">
        <f>SUM(C11:C56)</f>
        <v>498.45</v>
      </c>
      <c r="D58" s="60">
        <f t="shared" ref="D58:AA58" si="4">SUM(D11:D56)</f>
        <v>498.45</v>
      </c>
      <c r="E58" s="60">
        <f t="shared" si="4"/>
        <v>498.45</v>
      </c>
      <c r="F58" s="60">
        <f t="shared" si="4"/>
        <v>498.45</v>
      </c>
      <c r="G58" s="60">
        <f t="shared" ref="G58" si="5">SUM(G11:G56)</f>
        <v>498.45</v>
      </c>
      <c r="H58" s="60">
        <f t="shared" si="4"/>
        <v>498.45</v>
      </c>
      <c r="I58" s="60">
        <f t="shared" si="4"/>
        <v>498.45</v>
      </c>
      <c r="J58" s="60">
        <f t="shared" si="4"/>
        <v>498.45</v>
      </c>
      <c r="K58" s="60">
        <f t="shared" si="4"/>
        <v>498.45</v>
      </c>
      <c r="L58" s="60">
        <f t="shared" ref="L58" si="6">SUM(L11:L56)</f>
        <v>498.45</v>
      </c>
      <c r="M58" s="60">
        <f t="shared" si="4"/>
        <v>484.45</v>
      </c>
      <c r="N58" s="60">
        <f t="shared" si="4"/>
        <v>484.45</v>
      </c>
      <c r="O58" s="60">
        <f t="shared" si="4"/>
        <v>484.24999999999994</v>
      </c>
      <c r="P58" s="60">
        <f t="shared" si="4"/>
        <v>484.24999999999994</v>
      </c>
      <c r="Q58" s="60">
        <f t="shared" si="4"/>
        <v>484.24999999999994</v>
      </c>
      <c r="R58" s="60">
        <f t="shared" si="4"/>
        <v>484.24999999999994</v>
      </c>
      <c r="S58" s="60">
        <f t="shared" ref="S58" si="7">SUM(S11:S56)</f>
        <v>484.24999999999994</v>
      </c>
      <c r="T58" s="60">
        <f t="shared" si="4"/>
        <v>484.24999999999994</v>
      </c>
      <c r="U58" s="60">
        <f t="shared" si="4"/>
        <v>484.24999999999994</v>
      </c>
      <c r="V58" s="60">
        <f t="shared" si="4"/>
        <v>484.24999999999994</v>
      </c>
      <c r="W58" s="60">
        <f t="shared" si="4"/>
        <v>484.24999999999994</v>
      </c>
      <c r="X58" s="60">
        <f t="shared" si="4"/>
        <v>484.24999999999994</v>
      </c>
      <c r="Y58" s="60">
        <f>SUM(Y11:Y56)</f>
        <v>483.95</v>
      </c>
      <c r="Z58" s="60">
        <f>SUM(Z11:Z56)</f>
        <v>483.95</v>
      </c>
      <c r="AA58" s="60">
        <f t="shared" si="4"/>
        <v>483.95</v>
      </c>
      <c r="AB58" s="60">
        <f t="shared" ref="AB58:AC58" si="8">SUM(AB11:AB56)</f>
        <v>483.95</v>
      </c>
      <c r="AC58" s="60">
        <f t="shared" si="8"/>
        <v>483.95</v>
      </c>
      <c r="AD58" s="60">
        <f t="shared" ref="AD58:AE58" si="9">SUM(AD11:AD56)</f>
        <v>483.95</v>
      </c>
      <c r="AE58" s="60">
        <f t="shared" si="9"/>
        <v>483.95</v>
      </c>
      <c r="AF58" s="60">
        <f t="shared" ref="AF58" si="10">SUM(AF11:AF56)</f>
        <v>483.95</v>
      </c>
      <c r="AG58" s="61">
        <f>SUM(AG14:AG56)</f>
        <v>1042.4000000000001</v>
      </c>
      <c r="AH58" s="47">
        <f t="shared" si="2"/>
        <v>498.45</v>
      </c>
      <c r="AI58" s="48">
        <f t="shared" si="3"/>
        <v>483.95</v>
      </c>
      <c r="AK58" s="50"/>
    </row>
    <row r="59" spans="1:113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30</v>
      </c>
      <c r="I59" s="45">
        <v>76</v>
      </c>
      <c r="J59" s="45">
        <v>105</v>
      </c>
      <c r="K59" s="45">
        <v>125</v>
      </c>
      <c r="L59" s="45">
        <v>135</v>
      </c>
      <c r="M59" s="45">
        <v>185</v>
      </c>
      <c r="N59" s="63">
        <v>110</v>
      </c>
      <c r="O59" s="63">
        <v>50</v>
      </c>
      <c r="P59" s="63">
        <v>35</v>
      </c>
      <c r="Q59" s="63">
        <v>60</v>
      </c>
      <c r="R59" s="63">
        <v>65</v>
      </c>
      <c r="S59" s="63">
        <v>65</v>
      </c>
      <c r="T59" s="63">
        <v>40</v>
      </c>
      <c r="U59" s="63">
        <v>156</v>
      </c>
      <c r="V59" s="63">
        <v>110</v>
      </c>
      <c r="W59" s="63">
        <v>150</v>
      </c>
      <c r="X59" s="63">
        <v>200</v>
      </c>
      <c r="Y59" s="63">
        <v>230</v>
      </c>
      <c r="Z59" s="63">
        <v>210</v>
      </c>
      <c r="AA59" s="63">
        <v>220</v>
      </c>
      <c r="AB59" s="63">
        <v>220</v>
      </c>
      <c r="AC59" s="63">
        <v>70</v>
      </c>
      <c r="AD59" s="63">
        <v>40</v>
      </c>
      <c r="AE59" s="63">
        <v>20</v>
      </c>
      <c r="AF59" s="63">
        <v>0</v>
      </c>
      <c r="AG59" s="52">
        <v>456</v>
      </c>
      <c r="AH59" s="47">
        <f t="shared" si="2"/>
        <v>230</v>
      </c>
      <c r="AI59" s="48">
        <f t="shared" si="3"/>
        <v>0</v>
      </c>
      <c r="AK59" s="50"/>
    </row>
    <row r="60" spans="1:113" x14ac:dyDescent="0.25">
      <c r="A60" s="64" t="s">
        <v>60</v>
      </c>
      <c r="B60" s="65">
        <v>28</v>
      </c>
      <c r="C60" s="65">
        <v>28</v>
      </c>
      <c r="D60" s="65">
        <v>28</v>
      </c>
      <c r="E60" s="65">
        <v>28</v>
      </c>
      <c r="F60" s="65">
        <v>28</v>
      </c>
      <c r="G60" s="65">
        <v>28</v>
      </c>
      <c r="H60" s="65">
        <v>28</v>
      </c>
      <c r="I60" s="65">
        <v>28</v>
      </c>
      <c r="J60" s="65">
        <v>28</v>
      </c>
      <c r="K60" s="65">
        <v>28</v>
      </c>
      <c r="L60" s="65">
        <v>28</v>
      </c>
      <c r="M60" s="65">
        <v>28</v>
      </c>
      <c r="N60" s="65">
        <v>28</v>
      </c>
      <c r="O60" s="65">
        <v>28</v>
      </c>
      <c r="P60" s="65">
        <v>28</v>
      </c>
      <c r="Q60" s="65">
        <v>28</v>
      </c>
      <c r="R60" s="65">
        <v>28</v>
      </c>
      <c r="S60" s="65">
        <v>28</v>
      </c>
      <c r="T60" s="65">
        <v>28</v>
      </c>
      <c r="U60" s="65">
        <v>28</v>
      </c>
      <c r="V60" s="65">
        <v>28</v>
      </c>
      <c r="W60" s="65">
        <v>28</v>
      </c>
      <c r="X60" s="65">
        <v>28</v>
      </c>
      <c r="Y60" s="65">
        <v>28</v>
      </c>
      <c r="Z60" s="65">
        <v>28</v>
      </c>
      <c r="AA60" s="65">
        <v>28</v>
      </c>
      <c r="AB60" s="65">
        <v>28</v>
      </c>
      <c r="AC60" s="65">
        <v>28</v>
      </c>
      <c r="AD60" s="65">
        <v>28</v>
      </c>
      <c r="AE60" s="65">
        <v>28</v>
      </c>
      <c r="AF60" s="65">
        <v>28</v>
      </c>
      <c r="AG60" s="55">
        <v>60</v>
      </c>
      <c r="AH60" s="47">
        <f t="shared" si="2"/>
        <v>28</v>
      </c>
      <c r="AI60" s="48">
        <f t="shared" si="3"/>
        <v>28</v>
      </c>
      <c r="AK60" s="50"/>
    </row>
    <row r="61" spans="1:113" ht="15.75" thickBot="1" x14ac:dyDescent="0.3">
      <c r="A61" s="66" t="s">
        <v>61</v>
      </c>
      <c r="B61" s="67">
        <v>10</v>
      </c>
      <c r="C61" s="67">
        <v>10</v>
      </c>
      <c r="D61" s="67">
        <v>10</v>
      </c>
      <c r="E61" s="67">
        <v>10</v>
      </c>
      <c r="F61" s="67">
        <v>10</v>
      </c>
      <c r="G61" s="67">
        <v>10</v>
      </c>
      <c r="H61" s="67">
        <v>10</v>
      </c>
      <c r="I61" s="67">
        <v>10</v>
      </c>
      <c r="J61" s="67">
        <v>10</v>
      </c>
      <c r="K61" s="67">
        <v>10</v>
      </c>
      <c r="L61" s="67">
        <v>10</v>
      </c>
      <c r="M61" s="67">
        <v>10</v>
      </c>
      <c r="N61" s="67">
        <v>10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10.199999999999999</v>
      </c>
      <c r="V61" s="67">
        <v>10.199999999999999</v>
      </c>
      <c r="W61" s="67">
        <v>10.199999999999999</v>
      </c>
      <c r="X61" s="67">
        <v>10.199999999999999</v>
      </c>
      <c r="Y61" s="67">
        <v>10.199999999999999</v>
      </c>
      <c r="Z61" s="67">
        <v>10.199999999999999</v>
      </c>
      <c r="AA61" s="67">
        <v>10.199999999999999</v>
      </c>
      <c r="AB61" s="67">
        <v>10.199999999999999</v>
      </c>
      <c r="AC61" s="67">
        <v>10.199999999999999</v>
      </c>
      <c r="AD61" s="67">
        <v>10.199999999999999</v>
      </c>
      <c r="AE61" s="67">
        <v>10.199999999999999</v>
      </c>
      <c r="AF61" s="67">
        <v>10.199999999999999</v>
      </c>
      <c r="AG61" s="68">
        <v>22.1</v>
      </c>
      <c r="AH61" s="47">
        <f t="shared" si="2"/>
        <v>10.199999999999999</v>
      </c>
      <c r="AI61" s="48">
        <f t="shared" si="3"/>
        <v>10</v>
      </c>
      <c r="AK61" s="50"/>
    </row>
    <row r="62" spans="1:113" ht="15.75" thickBot="1" x14ac:dyDescent="0.3">
      <c r="A62" s="69" t="s">
        <v>62</v>
      </c>
      <c r="B62" s="60">
        <f t="shared" ref="B62:AG62" si="11">SUM(B59:B61)</f>
        <v>38</v>
      </c>
      <c r="C62" s="60">
        <f t="shared" si="11"/>
        <v>38</v>
      </c>
      <c r="D62" s="60">
        <f t="shared" si="11"/>
        <v>38</v>
      </c>
      <c r="E62" s="60">
        <f t="shared" si="11"/>
        <v>38</v>
      </c>
      <c r="F62" s="60">
        <f t="shared" si="11"/>
        <v>38</v>
      </c>
      <c r="G62" s="60">
        <f t="shared" ref="G62:H62" si="12">SUM(G59:G61)</f>
        <v>38</v>
      </c>
      <c r="H62" s="60">
        <f t="shared" si="12"/>
        <v>68</v>
      </c>
      <c r="I62" s="60">
        <f t="shared" si="11"/>
        <v>114</v>
      </c>
      <c r="J62" s="60">
        <f t="shared" si="11"/>
        <v>143</v>
      </c>
      <c r="K62" s="60">
        <f t="shared" si="11"/>
        <v>163</v>
      </c>
      <c r="L62" s="60">
        <f t="shared" si="11"/>
        <v>173</v>
      </c>
      <c r="M62" s="60">
        <f t="shared" si="11"/>
        <v>223</v>
      </c>
      <c r="N62" s="60">
        <f t="shared" si="11"/>
        <v>148</v>
      </c>
      <c r="O62" s="60">
        <f t="shared" si="11"/>
        <v>88.2</v>
      </c>
      <c r="P62" s="60">
        <f t="shared" si="11"/>
        <v>73.2</v>
      </c>
      <c r="Q62" s="60">
        <f t="shared" si="11"/>
        <v>98.2</v>
      </c>
      <c r="R62" s="60">
        <f t="shared" si="11"/>
        <v>103.2</v>
      </c>
      <c r="S62" s="60">
        <f t="shared" ref="S62" si="13">SUM(S59:S61)</f>
        <v>103.2</v>
      </c>
      <c r="T62" s="60">
        <f t="shared" si="11"/>
        <v>78.2</v>
      </c>
      <c r="U62" s="60">
        <f t="shared" si="11"/>
        <v>194.2</v>
      </c>
      <c r="V62" s="60">
        <f t="shared" si="11"/>
        <v>148.19999999999999</v>
      </c>
      <c r="W62" s="60">
        <f t="shared" si="11"/>
        <v>188.2</v>
      </c>
      <c r="X62" s="60">
        <f t="shared" si="11"/>
        <v>238.2</v>
      </c>
      <c r="Y62" s="60">
        <f>SUM(Y59:Y61)</f>
        <v>268.2</v>
      </c>
      <c r="Z62" s="60">
        <f>SUM(Z59:Z61)</f>
        <v>248.2</v>
      </c>
      <c r="AA62" s="60">
        <f t="shared" si="11"/>
        <v>258.2</v>
      </c>
      <c r="AB62" s="60">
        <f t="shared" ref="AB62:AC62" si="14">SUM(AB59:AB61)</f>
        <v>258.2</v>
      </c>
      <c r="AC62" s="60">
        <f t="shared" si="14"/>
        <v>108.2</v>
      </c>
      <c r="AD62" s="60">
        <f t="shared" ref="AD62:AE62" si="15">SUM(AD59:AD61)</f>
        <v>78.2</v>
      </c>
      <c r="AE62" s="60">
        <f t="shared" si="15"/>
        <v>58.2</v>
      </c>
      <c r="AF62" s="60">
        <f t="shared" ref="AF62" si="16">SUM(AF59:AF61)</f>
        <v>38.200000000000003</v>
      </c>
      <c r="AG62" s="61">
        <f t="shared" si="11"/>
        <v>538.1</v>
      </c>
      <c r="AH62" s="47">
        <f t="shared" si="2"/>
        <v>268.2</v>
      </c>
      <c r="AI62" s="48">
        <f t="shared" si="3"/>
        <v>38</v>
      </c>
      <c r="AK62" s="50"/>
    </row>
    <row r="63" spans="1:113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32.5</v>
      </c>
      <c r="I63" s="45">
        <v>48</v>
      </c>
      <c r="J63" s="45">
        <v>60</v>
      </c>
      <c r="K63" s="45">
        <v>60.999000000000002</v>
      </c>
      <c r="L63" s="45">
        <v>113</v>
      </c>
      <c r="M63" s="45">
        <v>106.3</v>
      </c>
      <c r="N63" s="45">
        <v>91.6</v>
      </c>
      <c r="O63" s="45">
        <v>81</v>
      </c>
      <c r="P63" s="45">
        <v>61</v>
      </c>
      <c r="Q63" s="45">
        <v>61</v>
      </c>
      <c r="R63" s="45">
        <v>61.2</v>
      </c>
      <c r="S63" s="45">
        <v>62</v>
      </c>
      <c r="T63" s="45">
        <v>61</v>
      </c>
      <c r="U63" s="45">
        <v>81.3</v>
      </c>
      <c r="V63" s="45">
        <v>62.2</v>
      </c>
      <c r="W63" s="45">
        <v>37.4</v>
      </c>
      <c r="X63" s="45">
        <v>46</v>
      </c>
      <c r="Y63" s="45">
        <v>104</v>
      </c>
      <c r="Z63" s="45">
        <v>122</v>
      </c>
      <c r="AA63" s="45">
        <v>106</v>
      </c>
      <c r="AB63" s="45">
        <v>91.3</v>
      </c>
      <c r="AC63" s="45">
        <v>60.6</v>
      </c>
      <c r="AD63" s="45">
        <v>60.6</v>
      </c>
      <c r="AE63" s="45">
        <v>60.6</v>
      </c>
      <c r="AF63" s="45">
        <v>30.8</v>
      </c>
      <c r="AG63" s="52">
        <v>144</v>
      </c>
      <c r="AH63" s="47">
        <f t="shared" si="2"/>
        <v>122</v>
      </c>
      <c r="AI63" s="48">
        <f t="shared" si="3"/>
        <v>0</v>
      </c>
      <c r="AK63" s="50"/>
    </row>
    <row r="64" spans="1:113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35</v>
      </c>
      <c r="I64" s="65">
        <v>35</v>
      </c>
      <c r="J64" s="65">
        <v>45</v>
      </c>
      <c r="K64" s="65">
        <v>46</v>
      </c>
      <c r="L64" s="65">
        <v>55</v>
      </c>
      <c r="M64" s="65">
        <v>60</v>
      </c>
      <c r="N64" s="65">
        <v>50</v>
      </c>
      <c r="O64" s="65">
        <v>45</v>
      </c>
      <c r="P64" s="65">
        <v>50</v>
      </c>
      <c r="Q64" s="65">
        <v>50</v>
      </c>
      <c r="R64" s="65">
        <v>50</v>
      </c>
      <c r="S64" s="65">
        <v>50</v>
      </c>
      <c r="T64" s="65">
        <v>35</v>
      </c>
      <c r="U64" s="65">
        <v>35</v>
      </c>
      <c r="V64" s="65">
        <v>25</v>
      </c>
      <c r="W64" s="65">
        <v>25</v>
      </c>
      <c r="X64" s="65">
        <v>35</v>
      </c>
      <c r="Y64" s="45">
        <v>70</v>
      </c>
      <c r="Z64" s="45">
        <v>60</v>
      </c>
      <c r="AA64" s="45">
        <v>60</v>
      </c>
      <c r="AB64" s="45">
        <v>22</v>
      </c>
      <c r="AC64" s="45">
        <v>22</v>
      </c>
      <c r="AD64" s="45">
        <v>22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22</v>
      </c>
      <c r="I65" s="65">
        <v>48.8</v>
      </c>
      <c r="J65" s="65">
        <v>34.200000000000003</v>
      </c>
      <c r="K65" s="65">
        <v>35</v>
      </c>
      <c r="L65" s="65">
        <v>69.2</v>
      </c>
      <c r="M65" s="65">
        <v>52.8</v>
      </c>
      <c r="N65" s="65">
        <v>53.4</v>
      </c>
      <c r="O65" s="65">
        <v>53.4</v>
      </c>
      <c r="P65" s="65">
        <v>52.8</v>
      </c>
      <c r="Q65" s="65">
        <v>52.8</v>
      </c>
      <c r="R65" s="65">
        <v>52</v>
      </c>
      <c r="S65" s="65">
        <v>52</v>
      </c>
      <c r="T65" s="65">
        <v>52</v>
      </c>
      <c r="U65" s="65">
        <v>52</v>
      </c>
      <c r="V65" s="65">
        <v>35.4</v>
      </c>
      <c r="W65" s="65">
        <v>35.4</v>
      </c>
      <c r="X65" s="65">
        <v>68.400000000000006</v>
      </c>
      <c r="Y65" s="45">
        <v>68.400000000000006</v>
      </c>
      <c r="Z65" s="45">
        <v>54</v>
      </c>
      <c r="AA65" s="45">
        <v>54</v>
      </c>
      <c r="AB65" s="45">
        <v>45.8</v>
      </c>
      <c r="AC65" s="45">
        <v>33.1</v>
      </c>
      <c r="AD65" s="45">
        <v>33.1</v>
      </c>
      <c r="AE65" s="45">
        <v>33.1</v>
      </c>
      <c r="AF65" s="45">
        <v>0</v>
      </c>
      <c r="AG65" s="55">
        <v>69</v>
      </c>
      <c r="AH65" s="47">
        <f t="shared" si="2"/>
        <v>69.2</v>
      </c>
      <c r="AI65" s="48">
        <f t="shared" si="3"/>
        <v>0</v>
      </c>
      <c r="AK65" s="50"/>
    </row>
    <row r="66" spans="1:75" x14ac:dyDescent="0.25">
      <c r="A66" s="54" t="s">
        <v>66</v>
      </c>
      <c r="B66" s="65">
        <v>37.799999999999997</v>
      </c>
      <c r="C66" s="65">
        <v>37.799999999999997</v>
      </c>
      <c r="D66" s="65">
        <v>37.799999999999997</v>
      </c>
      <c r="E66" s="65">
        <v>37.799999999999997</v>
      </c>
      <c r="F66" s="65">
        <v>37.799999999999997</v>
      </c>
      <c r="G66" s="65">
        <v>37.799999999999997</v>
      </c>
      <c r="H66" s="65">
        <v>39.299999999999997</v>
      </c>
      <c r="I66" s="65">
        <v>40.299999999999997</v>
      </c>
      <c r="J66" s="65">
        <v>40.299999999999997</v>
      </c>
      <c r="K66" s="65">
        <v>40.299999999999997</v>
      </c>
      <c r="L66" s="57">
        <v>41.3</v>
      </c>
      <c r="M66" s="65">
        <v>38</v>
      </c>
      <c r="N66" s="65">
        <v>38.299999999999997</v>
      </c>
      <c r="O66" s="65">
        <v>38.299999999999997</v>
      </c>
      <c r="P66" s="65">
        <v>42.3</v>
      </c>
      <c r="Q66" s="65">
        <v>42.3</v>
      </c>
      <c r="R66" s="65">
        <v>36</v>
      </c>
      <c r="S66" s="65">
        <v>36</v>
      </c>
      <c r="T66" s="65">
        <v>36</v>
      </c>
      <c r="U66" s="65">
        <v>36</v>
      </c>
      <c r="V66" s="65">
        <v>36</v>
      </c>
      <c r="W66" s="65">
        <v>36</v>
      </c>
      <c r="X66" s="65">
        <v>36</v>
      </c>
      <c r="Y66" s="45">
        <v>36</v>
      </c>
      <c r="Z66" s="45">
        <v>36</v>
      </c>
      <c r="AA66" s="45">
        <v>36</v>
      </c>
      <c r="AB66" s="45">
        <v>37.299999999999997</v>
      </c>
      <c r="AC66" s="45">
        <v>37.299999999999997</v>
      </c>
      <c r="AD66" s="45">
        <v>37.299999999999997</v>
      </c>
      <c r="AE66" s="45">
        <v>37.299999999999997</v>
      </c>
      <c r="AF66" s="45">
        <v>37.299999999999997</v>
      </c>
      <c r="AG66" s="55">
        <v>60</v>
      </c>
      <c r="AH66" s="47">
        <f t="shared" si="2"/>
        <v>42.3</v>
      </c>
      <c r="AI66" s="48">
        <f t="shared" si="3"/>
        <v>36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10</v>
      </c>
      <c r="H67" s="65">
        <v>15</v>
      </c>
      <c r="I67" s="65">
        <v>15</v>
      </c>
      <c r="J67" s="65">
        <v>10</v>
      </c>
      <c r="K67" s="65">
        <v>15</v>
      </c>
      <c r="L67" s="57">
        <v>23</v>
      </c>
      <c r="M67" s="65">
        <v>23</v>
      </c>
      <c r="N67" s="65">
        <v>10</v>
      </c>
      <c r="O67" s="65">
        <v>15</v>
      </c>
      <c r="P67" s="65">
        <v>15</v>
      </c>
      <c r="Q67" s="65">
        <v>13</v>
      </c>
      <c r="R67" s="65">
        <v>13</v>
      </c>
      <c r="S67" s="65">
        <v>13</v>
      </c>
      <c r="T67" s="65">
        <v>10</v>
      </c>
      <c r="U67" s="65">
        <v>0</v>
      </c>
      <c r="V67" s="65">
        <v>0</v>
      </c>
      <c r="W67" s="65">
        <v>0</v>
      </c>
      <c r="X67" s="65">
        <v>10</v>
      </c>
      <c r="Y67" s="45">
        <v>23</v>
      </c>
      <c r="Z67" s="45">
        <v>30</v>
      </c>
      <c r="AA67" s="45">
        <v>30</v>
      </c>
      <c r="AB67" s="45">
        <v>23</v>
      </c>
      <c r="AC67" s="45">
        <v>15</v>
      </c>
      <c r="AD67" s="45">
        <v>15</v>
      </c>
      <c r="AE67" s="45">
        <v>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1.5</v>
      </c>
      <c r="M68" s="65">
        <v>4.5</v>
      </c>
      <c r="N68" s="65">
        <v>7.5</v>
      </c>
      <c r="O68" s="65">
        <v>11.2</v>
      </c>
      <c r="P68" s="65">
        <v>14</v>
      </c>
      <c r="Q68" s="65">
        <v>14.6</v>
      </c>
      <c r="R68" s="65">
        <v>14</v>
      </c>
      <c r="S68" s="65">
        <v>14</v>
      </c>
      <c r="T68" s="65">
        <v>9.6</v>
      </c>
      <c r="U68" s="65">
        <v>9.6</v>
      </c>
      <c r="V68" s="65">
        <v>2</v>
      </c>
      <c r="W68" s="65">
        <v>0.5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14.6</v>
      </c>
      <c r="AI68" s="48">
        <f t="shared" si="3"/>
        <v>0</v>
      </c>
      <c r="AK68" s="50"/>
      <c r="AY68" s="1" t="s">
        <v>377</v>
      </c>
      <c r="AZ68" s="233">
        <f>ROUND(C81,0)</f>
        <v>69</v>
      </c>
      <c r="BA68" s="232">
        <f t="shared" ref="BA68:BD72" si="17">D81</f>
        <v>47</v>
      </c>
      <c r="BB68" s="232">
        <f t="shared" si="17"/>
        <v>64.599999999999994</v>
      </c>
      <c r="BC68" s="232">
        <f t="shared" si="17"/>
        <v>60.2</v>
      </c>
      <c r="BD68" s="232">
        <f t="shared" si="17"/>
        <v>65</v>
      </c>
      <c r="BE68" s="233">
        <f>I81</f>
        <v>62</v>
      </c>
      <c r="BF68" s="233">
        <f>K81</f>
        <v>65.2</v>
      </c>
      <c r="BG68" s="233">
        <f t="shared" ref="BG68:BP72" si="18">M81</f>
        <v>45.6</v>
      </c>
      <c r="BH68" s="233">
        <f t="shared" si="18"/>
        <v>65.3</v>
      </c>
      <c r="BI68" s="233">
        <f t="shared" si="18"/>
        <v>61.2</v>
      </c>
      <c r="BJ68" s="233">
        <f t="shared" si="18"/>
        <v>67.5</v>
      </c>
      <c r="BK68" s="233">
        <f t="shared" si="18"/>
        <v>67</v>
      </c>
      <c r="BL68" s="233">
        <f t="shared" si="18"/>
        <v>61</v>
      </c>
      <c r="BM68" s="233">
        <f t="shared" si="18"/>
        <v>68</v>
      </c>
      <c r="BN68" s="233">
        <f t="shared" si="18"/>
        <v>67.099999999999994</v>
      </c>
      <c r="BO68" s="233">
        <f t="shared" si="18"/>
        <v>60</v>
      </c>
      <c r="BP68" s="233">
        <f t="shared" si="18"/>
        <v>61.8</v>
      </c>
      <c r="BQ68" s="233">
        <f>X81</f>
        <v>67</v>
      </c>
      <c r="BR68" s="233">
        <f>Z81</f>
        <v>66.3</v>
      </c>
      <c r="BS68" s="232">
        <f>AB81</f>
        <v>63.4</v>
      </c>
      <c r="BT68" s="232">
        <f t="shared" ref="BT68:BV72" si="19">AD81</f>
        <v>69.900000000000006</v>
      </c>
      <c r="BU68" s="232">
        <f t="shared" si="19"/>
        <v>62.3</v>
      </c>
      <c r="BV68" s="232">
        <f t="shared" si="19"/>
        <v>56.5</v>
      </c>
      <c r="BW68" s="232">
        <f>B81</f>
        <v>60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  <c r="AY69" s="1" t="s">
        <v>604</v>
      </c>
      <c r="AZ69" s="233">
        <f>ROUND(C82,0)</f>
        <v>0</v>
      </c>
      <c r="BA69" s="232">
        <f t="shared" si="17"/>
        <v>0</v>
      </c>
      <c r="BB69" s="232">
        <f t="shared" si="17"/>
        <v>0</v>
      </c>
      <c r="BC69" s="232">
        <f t="shared" si="17"/>
        <v>0</v>
      </c>
      <c r="BD69" s="232">
        <f t="shared" si="17"/>
        <v>0</v>
      </c>
      <c r="BE69" s="233">
        <f>I82</f>
        <v>0</v>
      </c>
      <c r="BF69" s="233">
        <f>K82</f>
        <v>0</v>
      </c>
      <c r="BG69" s="233">
        <f t="shared" si="18"/>
        <v>0</v>
      </c>
      <c r="BH69" s="233">
        <f t="shared" si="18"/>
        <v>0</v>
      </c>
      <c r="BI69" s="233">
        <f t="shared" si="18"/>
        <v>0</v>
      </c>
      <c r="BJ69" s="233">
        <f t="shared" si="18"/>
        <v>0</v>
      </c>
      <c r="BK69" s="233">
        <f t="shared" si="18"/>
        <v>0</v>
      </c>
      <c r="BL69" s="233">
        <f t="shared" si="18"/>
        <v>0</v>
      </c>
      <c r="BM69" s="233">
        <f t="shared" si="18"/>
        <v>0</v>
      </c>
      <c r="BN69" s="233">
        <f t="shared" si="18"/>
        <v>0</v>
      </c>
      <c r="BO69" s="233">
        <f t="shared" si="18"/>
        <v>0</v>
      </c>
      <c r="BP69" s="233">
        <f t="shared" si="18"/>
        <v>0</v>
      </c>
      <c r="BQ69" s="233">
        <f>X82</f>
        <v>0</v>
      </c>
      <c r="BR69" s="233">
        <f>Z82</f>
        <v>0</v>
      </c>
      <c r="BS69" s="232">
        <f>AB82</f>
        <v>0</v>
      </c>
      <c r="BT69" s="232">
        <f t="shared" si="19"/>
        <v>0</v>
      </c>
      <c r="BU69" s="232">
        <f t="shared" si="19"/>
        <v>0</v>
      </c>
      <c r="BV69" s="232">
        <f t="shared" si="19"/>
        <v>0</v>
      </c>
      <c r="BW69" s="232">
        <f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  <c r="AY70" s="1" t="s">
        <v>605</v>
      </c>
      <c r="AZ70" s="233">
        <f>ROUND(C83,0)</f>
        <v>414</v>
      </c>
      <c r="BA70" s="232">
        <f t="shared" si="17"/>
        <v>374</v>
      </c>
      <c r="BB70" s="232">
        <f t="shared" si="17"/>
        <v>345</v>
      </c>
      <c r="BC70" s="232">
        <f t="shared" si="17"/>
        <v>369</v>
      </c>
      <c r="BD70" s="232">
        <f t="shared" si="17"/>
        <v>405</v>
      </c>
      <c r="BE70" s="233">
        <f>I83</f>
        <v>389</v>
      </c>
      <c r="BF70" s="233">
        <f>K83</f>
        <v>365</v>
      </c>
      <c r="BG70" s="233">
        <f t="shared" si="18"/>
        <v>292</v>
      </c>
      <c r="BH70" s="233">
        <f t="shared" si="18"/>
        <v>285</v>
      </c>
      <c r="BI70" s="233">
        <f t="shared" si="18"/>
        <v>340</v>
      </c>
      <c r="BJ70" s="233">
        <f t="shared" si="18"/>
        <v>382</v>
      </c>
      <c r="BK70" s="233">
        <f t="shared" si="18"/>
        <v>400</v>
      </c>
      <c r="BL70" s="233">
        <f t="shared" si="18"/>
        <v>385</v>
      </c>
      <c r="BM70" s="233">
        <f t="shared" si="18"/>
        <v>385</v>
      </c>
      <c r="BN70" s="233">
        <f t="shared" si="18"/>
        <v>468</v>
      </c>
      <c r="BO70" s="233">
        <f t="shared" si="18"/>
        <v>350</v>
      </c>
      <c r="BP70" s="233">
        <f t="shared" si="18"/>
        <v>300</v>
      </c>
      <c r="BQ70" s="233">
        <f>X83</f>
        <v>310</v>
      </c>
      <c r="BR70" s="233">
        <f>Z83</f>
        <v>242</v>
      </c>
      <c r="BS70" s="232">
        <f>AB83</f>
        <v>103.98</v>
      </c>
      <c r="BT70" s="232">
        <f t="shared" si="19"/>
        <v>186</v>
      </c>
      <c r="BU70" s="232">
        <f t="shared" si="19"/>
        <v>194.5</v>
      </c>
      <c r="BV70" s="232">
        <f t="shared" si="19"/>
        <v>386</v>
      </c>
      <c r="BW70" s="232">
        <f>B83</f>
        <v>424</v>
      </c>
    </row>
    <row r="71" spans="1:75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9.8000000000000007</v>
      </c>
      <c r="AI71" s="48">
        <f t="shared" si="3"/>
        <v>9.8000000000000007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0</v>
      </c>
      <c r="BA71" s="232">
        <f t="shared" si="17"/>
        <v>0</v>
      </c>
      <c r="BB71" s="232">
        <f t="shared" si="17"/>
        <v>0</v>
      </c>
      <c r="BC71" s="232">
        <f t="shared" si="17"/>
        <v>0</v>
      </c>
      <c r="BD71" s="232">
        <f t="shared" si="17"/>
        <v>0</v>
      </c>
      <c r="BE71" s="233">
        <f>I84</f>
        <v>0</v>
      </c>
      <c r="BF71" s="233">
        <f>K84</f>
        <v>0</v>
      </c>
      <c r="BG71" s="233">
        <f t="shared" si="18"/>
        <v>0</v>
      </c>
      <c r="BH71" s="233">
        <f t="shared" si="18"/>
        <v>0</v>
      </c>
      <c r="BI71" s="233">
        <f t="shared" si="18"/>
        <v>0</v>
      </c>
      <c r="BJ71" s="233">
        <f t="shared" si="18"/>
        <v>0</v>
      </c>
      <c r="BK71" s="233">
        <f t="shared" si="18"/>
        <v>0</v>
      </c>
      <c r="BL71" s="233">
        <f t="shared" si="18"/>
        <v>0</v>
      </c>
      <c r="BM71" s="233">
        <f t="shared" si="18"/>
        <v>0</v>
      </c>
      <c r="BN71" s="233">
        <f t="shared" si="18"/>
        <v>0</v>
      </c>
      <c r="BO71" s="233">
        <f t="shared" si="18"/>
        <v>0</v>
      </c>
      <c r="BP71" s="233">
        <f t="shared" si="18"/>
        <v>0</v>
      </c>
      <c r="BQ71" s="233">
        <f>X84</f>
        <v>0</v>
      </c>
      <c r="BR71" s="233">
        <f>Z84</f>
        <v>0</v>
      </c>
      <c r="BS71" s="232">
        <f>AB84</f>
        <v>0</v>
      </c>
      <c r="BT71" s="232">
        <f t="shared" si="19"/>
        <v>0</v>
      </c>
      <c r="BU71" s="232">
        <f t="shared" si="19"/>
        <v>0</v>
      </c>
      <c r="BV71" s="232">
        <f t="shared" si="19"/>
        <v>0</v>
      </c>
      <c r="BW71" s="232">
        <f>B84</f>
        <v>0</v>
      </c>
    </row>
    <row r="72" spans="1:75" x14ac:dyDescent="0.25">
      <c r="A72" s="71" t="s">
        <v>72</v>
      </c>
      <c r="B72" s="65">
        <v>3.5</v>
      </c>
      <c r="C72" s="65">
        <v>3.5</v>
      </c>
      <c r="D72" s="65">
        <v>3.5</v>
      </c>
      <c r="E72" s="65">
        <v>3.5</v>
      </c>
      <c r="F72" s="65">
        <v>3.5</v>
      </c>
      <c r="G72" s="65">
        <v>3.5</v>
      </c>
      <c r="H72" s="65">
        <v>3.5</v>
      </c>
      <c r="I72" s="65">
        <v>3.5</v>
      </c>
      <c r="J72" s="65">
        <v>3.5</v>
      </c>
      <c r="K72" s="65">
        <v>3.5</v>
      </c>
      <c r="L72" s="65">
        <v>3.5</v>
      </c>
      <c r="M72" s="65">
        <v>3.5</v>
      </c>
      <c r="N72" s="65">
        <v>3.5</v>
      </c>
      <c r="O72" s="65">
        <v>3.5</v>
      </c>
      <c r="P72" s="65">
        <v>3.5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5">
        <v>14</v>
      </c>
      <c r="AH72" s="47">
        <f t="shared" si="2"/>
        <v>3.5</v>
      </c>
      <c r="AI72" s="48">
        <f t="shared" si="3"/>
        <v>0</v>
      </c>
      <c r="AK72" s="50"/>
      <c r="AY72" s="1" t="s">
        <v>607</v>
      </c>
      <c r="AZ72" s="233">
        <f>ROUND(C85,0)</f>
        <v>14</v>
      </c>
      <c r="BA72" s="232">
        <f t="shared" si="17"/>
        <v>60</v>
      </c>
      <c r="BB72" s="232">
        <f t="shared" si="17"/>
        <v>103</v>
      </c>
      <c r="BC72" s="232">
        <f t="shared" si="17"/>
        <v>108.9</v>
      </c>
      <c r="BD72" s="232">
        <f t="shared" si="17"/>
        <v>101</v>
      </c>
      <c r="BE72" s="233">
        <f>I85</f>
        <v>102.8</v>
      </c>
      <c r="BF72" s="233">
        <f>K85</f>
        <v>56</v>
      </c>
      <c r="BG72" s="233">
        <f t="shared" si="18"/>
        <v>0</v>
      </c>
      <c r="BH72" s="233">
        <f t="shared" si="18"/>
        <v>0</v>
      </c>
      <c r="BI72" s="233">
        <f t="shared" si="18"/>
        <v>0</v>
      </c>
      <c r="BJ72" s="233">
        <f t="shared" si="18"/>
        <v>40</v>
      </c>
      <c r="BK72" s="233">
        <f t="shared" si="18"/>
        <v>98</v>
      </c>
      <c r="BL72" s="233">
        <f t="shared" si="18"/>
        <v>110</v>
      </c>
      <c r="BM72" s="233">
        <f t="shared" si="18"/>
        <v>110</v>
      </c>
      <c r="BN72" s="233">
        <f t="shared" si="18"/>
        <v>122</v>
      </c>
      <c r="BO72" s="233">
        <f t="shared" si="18"/>
        <v>122</v>
      </c>
      <c r="BP72" s="233">
        <f t="shared" si="18"/>
        <v>60</v>
      </c>
      <c r="BQ72" s="233">
        <f>X85</f>
        <v>55</v>
      </c>
      <c r="BR72" s="233">
        <f>Z85</f>
        <v>64</v>
      </c>
      <c r="BS72" s="232">
        <f>AB85</f>
        <v>81.599999999999994</v>
      </c>
      <c r="BT72" s="232">
        <f t="shared" si="19"/>
        <v>103.6</v>
      </c>
      <c r="BU72" s="232">
        <f t="shared" si="19"/>
        <v>102.6</v>
      </c>
      <c r="BV72" s="232">
        <f t="shared" si="19"/>
        <v>107.4</v>
      </c>
      <c r="BW72" s="232">
        <f>B85</f>
        <v>15</v>
      </c>
    </row>
    <row r="73" spans="1:75" x14ac:dyDescent="0.25">
      <c r="A73" s="54" t="s">
        <v>73</v>
      </c>
      <c r="B73" s="65">
        <v>4</v>
      </c>
      <c r="C73" s="65">
        <v>4</v>
      </c>
      <c r="D73" s="65">
        <v>4</v>
      </c>
      <c r="E73" s="65">
        <v>4</v>
      </c>
      <c r="F73" s="65">
        <v>4</v>
      </c>
      <c r="G73" s="65">
        <v>4</v>
      </c>
      <c r="H73" s="65">
        <v>4</v>
      </c>
      <c r="I73" s="65">
        <v>4</v>
      </c>
      <c r="J73" s="65">
        <v>4</v>
      </c>
      <c r="K73" s="65">
        <v>4</v>
      </c>
      <c r="L73" s="65">
        <v>4</v>
      </c>
      <c r="M73" s="65">
        <v>4</v>
      </c>
      <c r="N73" s="65">
        <v>4</v>
      </c>
      <c r="O73" s="65">
        <v>4</v>
      </c>
      <c r="P73" s="65">
        <v>4</v>
      </c>
      <c r="Q73" s="65">
        <v>4</v>
      </c>
      <c r="R73" s="65">
        <v>4</v>
      </c>
      <c r="S73" s="65">
        <v>4</v>
      </c>
      <c r="T73" s="65">
        <v>4</v>
      </c>
      <c r="U73" s="65">
        <v>4</v>
      </c>
      <c r="V73" s="65">
        <v>4</v>
      </c>
      <c r="W73" s="65">
        <v>4</v>
      </c>
      <c r="X73" s="65">
        <v>4</v>
      </c>
      <c r="Y73" s="65">
        <v>4</v>
      </c>
      <c r="Z73" s="65">
        <v>4</v>
      </c>
      <c r="AA73" s="65">
        <v>4</v>
      </c>
      <c r="AB73" s="65">
        <v>4</v>
      </c>
      <c r="AC73" s="65">
        <v>4</v>
      </c>
      <c r="AD73" s="65">
        <v>4</v>
      </c>
      <c r="AE73" s="65">
        <v>4</v>
      </c>
      <c r="AF73" s="65">
        <v>4</v>
      </c>
      <c r="AG73" s="55">
        <v>10.050000000000001</v>
      </c>
      <c r="AH73" s="47">
        <f t="shared" si="2"/>
        <v>4</v>
      </c>
      <c r="AI73" s="48">
        <f t="shared" si="3"/>
        <v>4</v>
      </c>
      <c r="AK73" s="50"/>
      <c r="AY73" s="1" t="s">
        <v>608</v>
      </c>
      <c r="AZ73" s="233">
        <f>ROUND(C91,0)</f>
        <v>62</v>
      </c>
      <c r="BA73" s="233">
        <f>D91</f>
        <v>0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0</v>
      </c>
      <c r="BF73" s="233">
        <f>K91</f>
        <v>53.3</v>
      </c>
      <c r="BG73" s="233">
        <f t="shared" ref="BG73:BP73" si="20">M91</f>
        <v>60.9</v>
      </c>
      <c r="BH73" s="233">
        <f t="shared" si="20"/>
        <v>55.5</v>
      </c>
      <c r="BI73" s="233">
        <f t="shared" si="20"/>
        <v>57.7</v>
      </c>
      <c r="BJ73" s="233">
        <f t="shared" si="20"/>
        <v>71.5</v>
      </c>
      <c r="BK73" s="233">
        <f t="shared" si="20"/>
        <v>68.2</v>
      </c>
      <c r="BL73" s="233">
        <f t="shared" si="20"/>
        <v>64</v>
      </c>
      <c r="BM73" s="233">
        <f t="shared" si="20"/>
        <v>64</v>
      </c>
      <c r="BN73" s="233">
        <f t="shared" si="20"/>
        <v>70.400000000000006</v>
      </c>
      <c r="BO73" s="233">
        <f t="shared" si="20"/>
        <v>64</v>
      </c>
      <c r="BP73" s="233">
        <f t="shared" si="20"/>
        <v>50.6</v>
      </c>
      <c r="BQ73" s="233">
        <f>X91</f>
        <v>52.1</v>
      </c>
      <c r="BR73" s="233">
        <f>Z91</f>
        <v>55.2</v>
      </c>
      <c r="BS73" s="233">
        <f>AB91</f>
        <v>49.5</v>
      </c>
      <c r="BT73" s="233">
        <f>AD91</f>
        <v>62.1</v>
      </c>
      <c r="BU73" s="233">
        <f>AE91</f>
        <v>75.3</v>
      </c>
      <c r="BV73" s="233">
        <f>AF91</f>
        <v>64.2</v>
      </c>
      <c r="BW73" s="233">
        <f>B91</f>
        <v>52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  <c r="AZ75" s="233">
        <f>VALUE(AZ68)</f>
        <v>69</v>
      </c>
      <c r="BA75" s="233">
        <f t="shared" ref="BA75:BW75" si="21">VALUE(BA68)</f>
        <v>47</v>
      </c>
      <c r="BB75" s="233">
        <f t="shared" si="21"/>
        <v>64.599999999999994</v>
      </c>
      <c r="BC75" s="233">
        <f t="shared" si="21"/>
        <v>60.2</v>
      </c>
      <c r="BD75" s="233">
        <f t="shared" si="21"/>
        <v>65</v>
      </c>
      <c r="BE75" s="233">
        <f t="shared" si="21"/>
        <v>62</v>
      </c>
      <c r="BF75" s="233">
        <f t="shared" si="21"/>
        <v>65.2</v>
      </c>
      <c r="BG75" s="233">
        <f t="shared" si="21"/>
        <v>45.6</v>
      </c>
      <c r="BH75" s="233">
        <f t="shared" si="21"/>
        <v>65.3</v>
      </c>
      <c r="BI75" s="233">
        <f t="shared" si="21"/>
        <v>61.2</v>
      </c>
      <c r="BJ75" s="233">
        <f t="shared" si="21"/>
        <v>67.5</v>
      </c>
      <c r="BK75" s="233">
        <f t="shared" si="21"/>
        <v>67</v>
      </c>
      <c r="BL75" s="233">
        <f t="shared" si="21"/>
        <v>61</v>
      </c>
      <c r="BM75" s="233">
        <f t="shared" si="21"/>
        <v>68</v>
      </c>
      <c r="BN75" s="233">
        <f t="shared" si="21"/>
        <v>67.099999999999994</v>
      </c>
      <c r="BO75" s="233">
        <f t="shared" si="21"/>
        <v>60</v>
      </c>
      <c r="BP75" s="233">
        <f t="shared" si="21"/>
        <v>61.8</v>
      </c>
      <c r="BQ75" s="233">
        <f t="shared" si="21"/>
        <v>67</v>
      </c>
      <c r="BR75" s="233">
        <f t="shared" si="21"/>
        <v>66.3</v>
      </c>
      <c r="BS75" s="233">
        <f t="shared" si="21"/>
        <v>63.4</v>
      </c>
      <c r="BT75" s="233">
        <f t="shared" si="21"/>
        <v>69.900000000000006</v>
      </c>
      <c r="BU75" s="233">
        <f t="shared" si="21"/>
        <v>62.3</v>
      </c>
      <c r="BV75" s="233">
        <f t="shared" si="21"/>
        <v>56.5</v>
      </c>
      <c r="BW75" s="233">
        <f t="shared" si="21"/>
        <v>60</v>
      </c>
    </row>
    <row r="76" spans="1:75" ht="15.75" thickBot="1" x14ac:dyDescent="0.3">
      <c r="A76" s="74" t="s">
        <v>76</v>
      </c>
      <c r="B76" s="60">
        <f t="shared" ref="B76:AG76" si="22">SUM(B63:B75)</f>
        <v>79.64</v>
      </c>
      <c r="C76" s="60">
        <f t="shared" si="22"/>
        <v>79.64</v>
      </c>
      <c r="D76" s="60">
        <f t="shared" si="22"/>
        <v>79.64</v>
      </c>
      <c r="E76" s="60">
        <f t="shared" si="22"/>
        <v>79.64</v>
      </c>
      <c r="F76" s="60">
        <f t="shared" si="22"/>
        <v>79.64</v>
      </c>
      <c r="G76" s="60">
        <f t="shared" si="22"/>
        <v>89.64</v>
      </c>
      <c r="H76" s="60">
        <f t="shared" si="22"/>
        <v>185.64000000000001</v>
      </c>
      <c r="I76" s="60">
        <f t="shared" si="22"/>
        <v>228.94000000000003</v>
      </c>
      <c r="J76" s="60">
        <f t="shared" si="22"/>
        <v>231.34</v>
      </c>
      <c r="K76" s="60">
        <f t="shared" si="22"/>
        <v>239.13899999999998</v>
      </c>
      <c r="L76" s="60">
        <f t="shared" si="22"/>
        <v>344.84000000000003</v>
      </c>
      <c r="M76" s="60">
        <f t="shared" si="22"/>
        <v>326.44000000000005</v>
      </c>
      <c r="N76" s="60">
        <f t="shared" si="22"/>
        <v>292.64000000000004</v>
      </c>
      <c r="O76" s="60">
        <f t="shared" si="22"/>
        <v>285.74</v>
      </c>
      <c r="P76" s="60">
        <f t="shared" si="22"/>
        <v>276.94000000000005</v>
      </c>
      <c r="Q76" s="60">
        <f t="shared" si="22"/>
        <v>272.04000000000002</v>
      </c>
      <c r="R76" s="60">
        <f t="shared" si="22"/>
        <v>264.54000000000002</v>
      </c>
      <c r="S76" s="60">
        <f t="shared" ref="S76" si="23">SUM(S63:S75)</f>
        <v>265.34000000000003</v>
      </c>
      <c r="T76" s="60">
        <f t="shared" si="22"/>
        <v>241.94</v>
      </c>
      <c r="U76" s="60">
        <f t="shared" si="22"/>
        <v>252.24</v>
      </c>
      <c r="V76" s="60">
        <f t="shared" si="22"/>
        <v>198.94</v>
      </c>
      <c r="W76" s="60">
        <f t="shared" si="22"/>
        <v>172.64000000000001</v>
      </c>
      <c r="X76" s="60">
        <f t="shared" si="22"/>
        <v>233.74</v>
      </c>
      <c r="Y76" s="60">
        <f>SUM(Y63:Y75)</f>
        <v>339.74</v>
      </c>
      <c r="Z76" s="60">
        <f>SUM(Z63:Z75)</f>
        <v>342.3</v>
      </c>
      <c r="AA76" s="60">
        <f t="shared" si="22"/>
        <v>324.34000000000003</v>
      </c>
      <c r="AB76" s="60">
        <f t="shared" ref="AB76:AC76" si="24">SUM(AB63:AB75)</f>
        <v>257.74</v>
      </c>
      <c r="AC76" s="60">
        <f t="shared" si="24"/>
        <v>206.34</v>
      </c>
      <c r="AD76" s="60">
        <f t="shared" ref="AD76:AE76" si="25">SUM(AD63:AD75)</f>
        <v>206.34</v>
      </c>
      <c r="AE76" s="60">
        <f t="shared" si="25"/>
        <v>169.34</v>
      </c>
      <c r="AF76" s="60">
        <f t="shared" ref="AF76" si="26">SUM(AF63:AF75)</f>
        <v>106.44</v>
      </c>
      <c r="AG76" s="61">
        <f t="shared" si="22"/>
        <v>489.91</v>
      </c>
      <c r="AH76" s="47">
        <f t="shared" si="2"/>
        <v>344.84000000000003</v>
      </c>
      <c r="AI76" s="48">
        <f t="shared" si="3"/>
        <v>79.64</v>
      </c>
      <c r="AK76" s="50"/>
      <c r="AZ76" s="233">
        <f t="shared" ref="AZ76:BW80" si="27">VALUE(AZ69)</f>
        <v>0</v>
      </c>
      <c r="BA76" s="233">
        <f t="shared" si="27"/>
        <v>0</v>
      </c>
      <c r="BB76" s="233">
        <f t="shared" si="27"/>
        <v>0</v>
      </c>
      <c r="BC76" s="233">
        <f t="shared" si="27"/>
        <v>0</v>
      </c>
      <c r="BD76" s="233">
        <f t="shared" si="27"/>
        <v>0</v>
      </c>
      <c r="BE76" s="233">
        <f t="shared" si="27"/>
        <v>0</v>
      </c>
      <c r="BF76" s="233">
        <f t="shared" si="27"/>
        <v>0</v>
      </c>
      <c r="BG76" s="233">
        <f t="shared" si="27"/>
        <v>0</v>
      </c>
      <c r="BH76" s="233">
        <f t="shared" si="27"/>
        <v>0</v>
      </c>
      <c r="BI76" s="233">
        <f t="shared" si="27"/>
        <v>0</v>
      </c>
      <c r="BJ76" s="233">
        <f t="shared" si="27"/>
        <v>0</v>
      </c>
      <c r="BK76" s="233">
        <f t="shared" si="27"/>
        <v>0</v>
      </c>
      <c r="BL76" s="233">
        <f t="shared" si="27"/>
        <v>0</v>
      </c>
      <c r="BM76" s="233">
        <f t="shared" si="27"/>
        <v>0</v>
      </c>
      <c r="BN76" s="233">
        <f t="shared" si="27"/>
        <v>0</v>
      </c>
      <c r="BO76" s="233">
        <f t="shared" si="27"/>
        <v>0</v>
      </c>
      <c r="BP76" s="233">
        <f t="shared" si="27"/>
        <v>0</v>
      </c>
      <c r="BQ76" s="233">
        <f t="shared" si="27"/>
        <v>0</v>
      </c>
      <c r="BR76" s="233">
        <f t="shared" si="27"/>
        <v>0</v>
      </c>
      <c r="BS76" s="233">
        <f t="shared" si="27"/>
        <v>0</v>
      </c>
      <c r="BT76" s="233">
        <f t="shared" si="27"/>
        <v>0</v>
      </c>
      <c r="BU76" s="233">
        <f t="shared" si="27"/>
        <v>0</v>
      </c>
      <c r="BV76" s="233">
        <f t="shared" si="27"/>
        <v>0</v>
      </c>
      <c r="BW76" s="233">
        <f t="shared" si="27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  <c r="AZ77" s="233">
        <f t="shared" si="27"/>
        <v>414</v>
      </c>
      <c r="BA77" s="233">
        <f t="shared" si="27"/>
        <v>374</v>
      </c>
      <c r="BB77" s="233">
        <f t="shared" si="27"/>
        <v>345</v>
      </c>
      <c r="BC77" s="233">
        <f t="shared" si="27"/>
        <v>369</v>
      </c>
      <c r="BD77" s="233">
        <f t="shared" si="27"/>
        <v>405</v>
      </c>
      <c r="BE77" s="233">
        <f t="shared" si="27"/>
        <v>389</v>
      </c>
      <c r="BF77" s="233">
        <f t="shared" si="27"/>
        <v>365</v>
      </c>
      <c r="BG77" s="233">
        <f t="shared" si="27"/>
        <v>292</v>
      </c>
      <c r="BH77" s="233">
        <f t="shared" si="27"/>
        <v>285</v>
      </c>
      <c r="BI77" s="233">
        <f t="shared" si="27"/>
        <v>340</v>
      </c>
      <c r="BJ77" s="233">
        <f t="shared" si="27"/>
        <v>382</v>
      </c>
      <c r="BK77" s="233">
        <f t="shared" si="27"/>
        <v>400</v>
      </c>
      <c r="BL77" s="233">
        <f t="shared" si="27"/>
        <v>385</v>
      </c>
      <c r="BM77" s="233">
        <f t="shared" si="27"/>
        <v>385</v>
      </c>
      <c r="BN77" s="233">
        <f t="shared" si="27"/>
        <v>468</v>
      </c>
      <c r="BO77" s="233">
        <f t="shared" si="27"/>
        <v>350</v>
      </c>
      <c r="BP77" s="233">
        <f t="shared" si="27"/>
        <v>300</v>
      </c>
      <c r="BQ77" s="233">
        <f t="shared" si="27"/>
        <v>310</v>
      </c>
      <c r="BR77" s="233">
        <f t="shared" si="27"/>
        <v>242</v>
      </c>
      <c r="BS77" s="233">
        <f t="shared" si="27"/>
        <v>103.98</v>
      </c>
      <c r="BT77" s="233">
        <f t="shared" si="27"/>
        <v>186</v>
      </c>
      <c r="BU77" s="233">
        <f t="shared" si="27"/>
        <v>194.5</v>
      </c>
      <c r="BV77" s="233">
        <f t="shared" si="27"/>
        <v>386</v>
      </c>
      <c r="BW77" s="233">
        <f t="shared" si="27"/>
        <v>424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  <c r="AZ78" s="233">
        <f t="shared" si="27"/>
        <v>0</v>
      </c>
      <c r="BA78" s="233">
        <f t="shared" si="27"/>
        <v>0</v>
      </c>
      <c r="BB78" s="233">
        <f t="shared" si="27"/>
        <v>0</v>
      </c>
      <c r="BC78" s="233">
        <f t="shared" si="27"/>
        <v>0</v>
      </c>
      <c r="BD78" s="233">
        <f t="shared" si="27"/>
        <v>0</v>
      </c>
      <c r="BE78" s="233">
        <f t="shared" si="27"/>
        <v>0</v>
      </c>
      <c r="BF78" s="233">
        <f t="shared" si="27"/>
        <v>0</v>
      </c>
      <c r="BG78" s="233">
        <f t="shared" si="27"/>
        <v>0</v>
      </c>
      <c r="BH78" s="233">
        <f t="shared" si="27"/>
        <v>0</v>
      </c>
      <c r="BI78" s="233">
        <f t="shared" si="27"/>
        <v>0</v>
      </c>
      <c r="BJ78" s="233">
        <f t="shared" si="27"/>
        <v>0</v>
      </c>
      <c r="BK78" s="233">
        <f t="shared" si="27"/>
        <v>0</v>
      </c>
      <c r="BL78" s="233">
        <f t="shared" si="27"/>
        <v>0</v>
      </c>
      <c r="BM78" s="233">
        <f t="shared" si="27"/>
        <v>0</v>
      </c>
      <c r="BN78" s="233">
        <f t="shared" si="27"/>
        <v>0</v>
      </c>
      <c r="BO78" s="233">
        <f t="shared" si="27"/>
        <v>0</v>
      </c>
      <c r="BP78" s="233">
        <f t="shared" si="27"/>
        <v>0</v>
      </c>
      <c r="BQ78" s="233">
        <f t="shared" si="27"/>
        <v>0</v>
      </c>
      <c r="BR78" s="233">
        <f t="shared" si="27"/>
        <v>0</v>
      </c>
      <c r="BS78" s="233">
        <f t="shared" si="27"/>
        <v>0</v>
      </c>
      <c r="BT78" s="233">
        <f t="shared" si="27"/>
        <v>0</v>
      </c>
      <c r="BU78" s="233">
        <f t="shared" si="27"/>
        <v>0</v>
      </c>
      <c r="BV78" s="233">
        <f t="shared" si="27"/>
        <v>0</v>
      </c>
      <c r="BW78" s="233">
        <f t="shared" si="27"/>
        <v>0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  <c r="AZ79" s="233">
        <f t="shared" si="27"/>
        <v>14</v>
      </c>
      <c r="BA79" s="233">
        <f t="shared" si="27"/>
        <v>60</v>
      </c>
      <c r="BB79" s="233">
        <f t="shared" si="27"/>
        <v>103</v>
      </c>
      <c r="BC79" s="233">
        <f t="shared" si="27"/>
        <v>108.9</v>
      </c>
      <c r="BD79" s="233">
        <f t="shared" si="27"/>
        <v>101</v>
      </c>
      <c r="BE79" s="233">
        <f t="shared" si="27"/>
        <v>102.8</v>
      </c>
      <c r="BF79" s="233">
        <f t="shared" si="27"/>
        <v>56</v>
      </c>
      <c r="BG79" s="233">
        <f t="shared" si="27"/>
        <v>0</v>
      </c>
      <c r="BH79" s="233">
        <f t="shared" si="27"/>
        <v>0</v>
      </c>
      <c r="BI79" s="233">
        <f t="shared" si="27"/>
        <v>0</v>
      </c>
      <c r="BJ79" s="233">
        <f t="shared" si="27"/>
        <v>40</v>
      </c>
      <c r="BK79" s="233">
        <f t="shared" si="27"/>
        <v>98</v>
      </c>
      <c r="BL79" s="233">
        <f t="shared" si="27"/>
        <v>110</v>
      </c>
      <c r="BM79" s="233">
        <f t="shared" si="27"/>
        <v>110</v>
      </c>
      <c r="BN79" s="233">
        <f t="shared" si="27"/>
        <v>122</v>
      </c>
      <c r="BO79" s="233">
        <f t="shared" si="27"/>
        <v>122</v>
      </c>
      <c r="BP79" s="233">
        <f t="shared" si="27"/>
        <v>60</v>
      </c>
      <c r="BQ79" s="233">
        <f t="shared" si="27"/>
        <v>55</v>
      </c>
      <c r="BR79" s="233">
        <f t="shared" si="27"/>
        <v>64</v>
      </c>
      <c r="BS79" s="233">
        <f t="shared" si="27"/>
        <v>81.599999999999994</v>
      </c>
      <c r="BT79" s="233">
        <f t="shared" si="27"/>
        <v>103.6</v>
      </c>
      <c r="BU79" s="233">
        <f t="shared" si="27"/>
        <v>102.6</v>
      </c>
      <c r="BV79" s="233">
        <f t="shared" si="27"/>
        <v>107.4</v>
      </c>
      <c r="BW79" s="233">
        <f t="shared" si="27"/>
        <v>15</v>
      </c>
    </row>
    <row r="80" spans="1:75" ht="15.75" thickBot="1" x14ac:dyDescent="0.3">
      <c r="A80" s="74" t="s">
        <v>80</v>
      </c>
      <c r="B80" s="60">
        <f t="shared" ref="B80:AA80" si="28">B77+B78+B79</f>
        <v>0</v>
      </c>
      <c r="C80" s="60">
        <f t="shared" si="28"/>
        <v>0</v>
      </c>
      <c r="D80" s="60">
        <f t="shared" si="28"/>
        <v>0</v>
      </c>
      <c r="E80" s="60">
        <f t="shared" si="28"/>
        <v>0</v>
      </c>
      <c r="F80" s="60">
        <f t="shared" si="28"/>
        <v>0</v>
      </c>
      <c r="G80" s="60">
        <f t="shared" si="28"/>
        <v>0</v>
      </c>
      <c r="H80" s="60">
        <f t="shared" si="28"/>
        <v>0</v>
      </c>
      <c r="I80" s="60">
        <f t="shared" si="28"/>
        <v>0</v>
      </c>
      <c r="J80" s="60">
        <f t="shared" si="28"/>
        <v>0</v>
      </c>
      <c r="K80" s="60">
        <f t="shared" si="28"/>
        <v>0</v>
      </c>
      <c r="L80" s="60">
        <f t="shared" si="28"/>
        <v>0</v>
      </c>
      <c r="M80" s="60">
        <f t="shared" si="28"/>
        <v>0</v>
      </c>
      <c r="N80" s="60">
        <f t="shared" si="28"/>
        <v>0</v>
      </c>
      <c r="O80" s="60">
        <f t="shared" si="28"/>
        <v>0</v>
      </c>
      <c r="P80" s="60">
        <f t="shared" si="28"/>
        <v>0</v>
      </c>
      <c r="Q80" s="60">
        <f t="shared" si="28"/>
        <v>0</v>
      </c>
      <c r="R80" s="60">
        <f t="shared" si="28"/>
        <v>0</v>
      </c>
      <c r="S80" s="60">
        <f t="shared" ref="S80" si="29">S77+S78+S79</f>
        <v>0</v>
      </c>
      <c r="T80" s="60">
        <f t="shared" si="28"/>
        <v>0</v>
      </c>
      <c r="U80" s="60">
        <f t="shared" si="28"/>
        <v>0</v>
      </c>
      <c r="V80" s="60">
        <f t="shared" si="28"/>
        <v>0</v>
      </c>
      <c r="W80" s="60">
        <f t="shared" si="28"/>
        <v>0</v>
      </c>
      <c r="X80" s="60">
        <f t="shared" si="28"/>
        <v>0</v>
      </c>
      <c r="Y80" s="60">
        <f>Y77+Y78+Y79</f>
        <v>0</v>
      </c>
      <c r="Z80" s="60">
        <f>Z77+Z78+Z79</f>
        <v>0</v>
      </c>
      <c r="AA80" s="60">
        <f t="shared" si="28"/>
        <v>0</v>
      </c>
      <c r="AB80" s="60">
        <f t="shared" ref="AB80:AC80" si="30">AB77+AB78+AB79</f>
        <v>0</v>
      </c>
      <c r="AC80" s="60">
        <f t="shared" si="30"/>
        <v>0</v>
      </c>
      <c r="AD80" s="60">
        <f t="shared" ref="AD80:AE80" si="31">AD77+AD78+AD79</f>
        <v>0</v>
      </c>
      <c r="AE80" s="60">
        <f t="shared" si="31"/>
        <v>0</v>
      </c>
      <c r="AF80" s="60">
        <f t="shared" ref="AF80" si="32">AF77+AF78+AF79</f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  <c r="AZ80" s="233">
        <f t="shared" si="27"/>
        <v>62</v>
      </c>
      <c r="BA80" s="233">
        <f t="shared" si="27"/>
        <v>0</v>
      </c>
      <c r="BB80" s="233">
        <f t="shared" si="27"/>
        <v>0</v>
      </c>
      <c r="BC80" s="233">
        <f t="shared" si="27"/>
        <v>0</v>
      </c>
      <c r="BD80" s="233">
        <f t="shared" si="27"/>
        <v>0</v>
      </c>
      <c r="BE80" s="233">
        <f t="shared" si="27"/>
        <v>0</v>
      </c>
      <c r="BF80" s="233">
        <f t="shared" si="27"/>
        <v>53.3</v>
      </c>
      <c r="BG80" s="233">
        <f t="shared" si="27"/>
        <v>60.9</v>
      </c>
      <c r="BH80" s="233">
        <f t="shared" si="27"/>
        <v>55.5</v>
      </c>
      <c r="BI80" s="233">
        <f t="shared" si="27"/>
        <v>57.7</v>
      </c>
      <c r="BJ80" s="233">
        <f t="shared" si="27"/>
        <v>71.5</v>
      </c>
      <c r="BK80" s="233">
        <f t="shared" si="27"/>
        <v>68.2</v>
      </c>
      <c r="BL80" s="233">
        <f t="shared" si="27"/>
        <v>64</v>
      </c>
      <c r="BM80" s="233">
        <f t="shared" si="27"/>
        <v>64</v>
      </c>
      <c r="BN80" s="233">
        <f t="shared" si="27"/>
        <v>70.400000000000006</v>
      </c>
      <c r="BO80" s="233">
        <f t="shared" si="27"/>
        <v>64</v>
      </c>
      <c r="BP80" s="233">
        <f t="shared" si="27"/>
        <v>50.6</v>
      </c>
      <c r="BQ80" s="233">
        <f t="shared" si="27"/>
        <v>52.1</v>
      </c>
      <c r="BR80" s="233">
        <f t="shared" si="27"/>
        <v>55.2</v>
      </c>
      <c r="BS80" s="233">
        <f t="shared" si="27"/>
        <v>49.5</v>
      </c>
      <c r="BT80" s="233">
        <f t="shared" si="27"/>
        <v>62.1</v>
      </c>
      <c r="BU80" s="233">
        <f t="shared" si="27"/>
        <v>75.3</v>
      </c>
      <c r="BV80" s="233">
        <f t="shared" si="27"/>
        <v>64.2</v>
      </c>
      <c r="BW80" s="233">
        <f t="shared" si="27"/>
        <v>52</v>
      </c>
    </row>
    <row r="81" spans="1:64" x14ac:dyDescent="0.25">
      <c r="A81" s="44" t="s">
        <v>81</v>
      </c>
      <c r="B81" s="45">
        <v>60</v>
      </c>
      <c r="C81" s="45">
        <v>69.2</v>
      </c>
      <c r="D81" s="45">
        <v>47</v>
      </c>
      <c r="E81" s="45">
        <v>64.599999999999994</v>
      </c>
      <c r="F81" s="45">
        <v>60.2</v>
      </c>
      <c r="G81" s="45">
        <v>65</v>
      </c>
      <c r="H81" s="45">
        <v>49.976999999999997</v>
      </c>
      <c r="I81" s="45">
        <v>62</v>
      </c>
      <c r="J81" s="45">
        <v>59</v>
      </c>
      <c r="K81" s="45">
        <v>65.2</v>
      </c>
      <c r="L81" s="45">
        <v>60.1</v>
      </c>
      <c r="M81" s="45">
        <v>45.6</v>
      </c>
      <c r="N81" s="45">
        <v>65.3</v>
      </c>
      <c r="O81" s="45">
        <v>61.2</v>
      </c>
      <c r="P81" s="45">
        <v>67.5</v>
      </c>
      <c r="Q81" s="45">
        <v>67</v>
      </c>
      <c r="R81" s="45">
        <v>61</v>
      </c>
      <c r="S81" s="45">
        <v>68</v>
      </c>
      <c r="T81" s="45">
        <v>67.099999999999994</v>
      </c>
      <c r="U81" s="45">
        <v>60</v>
      </c>
      <c r="V81" s="45">
        <v>61.8</v>
      </c>
      <c r="W81" s="45">
        <v>64.599999999999994</v>
      </c>
      <c r="X81" s="45">
        <v>67</v>
      </c>
      <c r="Y81" s="45">
        <v>68.099999999999994</v>
      </c>
      <c r="Z81" s="45">
        <v>66.3</v>
      </c>
      <c r="AA81" s="45">
        <v>63.2</v>
      </c>
      <c r="AB81" s="45">
        <v>63.4</v>
      </c>
      <c r="AC81" s="45">
        <v>62.8</v>
      </c>
      <c r="AD81" s="45">
        <v>69.900000000000006</v>
      </c>
      <c r="AE81" s="45">
        <v>62.3</v>
      </c>
      <c r="AF81" s="45">
        <v>56.5</v>
      </c>
      <c r="AG81" s="52"/>
      <c r="AH81" s="47">
        <f t="shared" si="2"/>
        <v>69.900000000000006</v>
      </c>
      <c r="AI81" s="48">
        <f t="shared" si="3"/>
        <v>45.6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424</v>
      </c>
      <c r="C83" s="65">
        <v>414</v>
      </c>
      <c r="D83" s="65">
        <v>374</v>
      </c>
      <c r="E83" s="65">
        <v>345</v>
      </c>
      <c r="F83" s="65">
        <v>369</v>
      </c>
      <c r="G83" s="65">
        <v>405</v>
      </c>
      <c r="H83" s="65">
        <v>400</v>
      </c>
      <c r="I83" s="65">
        <v>389</v>
      </c>
      <c r="J83" s="65">
        <v>400</v>
      </c>
      <c r="K83" s="65">
        <v>365</v>
      </c>
      <c r="L83" s="65">
        <v>290</v>
      </c>
      <c r="M83" s="65">
        <v>292</v>
      </c>
      <c r="N83" s="65">
        <v>285</v>
      </c>
      <c r="O83" s="65">
        <v>340</v>
      </c>
      <c r="P83" s="65">
        <v>382</v>
      </c>
      <c r="Q83" s="65">
        <v>400</v>
      </c>
      <c r="R83" s="65">
        <v>385</v>
      </c>
      <c r="S83" s="65">
        <v>385</v>
      </c>
      <c r="T83" s="65">
        <v>468</v>
      </c>
      <c r="U83" s="65">
        <v>350</v>
      </c>
      <c r="V83" s="65">
        <v>300</v>
      </c>
      <c r="W83" s="65">
        <v>328</v>
      </c>
      <c r="X83" s="65">
        <v>310</v>
      </c>
      <c r="Y83" s="65">
        <v>280</v>
      </c>
      <c r="Z83" s="65">
        <v>242</v>
      </c>
      <c r="AA83" s="65">
        <v>220</v>
      </c>
      <c r="AB83" s="65">
        <v>103.98</v>
      </c>
      <c r="AC83" s="65">
        <v>189.5</v>
      </c>
      <c r="AD83" s="65">
        <v>186</v>
      </c>
      <c r="AE83" s="65">
        <v>194.5</v>
      </c>
      <c r="AF83" s="65">
        <v>386</v>
      </c>
      <c r="AG83" s="75"/>
      <c r="AH83" s="47">
        <f t="shared" si="2"/>
        <v>468</v>
      </c>
      <c r="AI83" s="48">
        <f t="shared" si="3"/>
        <v>103.98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  <c r="AY84" s="233"/>
      <c r="BF84" s="232"/>
      <c r="BG84" s="233">
        <f t="array" ref="BG84:BL107">TRANSPOSE(AZ68:BW73)</f>
        <v>69</v>
      </c>
      <c r="BH84" s="233">
        <v>0</v>
      </c>
      <c r="BI84" s="233">
        <v>414</v>
      </c>
      <c r="BJ84" s="233">
        <v>0</v>
      </c>
      <c r="BK84" s="233">
        <v>14</v>
      </c>
      <c r="BL84" s="233">
        <v>62</v>
      </c>
    </row>
    <row r="85" spans="1:64" x14ac:dyDescent="0.25">
      <c r="A85" s="54" t="s">
        <v>85</v>
      </c>
      <c r="B85" s="45">
        <v>15</v>
      </c>
      <c r="C85" s="45">
        <v>14</v>
      </c>
      <c r="D85" s="45">
        <v>60</v>
      </c>
      <c r="E85" s="45">
        <v>103</v>
      </c>
      <c r="F85" s="45">
        <v>108.9</v>
      </c>
      <c r="G85" s="45">
        <v>101</v>
      </c>
      <c r="H85" s="45">
        <v>104</v>
      </c>
      <c r="I85" s="45">
        <v>102.8</v>
      </c>
      <c r="J85" s="45">
        <v>103</v>
      </c>
      <c r="K85" s="45">
        <v>56</v>
      </c>
      <c r="L85" s="45">
        <v>0</v>
      </c>
      <c r="M85" s="45">
        <v>0</v>
      </c>
      <c r="N85" s="45"/>
      <c r="O85" s="45"/>
      <c r="P85" s="45">
        <v>40</v>
      </c>
      <c r="Q85" s="45">
        <v>98</v>
      </c>
      <c r="R85" s="45">
        <v>110</v>
      </c>
      <c r="S85" s="45">
        <v>110</v>
      </c>
      <c r="T85" s="45">
        <v>122</v>
      </c>
      <c r="U85" s="45">
        <v>122</v>
      </c>
      <c r="V85" s="45">
        <v>60</v>
      </c>
      <c r="W85" s="45">
        <v>54</v>
      </c>
      <c r="X85" s="45">
        <v>55</v>
      </c>
      <c r="Y85" s="45">
        <v>60</v>
      </c>
      <c r="Z85" s="45">
        <v>64</v>
      </c>
      <c r="AA85" s="45">
        <v>69</v>
      </c>
      <c r="AB85" s="45">
        <v>81.599999999999994</v>
      </c>
      <c r="AC85" s="45">
        <v>84.2</v>
      </c>
      <c r="AD85" s="45">
        <v>103.6</v>
      </c>
      <c r="AE85" s="45">
        <v>102.6</v>
      </c>
      <c r="AF85" s="45">
        <v>107.4</v>
      </c>
      <c r="AG85" s="75"/>
      <c r="AH85" s="47">
        <f t="shared" ref="AH85:AH130" si="33">MAX(B85:AF85)</f>
        <v>122</v>
      </c>
      <c r="AI85" s="48">
        <f t="shared" ref="AI85:AI130" si="34">MIN(B85:AF85)</f>
        <v>0</v>
      </c>
      <c r="AK85" s="50"/>
      <c r="AY85" s="233"/>
      <c r="BF85" s="232"/>
      <c r="BG85" s="233">
        <v>47</v>
      </c>
      <c r="BH85" s="233">
        <v>0</v>
      </c>
      <c r="BI85" s="233">
        <v>374</v>
      </c>
      <c r="BJ85" s="233">
        <v>0</v>
      </c>
      <c r="BK85" s="233">
        <v>60</v>
      </c>
      <c r="BL85" s="233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3"/>
        <v>0</v>
      </c>
      <c r="AI86" s="48">
        <f t="shared" si="34"/>
        <v>0</v>
      </c>
      <c r="AK86" s="50"/>
      <c r="AY86" s="233"/>
      <c r="BF86" s="232"/>
      <c r="BG86" s="233">
        <v>64.599999999999994</v>
      </c>
      <c r="BH86" s="233">
        <v>0</v>
      </c>
      <c r="BI86" s="233">
        <v>345</v>
      </c>
      <c r="BJ86" s="233">
        <v>0</v>
      </c>
      <c r="BK86" s="233">
        <v>103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  <c r="AY87" s="233"/>
      <c r="BF87" s="233"/>
      <c r="BG87" s="233">
        <v>60.2</v>
      </c>
      <c r="BH87" s="233">
        <v>0</v>
      </c>
      <c r="BI87" s="233">
        <v>369</v>
      </c>
      <c r="BJ87" s="233">
        <v>0</v>
      </c>
      <c r="BK87" s="233">
        <v>108.9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  <c r="AY88" s="233"/>
      <c r="BF88" s="233"/>
      <c r="BG88" s="233">
        <v>65</v>
      </c>
      <c r="BH88" s="233">
        <v>0</v>
      </c>
      <c r="BI88" s="233">
        <v>405</v>
      </c>
      <c r="BJ88" s="233">
        <v>0</v>
      </c>
      <c r="BK88" s="233">
        <v>101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  <c r="AY89" s="233"/>
      <c r="BF89" s="233"/>
      <c r="BG89" s="233">
        <v>62</v>
      </c>
      <c r="BH89" s="233">
        <v>0</v>
      </c>
      <c r="BI89" s="233">
        <v>389</v>
      </c>
      <c r="BJ89" s="233">
        <v>0</v>
      </c>
      <c r="BK89" s="233">
        <v>102.8</v>
      </c>
      <c r="BL89" s="233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  <c r="AY90" s="233"/>
      <c r="BF90" s="233"/>
      <c r="BG90" s="233">
        <v>65.2</v>
      </c>
      <c r="BH90" s="233">
        <v>0</v>
      </c>
      <c r="BI90" s="233">
        <v>365</v>
      </c>
      <c r="BJ90" s="233">
        <v>0</v>
      </c>
      <c r="BK90" s="233">
        <v>56</v>
      </c>
      <c r="BL90" s="233">
        <v>53.3</v>
      </c>
    </row>
    <row r="91" spans="1:64" ht="15.75" thickBot="1" x14ac:dyDescent="0.3">
      <c r="A91" s="84" t="s">
        <v>394</v>
      </c>
      <c r="B91" s="77">
        <v>52</v>
      </c>
      <c r="C91" s="77">
        <v>62</v>
      </c>
      <c r="D91" s="77">
        <v>0</v>
      </c>
      <c r="E91" s="77">
        <v>0</v>
      </c>
      <c r="F91" s="77"/>
      <c r="G91" s="77"/>
      <c r="H91" s="77"/>
      <c r="I91" s="77"/>
      <c r="J91" s="77">
        <v>46</v>
      </c>
      <c r="K91" s="77">
        <v>53.3</v>
      </c>
      <c r="L91" s="77">
        <v>58.9</v>
      </c>
      <c r="M91" s="77">
        <v>60.9</v>
      </c>
      <c r="N91" s="77">
        <v>55.5</v>
      </c>
      <c r="O91" s="77">
        <v>57.7</v>
      </c>
      <c r="P91" s="77">
        <v>71.5</v>
      </c>
      <c r="Q91" s="77">
        <v>68.2</v>
      </c>
      <c r="R91" s="77">
        <v>64</v>
      </c>
      <c r="S91" s="77">
        <v>64</v>
      </c>
      <c r="T91" s="77">
        <v>70.400000000000006</v>
      </c>
      <c r="U91" s="77">
        <v>64</v>
      </c>
      <c r="V91" s="77">
        <v>50.6</v>
      </c>
      <c r="W91" s="77">
        <v>52</v>
      </c>
      <c r="X91" s="77">
        <v>52.1</v>
      </c>
      <c r="Y91" s="77">
        <v>55</v>
      </c>
      <c r="Z91" s="77">
        <v>55.2</v>
      </c>
      <c r="AA91" s="77">
        <v>52.4</v>
      </c>
      <c r="AB91" s="77">
        <v>49.5</v>
      </c>
      <c r="AC91" s="77">
        <v>57.6</v>
      </c>
      <c r="AD91" s="77">
        <v>62.1</v>
      </c>
      <c r="AE91" s="77">
        <v>75.3</v>
      </c>
      <c r="AF91" s="77">
        <v>64.2</v>
      </c>
      <c r="AG91" s="85"/>
      <c r="AH91" s="47">
        <f t="shared" si="33"/>
        <v>75.3</v>
      </c>
      <c r="AI91" s="48">
        <f t="shared" si="34"/>
        <v>0</v>
      </c>
      <c r="AK91" s="86"/>
      <c r="AL91" s="45"/>
      <c r="AM91" s="45"/>
      <c r="AN91" s="87"/>
      <c r="AY91" s="233"/>
      <c r="BF91" s="233"/>
      <c r="BG91" s="233">
        <v>45.6</v>
      </c>
      <c r="BH91" s="233">
        <v>0</v>
      </c>
      <c r="BI91" s="233">
        <v>292</v>
      </c>
      <c r="BJ91" s="233">
        <v>0</v>
      </c>
      <c r="BK91" s="233">
        <v>0</v>
      </c>
      <c r="BL91" s="233">
        <v>60.9</v>
      </c>
    </row>
    <row r="92" spans="1:64" ht="15.75" thickBot="1" x14ac:dyDescent="0.3">
      <c r="A92" s="74" t="s">
        <v>94</v>
      </c>
      <c r="B92" s="60">
        <f t="shared" ref="B92:AA92" si="35">SUMIF(B81:B91,"&gt;0")</f>
        <v>551</v>
      </c>
      <c r="C92" s="60">
        <f t="shared" si="35"/>
        <v>559.20000000000005</v>
      </c>
      <c r="D92" s="60">
        <f t="shared" si="35"/>
        <v>481</v>
      </c>
      <c r="E92" s="60">
        <f t="shared" si="35"/>
        <v>512.6</v>
      </c>
      <c r="F92" s="60">
        <f t="shared" si="35"/>
        <v>538.1</v>
      </c>
      <c r="G92" s="60">
        <f t="shared" si="35"/>
        <v>571</v>
      </c>
      <c r="H92" s="60">
        <f t="shared" si="35"/>
        <v>553.97699999999998</v>
      </c>
      <c r="I92" s="60">
        <f t="shared" si="35"/>
        <v>553.79999999999995</v>
      </c>
      <c r="J92" s="60">
        <f t="shared" si="35"/>
        <v>608</v>
      </c>
      <c r="K92" s="60">
        <f t="shared" si="35"/>
        <v>539.5</v>
      </c>
      <c r="L92" s="60">
        <f t="shared" si="35"/>
        <v>409</v>
      </c>
      <c r="M92" s="60">
        <f t="shared" si="35"/>
        <v>398.5</v>
      </c>
      <c r="N92" s="60">
        <f t="shared" si="35"/>
        <v>405.8</v>
      </c>
      <c r="O92" s="60">
        <f t="shared" si="35"/>
        <v>458.9</v>
      </c>
      <c r="P92" s="60">
        <f t="shared" si="35"/>
        <v>561</v>
      </c>
      <c r="Q92" s="60">
        <f t="shared" si="35"/>
        <v>633.20000000000005</v>
      </c>
      <c r="R92" s="60">
        <f t="shared" si="35"/>
        <v>620</v>
      </c>
      <c r="S92" s="60">
        <f t="shared" ref="S92" si="36">SUMIF(S81:S91,"&gt;0")</f>
        <v>627</v>
      </c>
      <c r="T92" s="60">
        <f t="shared" si="35"/>
        <v>727.5</v>
      </c>
      <c r="U92" s="60">
        <f t="shared" si="35"/>
        <v>596</v>
      </c>
      <c r="V92" s="60">
        <f t="shared" si="35"/>
        <v>472.40000000000003</v>
      </c>
      <c r="W92" s="60">
        <f t="shared" si="35"/>
        <v>498.6</v>
      </c>
      <c r="X92" s="60">
        <f t="shared" si="35"/>
        <v>484.1</v>
      </c>
      <c r="Y92" s="60">
        <f>SUMIF(Y81:Y91,"&gt;0")</f>
        <v>463.1</v>
      </c>
      <c r="Z92" s="60">
        <f>SUMIF(Z81:Z91,"&gt;0")</f>
        <v>427.5</v>
      </c>
      <c r="AA92" s="60">
        <f t="shared" si="35"/>
        <v>404.59999999999997</v>
      </c>
      <c r="AB92" s="60">
        <f t="shared" ref="AB92:AC92" si="37">SUMIF(AB81:AB91,"&gt;0")</f>
        <v>298.48</v>
      </c>
      <c r="AC92" s="60">
        <f t="shared" si="37"/>
        <v>394.1</v>
      </c>
      <c r="AD92" s="60">
        <f t="shared" ref="AD92:AE92" si="38">SUMIF(AD81:AD91,"&gt;0")</f>
        <v>421.6</v>
      </c>
      <c r="AE92" s="60">
        <f t="shared" si="38"/>
        <v>434.7</v>
      </c>
      <c r="AF92" s="60">
        <f t="shared" ref="AF92" si="39">SUMIF(AF81:AF91,"&gt;0")</f>
        <v>614.1</v>
      </c>
      <c r="AG92" s="88">
        <f>SUM(AG81:AG91)</f>
        <v>0</v>
      </c>
      <c r="AH92" s="47">
        <f t="shared" si="33"/>
        <v>727.5</v>
      </c>
      <c r="AI92" s="48">
        <f t="shared" si="34"/>
        <v>298.48</v>
      </c>
      <c r="AK92" s="86"/>
      <c r="AL92" s="77"/>
      <c r="AM92" s="89"/>
      <c r="AN92" s="257"/>
      <c r="AY92" s="233"/>
      <c r="BF92" s="233"/>
      <c r="BG92" s="233">
        <v>65.3</v>
      </c>
      <c r="BH92" s="233">
        <v>0</v>
      </c>
      <c r="BI92" s="233">
        <v>285</v>
      </c>
      <c r="BJ92" s="233">
        <v>0</v>
      </c>
      <c r="BK92" s="233">
        <v>0</v>
      </c>
      <c r="BL92" s="233">
        <v>55.5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58"/>
      <c r="BF93" s="233"/>
      <c r="BG93" s="233">
        <v>61.2</v>
      </c>
      <c r="BH93" s="233">
        <v>0</v>
      </c>
      <c r="BI93" s="233">
        <v>340</v>
      </c>
      <c r="BJ93" s="233">
        <v>0</v>
      </c>
      <c r="BK93" s="233">
        <v>0</v>
      </c>
      <c r="BL93" s="233">
        <v>57.7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  <c r="BF94" s="233"/>
      <c r="BG94" s="233">
        <v>67.5</v>
      </c>
      <c r="BH94" s="233">
        <v>0</v>
      </c>
      <c r="BI94" s="233">
        <v>382</v>
      </c>
      <c r="BJ94" s="233">
        <v>0</v>
      </c>
      <c r="BK94" s="233">
        <v>40</v>
      </c>
      <c r="BL94" s="233">
        <v>71.5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  <c r="BF95" s="233"/>
      <c r="BG95" s="233">
        <v>67</v>
      </c>
      <c r="BH95" s="233">
        <v>0</v>
      </c>
      <c r="BI95" s="233">
        <v>400</v>
      </c>
      <c r="BJ95" s="233">
        <v>0</v>
      </c>
      <c r="BK95" s="233">
        <v>98</v>
      </c>
      <c r="BL95" s="233">
        <v>68.2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  <c r="BF96" s="233"/>
      <c r="BG96" s="233">
        <v>61</v>
      </c>
      <c r="BH96" s="233">
        <v>0</v>
      </c>
      <c r="BI96" s="233">
        <v>385</v>
      </c>
      <c r="BJ96" s="233">
        <v>0</v>
      </c>
      <c r="BK96" s="233">
        <v>110</v>
      </c>
      <c r="BL96" s="233">
        <v>64</v>
      </c>
    </row>
    <row r="97" spans="1:64" ht="15.75" thickBot="1" x14ac:dyDescent="0.3">
      <c r="A97" s="74" t="s">
        <v>99</v>
      </c>
      <c r="B97" s="95">
        <f t="shared" ref="B97:AG97" si="40">B58+B62+B80+B76+B92+B96</f>
        <v>1167.0900000000001</v>
      </c>
      <c r="C97" s="95">
        <f t="shared" si="40"/>
        <v>1175.29</v>
      </c>
      <c r="D97" s="95">
        <f t="shared" si="40"/>
        <v>1097.0900000000001</v>
      </c>
      <c r="E97" s="95">
        <f t="shared" si="40"/>
        <v>1128.69</v>
      </c>
      <c r="F97" s="95">
        <f t="shared" si="40"/>
        <v>1154.19</v>
      </c>
      <c r="G97" s="95">
        <f t="shared" si="40"/>
        <v>1197.0900000000001</v>
      </c>
      <c r="H97" s="95">
        <f t="shared" si="40"/>
        <v>1306.067</v>
      </c>
      <c r="I97" s="95">
        <f t="shared" si="40"/>
        <v>1395.19</v>
      </c>
      <c r="J97" s="95">
        <f t="shared" si="40"/>
        <v>1480.79</v>
      </c>
      <c r="K97" s="95">
        <f t="shared" si="40"/>
        <v>1440.0889999999999</v>
      </c>
      <c r="L97" s="95">
        <f t="shared" si="40"/>
        <v>1425.29</v>
      </c>
      <c r="M97" s="95">
        <f>M58+M62+M80+M76+M92+M96</f>
        <v>1432.39</v>
      </c>
      <c r="N97" s="95">
        <f>N58+N62+N80+N76+N92+N96</f>
        <v>1330.89</v>
      </c>
      <c r="O97" s="95">
        <f t="shared" si="40"/>
        <v>1317.09</v>
      </c>
      <c r="P97" s="95">
        <f t="shared" si="40"/>
        <v>1395.3899999999999</v>
      </c>
      <c r="Q97" s="95">
        <f t="shared" si="40"/>
        <v>1487.69</v>
      </c>
      <c r="R97" s="95">
        <f t="shared" si="40"/>
        <v>1471.99</v>
      </c>
      <c r="S97" s="95">
        <f t="shared" ref="S97" si="41">S58+S62+S80+S76+S92+S96</f>
        <v>1479.79</v>
      </c>
      <c r="T97" s="95">
        <f t="shared" si="40"/>
        <v>1531.8899999999999</v>
      </c>
      <c r="U97" s="95">
        <f t="shared" si="40"/>
        <v>1526.69</v>
      </c>
      <c r="V97" s="95">
        <f t="shared" si="40"/>
        <v>1303.79</v>
      </c>
      <c r="W97" s="95">
        <f t="shared" si="40"/>
        <v>1343.69</v>
      </c>
      <c r="X97" s="95">
        <f t="shared" si="40"/>
        <v>1440.29</v>
      </c>
      <c r="Y97" s="95">
        <f>Y58+Y62+Y80+Y76+Y92+Y96</f>
        <v>1554.9899999999998</v>
      </c>
      <c r="Z97" s="95">
        <f>Z58+Z62+Z80+Z76+Z92+Z96</f>
        <v>1501.95</v>
      </c>
      <c r="AA97" s="95">
        <f t="shared" si="40"/>
        <v>1471.09</v>
      </c>
      <c r="AB97" s="95">
        <f t="shared" ref="AB97:AC97" si="42">AB58+AB62+AB80+AB76+AB92+AB96</f>
        <v>1298.3699999999999</v>
      </c>
      <c r="AC97" s="95">
        <f t="shared" si="42"/>
        <v>1192.5900000000001</v>
      </c>
      <c r="AD97" s="95">
        <f t="shared" ref="AD97:AE97" si="43">AD58+AD62+AD80+AD76+AD92+AD96</f>
        <v>1190.0900000000001</v>
      </c>
      <c r="AE97" s="95">
        <f t="shared" si="43"/>
        <v>1146.19</v>
      </c>
      <c r="AF97" s="95">
        <f t="shared" ref="AF97" si="44">AF58+AF62+AF80+AF76+AF92+AF96</f>
        <v>1242.69</v>
      </c>
      <c r="AG97" s="61">
        <f t="shared" si="40"/>
        <v>2231.81</v>
      </c>
      <c r="AH97" s="47">
        <f t="shared" si="33"/>
        <v>1554.9899999999998</v>
      </c>
      <c r="AI97" s="48">
        <f t="shared" si="34"/>
        <v>1097.0900000000001</v>
      </c>
      <c r="BF97" s="233"/>
      <c r="BG97" s="233">
        <v>68</v>
      </c>
      <c r="BH97" s="233">
        <v>0</v>
      </c>
      <c r="BI97" s="233">
        <v>385</v>
      </c>
      <c r="BJ97" s="233">
        <v>0</v>
      </c>
      <c r="BK97" s="233">
        <v>110</v>
      </c>
      <c r="BL97" s="233">
        <v>64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>
        <v>280</v>
      </c>
      <c r="N98" s="97">
        <v>280</v>
      </c>
      <c r="O98" s="97">
        <v>180</v>
      </c>
      <c r="P98" s="97"/>
      <c r="Q98" s="97"/>
      <c r="R98" s="97"/>
      <c r="S98" s="97"/>
      <c r="T98" s="97"/>
      <c r="U98" s="97"/>
      <c r="V98" s="97"/>
      <c r="W98" s="97"/>
      <c r="X98" s="97">
        <v>100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150</v>
      </c>
      <c r="AE98" s="97">
        <v>0</v>
      </c>
      <c r="AF98" s="97">
        <v>0</v>
      </c>
      <c r="AG98" s="88"/>
      <c r="AH98" s="47">
        <f t="shared" si="33"/>
        <v>280</v>
      </c>
      <c r="AI98" s="48">
        <f t="shared" si="34"/>
        <v>0</v>
      </c>
      <c r="BF98" s="233"/>
      <c r="BG98" s="233">
        <v>67.099999999999994</v>
      </c>
      <c r="BH98" s="233">
        <v>0</v>
      </c>
      <c r="BI98" s="233">
        <v>468</v>
      </c>
      <c r="BJ98" s="233">
        <v>0</v>
      </c>
      <c r="BK98" s="233">
        <v>122</v>
      </c>
      <c r="BL98" s="233">
        <v>70.400000000000006</v>
      </c>
    </row>
    <row r="99" spans="1:64" ht="15.75" thickBot="1" x14ac:dyDescent="0.3">
      <c r="A99" s="74" t="s">
        <v>101</v>
      </c>
      <c r="B99" s="95">
        <f t="shared" ref="B99:AA99" si="45">B97+B98</f>
        <v>1167.0900000000001</v>
      </c>
      <c r="C99" s="95">
        <f t="shared" si="45"/>
        <v>1175.29</v>
      </c>
      <c r="D99" s="95">
        <f t="shared" si="45"/>
        <v>1097.0900000000001</v>
      </c>
      <c r="E99" s="95">
        <f t="shared" si="45"/>
        <v>1128.69</v>
      </c>
      <c r="F99" s="95">
        <f t="shared" si="45"/>
        <v>1154.19</v>
      </c>
      <c r="G99" s="95">
        <f t="shared" si="45"/>
        <v>1197.0900000000001</v>
      </c>
      <c r="H99" s="95">
        <f t="shared" si="45"/>
        <v>1306.067</v>
      </c>
      <c r="I99" s="95">
        <f t="shared" si="45"/>
        <v>1395.19</v>
      </c>
      <c r="J99" s="95">
        <f t="shared" si="45"/>
        <v>1480.79</v>
      </c>
      <c r="K99" s="95">
        <f t="shared" si="45"/>
        <v>1440.0889999999999</v>
      </c>
      <c r="L99" s="95">
        <f t="shared" si="45"/>
        <v>1425.29</v>
      </c>
      <c r="M99" s="95">
        <f>M97+M98</f>
        <v>1712.39</v>
      </c>
      <c r="N99" s="95">
        <f>N97+N98</f>
        <v>1610.89</v>
      </c>
      <c r="O99" s="95">
        <f t="shared" si="45"/>
        <v>1497.09</v>
      </c>
      <c r="P99" s="95">
        <f t="shared" si="45"/>
        <v>1395.3899999999999</v>
      </c>
      <c r="Q99" s="95">
        <f t="shared" si="45"/>
        <v>1487.69</v>
      </c>
      <c r="R99" s="95">
        <f t="shared" si="45"/>
        <v>1471.99</v>
      </c>
      <c r="S99" s="95">
        <f t="shared" ref="S99" si="46">S97+S98</f>
        <v>1479.79</v>
      </c>
      <c r="T99" s="95">
        <f t="shared" si="45"/>
        <v>1531.8899999999999</v>
      </c>
      <c r="U99" s="95">
        <f t="shared" si="45"/>
        <v>1526.69</v>
      </c>
      <c r="V99" s="95">
        <f t="shared" si="45"/>
        <v>1303.79</v>
      </c>
      <c r="W99" s="95">
        <f t="shared" si="45"/>
        <v>1343.69</v>
      </c>
      <c r="X99" s="95">
        <f t="shared" si="45"/>
        <v>1540.29</v>
      </c>
      <c r="Y99" s="95">
        <f>Y97+Y98</f>
        <v>1804.9899999999998</v>
      </c>
      <c r="Z99" s="95">
        <f>Z97+Z98</f>
        <v>1751.95</v>
      </c>
      <c r="AA99" s="95">
        <f t="shared" si="45"/>
        <v>1721.09</v>
      </c>
      <c r="AB99" s="95">
        <f t="shared" ref="AB99:AC99" si="47">AB97+AB98</f>
        <v>1548.37</v>
      </c>
      <c r="AC99" s="95">
        <f t="shared" si="47"/>
        <v>1442.5900000000001</v>
      </c>
      <c r="AD99" s="95">
        <f t="shared" ref="AD99:AE99" si="48">AD97+AD98</f>
        <v>1340.0900000000001</v>
      </c>
      <c r="AE99" s="95">
        <f t="shared" si="48"/>
        <v>1146.19</v>
      </c>
      <c r="AF99" s="95">
        <f t="shared" ref="AF99" si="49">AF97+AF98</f>
        <v>1242.69</v>
      </c>
      <c r="AG99" s="88">
        <f>AG96+AG92+AG80+AG76+AG58+AG98</f>
        <v>1693.71</v>
      </c>
      <c r="AH99" s="47">
        <f t="shared" si="33"/>
        <v>1804.9899999999998</v>
      </c>
      <c r="AI99" s="48">
        <f t="shared" si="34"/>
        <v>1097.0900000000001</v>
      </c>
      <c r="BF99" s="233"/>
      <c r="BG99" s="233">
        <v>60</v>
      </c>
      <c r="BH99" s="233">
        <v>0</v>
      </c>
      <c r="BI99" s="233">
        <v>350</v>
      </c>
      <c r="BJ99" s="233">
        <v>0</v>
      </c>
      <c r="BK99" s="233">
        <v>122</v>
      </c>
      <c r="BL99" s="233">
        <v>64</v>
      </c>
    </row>
    <row r="100" spans="1:64" ht="15.75" thickBot="1" x14ac:dyDescent="0.3">
      <c r="A100" s="74" t="s">
        <v>102</v>
      </c>
      <c r="B100" s="95">
        <f t="shared" ref="B100:M100" si="50">B99-(B107)</f>
        <v>1167.0900000000001</v>
      </c>
      <c r="C100" s="95">
        <f t="shared" si="50"/>
        <v>1175.29</v>
      </c>
      <c r="D100" s="95">
        <f t="shared" si="50"/>
        <v>1097.0900000000001</v>
      </c>
      <c r="E100" s="95">
        <f t="shared" si="50"/>
        <v>1128.69</v>
      </c>
      <c r="F100" s="95">
        <f t="shared" si="50"/>
        <v>1154.19</v>
      </c>
      <c r="G100" s="95">
        <f t="shared" si="50"/>
        <v>1197.0900000000001</v>
      </c>
      <c r="H100" s="95">
        <f t="shared" si="50"/>
        <v>1306.067</v>
      </c>
      <c r="I100" s="95">
        <f t="shared" si="50"/>
        <v>1395.19</v>
      </c>
      <c r="J100" s="95">
        <f t="shared" si="50"/>
        <v>1480.79</v>
      </c>
      <c r="K100" s="95">
        <f t="shared" si="50"/>
        <v>1440.0889999999999</v>
      </c>
      <c r="L100" s="95">
        <f t="shared" si="50"/>
        <v>1425.29</v>
      </c>
      <c r="M100" s="95">
        <f t="shared" si="50"/>
        <v>1712.39</v>
      </c>
      <c r="N100" s="95">
        <f>N99-(N107)</f>
        <v>1610.89</v>
      </c>
      <c r="O100" s="95">
        <f t="shared" ref="O100:AA100" si="51">O99-(O107)</f>
        <v>1497.09</v>
      </c>
      <c r="P100" s="95">
        <f t="shared" si="51"/>
        <v>1395.3899999999999</v>
      </c>
      <c r="Q100" s="95">
        <f t="shared" si="51"/>
        <v>1487.69</v>
      </c>
      <c r="R100" s="95">
        <f t="shared" si="51"/>
        <v>1471.99</v>
      </c>
      <c r="S100" s="95">
        <f t="shared" ref="S100" si="52">S99-(S107)</f>
        <v>1478.79</v>
      </c>
      <c r="T100" s="95">
        <f t="shared" si="51"/>
        <v>1531.8899999999999</v>
      </c>
      <c r="U100" s="95">
        <f t="shared" si="51"/>
        <v>1526.69</v>
      </c>
      <c r="V100" s="95">
        <f t="shared" si="51"/>
        <v>1303.79</v>
      </c>
      <c r="W100" s="95">
        <f t="shared" si="51"/>
        <v>1343.69</v>
      </c>
      <c r="X100" s="95">
        <f t="shared" si="51"/>
        <v>1540.29</v>
      </c>
      <c r="Y100" s="95">
        <f t="shared" si="51"/>
        <v>1804.9899999999998</v>
      </c>
      <c r="Z100" s="95">
        <f t="shared" si="51"/>
        <v>1751.95</v>
      </c>
      <c r="AA100" s="95">
        <f t="shared" si="51"/>
        <v>1721.09</v>
      </c>
      <c r="AB100" s="95">
        <f t="shared" ref="AB100:AC100" si="53">AB99-(AB107)</f>
        <v>1548.37</v>
      </c>
      <c r="AC100" s="95">
        <f t="shared" si="53"/>
        <v>1442.5900000000001</v>
      </c>
      <c r="AD100" s="95">
        <f t="shared" ref="AD100:AE100" si="54">AD99-(AD107)</f>
        <v>1340.0900000000001</v>
      </c>
      <c r="AE100" s="95">
        <f t="shared" si="54"/>
        <v>1146.19</v>
      </c>
      <c r="AF100" s="95">
        <f t="shared" ref="AF100" si="55">AF99-(AF107)</f>
        <v>1241.69</v>
      </c>
      <c r="AG100" s="88"/>
      <c r="AH100" s="47">
        <f t="shared" si="33"/>
        <v>1804.9899999999998</v>
      </c>
      <c r="AI100" s="48">
        <f t="shared" si="34"/>
        <v>1097.0900000000001</v>
      </c>
      <c r="BF100" s="233"/>
      <c r="BG100" s="233">
        <v>61.8</v>
      </c>
      <c r="BH100" s="233">
        <v>0</v>
      </c>
      <c r="BI100" s="233">
        <v>300</v>
      </c>
      <c r="BJ100" s="233">
        <v>0</v>
      </c>
      <c r="BK100" s="233">
        <v>60</v>
      </c>
      <c r="BL100" s="233">
        <v>50.6</v>
      </c>
    </row>
    <row r="101" spans="1:64" x14ac:dyDescent="0.25">
      <c r="A101" s="44" t="s">
        <v>84</v>
      </c>
      <c r="B101" s="76">
        <f>IF(B84&lt;0,B84*-1,0)</f>
        <v>0</v>
      </c>
      <c r="C101" s="76">
        <f t="shared" ref="C101:AA101" si="56">IF(C84&lt;0,C84*-1,0)</f>
        <v>0</v>
      </c>
      <c r="D101" s="76">
        <f t="shared" si="56"/>
        <v>0</v>
      </c>
      <c r="E101" s="76">
        <f t="shared" si="56"/>
        <v>0</v>
      </c>
      <c r="F101" s="76">
        <f t="shared" si="56"/>
        <v>0</v>
      </c>
      <c r="G101" s="76">
        <f t="shared" si="56"/>
        <v>0</v>
      </c>
      <c r="H101" s="76">
        <f t="shared" si="56"/>
        <v>0</v>
      </c>
      <c r="I101" s="76">
        <f t="shared" si="56"/>
        <v>0</v>
      </c>
      <c r="J101" s="76">
        <f t="shared" si="56"/>
        <v>0</v>
      </c>
      <c r="K101" s="76">
        <f t="shared" si="56"/>
        <v>0</v>
      </c>
      <c r="L101" s="76">
        <f t="shared" si="56"/>
        <v>0</v>
      </c>
      <c r="M101" s="76">
        <f t="shared" si="56"/>
        <v>0</v>
      </c>
      <c r="N101" s="76">
        <f t="shared" si="56"/>
        <v>0</v>
      </c>
      <c r="O101" s="76">
        <f t="shared" si="56"/>
        <v>0</v>
      </c>
      <c r="P101" s="76">
        <f t="shared" si="56"/>
        <v>0</v>
      </c>
      <c r="Q101" s="76">
        <f t="shared" si="56"/>
        <v>0</v>
      </c>
      <c r="R101" s="76">
        <f t="shared" si="56"/>
        <v>0</v>
      </c>
      <c r="S101" s="76">
        <f t="shared" ref="S101" si="57">IF(S84&lt;0,S84*-1,0)</f>
        <v>0</v>
      </c>
      <c r="T101" s="76">
        <f t="shared" si="56"/>
        <v>0</v>
      </c>
      <c r="U101" s="76">
        <f t="shared" si="56"/>
        <v>0</v>
      </c>
      <c r="V101" s="76">
        <f t="shared" si="56"/>
        <v>0</v>
      </c>
      <c r="W101" s="76">
        <f t="shared" si="56"/>
        <v>0</v>
      </c>
      <c r="X101" s="76">
        <f t="shared" si="56"/>
        <v>0</v>
      </c>
      <c r="Y101" s="76">
        <f t="shared" si="56"/>
        <v>0</v>
      </c>
      <c r="Z101" s="76">
        <f t="shared" si="56"/>
        <v>0</v>
      </c>
      <c r="AA101" s="76">
        <f t="shared" si="56"/>
        <v>0</v>
      </c>
      <c r="AB101" s="76">
        <f t="shared" ref="AB101:AC101" si="58">IF(AB84&lt;0,AB84*-1,0)</f>
        <v>0</v>
      </c>
      <c r="AC101" s="76">
        <f t="shared" si="58"/>
        <v>0</v>
      </c>
      <c r="AD101" s="76">
        <f t="shared" ref="AD101:AE101" si="59">IF(AD84&lt;0,AD84*-1,0)</f>
        <v>0</v>
      </c>
      <c r="AE101" s="76">
        <f t="shared" si="59"/>
        <v>0</v>
      </c>
      <c r="AF101" s="76">
        <f t="shared" ref="AF101" si="60">IF(AF84&lt;0,AF84*-1,0)</f>
        <v>0</v>
      </c>
      <c r="AG101" s="52"/>
      <c r="AH101" s="47">
        <f t="shared" si="33"/>
        <v>0</v>
      </c>
      <c r="AI101" s="48">
        <f t="shared" si="34"/>
        <v>0</v>
      </c>
      <c r="BF101" s="232"/>
      <c r="BG101" s="233">
        <v>67</v>
      </c>
      <c r="BH101" s="233">
        <v>0</v>
      </c>
      <c r="BI101" s="233">
        <v>310</v>
      </c>
      <c r="BJ101" s="233">
        <v>0</v>
      </c>
      <c r="BK101" s="233">
        <v>55</v>
      </c>
      <c r="BL101" s="233">
        <v>52.1</v>
      </c>
    </row>
    <row r="102" spans="1:64" x14ac:dyDescent="0.25">
      <c r="A102" s="54" t="s">
        <v>82</v>
      </c>
      <c r="B102" s="76">
        <f>IF(B82&lt;0,B82*-1,0)</f>
        <v>0</v>
      </c>
      <c r="C102" s="76">
        <f t="shared" ref="C102:AA102" si="61">IF(C82&lt;0,C82*-1,0)</f>
        <v>0</v>
      </c>
      <c r="D102" s="76">
        <f t="shared" si="61"/>
        <v>0</v>
      </c>
      <c r="E102" s="76">
        <f t="shared" si="61"/>
        <v>0</v>
      </c>
      <c r="F102" s="76">
        <f t="shared" si="61"/>
        <v>0</v>
      </c>
      <c r="G102" s="76">
        <f t="shared" si="61"/>
        <v>0</v>
      </c>
      <c r="H102" s="76">
        <f t="shared" si="61"/>
        <v>0</v>
      </c>
      <c r="I102" s="76">
        <f t="shared" si="61"/>
        <v>0</v>
      </c>
      <c r="J102" s="76">
        <f t="shared" si="61"/>
        <v>0</v>
      </c>
      <c r="K102" s="76">
        <f t="shared" si="61"/>
        <v>0</v>
      </c>
      <c r="L102" s="76">
        <f t="shared" si="61"/>
        <v>0</v>
      </c>
      <c r="M102" s="76">
        <f t="shared" si="61"/>
        <v>0</v>
      </c>
      <c r="N102" s="76">
        <f t="shared" si="61"/>
        <v>0</v>
      </c>
      <c r="O102" s="76">
        <f t="shared" si="61"/>
        <v>0</v>
      </c>
      <c r="P102" s="76">
        <f t="shared" si="61"/>
        <v>0</v>
      </c>
      <c r="Q102" s="76">
        <f t="shared" si="61"/>
        <v>0</v>
      </c>
      <c r="R102" s="76">
        <f t="shared" si="61"/>
        <v>0</v>
      </c>
      <c r="S102" s="76">
        <f t="shared" ref="S102" si="62">IF(S82&lt;0,S82*-1,0)</f>
        <v>0</v>
      </c>
      <c r="T102" s="76">
        <f t="shared" si="61"/>
        <v>0</v>
      </c>
      <c r="U102" s="76">
        <f t="shared" si="61"/>
        <v>0</v>
      </c>
      <c r="V102" s="76">
        <f t="shared" si="61"/>
        <v>0</v>
      </c>
      <c r="W102" s="76">
        <f t="shared" si="61"/>
        <v>0</v>
      </c>
      <c r="X102" s="76">
        <f t="shared" si="61"/>
        <v>0</v>
      </c>
      <c r="Y102" s="76">
        <f t="shared" si="61"/>
        <v>0</v>
      </c>
      <c r="Z102" s="76">
        <f t="shared" si="61"/>
        <v>0</v>
      </c>
      <c r="AA102" s="76">
        <f t="shared" si="61"/>
        <v>0</v>
      </c>
      <c r="AB102" s="76">
        <f t="shared" ref="AB102:AC102" si="63">IF(AB82&lt;0,AB82*-1,0)</f>
        <v>0</v>
      </c>
      <c r="AC102" s="76">
        <f t="shared" si="63"/>
        <v>0</v>
      </c>
      <c r="AD102" s="76">
        <f t="shared" ref="AD102:AE102" si="64">IF(AD82&lt;0,AD82*-1,0)</f>
        <v>0</v>
      </c>
      <c r="AE102" s="76">
        <f t="shared" si="64"/>
        <v>0</v>
      </c>
      <c r="AF102" s="76">
        <f t="shared" ref="AF102" si="65">IF(AF82&lt;0,AF82*-1,0)</f>
        <v>0</v>
      </c>
      <c r="AG102" s="55"/>
      <c r="AH102" s="47">
        <f t="shared" si="33"/>
        <v>0</v>
      </c>
      <c r="AI102" s="48">
        <f t="shared" si="34"/>
        <v>0</v>
      </c>
      <c r="BF102" s="232"/>
      <c r="BG102" s="233">
        <v>66.3</v>
      </c>
      <c r="BH102" s="233">
        <v>0</v>
      </c>
      <c r="BI102" s="233">
        <v>242</v>
      </c>
      <c r="BJ102" s="233">
        <v>0</v>
      </c>
      <c r="BK102" s="233">
        <v>64</v>
      </c>
      <c r="BL102" s="233">
        <v>55.2</v>
      </c>
    </row>
    <row r="103" spans="1:64" x14ac:dyDescent="0.25">
      <c r="A103" s="84" t="s">
        <v>103</v>
      </c>
      <c r="B103" s="76">
        <f>IF(B85&lt;0,B85*-1,0)</f>
        <v>0</v>
      </c>
      <c r="C103" s="76">
        <f t="shared" ref="C103:AA103" si="66">IF(C85&lt;0,C85*-1,0)</f>
        <v>0</v>
      </c>
      <c r="D103" s="76">
        <f t="shared" si="66"/>
        <v>0</v>
      </c>
      <c r="E103" s="76">
        <f t="shared" si="66"/>
        <v>0</v>
      </c>
      <c r="F103" s="76">
        <f t="shared" si="66"/>
        <v>0</v>
      </c>
      <c r="G103" s="76">
        <f t="shared" si="66"/>
        <v>0</v>
      </c>
      <c r="H103" s="76">
        <f t="shared" si="66"/>
        <v>0</v>
      </c>
      <c r="I103" s="76">
        <f t="shared" si="66"/>
        <v>0</v>
      </c>
      <c r="J103" s="76">
        <f t="shared" si="66"/>
        <v>0</v>
      </c>
      <c r="K103" s="76">
        <f t="shared" si="66"/>
        <v>0</v>
      </c>
      <c r="L103" s="76">
        <f t="shared" si="66"/>
        <v>0</v>
      </c>
      <c r="M103" s="76">
        <f t="shared" si="66"/>
        <v>0</v>
      </c>
      <c r="N103" s="76">
        <f t="shared" si="66"/>
        <v>0</v>
      </c>
      <c r="O103" s="76">
        <f t="shared" si="66"/>
        <v>0</v>
      </c>
      <c r="P103" s="76">
        <f t="shared" si="66"/>
        <v>0</v>
      </c>
      <c r="Q103" s="76">
        <f t="shared" si="66"/>
        <v>0</v>
      </c>
      <c r="R103" s="76">
        <f t="shared" si="66"/>
        <v>0</v>
      </c>
      <c r="S103" s="76">
        <f t="shared" ref="S103" si="67">IF(S85&lt;0,S85*-1,0)</f>
        <v>0</v>
      </c>
      <c r="T103" s="76">
        <f t="shared" si="66"/>
        <v>0</v>
      </c>
      <c r="U103" s="76">
        <f t="shared" si="66"/>
        <v>0</v>
      </c>
      <c r="V103" s="76">
        <f t="shared" si="66"/>
        <v>0</v>
      </c>
      <c r="W103" s="76">
        <f t="shared" si="66"/>
        <v>0</v>
      </c>
      <c r="X103" s="76">
        <f t="shared" si="66"/>
        <v>0</v>
      </c>
      <c r="Y103" s="76">
        <f t="shared" si="66"/>
        <v>0</v>
      </c>
      <c r="Z103" s="76">
        <f t="shared" si="66"/>
        <v>0</v>
      </c>
      <c r="AA103" s="76">
        <f t="shared" si="66"/>
        <v>0</v>
      </c>
      <c r="AB103" s="76">
        <f t="shared" ref="AB103:AC103" si="68">IF(AB85&lt;0,AB85*-1,0)</f>
        <v>0</v>
      </c>
      <c r="AC103" s="76">
        <f t="shared" si="68"/>
        <v>0</v>
      </c>
      <c r="AD103" s="76">
        <f t="shared" ref="AD103:AE103" si="69">IF(AD85&lt;0,AD85*-1,0)</f>
        <v>0</v>
      </c>
      <c r="AE103" s="76">
        <f t="shared" si="69"/>
        <v>0</v>
      </c>
      <c r="AF103" s="76">
        <f t="shared" ref="AF103" si="70">IF(AF85&lt;0,AF85*-1,0)</f>
        <v>0</v>
      </c>
      <c r="AG103" s="98"/>
      <c r="AH103" s="47">
        <f t="shared" si="33"/>
        <v>0</v>
      </c>
      <c r="AI103" s="48">
        <f t="shared" si="34"/>
        <v>0</v>
      </c>
      <c r="BF103" s="232"/>
      <c r="BG103" s="233">
        <v>63.4</v>
      </c>
      <c r="BH103" s="233">
        <v>0</v>
      </c>
      <c r="BI103" s="233">
        <v>103.98</v>
      </c>
      <c r="BJ103" s="233">
        <v>0</v>
      </c>
      <c r="BK103" s="233">
        <v>81.599999999999994</v>
      </c>
      <c r="BL103" s="233">
        <v>49.5</v>
      </c>
    </row>
    <row r="104" spans="1:64" x14ac:dyDescent="0.25">
      <c r="A104" s="84" t="s">
        <v>104</v>
      </c>
      <c r="B104" s="76">
        <f>IF(B83&lt;0,B83*-1,0)</f>
        <v>0</v>
      </c>
      <c r="C104" s="76">
        <f t="shared" ref="C104:AA104" si="71">IF(C83&lt;0,C83*-1,0)</f>
        <v>0</v>
      </c>
      <c r="D104" s="76">
        <f t="shared" si="71"/>
        <v>0</v>
      </c>
      <c r="E104" s="76">
        <f t="shared" si="71"/>
        <v>0</v>
      </c>
      <c r="F104" s="76">
        <f t="shared" si="71"/>
        <v>0</v>
      </c>
      <c r="G104" s="76">
        <f t="shared" si="71"/>
        <v>0</v>
      </c>
      <c r="H104" s="76">
        <f t="shared" si="71"/>
        <v>0</v>
      </c>
      <c r="I104" s="76">
        <f t="shared" si="71"/>
        <v>0</v>
      </c>
      <c r="J104" s="76">
        <f t="shared" si="71"/>
        <v>0</v>
      </c>
      <c r="K104" s="76">
        <f t="shared" si="71"/>
        <v>0</v>
      </c>
      <c r="L104" s="76">
        <f t="shared" si="71"/>
        <v>0</v>
      </c>
      <c r="M104" s="76">
        <f t="shared" si="71"/>
        <v>0</v>
      </c>
      <c r="N104" s="76">
        <f t="shared" si="71"/>
        <v>0</v>
      </c>
      <c r="O104" s="76">
        <f t="shared" si="71"/>
        <v>0</v>
      </c>
      <c r="P104" s="76">
        <f t="shared" si="71"/>
        <v>0</v>
      </c>
      <c r="Q104" s="76">
        <f t="shared" si="71"/>
        <v>0</v>
      </c>
      <c r="R104" s="76">
        <f t="shared" si="71"/>
        <v>0</v>
      </c>
      <c r="S104" s="76">
        <f t="shared" ref="S104" si="72">IF(S83&lt;0,S83*-1,0)</f>
        <v>0</v>
      </c>
      <c r="T104" s="76">
        <f t="shared" si="71"/>
        <v>0</v>
      </c>
      <c r="U104" s="76">
        <f t="shared" si="71"/>
        <v>0</v>
      </c>
      <c r="V104" s="76">
        <f t="shared" si="71"/>
        <v>0</v>
      </c>
      <c r="W104" s="76">
        <f t="shared" si="71"/>
        <v>0</v>
      </c>
      <c r="X104" s="76">
        <f t="shared" si="71"/>
        <v>0</v>
      </c>
      <c r="Y104" s="76">
        <f t="shared" si="71"/>
        <v>0</v>
      </c>
      <c r="Z104" s="76">
        <f t="shared" si="71"/>
        <v>0</v>
      </c>
      <c r="AA104" s="76">
        <f t="shared" si="71"/>
        <v>0</v>
      </c>
      <c r="AB104" s="76">
        <f t="shared" ref="AB104:AC104" si="73">IF(AB83&lt;0,AB83*-1,0)</f>
        <v>0</v>
      </c>
      <c r="AC104" s="76">
        <f t="shared" si="73"/>
        <v>0</v>
      </c>
      <c r="AD104" s="76">
        <f t="shared" ref="AD104:AE104" si="74">IF(AD83&lt;0,AD83*-1,0)</f>
        <v>0</v>
      </c>
      <c r="AE104" s="76">
        <f t="shared" si="74"/>
        <v>0</v>
      </c>
      <c r="AF104" s="76">
        <f t="shared" ref="AF104" si="75">IF(AF83&lt;0,AF83*-1,0)</f>
        <v>0</v>
      </c>
      <c r="AG104" s="98"/>
      <c r="AH104" s="47">
        <f t="shared" si="33"/>
        <v>0</v>
      </c>
      <c r="AI104" s="48">
        <f t="shared" si="34"/>
        <v>0</v>
      </c>
      <c r="BF104" s="232"/>
      <c r="BG104" s="233">
        <v>69.900000000000006</v>
      </c>
      <c r="BH104" s="233">
        <v>0</v>
      </c>
      <c r="BI104" s="233">
        <v>186</v>
      </c>
      <c r="BJ104" s="233">
        <v>0</v>
      </c>
      <c r="BK104" s="233">
        <v>103.6</v>
      </c>
      <c r="BL104" s="233">
        <v>62.1</v>
      </c>
    </row>
    <row r="105" spans="1:64" x14ac:dyDescent="0.25">
      <c r="A105" s="84" t="s">
        <v>81</v>
      </c>
      <c r="B105" s="76">
        <f>IF(B81&lt;0,B81*-1,0)</f>
        <v>0</v>
      </c>
      <c r="C105" s="76">
        <f t="shared" ref="C105:AA105" si="76">IF(C81&lt;0,C81*-1,0)</f>
        <v>0</v>
      </c>
      <c r="D105" s="76">
        <f t="shared" si="76"/>
        <v>0</v>
      </c>
      <c r="E105" s="76">
        <f t="shared" si="76"/>
        <v>0</v>
      </c>
      <c r="F105" s="76">
        <f t="shared" si="76"/>
        <v>0</v>
      </c>
      <c r="G105" s="76">
        <f t="shared" si="76"/>
        <v>0</v>
      </c>
      <c r="H105" s="76">
        <f t="shared" si="76"/>
        <v>0</v>
      </c>
      <c r="I105" s="76">
        <f t="shared" si="76"/>
        <v>0</v>
      </c>
      <c r="J105" s="76">
        <f t="shared" si="76"/>
        <v>0</v>
      </c>
      <c r="K105" s="76">
        <f t="shared" si="76"/>
        <v>0</v>
      </c>
      <c r="L105" s="76">
        <f t="shared" si="76"/>
        <v>0</v>
      </c>
      <c r="M105" s="76">
        <f t="shared" si="76"/>
        <v>0</v>
      </c>
      <c r="N105" s="76">
        <f t="shared" si="76"/>
        <v>0</v>
      </c>
      <c r="O105" s="76">
        <f t="shared" si="76"/>
        <v>0</v>
      </c>
      <c r="P105" s="76">
        <f t="shared" si="76"/>
        <v>0</v>
      </c>
      <c r="Q105" s="76">
        <f t="shared" si="76"/>
        <v>0</v>
      </c>
      <c r="R105" s="76">
        <f t="shared" si="76"/>
        <v>0</v>
      </c>
      <c r="S105" s="76">
        <f t="shared" ref="S105" si="77">IF(S81&lt;0,S81*-1,0)</f>
        <v>0</v>
      </c>
      <c r="T105" s="76">
        <f t="shared" si="76"/>
        <v>0</v>
      </c>
      <c r="U105" s="76">
        <f t="shared" si="76"/>
        <v>0</v>
      </c>
      <c r="V105" s="76">
        <f t="shared" si="76"/>
        <v>0</v>
      </c>
      <c r="W105" s="76">
        <f t="shared" si="76"/>
        <v>0</v>
      </c>
      <c r="X105" s="76">
        <f t="shared" si="76"/>
        <v>0</v>
      </c>
      <c r="Y105" s="76">
        <f t="shared" si="76"/>
        <v>0</v>
      </c>
      <c r="Z105" s="76">
        <f t="shared" si="76"/>
        <v>0</v>
      </c>
      <c r="AA105" s="76">
        <f t="shared" si="76"/>
        <v>0</v>
      </c>
      <c r="AB105" s="76">
        <f t="shared" ref="AB105:AC105" si="78">IF(AB81&lt;0,AB81*-1,0)</f>
        <v>0</v>
      </c>
      <c r="AC105" s="76">
        <f t="shared" si="78"/>
        <v>0</v>
      </c>
      <c r="AD105" s="76">
        <f t="shared" ref="AD105:AE105" si="79">IF(AD81&lt;0,AD81*-1,0)</f>
        <v>0</v>
      </c>
      <c r="AE105" s="76">
        <f t="shared" si="79"/>
        <v>0</v>
      </c>
      <c r="AF105" s="76">
        <f t="shared" ref="AF105" si="80">IF(AF81&lt;0,AF81*-1,0)</f>
        <v>0</v>
      </c>
      <c r="AG105" s="98"/>
      <c r="AH105" s="47">
        <f t="shared" si="33"/>
        <v>0</v>
      </c>
      <c r="AI105" s="48">
        <f t="shared" si="34"/>
        <v>0</v>
      </c>
      <c r="BF105" s="232"/>
      <c r="BG105" s="233">
        <v>62.3</v>
      </c>
      <c r="BH105" s="233">
        <v>0</v>
      </c>
      <c r="BI105" s="233">
        <v>194.5</v>
      </c>
      <c r="BJ105" s="233">
        <v>0</v>
      </c>
      <c r="BK105" s="233">
        <v>102.6</v>
      </c>
      <c r="BL105" s="233">
        <v>75.3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1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1</v>
      </c>
      <c r="AG106" s="85"/>
      <c r="AH106" s="47">
        <f t="shared" si="33"/>
        <v>1</v>
      </c>
      <c r="AI106" s="48">
        <f t="shared" si="34"/>
        <v>0</v>
      </c>
      <c r="BG106" s="233">
        <v>56.5</v>
      </c>
      <c r="BH106" s="233">
        <v>0</v>
      </c>
      <c r="BI106" s="233">
        <v>386</v>
      </c>
      <c r="BJ106" s="233">
        <v>0</v>
      </c>
      <c r="BK106" s="233">
        <v>107.4</v>
      </c>
      <c r="BL106" s="233">
        <v>64.2</v>
      </c>
    </row>
    <row r="107" spans="1:64" ht="15.75" thickBot="1" x14ac:dyDescent="0.3">
      <c r="A107" s="99" t="s">
        <v>106</v>
      </c>
      <c r="B107" s="60">
        <f>SUM(B101:B106)</f>
        <v>0</v>
      </c>
      <c r="C107" s="60">
        <f t="shared" ref="C107:AA107" si="81">SUM(C101:C106)</f>
        <v>0</v>
      </c>
      <c r="D107" s="60">
        <f t="shared" si="81"/>
        <v>0</v>
      </c>
      <c r="E107" s="60">
        <f t="shared" si="81"/>
        <v>0</v>
      </c>
      <c r="F107" s="60">
        <f t="shared" si="81"/>
        <v>0</v>
      </c>
      <c r="G107" s="60">
        <f t="shared" si="81"/>
        <v>0</v>
      </c>
      <c r="H107" s="60">
        <f t="shared" si="81"/>
        <v>0</v>
      </c>
      <c r="I107" s="60">
        <f t="shared" si="81"/>
        <v>0</v>
      </c>
      <c r="J107" s="60">
        <f t="shared" si="81"/>
        <v>0</v>
      </c>
      <c r="K107" s="60">
        <f t="shared" si="81"/>
        <v>0</v>
      </c>
      <c r="L107" s="60">
        <f t="shared" si="81"/>
        <v>0</v>
      </c>
      <c r="M107" s="60">
        <f t="shared" si="81"/>
        <v>0</v>
      </c>
      <c r="N107" s="60">
        <f t="shared" si="81"/>
        <v>0</v>
      </c>
      <c r="O107" s="60">
        <f t="shared" si="81"/>
        <v>0</v>
      </c>
      <c r="P107" s="60">
        <f t="shared" si="81"/>
        <v>0</v>
      </c>
      <c r="Q107" s="60">
        <f t="shared" si="81"/>
        <v>0</v>
      </c>
      <c r="R107" s="60">
        <f t="shared" si="81"/>
        <v>0</v>
      </c>
      <c r="S107" s="60">
        <f t="shared" ref="S107" si="82">SUM(S101:S106)</f>
        <v>1</v>
      </c>
      <c r="T107" s="60">
        <f t="shared" si="81"/>
        <v>0</v>
      </c>
      <c r="U107" s="60">
        <f t="shared" si="81"/>
        <v>0</v>
      </c>
      <c r="V107" s="60">
        <f t="shared" si="81"/>
        <v>0</v>
      </c>
      <c r="W107" s="60">
        <f t="shared" si="81"/>
        <v>0</v>
      </c>
      <c r="X107" s="60">
        <f t="shared" si="81"/>
        <v>0</v>
      </c>
      <c r="Y107" s="60">
        <f t="shared" si="81"/>
        <v>0</v>
      </c>
      <c r="Z107" s="60">
        <f t="shared" si="81"/>
        <v>0</v>
      </c>
      <c r="AA107" s="60">
        <f t="shared" si="81"/>
        <v>0</v>
      </c>
      <c r="AB107" s="60">
        <f t="shared" ref="AB107:AC107" si="83">SUM(AB101:AB106)</f>
        <v>0</v>
      </c>
      <c r="AC107" s="60">
        <f t="shared" si="83"/>
        <v>0</v>
      </c>
      <c r="AD107" s="60">
        <f t="shared" ref="AD107:AE107" si="84">SUM(AD101:AD106)</f>
        <v>0</v>
      </c>
      <c r="AE107" s="60">
        <f t="shared" si="84"/>
        <v>0</v>
      </c>
      <c r="AF107" s="60">
        <f t="shared" ref="AF107" si="85">SUM(AF101:AF106)</f>
        <v>1</v>
      </c>
      <c r="AG107" s="88"/>
      <c r="AH107" s="47">
        <f t="shared" si="33"/>
        <v>1</v>
      </c>
      <c r="AI107" s="48">
        <f t="shared" si="34"/>
        <v>0</v>
      </c>
      <c r="AK107" s="50"/>
      <c r="BG107" s="233">
        <v>60</v>
      </c>
      <c r="BH107" s="233">
        <v>0</v>
      </c>
      <c r="BI107" s="233">
        <v>424</v>
      </c>
      <c r="BJ107" s="233">
        <v>0</v>
      </c>
      <c r="BK107" s="233">
        <v>15</v>
      </c>
      <c r="BL107" s="233">
        <v>52</v>
      </c>
    </row>
    <row r="108" spans="1:64" ht="15.75" thickBot="1" x14ac:dyDescent="0.3">
      <c r="A108" s="74" t="s">
        <v>107</v>
      </c>
      <c r="B108" s="60">
        <f t="shared" ref="B108:AA108" si="86">B92-B107</f>
        <v>551</v>
      </c>
      <c r="C108" s="60">
        <f t="shared" si="86"/>
        <v>559.20000000000005</v>
      </c>
      <c r="D108" s="60">
        <f t="shared" si="86"/>
        <v>481</v>
      </c>
      <c r="E108" s="60">
        <f t="shared" si="86"/>
        <v>512.6</v>
      </c>
      <c r="F108" s="60">
        <f t="shared" si="86"/>
        <v>538.1</v>
      </c>
      <c r="G108" s="60">
        <f t="shared" si="86"/>
        <v>571</v>
      </c>
      <c r="H108" s="60">
        <f t="shared" si="86"/>
        <v>553.97699999999998</v>
      </c>
      <c r="I108" s="60">
        <f t="shared" si="86"/>
        <v>553.79999999999995</v>
      </c>
      <c r="J108" s="60">
        <f t="shared" si="86"/>
        <v>608</v>
      </c>
      <c r="K108" s="60">
        <f t="shared" si="86"/>
        <v>539.5</v>
      </c>
      <c r="L108" s="60">
        <f t="shared" si="86"/>
        <v>409</v>
      </c>
      <c r="M108" s="60">
        <f t="shared" si="86"/>
        <v>398.5</v>
      </c>
      <c r="N108" s="60">
        <f t="shared" si="86"/>
        <v>405.8</v>
      </c>
      <c r="O108" s="60">
        <f t="shared" si="86"/>
        <v>458.9</v>
      </c>
      <c r="P108" s="60">
        <f t="shared" si="86"/>
        <v>561</v>
      </c>
      <c r="Q108" s="60">
        <f t="shared" si="86"/>
        <v>633.20000000000005</v>
      </c>
      <c r="R108" s="60">
        <f t="shared" si="86"/>
        <v>620</v>
      </c>
      <c r="S108" s="60">
        <f t="shared" ref="S108" si="87">S92-S107</f>
        <v>626</v>
      </c>
      <c r="T108" s="60">
        <f t="shared" si="86"/>
        <v>727.5</v>
      </c>
      <c r="U108" s="60">
        <f t="shared" si="86"/>
        <v>596</v>
      </c>
      <c r="V108" s="60">
        <f t="shared" si="86"/>
        <v>472.40000000000003</v>
      </c>
      <c r="W108" s="60">
        <f t="shared" si="86"/>
        <v>498.6</v>
      </c>
      <c r="X108" s="60">
        <f t="shared" si="86"/>
        <v>484.1</v>
      </c>
      <c r="Y108" s="60">
        <f>Y92-Y107</f>
        <v>463.1</v>
      </c>
      <c r="Z108" s="60">
        <f>Z92-Z107</f>
        <v>427.5</v>
      </c>
      <c r="AA108" s="60">
        <f t="shared" si="86"/>
        <v>404.59999999999997</v>
      </c>
      <c r="AB108" s="60">
        <f t="shared" ref="AB108:AC108" si="88">AB92-AB107</f>
        <v>298.48</v>
      </c>
      <c r="AC108" s="60">
        <f t="shared" si="88"/>
        <v>394.1</v>
      </c>
      <c r="AD108" s="60">
        <f t="shared" ref="AD108:AE108" si="89">AD92-AD107</f>
        <v>421.6</v>
      </c>
      <c r="AE108" s="60">
        <f t="shared" si="89"/>
        <v>434.7</v>
      </c>
      <c r="AF108" s="60">
        <f t="shared" ref="AF108" si="90">AF92-AF107</f>
        <v>613.1</v>
      </c>
      <c r="AG108" s="88"/>
      <c r="AH108" s="47">
        <f t="shared" si="33"/>
        <v>727.5</v>
      </c>
      <c r="AI108" s="48">
        <f t="shared" si="34"/>
        <v>298.48</v>
      </c>
    </row>
    <row r="109" spans="1:64" x14ac:dyDescent="0.25">
      <c r="A109" s="100" t="s">
        <v>108</v>
      </c>
      <c r="B109" s="101">
        <v>49.993000000000002</v>
      </c>
      <c r="C109" s="101">
        <v>50.034999999999997</v>
      </c>
      <c r="D109" s="101">
        <v>49.906999999999996</v>
      </c>
      <c r="E109" s="101">
        <v>49.966000000000001</v>
      </c>
      <c r="F109" s="101">
        <v>49.920999999999999</v>
      </c>
      <c r="G109" s="101">
        <v>50</v>
      </c>
      <c r="H109" s="101">
        <v>49.973999999999997</v>
      </c>
      <c r="I109" s="101">
        <v>49.87</v>
      </c>
      <c r="J109" s="101">
        <v>50.008600000000001</v>
      </c>
      <c r="K109" s="101">
        <v>50.164000000000001</v>
      </c>
      <c r="L109" s="101">
        <v>49.97</v>
      </c>
      <c r="M109" s="101">
        <v>50.057000000000002</v>
      </c>
      <c r="N109" s="101">
        <v>50.061999999999998</v>
      </c>
      <c r="O109" s="101">
        <v>49.994999999999997</v>
      </c>
      <c r="P109" s="101">
        <v>50.078000000000003</v>
      </c>
      <c r="Q109" s="101">
        <v>50.018000000000001</v>
      </c>
      <c r="R109" s="101">
        <v>50.064</v>
      </c>
      <c r="S109" s="101">
        <v>50.064</v>
      </c>
      <c r="T109" s="101">
        <v>50.06</v>
      </c>
      <c r="U109" s="101">
        <v>49.85</v>
      </c>
      <c r="V109" s="101">
        <v>49.85</v>
      </c>
      <c r="W109" s="101">
        <v>49.984999999999999</v>
      </c>
      <c r="X109" s="101">
        <v>50.029000000000003</v>
      </c>
      <c r="Y109" s="101">
        <v>50.006999999999998</v>
      </c>
      <c r="Z109" s="101">
        <v>49.9</v>
      </c>
      <c r="AA109" s="101">
        <v>50.021000000000001</v>
      </c>
      <c r="AB109" s="101">
        <v>50.06</v>
      </c>
      <c r="AC109" s="101">
        <v>50.05</v>
      </c>
      <c r="AD109" s="101">
        <v>49.98</v>
      </c>
      <c r="AE109" s="101">
        <v>50.06</v>
      </c>
      <c r="AF109" s="101">
        <v>50.03</v>
      </c>
      <c r="AG109" s="102"/>
      <c r="AH109" s="47">
        <f t="shared" si="33"/>
        <v>50.164000000000001</v>
      </c>
      <c r="AI109" s="48">
        <f t="shared" si="34"/>
        <v>49.85</v>
      </c>
    </row>
    <row r="110" spans="1:64" x14ac:dyDescent="0.25">
      <c r="A110" s="103" t="s">
        <v>109</v>
      </c>
      <c r="B110" s="65">
        <v>127.9</v>
      </c>
      <c r="C110" s="65">
        <v>127.5</v>
      </c>
      <c r="D110" s="65">
        <v>128.4</v>
      </c>
      <c r="E110" s="65">
        <v>130.19999999999999</v>
      </c>
      <c r="F110" s="65">
        <v>130.6</v>
      </c>
      <c r="G110" s="65">
        <v>126.6</v>
      </c>
      <c r="H110" s="65">
        <v>127</v>
      </c>
      <c r="I110" s="65">
        <v>125.8</v>
      </c>
      <c r="J110" s="65">
        <v>125.1</v>
      </c>
      <c r="K110" s="65">
        <v>127.5</v>
      </c>
      <c r="L110" s="65">
        <v>126</v>
      </c>
      <c r="M110" s="65">
        <v>124.9</v>
      </c>
      <c r="N110" s="65">
        <v>125.4</v>
      </c>
      <c r="O110" s="65">
        <v>125.8</v>
      </c>
      <c r="P110" s="65">
        <v>127</v>
      </c>
      <c r="Q110" s="65">
        <v>124.7</v>
      </c>
      <c r="R110" s="65">
        <v>126.2</v>
      </c>
      <c r="S110" s="65">
        <v>126.2</v>
      </c>
      <c r="T110" s="65">
        <v>124.4</v>
      </c>
      <c r="U110" s="65">
        <v>124.4</v>
      </c>
      <c r="V110" s="65">
        <v>128.69999999999999</v>
      </c>
      <c r="W110" s="65">
        <v>127.1</v>
      </c>
      <c r="X110" s="65">
        <v>127.3</v>
      </c>
      <c r="Y110" s="65">
        <v>126.6</v>
      </c>
      <c r="Z110" s="65">
        <v>127.8</v>
      </c>
      <c r="AA110" s="65">
        <v>128.5</v>
      </c>
      <c r="AB110" s="65">
        <v>128.5</v>
      </c>
      <c r="AC110" s="65">
        <v>130.1</v>
      </c>
      <c r="AD110" s="65">
        <v>130.9</v>
      </c>
      <c r="AE110" s="65">
        <v>128.69999999999999</v>
      </c>
      <c r="AF110" s="65">
        <v>129.69999999999999</v>
      </c>
      <c r="AG110" s="104"/>
      <c r="AH110" s="47">
        <f t="shared" si="33"/>
        <v>130.9</v>
      </c>
      <c r="AI110" s="48">
        <f t="shared" si="34"/>
        <v>124.4</v>
      </c>
    </row>
    <row r="111" spans="1:64" x14ac:dyDescent="0.25">
      <c r="A111" s="103" t="s">
        <v>110</v>
      </c>
      <c r="B111" s="65">
        <v>131.9</v>
      </c>
      <c r="C111" s="65">
        <v>131.69999999999999</v>
      </c>
      <c r="D111" s="65">
        <v>132.19999999999999</v>
      </c>
      <c r="E111" s="65">
        <v>134</v>
      </c>
      <c r="F111" s="65">
        <v>133.6</v>
      </c>
      <c r="G111" s="65">
        <v>130.5</v>
      </c>
      <c r="H111" s="65">
        <v>130.6</v>
      </c>
      <c r="I111" s="65">
        <v>128.9</v>
      </c>
      <c r="J111" s="65">
        <v>128.4</v>
      </c>
      <c r="K111" s="65">
        <v>129.6</v>
      </c>
      <c r="L111" s="65">
        <v>127.7</v>
      </c>
      <c r="M111" s="65">
        <v>126.8</v>
      </c>
      <c r="N111" s="65">
        <v>127.5</v>
      </c>
      <c r="O111" s="65">
        <v>127.9</v>
      </c>
      <c r="P111" s="65">
        <v>128.69999999999999</v>
      </c>
      <c r="Q111" s="65">
        <v>127.1</v>
      </c>
      <c r="R111" s="65">
        <v>128.5</v>
      </c>
      <c r="S111" s="65">
        <v>128.5</v>
      </c>
      <c r="T111" s="65">
        <v>127.4</v>
      </c>
      <c r="U111" s="65">
        <v>127.4</v>
      </c>
      <c r="V111" s="65">
        <v>130.4</v>
      </c>
      <c r="W111" s="65">
        <v>128.9</v>
      </c>
      <c r="X111" s="65">
        <v>128.9</v>
      </c>
      <c r="Y111" s="65">
        <v>127.5</v>
      </c>
      <c r="Z111" s="65">
        <v>128.69999999999999</v>
      </c>
      <c r="AA111" s="65">
        <v>129.5</v>
      </c>
      <c r="AB111" s="65">
        <v>129.5</v>
      </c>
      <c r="AC111" s="65">
        <v>131.30000000000001</v>
      </c>
      <c r="AD111" s="65">
        <v>132.1</v>
      </c>
      <c r="AE111" s="65">
        <v>131.30000000000001</v>
      </c>
      <c r="AF111" s="65">
        <v>132.80000000000001</v>
      </c>
      <c r="AG111" s="104"/>
      <c r="AH111" s="47">
        <f t="shared" si="33"/>
        <v>134</v>
      </c>
      <c r="AI111" s="48">
        <f t="shared" si="34"/>
        <v>126.8</v>
      </c>
    </row>
    <row r="112" spans="1:64" x14ac:dyDescent="0.25">
      <c r="A112" s="103" t="s">
        <v>111</v>
      </c>
      <c r="B112" s="65">
        <v>128.19999999999999</v>
      </c>
      <c r="C112" s="65">
        <v>129.4</v>
      </c>
      <c r="D112" s="65">
        <v>128.9</v>
      </c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33"/>
        <v>129.4</v>
      </c>
      <c r="AI112" s="48">
        <f t="shared" si="34"/>
        <v>128.19999999999999</v>
      </c>
    </row>
    <row r="113" spans="1:35" x14ac:dyDescent="0.25">
      <c r="A113" s="105" t="s">
        <v>112</v>
      </c>
      <c r="B113" s="65">
        <v>133</v>
      </c>
      <c r="C113" s="65">
        <v>132.4</v>
      </c>
      <c r="D113" s="65">
        <v>131.80000000000001</v>
      </c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33"/>
        <v>133</v>
      </c>
      <c r="AI113" s="48">
        <f t="shared" si="34"/>
        <v>131.80000000000001</v>
      </c>
    </row>
    <row r="114" spans="1:35" x14ac:dyDescent="0.25">
      <c r="A114" s="105" t="s">
        <v>113</v>
      </c>
      <c r="B114" s="106">
        <v>133.19999999999999</v>
      </c>
      <c r="C114" s="106">
        <v>132.6</v>
      </c>
      <c r="D114" s="106">
        <v>129.19999999999999</v>
      </c>
      <c r="E114" s="106">
        <v>132.6</v>
      </c>
      <c r="F114" s="106">
        <v>134</v>
      </c>
      <c r="G114" s="106">
        <v>130.69999999999999</v>
      </c>
      <c r="H114" s="106">
        <v>131.4</v>
      </c>
      <c r="I114" s="106">
        <v>133.30000000000001</v>
      </c>
      <c r="J114" s="106">
        <v>132</v>
      </c>
      <c r="K114" s="106">
        <v>135.5</v>
      </c>
      <c r="L114" s="106">
        <v>133.80000000000001</v>
      </c>
      <c r="M114" s="106">
        <v>133.6</v>
      </c>
      <c r="N114" s="106">
        <v>133.30000000000001</v>
      </c>
      <c r="O114" s="106">
        <v>132.19999999999999</v>
      </c>
      <c r="P114" s="106">
        <v>133.5</v>
      </c>
      <c r="Q114" s="106">
        <v>133.1</v>
      </c>
      <c r="R114" s="106">
        <v>134.80000000000001</v>
      </c>
      <c r="S114" s="106">
        <v>134.80000000000001</v>
      </c>
      <c r="T114" s="106">
        <v>133.6</v>
      </c>
      <c r="U114" s="106">
        <v>133.6</v>
      </c>
      <c r="V114" s="106">
        <v>135.1</v>
      </c>
      <c r="W114" s="106">
        <v>133.5</v>
      </c>
      <c r="X114" s="106">
        <v>134.30000000000001</v>
      </c>
      <c r="Y114" s="106">
        <v>133.5</v>
      </c>
      <c r="Z114" s="106">
        <v>134.30000000000001</v>
      </c>
      <c r="AA114" s="106">
        <v>135.69999999999999</v>
      </c>
      <c r="AB114" s="106">
        <v>135.69999999999999</v>
      </c>
      <c r="AC114" s="106">
        <v>135.69999999999999</v>
      </c>
      <c r="AD114" s="106">
        <v>135.69999999999999</v>
      </c>
      <c r="AE114" s="106">
        <v>131.30000000000001</v>
      </c>
      <c r="AF114" s="106">
        <v>134.30000000000001</v>
      </c>
      <c r="AG114" s="107"/>
      <c r="AH114" s="47">
        <f t="shared" si="33"/>
        <v>135.69999999999999</v>
      </c>
      <c r="AI114" s="48">
        <f t="shared" si="34"/>
        <v>129.19999999999999</v>
      </c>
    </row>
    <row r="115" spans="1:35" x14ac:dyDescent="0.25">
      <c r="A115" s="103" t="s">
        <v>114</v>
      </c>
      <c r="B115" s="65">
        <v>132</v>
      </c>
      <c r="C115" s="65">
        <v>126.8</v>
      </c>
      <c r="D115" s="65">
        <v>134.9</v>
      </c>
      <c r="E115" s="65">
        <v>136</v>
      </c>
      <c r="F115" s="65">
        <v>130.1</v>
      </c>
      <c r="G115" s="65">
        <v>128.19999999999999</v>
      </c>
      <c r="H115" s="65">
        <v>130.1</v>
      </c>
      <c r="I115" s="65">
        <v>132.80000000000001</v>
      </c>
      <c r="J115" s="65">
        <v>131.6</v>
      </c>
      <c r="K115" s="65">
        <v>130.9</v>
      </c>
      <c r="L115" s="65">
        <v>128.30000000000001</v>
      </c>
      <c r="M115" s="65">
        <v>130.5</v>
      </c>
      <c r="N115" s="65">
        <v>133.80000000000001</v>
      </c>
      <c r="O115" s="65">
        <v>133.30000000000001</v>
      </c>
      <c r="P115" s="65">
        <v>127.2</v>
      </c>
      <c r="Q115" s="65">
        <v>131.5</v>
      </c>
      <c r="R115" s="65">
        <v>134.4</v>
      </c>
      <c r="S115" s="65">
        <v>134.4</v>
      </c>
      <c r="T115" s="65">
        <v>130.19999999999999</v>
      </c>
      <c r="U115" s="65">
        <v>130.19999999999999</v>
      </c>
      <c r="V115" s="65">
        <v>129.1</v>
      </c>
      <c r="W115" s="65">
        <v>127</v>
      </c>
      <c r="X115" s="65">
        <v>132.30000000000001</v>
      </c>
      <c r="Y115" s="65">
        <v>126.6</v>
      </c>
      <c r="Z115" s="65">
        <v>131.1</v>
      </c>
      <c r="AA115" s="65">
        <v>132.6</v>
      </c>
      <c r="AB115" s="65">
        <v>132.6</v>
      </c>
      <c r="AC115" s="65">
        <v>129.80000000000001</v>
      </c>
      <c r="AD115" s="65">
        <v>129.80000000000001</v>
      </c>
      <c r="AE115" s="65">
        <v>127.5</v>
      </c>
      <c r="AF115" s="65">
        <v>128.19999999999999</v>
      </c>
      <c r="AG115" s="104"/>
      <c r="AH115" s="47">
        <f t="shared" si="33"/>
        <v>136</v>
      </c>
      <c r="AI115" s="48">
        <f t="shared" si="34"/>
        <v>126.6</v>
      </c>
    </row>
    <row r="116" spans="1:35" ht="15.75" thickBot="1" x14ac:dyDescent="0.3">
      <c r="A116" s="103" t="s">
        <v>115</v>
      </c>
      <c r="B116" s="92">
        <v>66.400000000000006</v>
      </c>
      <c r="C116" s="92">
        <v>66.2</v>
      </c>
      <c r="D116" s="92">
        <v>66.599999999999994</v>
      </c>
      <c r="E116" s="92">
        <v>67.2</v>
      </c>
      <c r="F116" s="92">
        <v>67.400000000000006</v>
      </c>
      <c r="G116" s="92">
        <v>65.7</v>
      </c>
      <c r="H116" s="92">
        <v>65.5</v>
      </c>
      <c r="I116" s="92">
        <v>64.8</v>
      </c>
      <c r="J116" s="92">
        <v>64.599999999999994</v>
      </c>
      <c r="K116" s="92">
        <v>65.2</v>
      </c>
      <c r="L116" s="92">
        <v>64.3</v>
      </c>
      <c r="M116" s="92">
        <v>63.6</v>
      </c>
      <c r="N116" s="92">
        <v>64</v>
      </c>
      <c r="O116" s="92">
        <v>64.099999999999994</v>
      </c>
      <c r="P116" s="92">
        <v>64.5</v>
      </c>
      <c r="Q116" s="92">
        <v>63.7</v>
      </c>
      <c r="R116" s="92">
        <v>64.5</v>
      </c>
      <c r="S116" s="92">
        <v>64.5</v>
      </c>
      <c r="T116" s="92">
        <v>64</v>
      </c>
      <c r="U116" s="92">
        <v>64</v>
      </c>
      <c r="V116" s="92">
        <v>65.400000000000006</v>
      </c>
      <c r="W116" s="92">
        <v>64.599999999999994</v>
      </c>
      <c r="X116" s="92">
        <v>64.599999999999994</v>
      </c>
      <c r="Y116" s="92">
        <v>63.7</v>
      </c>
      <c r="Z116" s="92">
        <v>64.7</v>
      </c>
      <c r="AA116" s="92">
        <v>65</v>
      </c>
      <c r="AB116" s="92">
        <v>65</v>
      </c>
      <c r="AC116" s="92">
        <v>65.7</v>
      </c>
      <c r="AD116" s="92">
        <v>65.7</v>
      </c>
      <c r="AE116" s="92">
        <v>65.900000000000006</v>
      </c>
      <c r="AF116" s="92">
        <v>65.900000000000006</v>
      </c>
      <c r="AG116" s="108"/>
      <c r="AH116" s="47">
        <f t="shared" si="33"/>
        <v>67.400000000000006</v>
      </c>
      <c r="AI116" s="48">
        <f t="shared" si="34"/>
        <v>63.6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117</v>
      </c>
      <c r="B118" s="111">
        <f t="shared" ref="B118:O118" si="91">SUM(B22,B28,B31:B32,B66,B68:B69,B71,B73,B119:B123,B155,B161,B167,B176,B178,B190,B197,B200:B201,B208,B210,B212,B216:B218,B220:B222,B227,B233:B234,B236:B238,B246,B251)</f>
        <v>141.04</v>
      </c>
      <c r="C118" s="111">
        <f t="shared" si="91"/>
        <v>137.33999999999997</v>
      </c>
      <c r="D118" s="111">
        <f t="shared" si="91"/>
        <v>124.23999999999998</v>
      </c>
      <c r="E118" s="111">
        <f t="shared" si="91"/>
        <v>168.44799999999998</v>
      </c>
      <c r="F118" s="111">
        <f t="shared" si="91"/>
        <v>141.96799999999999</v>
      </c>
      <c r="G118" s="111">
        <f t="shared" si="91"/>
        <v>179.928</v>
      </c>
      <c r="H118" s="111">
        <f t="shared" si="91"/>
        <v>201.09599999999998</v>
      </c>
      <c r="I118" s="111">
        <f t="shared" si="91"/>
        <v>247.96800000000002</v>
      </c>
      <c r="J118" s="111">
        <f t="shared" si="91"/>
        <v>287.35999999999996</v>
      </c>
      <c r="K118" s="111">
        <f t="shared" si="91"/>
        <v>336.97199999999998</v>
      </c>
      <c r="L118" s="111">
        <f t="shared" si="91"/>
        <v>377.24399999999997</v>
      </c>
      <c r="M118" s="111">
        <f t="shared" si="91"/>
        <v>379.16</v>
      </c>
      <c r="N118" s="111">
        <f t="shared" si="91"/>
        <v>356.99699999999996</v>
      </c>
      <c r="O118" s="111">
        <f t="shared" si="91"/>
        <v>343.56</v>
      </c>
      <c r="P118" s="111">
        <v>42</v>
      </c>
      <c r="Q118" s="111">
        <f t="shared" ref="Q118:AA118" si="92">SUM(Q22,Q28,Q31:Q32,Q66,Q68:Q69,Q71,Q73,Q119:Q123,Q155,Q161,Q167,Q176,Q178,Q190,Q197,Q200:Q201,Q208,Q210,Q212,Q216:Q218,Q220:Q222,Q227,Q233:Q234,Q236:Q238,Q246,Q251)</f>
        <v>327.85999999999996</v>
      </c>
      <c r="R118" s="111">
        <f t="shared" si="92"/>
        <v>309.73999999999995</v>
      </c>
      <c r="S118" s="111">
        <f t="shared" ref="S118" si="93">SUM(S22,S28,S31:S32,S66,S68:S69,S71,S73,S119:S123,S155,S161,S167,S176,S178,S190,S197,S200:S201,S208,S210,S212,S216:S218,S220:S222,S227,S233:S234,S236:S238,S246,S251)</f>
        <v>309.73999999999995</v>
      </c>
      <c r="T118" s="111">
        <f t="shared" si="92"/>
        <v>298.64000000000004</v>
      </c>
      <c r="U118" s="111">
        <f t="shared" si="92"/>
        <v>282.14</v>
      </c>
      <c r="V118" s="111">
        <f t="shared" si="92"/>
        <v>314.23999999999995</v>
      </c>
      <c r="W118" s="111">
        <f t="shared" si="92"/>
        <v>332.74</v>
      </c>
      <c r="X118" s="111">
        <f t="shared" si="92"/>
        <v>371.74</v>
      </c>
      <c r="Y118" s="111">
        <f t="shared" ref="Y118:Z118" si="94">SUM(Y20,Y26,Y37:Y38,Y66,Y68:Y69,Y71,Y73,Y119:Y123,Y148,Y154,Y160,Y169,Y171,Y183,Y190,Y193:Y194,Y201,Y203,Y205,Y209:Y211,Y213:Y215,Y220,Y226:Y227,Y229:Y231,Y239,Y244)</f>
        <v>414.67999999999995</v>
      </c>
      <c r="Z118" s="111">
        <f t="shared" si="94"/>
        <v>419.98</v>
      </c>
      <c r="AA118" s="111">
        <f t="shared" si="92"/>
        <v>397.54</v>
      </c>
      <c r="AB118" s="111">
        <f t="shared" ref="AB118:AC118" si="95">SUM(AB22,AB28,AB31:AB32,AB66,AB68:AB69,AB71,AB73,AB119:AB123,AB155,AB161,AB167,AB176,AB178,AB190,AB197,AB200:AB201,AB208,AB210,AB212,AB216:AB218,AB220:AB222,AB227,AB233:AB234,AB236:AB238,AB246,AB251)</f>
        <v>370.40000000000003</v>
      </c>
      <c r="AC118" s="111">
        <f t="shared" si="95"/>
        <v>346.3</v>
      </c>
      <c r="AD118" s="111">
        <f t="shared" ref="AD118:AE118" si="96">SUM(AD22,AD28,AD31:AD32,AD66,AD68:AD69,AD71,AD73,AD119:AD123,AD155,AD161,AD167,AD176,AD178,AD190,AD197,AD200:AD201,AD208,AD210,AD212,AD216:AD218,AD220:AD222,AD227,AD233:AD234,AD236:AD238,AD246,AD251)</f>
        <v>322.71999999999997</v>
      </c>
      <c r="AE118" s="111">
        <f t="shared" si="96"/>
        <v>247.49999999999997</v>
      </c>
      <c r="AF118" s="111">
        <f t="shared" ref="AF118" si="97">SUM(AF22,AF28,AF31:AF32,AF66,AF68:AF69,AF71,AF73,AF119:AF123,AF155,AF161,AF167,AF176,AF178,AF190,AF197,AF200:AF201,AF208,AF210,AF212,AF216:AF218,AF220:AF222,AF227,AF233:AF234,AF236:AF238,AF246,AF251)</f>
        <v>175.79999999999998</v>
      </c>
      <c r="AG118" s="112"/>
      <c r="AH118" s="47">
        <f t="shared" si="33"/>
        <v>419.98</v>
      </c>
      <c r="AI118" s="48">
        <f t="shared" si="34"/>
        <v>42</v>
      </c>
    </row>
    <row r="119" spans="1:35" x14ac:dyDescent="0.25">
      <c r="A119" s="172" t="s">
        <v>118</v>
      </c>
      <c r="B119" s="113">
        <v>-3.3</v>
      </c>
      <c r="C119" s="113">
        <v>-6</v>
      </c>
      <c r="D119" s="113">
        <v>-20</v>
      </c>
      <c r="E119" s="113">
        <v>-16.3</v>
      </c>
      <c r="F119" s="113">
        <v>-14.6</v>
      </c>
      <c r="G119" s="113">
        <v>-13.7</v>
      </c>
      <c r="H119" s="113">
        <v>-6</v>
      </c>
      <c r="I119" s="113">
        <v>4.4000000000000004</v>
      </c>
      <c r="J119" s="113">
        <v>11.9</v>
      </c>
      <c r="K119" s="113">
        <v>16.100000000000001</v>
      </c>
      <c r="L119" s="113">
        <v>37.700000000000003</v>
      </c>
      <c r="M119" s="113">
        <v>35.700000000000003</v>
      </c>
      <c r="N119" s="113">
        <v>36.5</v>
      </c>
      <c r="O119" s="113">
        <v>36.200000000000003</v>
      </c>
      <c r="P119" s="113">
        <v>34.5</v>
      </c>
      <c r="Q119" s="113">
        <v>24.3</v>
      </c>
      <c r="R119" s="113">
        <v>25.1</v>
      </c>
      <c r="S119" s="113">
        <v>25.1</v>
      </c>
      <c r="T119" s="113">
        <v>21.4</v>
      </c>
      <c r="U119" s="113">
        <v>20</v>
      </c>
      <c r="V119" s="113">
        <v>19.5</v>
      </c>
      <c r="W119" s="113">
        <v>13.5</v>
      </c>
      <c r="X119" s="113">
        <v>26</v>
      </c>
      <c r="Y119" s="113">
        <v>38.200000000000003</v>
      </c>
      <c r="Z119" s="113">
        <v>39.5</v>
      </c>
      <c r="AA119" s="113">
        <v>34</v>
      </c>
      <c r="AB119" s="113">
        <v>30.6</v>
      </c>
      <c r="AC119" s="113">
        <v>23.5</v>
      </c>
      <c r="AD119" s="113">
        <v>27.5</v>
      </c>
      <c r="AE119" s="113">
        <v>13.5</v>
      </c>
      <c r="AF119" s="113">
        <v>0.3</v>
      </c>
      <c r="AG119" s="114">
        <v>75</v>
      </c>
      <c r="AH119" s="47">
        <f t="shared" si="33"/>
        <v>39.5</v>
      </c>
      <c r="AI119" s="48">
        <f t="shared" si="34"/>
        <v>-20</v>
      </c>
    </row>
    <row r="120" spans="1:35" x14ac:dyDescent="0.25">
      <c r="A120" s="173" t="s">
        <v>119</v>
      </c>
      <c r="B120" s="115">
        <v>-8</v>
      </c>
      <c r="C120" s="115">
        <v>-11</v>
      </c>
      <c r="D120" s="115">
        <v>-29.5</v>
      </c>
      <c r="E120" s="115">
        <v>-25.5</v>
      </c>
      <c r="F120" s="115">
        <v>-24</v>
      </c>
      <c r="G120" s="115">
        <v>-24.3</v>
      </c>
      <c r="H120" s="115">
        <v>-12.5</v>
      </c>
      <c r="I120" s="115">
        <v>1.4</v>
      </c>
      <c r="J120" s="115">
        <v>11.6</v>
      </c>
      <c r="K120" s="115">
        <v>22.5</v>
      </c>
      <c r="L120" s="115">
        <v>51.6</v>
      </c>
      <c r="M120" s="115">
        <v>49.7</v>
      </c>
      <c r="N120" s="115">
        <v>50.6</v>
      </c>
      <c r="O120" s="115">
        <v>50.3</v>
      </c>
      <c r="P120" s="115">
        <v>42.9</v>
      </c>
      <c r="Q120" s="115">
        <v>28.1</v>
      </c>
      <c r="R120" s="115">
        <v>29.6</v>
      </c>
      <c r="S120" s="115">
        <v>29.6</v>
      </c>
      <c r="T120" s="115">
        <v>23.3</v>
      </c>
      <c r="U120" s="115">
        <v>21</v>
      </c>
      <c r="V120" s="115">
        <v>27.2</v>
      </c>
      <c r="W120" s="115">
        <v>19.2</v>
      </c>
      <c r="X120" s="115">
        <v>37</v>
      </c>
      <c r="Y120" s="115">
        <v>52.5</v>
      </c>
      <c r="Z120" s="115">
        <v>53.7</v>
      </c>
      <c r="AA120" s="115">
        <v>46</v>
      </c>
      <c r="AB120" s="115">
        <v>41.5</v>
      </c>
      <c r="AC120" s="115">
        <v>32.700000000000003</v>
      </c>
      <c r="AD120" s="115">
        <v>33.700000000000003</v>
      </c>
      <c r="AE120" s="115">
        <v>13.5</v>
      </c>
      <c r="AF120" s="115">
        <v>-3.3</v>
      </c>
      <c r="AG120" s="114">
        <v>240</v>
      </c>
      <c r="AH120" s="47">
        <f t="shared" si="33"/>
        <v>53.7</v>
      </c>
      <c r="AI120" s="48">
        <f t="shared" si="34"/>
        <v>-29.5</v>
      </c>
    </row>
    <row r="121" spans="1:35" x14ac:dyDescent="0.25">
      <c r="A121" s="173" t="s">
        <v>120</v>
      </c>
      <c r="B121" s="115">
        <v>-30</v>
      </c>
      <c r="C121" s="115">
        <v>-32</v>
      </c>
      <c r="D121" s="115">
        <v>-12</v>
      </c>
      <c r="E121" s="115">
        <v>16.600000000000001</v>
      </c>
      <c r="F121" s="115">
        <v>-14.6</v>
      </c>
      <c r="G121" s="115">
        <v>-6.8</v>
      </c>
      <c r="H121" s="115">
        <v>-3.4</v>
      </c>
      <c r="I121" s="115">
        <v>0</v>
      </c>
      <c r="J121" s="115">
        <v>8.6</v>
      </c>
      <c r="K121" s="115">
        <v>30.5</v>
      </c>
      <c r="L121" s="115">
        <v>32.200000000000003</v>
      </c>
      <c r="M121" s="115">
        <v>32</v>
      </c>
      <c r="N121" s="115">
        <v>26</v>
      </c>
      <c r="O121" s="115">
        <f>11+12.2</f>
        <v>23.2</v>
      </c>
      <c r="P121" s="115">
        <f>11.7+13.1</f>
        <v>24.799999999999997</v>
      </c>
      <c r="Q121" s="115">
        <f>6+7.8</f>
        <v>13.8</v>
      </c>
      <c r="R121" s="115">
        <v>12.5</v>
      </c>
      <c r="S121" s="115">
        <v>12.5</v>
      </c>
      <c r="T121" s="115">
        <v>12</v>
      </c>
      <c r="U121" s="115">
        <v>17</v>
      </c>
      <c r="V121" s="115">
        <v>28</v>
      </c>
      <c r="W121" s="115">
        <v>37</v>
      </c>
      <c r="X121" s="115">
        <v>40</v>
      </c>
      <c r="Y121" s="115">
        <v>51</v>
      </c>
      <c r="Z121" s="115">
        <v>55</v>
      </c>
      <c r="AA121" s="115">
        <v>51</v>
      </c>
      <c r="AB121" s="115">
        <v>45.7</v>
      </c>
      <c r="AC121" s="115">
        <v>45</v>
      </c>
      <c r="AD121" s="115">
        <v>36.4</v>
      </c>
      <c r="AE121" s="115">
        <v>7.8</v>
      </c>
      <c r="AF121" s="115">
        <v>-8</v>
      </c>
      <c r="AG121" s="114">
        <v>240</v>
      </c>
      <c r="AH121" s="47">
        <f t="shared" si="33"/>
        <v>55</v>
      </c>
      <c r="AI121" s="48">
        <f t="shared" si="34"/>
        <v>-32</v>
      </c>
    </row>
    <row r="122" spans="1:35" ht="15.75" thickBot="1" x14ac:dyDescent="0.3">
      <c r="A122" s="173" t="s">
        <v>121</v>
      </c>
      <c r="B122" s="115">
        <v>-9</v>
      </c>
      <c r="C122" s="115">
        <v>-10</v>
      </c>
      <c r="D122" s="115">
        <v>-5.6</v>
      </c>
      <c r="E122" s="115">
        <v>-7.9</v>
      </c>
      <c r="F122" s="115">
        <v>-3.1</v>
      </c>
      <c r="G122" s="115">
        <v>-4.7</v>
      </c>
      <c r="H122" s="115">
        <v>-1.7</v>
      </c>
      <c r="I122" s="115">
        <v>0.4</v>
      </c>
      <c r="J122" s="115">
        <v>0.7</v>
      </c>
      <c r="K122" s="115">
        <v>16.100000000000001</v>
      </c>
      <c r="L122" s="115">
        <v>22.3</v>
      </c>
      <c r="M122" s="115">
        <v>21.4</v>
      </c>
      <c r="N122" s="115">
        <v>18.2</v>
      </c>
      <c r="O122" s="115">
        <v>19.3</v>
      </c>
      <c r="P122" s="115">
        <v>18.8</v>
      </c>
      <c r="Q122" s="115">
        <v>6.9</v>
      </c>
      <c r="R122" s="115">
        <v>7.8</v>
      </c>
      <c r="S122" s="115">
        <v>7.8</v>
      </c>
      <c r="T122" s="115">
        <v>0.4</v>
      </c>
      <c r="U122" s="115">
        <v>5</v>
      </c>
      <c r="V122" s="115">
        <v>20</v>
      </c>
      <c r="W122" s="115">
        <v>21</v>
      </c>
      <c r="X122" s="115">
        <v>24</v>
      </c>
      <c r="Y122" s="115">
        <v>26.9</v>
      </c>
      <c r="Z122" s="115">
        <v>28.1</v>
      </c>
      <c r="AA122" s="115">
        <v>26</v>
      </c>
      <c r="AB122" s="115">
        <v>24.2</v>
      </c>
      <c r="AC122" s="115">
        <v>23.9</v>
      </c>
      <c r="AD122" s="115">
        <v>18.8</v>
      </c>
      <c r="AE122" s="115">
        <v>5.0999999999999996</v>
      </c>
      <c r="AF122" s="115">
        <v>-6.4</v>
      </c>
      <c r="AG122" s="114">
        <v>60</v>
      </c>
      <c r="AH122" s="47">
        <f t="shared" si="33"/>
        <v>28.1</v>
      </c>
      <c r="AI122" s="48">
        <f t="shared" si="34"/>
        <v>-10</v>
      </c>
    </row>
    <row r="123" spans="1:35" x14ac:dyDescent="0.25">
      <c r="A123" s="172" t="s">
        <v>259</v>
      </c>
      <c r="B123" s="117">
        <v>100</v>
      </c>
      <c r="C123" s="117">
        <v>105</v>
      </c>
      <c r="D123" s="117">
        <v>100</v>
      </c>
      <c r="E123" s="117">
        <f>1.64*67.2</f>
        <v>110.208</v>
      </c>
      <c r="F123" s="117">
        <f>1.64*65.2</f>
        <v>106.928</v>
      </c>
      <c r="G123" s="117">
        <f>1.64*84.2</f>
        <v>138.08799999999999</v>
      </c>
      <c r="H123" s="117">
        <f>1.64*80.4</f>
        <v>131.85599999999999</v>
      </c>
      <c r="I123" s="117">
        <f>1.64*90.2</f>
        <v>147.928</v>
      </c>
      <c r="J123" s="117">
        <f>1.64*98</f>
        <v>160.72</v>
      </c>
      <c r="K123" s="117">
        <f>1.64*96.3</f>
        <v>157.93199999999999</v>
      </c>
      <c r="L123" s="117">
        <f>1.64*83.6</f>
        <v>137.10399999999998</v>
      </c>
      <c r="M123" s="117">
        <f>88*1.64</f>
        <v>144.32</v>
      </c>
      <c r="N123" s="117">
        <f>77*1.641</f>
        <v>126.357</v>
      </c>
      <c r="O123" s="117">
        <f>68*1.64</f>
        <v>111.52</v>
      </c>
      <c r="P123" s="117">
        <f>69*1.64</f>
        <v>113.16</v>
      </c>
      <c r="Q123" s="117">
        <f>88*1.64</f>
        <v>144.32</v>
      </c>
      <c r="R123" s="117">
        <f>80*1.64</f>
        <v>131.19999999999999</v>
      </c>
      <c r="S123" s="117">
        <f>80*1.64</f>
        <v>131.19999999999999</v>
      </c>
      <c r="T123" s="117">
        <f>89*1.6</f>
        <v>142.4</v>
      </c>
      <c r="U123" s="117">
        <v>120</v>
      </c>
      <c r="V123" s="117">
        <f>80*1.6</f>
        <v>128</v>
      </c>
      <c r="W123" s="117">
        <f>95*1.6</f>
        <v>152</v>
      </c>
      <c r="X123" s="117">
        <f>97*1.6</f>
        <v>155.20000000000002</v>
      </c>
      <c r="Y123" s="117">
        <v>154.08000000000001</v>
      </c>
      <c r="Z123" s="117">
        <f>94.8*1.6</f>
        <v>151.68</v>
      </c>
      <c r="AA123" s="117">
        <f>94*1.6</f>
        <v>150.4</v>
      </c>
      <c r="AB123" s="117">
        <f>85.6*1.6</f>
        <v>136.96</v>
      </c>
      <c r="AC123" s="117">
        <f>81.1*1.6</f>
        <v>129.76</v>
      </c>
      <c r="AD123" s="117">
        <f>71.8*1.6</f>
        <v>114.88</v>
      </c>
      <c r="AE123" s="117">
        <f>72.6*1.6</f>
        <v>116.16</v>
      </c>
      <c r="AF123" s="117">
        <f>63.6*1.6</f>
        <v>101.76</v>
      </c>
      <c r="AG123" s="118">
        <v>120</v>
      </c>
      <c r="AH123" s="47">
        <f t="shared" si="33"/>
        <v>160.72</v>
      </c>
      <c r="AI123" s="48">
        <f t="shared" si="34"/>
        <v>100</v>
      </c>
    </row>
    <row r="124" spans="1:35" x14ac:dyDescent="0.25">
      <c r="A124" s="173" t="s">
        <v>258</v>
      </c>
      <c r="B124" s="117">
        <v>82</v>
      </c>
      <c r="C124" s="117">
        <v>82</v>
      </c>
      <c r="D124" s="117">
        <v>82</v>
      </c>
      <c r="E124" s="117">
        <v>78.7</v>
      </c>
      <c r="F124" s="117">
        <v>77.3</v>
      </c>
      <c r="G124" s="117">
        <v>96.1</v>
      </c>
      <c r="H124" s="117">
        <v>90</v>
      </c>
      <c r="I124" s="117">
        <v>97.1</v>
      </c>
      <c r="J124" s="117">
        <v>101.5</v>
      </c>
      <c r="K124" s="117">
        <v>101.4</v>
      </c>
      <c r="L124" s="117">
        <v>92</v>
      </c>
      <c r="M124" s="117">
        <v>94.5</v>
      </c>
      <c r="N124" s="117">
        <v>85.7</v>
      </c>
      <c r="O124" s="117">
        <v>78.5</v>
      </c>
      <c r="P124" s="117">
        <v>80.400000000000006</v>
      </c>
      <c r="Q124" s="117">
        <v>95.9</v>
      </c>
      <c r="R124" s="117">
        <v>89.2</v>
      </c>
      <c r="S124" s="117">
        <v>89.2</v>
      </c>
      <c r="T124" s="117">
        <v>95</v>
      </c>
      <c r="U124" s="117">
        <v>103</v>
      </c>
      <c r="V124" s="117">
        <v>89.5</v>
      </c>
      <c r="W124" s="117">
        <v>101</v>
      </c>
      <c r="X124" s="117">
        <v>103</v>
      </c>
      <c r="Y124" s="117">
        <v>101</v>
      </c>
      <c r="Z124" s="117">
        <v>101</v>
      </c>
      <c r="AA124" s="117">
        <v>100</v>
      </c>
      <c r="AB124" s="117">
        <v>92.7</v>
      </c>
      <c r="AC124" s="117">
        <v>88.6</v>
      </c>
      <c r="AD124" s="117">
        <v>81.5</v>
      </c>
      <c r="AE124" s="117">
        <v>82.7</v>
      </c>
      <c r="AF124" s="117">
        <v>75.900000000000006</v>
      </c>
      <c r="AG124" s="118"/>
      <c r="AH124" s="47">
        <f t="shared" si="33"/>
        <v>103</v>
      </c>
      <c r="AI124" s="48">
        <f t="shared" si="34"/>
        <v>75.900000000000006</v>
      </c>
    </row>
    <row r="125" spans="1:35" x14ac:dyDescent="0.25">
      <c r="A125" s="173" t="s">
        <v>255</v>
      </c>
      <c r="B125" s="117">
        <v>70</v>
      </c>
      <c r="C125" s="117">
        <v>73</v>
      </c>
      <c r="D125" s="117">
        <v>80</v>
      </c>
      <c r="E125" s="117">
        <v>74</v>
      </c>
      <c r="F125" s="117">
        <v>70.400000000000006</v>
      </c>
      <c r="G125" s="117">
        <v>76.599999999999994</v>
      </c>
      <c r="H125" s="117">
        <v>59.2</v>
      </c>
      <c r="I125" s="117">
        <v>95.8</v>
      </c>
      <c r="J125" s="117">
        <v>37.799999999999997</v>
      </c>
      <c r="K125" s="117">
        <v>9.3000000000000007</v>
      </c>
      <c r="L125" s="117">
        <v>-23.2</v>
      </c>
      <c r="M125" s="117">
        <v>-17.399999999999999</v>
      </c>
      <c r="N125" s="117">
        <v>-18.8</v>
      </c>
      <c r="O125" s="117">
        <v>-18.7</v>
      </c>
      <c r="P125" s="117">
        <v>-10</v>
      </c>
      <c r="Q125" s="117">
        <v>19.2</v>
      </c>
      <c r="R125" s="117">
        <v>16.7</v>
      </c>
      <c r="S125" s="117">
        <v>16.7</v>
      </c>
      <c r="T125" s="117">
        <v>27</v>
      </c>
      <c r="U125" s="117">
        <v>31</v>
      </c>
      <c r="V125" s="117">
        <v>6</v>
      </c>
      <c r="W125" s="117">
        <v>14</v>
      </c>
      <c r="X125" s="117">
        <v>-5</v>
      </c>
      <c r="Y125" s="117">
        <v>-29</v>
      </c>
      <c r="Z125" s="117">
        <v>-32</v>
      </c>
      <c r="AA125" s="117">
        <v>-24</v>
      </c>
      <c r="AB125" s="117">
        <v>-18.8</v>
      </c>
      <c r="AC125" s="117">
        <v>-13.1</v>
      </c>
      <c r="AD125" s="117">
        <v>-9.6999999999999993</v>
      </c>
      <c r="AE125" s="117">
        <v>25.6</v>
      </c>
      <c r="AF125" s="117">
        <v>46.3</v>
      </c>
      <c r="AG125" s="118"/>
      <c r="AH125" s="47">
        <f t="shared" si="33"/>
        <v>95.8</v>
      </c>
      <c r="AI125" s="48">
        <f t="shared" si="34"/>
        <v>-32</v>
      </c>
    </row>
    <row r="126" spans="1:35" ht="15.75" thickBot="1" x14ac:dyDescent="0.3">
      <c r="A126" s="173" t="s">
        <v>254</v>
      </c>
      <c r="B126" s="117">
        <v>97</v>
      </c>
      <c r="C126" s="117">
        <v>95</v>
      </c>
      <c r="D126" s="117">
        <v>79.5</v>
      </c>
      <c r="E126" s="117">
        <v>77</v>
      </c>
      <c r="F126" s="117">
        <v>71.5</v>
      </c>
      <c r="G126" s="117">
        <v>96.3</v>
      </c>
      <c r="H126" s="117">
        <v>97.6</v>
      </c>
      <c r="I126" s="117">
        <v>95.3</v>
      </c>
      <c r="J126" s="117">
        <v>97.5</v>
      </c>
      <c r="K126" s="117">
        <v>92.9</v>
      </c>
      <c r="L126" s="117">
        <v>82</v>
      </c>
      <c r="M126" s="117">
        <v>87.9</v>
      </c>
      <c r="N126" s="117">
        <v>78.900000000000006</v>
      </c>
      <c r="O126" s="117">
        <v>71</v>
      </c>
      <c r="P126" s="117">
        <v>69.3</v>
      </c>
      <c r="Q126" s="117">
        <v>89.4</v>
      </c>
      <c r="R126" s="117">
        <v>81.5</v>
      </c>
      <c r="S126" s="117">
        <v>81.5</v>
      </c>
      <c r="T126" s="117">
        <v>91</v>
      </c>
      <c r="U126" s="117">
        <v>98</v>
      </c>
      <c r="V126" s="117">
        <v>77</v>
      </c>
      <c r="W126" s="117">
        <v>87</v>
      </c>
      <c r="X126" s="117">
        <v>89</v>
      </c>
      <c r="Y126" s="117">
        <v>81</v>
      </c>
      <c r="Z126" s="117">
        <v>78</v>
      </c>
      <c r="AA126" s="117">
        <v>78</v>
      </c>
      <c r="AB126" s="117">
        <v>68.400000000000006</v>
      </c>
      <c r="AC126" s="117">
        <v>71</v>
      </c>
      <c r="AD126" s="117">
        <v>95</v>
      </c>
      <c r="AE126" s="117">
        <v>73.98</v>
      </c>
      <c r="AF126" s="117">
        <v>69.099999999999994</v>
      </c>
      <c r="AG126" s="114"/>
      <c r="AH126" s="47">
        <f t="shared" si="33"/>
        <v>98</v>
      </c>
      <c r="AI126" s="48">
        <f t="shared" si="34"/>
        <v>68.400000000000006</v>
      </c>
    </row>
    <row r="127" spans="1:35" x14ac:dyDescent="0.25">
      <c r="A127" s="172" t="s">
        <v>587</v>
      </c>
      <c r="B127" s="117">
        <v>14.6</v>
      </c>
      <c r="C127" s="117">
        <v>17.5</v>
      </c>
      <c r="D127" s="117">
        <v>32.700000000000003</v>
      </c>
      <c r="E127" s="117">
        <v>28.7</v>
      </c>
      <c r="F127" s="117">
        <v>28.9</v>
      </c>
      <c r="G127" s="117">
        <v>31.7</v>
      </c>
      <c r="H127" s="117">
        <v>26.5</v>
      </c>
      <c r="I127" s="117">
        <v>24.6</v>
      </c>
      <c r="J127" s="117">
        <v>16</v>
      </c>
      <c r="K127" s="117">
        <v>13.3</v>
      </c>
      <c r="L127" s="117">
        <v>0</v>
      </c>
      <c r="M127" s="117">
        <v>-1</v>
      </c>
      <c r="N127" s="117">
        <v>-3.1</v>
      </c>
      <c r="O127" s="117">
        <v>-1.2</v>
      </c>
      <c r="P127" s="117">
        <v>5</v>
      </c>
      <c r="Q127" s="117">
        <v>10.8</v>
      </c>
      <c r="R127" s="117">
        <v>8.6999999999999993</v>
      </c>
      <c r="S127" s="117">
        <v>8.6999999999999993</v>
      </c>
      <c r="T127" s="117">
        <v>11</v>
      </c>
      <c r="U127" s="117">
        <v>9.4</v>
      </c>
      <c r="V127" s="117">
        <v>9</v>
      </c>
      <c r="W127" s="117">
        <v>11</v>
      </c>
      <c r="X127" s="117">
        <v>11</v>
      </c>
      <c r="Y127" s="117">
        <v>4</v>
      </c>
      <c r="Z127" s="117">
        <v>0</v>
      </c>
      <c r="AA127" s="117">
        <v>2</v>
      </c>
      <c r="AB127" s="117">
        <v>0</v>
      </c>
      <c r="AC127" s="117">
        <v>4.9000000000000004</v>
      </c>
      <c r="AD127" s="117">
        <v>5.6</v>
      </c>
      <c r="AE127" s="117">
        <v>10.8</v>
      </c>
      <c r="AF127" s="117">
        <v>14.8</v>
      </c>
      <c r="AG127" s="114"/>
      <c r="AH127" s="47">
        <f t="shared" si="33"/>
        <v>32.700000000000003</v>
      </c>
      <c r="AI127" s="48">
        <f t="shared" si="34"/>
        <v>-3.1</v>
      </c>
    </row>
    <row r="128" spans="1:35" x14ac:dyDescent="0.25">
      <c r="A128" s="173" t="s">
        <v>123</v>
      </c>
      <c r="B128" s="106">
        <v>-7.2</v>
      </c>
      <c r="C128" s="106">
        <v>-3</v>
      </c>
      <c r="D128" s="106">
        <v>-4.2</v>
      </c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 t="shared" si="33"/>
        <v>-3</v>
      </c>
      <c r="AI128" s="48">
        <f t="shared" si="34"/>
        <v>-7.2</v>
      </c>
    </row>
    <row r="129" spans="1:37" x14ac:dyDescent="0.25">
      <c r="A129" s="173" t="s">
        <v>260</v>
      </c>
      <c r="B129" s="106">
        <v>25.4</v>
      </c>
      <c r="C129" s="106">
        <v>25</v>
      </c>
      <c r="D129" s="106">
        <v>25.6</v>
      </c>
      <c r="E129" s="106">
        <v>25.2</v>
      </c>
      <c r="F129" s="106">
        <v>25.6</v>
      </c>
      <c r="G129" s="106">
        <v>24.8</v>
      </c>
      <c r="H129" s="106">
        <v>25</v>
      </c>
      <c r="I129" s="106">
        <v>26.6</v>
      </c>
      <c r="J129" s="106">
        <v>27</v>
      </c>
      <c r="K129" s="106">
        <v>11.7</v>
      </c>
      <c r="L129" s="106">
        <v>12.3</v>
      </c>
      <c r="M129" s="106">
        <v>12.2</v>
      </c>
      <c r="N129" s="106">
        <v>12.1</v>
      </c>
      <c r="O129" s="106">
        <v>12</v>
      </c>
      <c r="P129" s="106">
        <v>12.3</v>
      </c>
      <c r="Q129" s="106">
        <v>22.9</v>
      </c>
      <c r="R129" s="106">
        <v>25.9</v>
      </c>
      <c r="S129" s="106">
        <v>25.9</v>
      </c>
      <c r="T129" s="106">
        <v>20.3</v>
      </c>
      <c r="U129" s="106">
        <v>21.6</v>
      </c>
      <c r="V129" s="106">
        <v>12</v>
      </c>
      <c r="W129" s="106">
        <v>12</v>
      </c>
      <c r="X129" s="106">
        <v>12</v>
      </c>
      <c r="Y129" s="106">
        <v>13</v>
      </c>
      <c r="Z129" s="106">
        <v>12.1</v>
      </c>
      <c r="AA129" s="106">
        <v>12</v>
      </c>
      <c r="AB129" s="106">
        <v>10.4</v>
      </c>
      <c r="AC129" s="106">
        <v>9.8000000000000007</v>
      </c>
      <c r="AD129" s="106">
        <v>9.8000000000000007</v>
      </c>
      <c r="AE129" s="106">
        <v>20.5</v>
      </c>
      <c r="AF129" s="106">
        <v>20</v>
      </c>
      <c r="AG129" s="114"/>
      <c r="AH129" s="47">
        <f t="shared" si="33"/>
        <v>27</v>
      </c>
      <c r="AI129" s="48">
        <f t="shared" si="34"/>
        <v>9.8000000000000007</v>
      </c>
    </row>
    <row r="130" spans="1:37" ht="15.75" thickBot="1" x14ac:dyDescent="0.3">
      <c r="A130" s="173" t="s">
        <v>257</v>
      </c>
      <c r="B130" s="106">
        <v>90.4</v>
      </c>
      <c r="C130" s="106">
        <v>84</v>
      </c>
      <c r="D130" s="106">
        <v>80.8</v>
      </c>
      <c r="E130" s="106">
        <v>81.5</v>
      </c>
      <c r="F130" s="106">
        <v>75.3</v>
      </c>
      <c r="G130" s="106">
        <v>80.900000000000006</v>
      </c>
      <c r="H130" s="106">
        <v>89.1</v>
      </c>
      <c r="I130" s="106">
        <v>99.7</v>
      </c>
      <c r="J130" s="106">
        <v>103.2</v>
      </c>
      <c r="K130" s="106">
        <v>92.7</v>
      </c>
      <c r="L130" s="106">
        <v>97.6</v>
      </c>
      <c r="M130" s="106">
        <v>84.7</v>
      </c>
      <c r="N130" s="106">
        <v>79</v>
      </c>
      <c r="O130" s="106">
        <v>87.7</v>
      </c>
      <c r="P130" s="106">
        <v>111.9</v>
      </c>
      <c r="Q130" s="106">
        <v>114.9</v>
      </c>
      <c r="R130" s="106">
        <v>99.8</v>
      </c>
      <c r="S130" s="106">
        <v>99.8</v>
      </c>
      <c r="T130" s="106">
        <v>112</v>
      </c>
      <c r="U130" s="106">
        <v>109</v>
      </c>
      <c r="V130" s="106">
        <v>93</v>
      </c>
      <c r="W130" s="106">
        <v>101</v>
      </c>
      <c r="X130" s="106">
        <v>117</v>
      </c>
      <c r="Y130" s="106">
        <v>114</v>
      </c>
      <c r="Z130" s="106">
        <v>94</v>
      </c>
      <c r="AA130" s="106">
        <v>103</v>
      </c>
      <c r="AB130" s="106">
        <v>96</v>
      </c>
      <c r="AC130" s="106">
        <v>94.7</v>
      </c>
      <c r="AD130" s="106">
        <v>106.7</v>
      </c>
      <c r="AE130" s="106">
        <v>101.8</v>
      </c>
      <c r="AF130" s="106">
        <v>102.4</v>
      </c>
      <c r="AG130" s="114"/>
      <c r="AH130" s="47">
        <f t="shared" si="33"/>
        <v>117</v>
      </c>
      <c r="AI130" s="48">
        <f t="shared" si="34"/>
        <v>75.3</v>
      </c>
    </row>
    <row r="131" spans="1:37" x14ac:dyDescent="0.25">
      <c r="A131" s="144" t="s">
        <v>237</v>
      </c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43"/>
      <c r="AH131" s="47"/>
      <c r="AI131" s="48"/>
    </row>
    <row r="132" spans="1:37" x14ac:dyDescent="0.25">
      <c r="A132" s="185" t="s">
        <v>367</v>
      </c>
      <c r="B132" s="117">
        <v>1984.8</v>
      </c>
      <c r="C132" s="117">
        <v>1985.02</v>
      </c>
      <c r="D132" s="117">
        <v>1985.25</v>
      </c>
      <c r="E132" s="117">
        <v>1985.48</v>
      </c>
      <c r="F132" s="117">
        <v>1985.68</v>
      </c>
      <c r="G132" s="117">
        <v>1985.9</v>
      </c>
      <c r="H132" s="117">
        <v>1986</v>
      </c>
      <c r="I132" s="117">
        <v>1986</v>
      </c>
      <c r="J132" s="117"/>
      <c r="K132" s="117">
        <v>1985.9</v>
      </c>
      <c r="L132" s="117"/>
      <c r="M132" s="117">
        <v>1985.7</v>
      </c>
      <c r="N132" s="117">
        <v>1985.43</v>
      </c>
      <c r="O132" s="117">
        <v>1985.38</v>
      </c>
      <c r="P132" s="117">
        <v>1985.41</v>
      </c>
      <c r="Q132" s="117">
        <v>1985.48</v>
      </c>
      <c r="R132" s="117"/>
      <c r="S132" s="117">
        <v>1985.44</v>
      </c>
      <c r="T132" s="226">
        <v>1985.49</v>
      </c>
      <c r="U132" s="117">
        <v>1985.35</v>
      </c>
      <c r="V132" s="117" t="s">
        <v>253</v>
      </c>
      <c r="W132" s="117">
        <v>1985.15</v>
      </c>
      <c r="X132" s="117">
        <v>1985</v>
      </c>
      <c r="Y132" s="117"/>
      <c r="Z132" s="117">
        <v>1984.62</v>
      </c>
      <c r="AA132" s="117">
        <v>1984.45</v>
      </c>
      <c r="AB132" s="117">
        <v>1984.25</v>
      </c>
      <c r="AC132" s="117"/>
      <c r="AD132" s="117">
        <v>1984.22</v>
      </c>
      <c r="AE132" s="117">
        <v>1984.3</v>
      </c>
      <c r="AF132" s="117">
        <v>1984.5</v>
      </c>
      <c r="AG132" s="149"/>
      <c r="AH132" s="47"/>
      <c r="AI132" s="48"/>
    </row>
    <row r="133" spans="1:37" x14ac:dyDescent="0.25">
      <c r="A133" s="185" t="s">
        <v>238</v>
      </c>
      <c r="B133" s="117">
        <v>520.66</v>
      </c>
      <c r="C133" s="117">
        <v>521.04</v>
      </c>
      <c r="D133" s="117">
        <v>521.4</v>
      </c>
      <c r="E133" s="117">
        <v>521.72</v>
      </c>
      <c r="F133" s="117">
        <v>522.04999999999995</v>
      </c>
      <c r="G133" s="117">
        <v>522.37</v>
      </c>
      <c r="H133" s="117"/>
      <c r="I133" s="117">
        <v>522.55999999999995</v>
      </c>
      <c r="J133" s="117"/>
      <c r="K133" s="117">
        <v>522.55999999999995</v>
      </c>
      <c r="L133" s="117"/>
      <c r="M133" s="117">
        <v>522.35</v>
      </c>
      <c r="N133" s="117">
        <v>522.05999999999995</v>
      </c>
      <c r="O133" s="117">
        <v>521.84</v>
      </c>
      <c r="P133" s="117">
        <v>521.78</v>
      </c>
      <c r="Q133" s="117">
        <v>521.75</v>
      </c>
      <c r="R133" s="117">
        <v>521.70000000000005</v>
      </c>
      <c r="S133" s="117">
        <v>521.70000000000005</v>
      </c>
      <c r="T133" s="226">
        <v>521.70000000000005</v>
      </c>
      <c r="U133" s="117">
        <v>521.66</v>
      </c>
      <c r="V133" s="117"/>
      <c r="W133" s="117">
        <v>521.62</v>
      </c>
      <c r="X133" s="117"/>
      <c r="Y133" s="117"/>
      <c r="Z133" s="117">
        <v>521.44000000000005</v>
      </c>
      <c r="AA133" s="117">
        <v>521.44000000000005</v>
      </c>
      <c r="AB133" s="117">
        <v>521.09</v>
      </c>
      <c r="AC133" s="117"/>
      <c r="AD133" s="117">
        <v>521</v>
      </c>
      <c r="AE133" s="117">
        <v>521.02</v>
      </c>
      <c r="AF133" s="117">
        <v>521.12</v>
      </c>
      <c r="AG133" s="149"/>
      <c r="AH133" s="47"/>
      <c r="AI133" s="48"/>
    </row>
    <row r="134" spans="1:37" x14ac:dyDescent="0.25">
      <c r="A134" s="185" t="s">
        <v>239</v>
      </c>
      <c r="B134" s="117">
        <v>623.41999999999996</v>
      </c>
      <c r="C134" s="117">
        <v>623.80999999999995</v>
      </c>
      <c r="D134" s="117">
        <v>624.16</v>
      </c>
      <c r="E134" s="117">
        <v>624.48</v>
      </c>
      <c r="F134" s="117">
        <v>624.85</v>
      </c>
      <c r="G134" s="117">
        <v>625.14</v>
      </c>
      <c r="H134" s="117"/>
      <c r="I134" s="117">
        <v>625.21</v>
      </c>
      <c r="J134" s="117"/>
      <c r="K134" s="117">
        <v>625.03</v>
      </c>
      <c r="L134" s="117"/>
      <c r="M134" s="117">
        <v>624.72</v>
      </c>
      <c r="N134" s="117">
        <v>624.41999999999996</v>
      </c>
      <c r="O134" s="117">
        <v>624.20000000000005</v>
      </c>
      <c r="P134" s="117">
        <v>623.78</v>
      </c>
      <c r="Q134" s="117">
        <v>623.61</v>
      </c>
      <c r="R134" s="117">
        <v>623.28</v>
      </c>
      <c r="S134" s="117">
        <v>622.99</v>
      </c>
      <c r="T134" s="226">
        <v>622.64</v>
      </c>
      <c r="U134" s="117">
        <v>622.54</v>
      </c>
      <c r="V134" s="117">
        <v>622.4</v>
      </c>
      <c r="W134" s="117">
        <v>622.46</v>
      </c>
      <c r="X134" s="117">
        <v>622.38</v>
      </c>
      <c r="Y134" s="117">
        <v>622.1</v>
      </c>
      <c r="Z134" s="117">
        <v>621.69000000000005</v>
      </c>
      <c r="AA134" s="117">
        <v>621.05999999999995</v>
      </c>
      <c r="AB134" s="117">
        <v>621.01</v>
      </c>
      <c r="AC134" s="117"/>
      <c r="AD134" s="117">
        <v>621.24</v>
      </c>
      <c r="AE134" s="117">
        <v>621.66</v>
      </c>
      <c r="AF134" s="117">
        <v>622.41</v>
      </c>
      <c r="AG134" s="149"/>
      <c r="AH134" s="47"/>
      <c r="AI134" s="48"/>
    </row>
    <row r="135" spans="1:37" x14ac:dyDescent="0.25">
      <c r="A135" s="185" t="s">
        <v>240</v>
      </c>
      <c r="B135" s="117">
        <v>335.62</v>
      </c>
      <c r="C135" s="117">
        <v>336.24</v>
      </c>
      <c r="D135" s="117">
        <v>336.72</v>
      </c>
      <c r="E135" s="117">
        <v>337.08</v>
      </c>
      <c r="F135" s="117">
        <v>337.32</v>
      </c>
      <c r="G135" s="117">
        <v>337.55</v>
      </c>
      <c r="H135" s="117"/>
      <c r="I135" s="117">
        <v>337.51</v>
      </c>
      <c r="J135" s="117"/>
      <c r="K135" s="117">
        <v>337.38</v>
      </c>
      <c r="L135" s="117"/>
      <c r="M135" s="117">
        <v>337.04</v>
      </c>
      <c r="N135" s="117">
        <v>336.64</v>
      </c>
      <c r="O135" s="117">
        <v>336.3</v>
      </c>
      <c r="P135" s="117">
        <v>335.96</v>
      </c>
      <c r="Q135" s="117">
        <v>335.58</v>
      </c>
      <c r="R135" s="117">
        <v>335.33</v>
      </c>
      <c r="S135" s="117">
        <v>335.34</v>
      </c>
      <c r="T135" s="226">
        <v>335.34</v>
      </c>
      <c r="U135" s="117">
        <v>335.36</v>
      </c>
      <c r="V135" s="117">
        <v>335.41</v>
      </c>
      <c r="W135" s="117">
        <v>335.48</v>
      </c>
      <c r="X135" s="117">
        <v>335.55</v>
      </c>
      <c r="Y135" s="117">
        <v>335.48</v>
      </c>
      <c r="Z135" s="117">
        <v>335.42</v>
      </c>
      <c r="AA135" s="117">
        <v>335.39</v>
      </c>
      <c r="AB135" s="117">
        <v>335.38</v>
      </c>
      <c r="AC135" s="117"/>
      <c r="AD135" s="117">
        <v>335.42</v>
      </c>
      <c r="AE135" s="117">
        <v>335.47</v>
      </c>
      <c r="AF135" s="117">
        <v>335.56</v>
      </c>
      <c r="AG135" s="149"/>
      <c r="AH135" s="47"/>
      <c r="AI135" s="48"/>
    </row>
    <row r="136" spans="1:37" x14ac:dyDescent="0.25">
      <c r="A136" s="185" t="s">
        <v>384</v>
      </c>
      <c r="B136" s="117">
        <v>885.5</v>
      </c>
      <c r="C136" s="117">
        <v>885.8</v>
      </c>
      <c r="D136" s="117">
        <v>886.3</v>
      </c>
      <c r="E136" s="117">
        <v>886.8</v>
      </c>
      <c r="F136" s="117">
        <v>887.2</v>
      </c>
      <c r="G136" s="117">
        <v>887.3</v>
      </c>
      <c r="H136" s="117"/>
      <c r="I136" s="117">
        <v>887.4</v>
      </c>
      <c r="J136" s="117"/>
      <c r="K136" s="117">
        <v>887.2</v>
      </c>
      <c r="L136" s="117"/>
      <c r="M136" s="117">
        <v>886.4</v>
      </c>
      <c r="N136" s="117">
        <v>885.9</v>
      </c>
      <c r="O136" s="117">
        <v>885.7</v>
      </c>
      <c r="P136" s="117">
        <v>885.6</v>
      </c>
      <c r="Q136" s="117">
        <v>885.4</v>
      </c>
      <c r="R136" s="117">
        <v>885.1</v>
      </c>
      <c r="S136" s="117">
        <v>884.7</v>
      </c>
      <c r="T136" s="226">
        <v>884.5</v>
      </c>
      <c r="U136" s="117">
        <v>884.7</v>
      </c>
      <c r="V136" s="117">
        <v>885.2</v>
      </c>
      <c r="W136" s="117">
        <v>885.6</v>
      </c>
      <c r="X136" s="117">
        <v>885.8</v>
      </c>
      <c r="Y136" s="117"/>
      <c r="Z136" s="117">
        <v>884.9</v>
      </c>
      <c r="AA136" s="117">
        <v>883.8</v>
      </c>
      <c r="AB136" s="117">
        <v>883.1</v>
      </c>
      <c r="AC136" s="117"/>
      <c r="AD136" s="117">
        <v>882.2</v>
      </c>
      <c r="AE136" s="117">
        <v>882.4</v>
      </c>
      <c r="AF136" s="117">
        <v>883.3</v>
      </c>
      <c r="AG136" s="149"/>
      <c r="AH136" s="47"/>
      <c r="AI136" s="48"/>
    </row>
    <row r="137" spans="1:37" x14ac:dyDescent="0.25">
      <c r="A137" s="185" t="s">
        <v>241</v>
      </c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>
        <f>C132-B132</f>
        <v>0.22000000000002728</v>
      </c>
      <c r="D139" s="124">
        <f t="shared" ref="D139:I139" si="98">D132-C132</f>
        <v>0.23000000000001819</v>
      </c>
      <c r="E139" s="124">
        <f t="shared" si="98"/>
        <v>0.23000000000001819</v>
      </c>
      <c r="F139" s="124">
        <f t="shared" si="98"/>
        <v>0.20000000000004547</v>
      </c>
      <c r="G139" s="124">
        <f t="shared" si="98"/>
        <v>0.22000000000002728</v>
      </c>
      <c r="H139" s="124">
        <f t="shared" si="98"/>
        <v>9.9999999999909051E-2</v>
      </c>
      <c r="I139" s="124">
        <f t="shared" si="98"/>
        <v>0</v>
      </c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>
        <f>C133-B133</f>
        <v>0.37999999999999545</v>
      </c>
      <c r="D140" s="124">
        <f t="shared" ref="D140:G140" si="99">D133-C133</f>
        <v>0.36000000000001364</v>
      </c>
      <c r="E140" s="124">
        <f t="shared" si="99"/>
        <v>0.32000000000005002</v>
      </c>
      <c r="F140" s="124">
        <f t="shared" si="99"/>
        <v>0.32999999999992724</v>
      </c>
      <c r="G140" s="124">
        <f t="shared" si="99"/>
        <v>0.32000000000005002</v>
      </c>
      <c r="H140" s="124"/>
      <c r="I140" s="124">
        <f>I133-G133</f>
        <v>0.18999999999994088</v>
      </c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>
        <f>C134-B134</f>
        <v>0.38999999999998636</v>
      </c>
      <c r="D141" s="124">
        <f t="shared" ref="D141:G141" si="100">D134-C134</f>
        <v>0.35000000000002274</v>
      </c>
      <c r="E141" s="124">
        <f t="shared" si="100"/>
        <v>0.32000000000005002</v>
      </c>
      <c r="F141" s="124">
        <f t="shared" si="100"/>
        <v>0.37000000000000455</v>
      </c>
      <c r="G141" s="124">
        <f t="shared" si="100"/>
        <v>0.28999999999996362</v>
      </c>
      <c r="H141" s="124"/>
      <c r="I141" s="124">
        <f>I134-G134</f>
        <v>7.0000000000050022E-2</v>
      </c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>
        <f>C135-B135</f>
        <v>0.62000000000000455</v>
      </c>
      <c r="D142" s="124">
        <f t="shared" ref="D142:G142" si="101">D135-C135</f>
        <v>0.48000000000001819</v>
      </c>
      <c r="E142" s="124">
        <f t="shared" si="101"/>
        <v>0.3599999999999568</v>
      </c>
      <c r="F142" s="124">
        <f t="shared" si="101"/>
        <v>0.24000000000000909</v>
      </c>
      <c r="G142" s="124">
        <f t="shared" si="101"/>
        <v>0.23000000000001819</v>
      </c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>
        <f>E141/E142*100</f>
        <v>88.888888888913456</v>
      </c>
      <c r="F143" s="123"/>
      <c r="G143" s="123"/>
      <c r="H143" s="123">
        <f>I133-'5'!AB133</f>
        <v>1.5599999999999454</v>
      </c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>
        <f>I134-623.16</f>
        <v>2.0500000000000682</v>
      </c>
      <c r="H144" s="123">
        <f>I134-'5'!AD134</f>
        <v>2.32000000000005</v>
      </c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02">SUM(B139:B243)</f>
        <v>0</v>
      </c>
      <c r="C244" s="134">
        <f t="shared" si="102"/>
        <v>1.6100000000000136</v>
      </c>
      <c r="D244" s="134">
        <f t="shared" si="102"/>
        <v>1.4200000000000728</v>
      </c>
      <c r="E244" s="134">
        <f t="shared" si="102"/>
        <v>90.118888888913531</v>
      </c>
      <c r="F244" s="134">
        <f t="shared" si="102"/>
        <v>1.1399999999999864</v>
      </c>
      <c r="G244" s="134">
        <f t="shared" si="102"/>
        <v>3.1100000000001273</v>
      </c>
      <c r="H244" s="134">
        <f t="shared" si="102"/>
        <v>3.9799999999999045</v>
      </c>
      <c r="I244" s="134">
        <f t="shared" si="102"/>
        <v>0.25999999999999091</v>
      </c>
      <c r="J244" s="134">
        <f t="shared" si="102"/>
        <v>0</v>
      </c>
      <c r="K244" s="134">
        <f t="shared" si="102"/>
        <v>0</v>
      </c>
      <c r="L244" s="134">
        <f t="shared" si="102"/>
        <v>0</v>
      </c>
      <c r="M244" s="134">
        <f t="shared" si="102"/>
        <v>0</v>
      </c>
      <c r="N244" s="134">
        <f t="shared" si="102"/>
        <v>0</v>
      </c>
      <c r="O244" s="134">
        <f t="shared" si="102"/>
        <v>0</v>
      </c>
      <c r="P244" s="134">
        <f t="shared" si="102"/>
        <v>0</v>
      </c>
      <c r="Q244" s="134">
        <f t="shared" si="102"/>
        <v>0</v>
      </c>
      <c r="R244" s="134">
        <f t="shared" si="102"/>
        <v>0</v>
      </c>
      <c r="S244" s="134">
        <f t="shared" si="102"/>
        <v>0</v>
      </c>
      <c r="T244" s="134">
        <f t="shared" si="102"/>
        <v>0</v>
      </c>
      <c r="U244" s="134">
        <f t="shared" si="102"/>
        <v>0</v>
      </c>
      <c r="V244" s="134">
        <f t="shared" si="102"/>
        <v>0</v>
      </c>
      <c r="W244" s="134">
        <f t="shared" si="102"/>
        <v>0</v>
      </c>
      <c r="X244" s="134">
        <f t="shared" si="102"/>
        <v>0</v>
      </c>
      <c r="Y244" s="134">
        <f t="shared" si="102"/>
        <v>0</v>
      </c>
      <c r="Z244" s="134">
        <f t="shared" si="102"/>
        <v>0</v>
      </c>
      <c r="AA244" s="134">
        <f t="shared" si="102"/>
        <v>0</v>
      </c>
      <c r="AB244" s="134">
        <f t="shared" si="102"/>
        <v>0</v>
      </c>
      <c r="AC244" s="134">
        <f t="shared" si="102"/>
        <v>0</v>
      </c>
      <c r="AD244" s="134">
        <f t="shared" si="102"/>
        <v>0</v>
      </c>
      <c r="AE244" s="134">
        <f t="shared" si="102"/>
        <v>0</v>
      </c>
      <c r="AF244" s="135">
        <f t="shared" si="102"/>
        <v>0</v>
      </c>
      <c r="AG244" s="136">
        <f t="shared" si="10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03">AF246</f>
        <v>0.3</v>
      </c>
      <c r="C246" s="138">
        <v>0.3</v>
      </c>
      <c r="D246" s="138">
        <f t="shared" ref="D246:S251" si="104">C246</f>
        <v>0.3</v>
      </c>
      <c r="E246" s="138">
        <f t="shared" si="104"/>
        <v>0.3</v>
      </c>
      <c r="F246" s="138">
        <f t="shared" si="104"/>
        <v>0.3</v>
      </c>
      <c r="G246" s="138">
        <f t="shared" si="104"/>
        <v>0.3</v>
      </c>
      <c r="H246" s="138">
        <f t="shared" si="104"/>
        <v>0.3</v>
      </c>
      <c r="I246" s="138">
        <f t="shared" si="104"/>
        <v>0.3</v>
      </c>
      <c r="J246" s="138">
        <f t="shared" si="104"/>
        <v>0.3</v>
      </c>
      <c r="K246" s="138">
        <f t="shared" si="104"/>
        <v>0.3</v>
      </c>
      <c r="L246" s="138">
        <f t="shared" si="104"/>
        <v>0.3</v>
      </c>
      <c r="M246" s="138">
        <f t="shared" si="104"/>
        <v>0.3</v>
      </c>
      <c r="N246" s="138">
        <f t="shared" si="104"/>
        <v>0.3</v>
      </c>
      <c r="O246" s="138">
        <f t="shared" si="104"/>
        <v>0.3</v>
      </c>
      <c r="P246" s="138">
        <f t="shared" si="104"/>
        <v>0.3</v>
      </c>
      <c r="Q246" s="138">
        <f t="shared" si="104"/>
        <v>0.3</v>
      </c>
      <c r="R246" s="138">
        <f t="shared" si="104"/>
        <v>0.3</v>
      </c>
      <c r="S246" s="138">
        <f t="shared" si="104"/>
        <v>0.3</v>
      </c>
      <c r="T246" s="138">
        <f t="shared" ref="T246:AF251" si="105">S246</f>
        <v>0.3</v>
      </c>
      <c r="U246" s="138">
        <f t="shared" si="105"/>
        <v>0.3</v>
      </c>
      <c r="V246" s="138">
        <f t="shared" si="105"/>
        <v>0.3</v>
      </c>
      <c r="W246" s="138">
        <f t="shared" si="105"/>
        <v>0.3</v>
      </c>
      <c r="X246" s="138">
        <f t="shared" si="105"/>
        <v>0.3</v>
      </c>
      <c r="Y246" s="138">
        <f t="shared" si="105"/>
        <v>0.3</v>
      </c>
      <c r="Z246" s="138">
        <f t="shared" si="105"/>
        <v>0.3</v>
      </c>
      <c r="AA246" s="138">
        <f t="shared" si="105"/>
        <v>0.3</v>
      </c>
      <c r="AB246" s="138">
        <f t="shared" si="105"/>
        <v>0.3</v>
      </c>
      <c r="AC246" s="138">
        <f t="shared" si="105"/>
        <v>0.3</v>
      </c>
      <c r="AD246" s="138">
        <f t="shared" si="105"/>
        <v>0.3</v>
      </c>
      <c r="AE246" s="138">
        <f t="shared" si="105"/>
        <v>0.3</v>
      </c>
      <c r="AF246" s="138">
        <f t="shared" si="10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03"/>
        <v>0.4</v>
      </c>
      <c r="C247" s="126">
        <v>0.4</v>
      </c>
      <c r="D247" s="126">
        <f t="shared" si="104"/>
        <v>0.4</v>
      </c>
      <c r="E247" s="126">
        <f t="shared" si="104"/>
        <v>0.4</v>
      </c>
      <c r="F247" s="126">
        <f t="shared" si="104"/>
        <v>0.4</v>
      </c>
      <c r="G247" s="126">
        <f t="shared" si="104"/>
        <v>0.4</v>
      </c>
      <c r="H247" s="126">
        <f t="shared" si="104"/>
        <v>0.4</v>
      </c>
      <c r="I247" s="126">
        <f t="shared" si="104"/>
        <v>0.4</v>
      </c>
      <c r="J247" s="126">
        <f t="shared" si="104"/>
        <v>0.4</v>
      </c>
      <c r="K247" s="126">
        <f t="shared" si="104"/>
        <v>0.4</v>
      </c>
      <c r="L247" s="126">
        <f t="shared" si="104"/>
        <v>0.4</v>
      </c>
      <c r="M247" s="126">
        <f t="shared" si="104"/>
        <v>0.4</v>
      </c>
      <c r="N247" s="126">
        <f t="shared" si="104"/>
        <v>0.4</v>
      </c>
      <c r="O247" s="126">
        <f t="shared" si="104"/>
        <v>0.4</v>
      </c>
      <c r="P247" s="126">
        <f t="shared" si="104"/>
        <v>0.4</v>
      </c>
      <c r="Q247" s="126">
        <f t="shared" si="104"/>
        <v>0.4</v>
      </c>
      <c r="R247" s="126">
        <f t="shared" si="104"/>
        <v>0.4</v>
      </c>
      <c r="S247" s="126">
        <f t="shared" si="104"/>
        <v>0.4</v>
      </c>
      <c r="T247" s="126">
        <f t="shared" si="105"/>
        <v>0.4</v>
      </c>
      <c r="U247" s="126">
        <f t="shared" si="105"/>
        <v>0.4</v>
      </c>
      <c r="V247" s="126">
        <f t="shared" si="105"/>
        <v>0.4</v>
      </c>
      <c r="W247" s="126">
        <f t="shared" si="105"/>
        <v>0.4</v>
      </c>
      <c r="X247" s="126">
        <f t="shared" si="105"/>
        <v>0.4</v>
      </c>
      <c r="Y247" s="126">
        <f t="shared" si="105"/>
        <v>0.4</v>
      </c>
      <c r="Z247" s="126">
        <f t="shared" si="105"/>
        <v>0.4</v>
      </c>
      <c r="AA247" s="126">
        <f t="shared" si="105"/>
        <v>0.4</v>
      </c>
      <c r="AB247" s="126">
        <f t="shared" si="105"/>
        <v>0.4</v>
      </c>
      <c r="AC247" s="126">
        <f t="shared" si="105"/>
        <v>0.4</v>
      </c>
      <c r="AD247" s="126">
        <f t="shared" si="105"/>
        <v>0.4</v>
      </c>
      <c r="AE247" s="126">
        <f t="shared" si="105"/>
        <v>0.4</v>
      </c>
      <c r="AF247" s="126">
        <f t="shared" si="10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03"/>
        <v>1.5</v>
      </c>
      <c r="C248" s="126">
        <v>1.5</v>
      </c>
      <c r="D248" s="126">
        <f t="shared" si="104"/>
        <v>1.5</v>
      </c>
      <c r="E248" s="126">
        <f t="shared" si="104"/>
        <v>1.5</v>
      </c>
      <c r="F248" s="126">
        <f t="shared" si="104"/>
        <v>1.5</v>
      </c>
      <c r="G248" s="126">
        <f t="shared" si="104"/>
        <v>1.5</v>
      </c>
      <c r="H248" s="126">
        <f t="shared" si="104"/>
        <v>1.5</v>
      </c>
      <c r="I248" s="126">
        <f t="shared" si="104"/>
        <v>1.5</v>
      </c>
      <c r="J248" s="126">
        <f t="shared" si="104"/>
        <v>1.5</v>
      </c>
      <c r="K248" s="126">
        <f t="shared" si="104"/>
        <v>1.5</v>
      </c>
      <c r="L248" s="126">
        <f t="shared" si="104"/>
        <v>1.5</v>
      </c>
      <c r="M248" s="126">
        <f t="shared" si="104"/>
        <v>1.5</v>
      </c>
      <c r="N248" s="126">
        <f t="shared" si="104"/>
        <v>1.5</v>
      </c>
      <c r="O248" s="126">
        <f t="shared" si="104"/>
        <v>1.5</v>
      </c>
      <c r="P248" s="126">
        <f t="shared" si="104"/>
        <v>1.5</v>
      </c>
      <c r="Q248" s="126">
        <f t="shared" si="104"/>
        <v>1.5</v>
      </c>
      <c r="R248" s="126">
        <f t="shared" si="104"/>
        <v>1.5</v>
      </c>
      <c r="S248" s="126">
        <f t="shared" si="104"/>
        <v>1.5</v>
      </c>
      <c r="T248" s="126">
        <f t="shared" si="105"/>
        <v>1.5</v>
      </c>
      <c r="U248" s="126">
        <f t="shared" si="105"/>
        <v>1.5</v>
      </c>
      <c r="V248" s="126">
        <f t="shared" si="105"/>
        <v>1.5</v>
      </c>
      <c r="W248" s="126">
        <f t="shared" si="105"/>
        <v>1.5</v>
      </c>
      <c r="X248" s="126">
        <f t="shared" si="105"/>
        <v>1.5</v>
      </c>
      <c r="Y248" s="126">
        <f t="shared" si="105"/>
        <v>1.5</v>
      </c>
      <c r="Z248" s="126">
        <f t="shared" si="105"/>
        <v>1.5</v>
      </c>
      <c r="AA248" s="126">
        <f t="shared" si="105"/>
        <v>1.5</v>
      </c>
      <c r="AB248" s="126">
        <f t="shared" si="105"/>
        <v>1.5</v>
      </c>
      <c r="AC248" s="126">
        <f t="shared" si="105"/>
        <v>1.5</v>
      </c>
      <c r="AD248" s="126">
        <f t="shared" si="105"/>
        <v>1.5</v>
      </c>
      <c r="AE248" s="126">
        <f t="shared" si="105"/>
        <v>1.5</v>
      </c>
      <c r="AF248" s="126">
        <f t="shared" si="10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03"/>
        <v>0.3</v>
      </c>
      <c r="C249" s="126">
        <v>0.3</v>
      </c>
      <c r="D249" s="126">
        <f t="shared" si="104"/>
        <v>0.3</v>
      </c>
      <c r="E249" s="126">
        <f t="shared" si="104"/>
        <v>0.3</v>
      </c>
      <c r="F249" s="126">
        <f t="shared" si="104"/>
        <v>0.3</v>
      </c>
      <c r="G249" s="126">
        <f t="shared" si="104"/>
        <v>0.3</v>
      </c>
      <c r="H249" s="126">
        <f t="shared" si="104"/>
        <v>0.3</v>
      </c>
      <c r="I249" s="126">
        <f t="shared" si="104"/>
        <v>0.3</v>
      </c>
      <c r="J249" s="126">
        <f t="shared" si="104"/>
        <v>0.3</v>
      </c>
      <c r="K249" s="126">
        <f t="shared" si="104"/>
        <v>0.3</v>
      </c>
      <c r="L249" s="126">
        <f t="shared" si="104"/>
        <v>0.3</v>
      </c>
      <c r="M249" s="126">
        <f t="shared" si="104"/>
        <v>0.3</v>
      </c>
      <c r="N249" s="126">
        <f t="shared" si="104"/>
        <v>0.3</v>
      </c>
      <c r="O249" s="126">
        <f t="shared" si="104"/>
        <v>0.3</v>
      </c>
      <c r="P249" s="126">
        <f t="shared" si="104"/>
        <v>0.3</v>
      </c>
      <c r="Q249" s="126">
        <f t="shared" si="104"/>
        <v>0.3</v>
      </c>
      <c r="R249" s="126">
        <f t="shared" si="104"/>
        <v>0.3</v>
      </c>
      <c r="S249" s="126">
        <f t="shared" si="104"/>
        <v>0.3</v>
      </c>
      <c r="T249" s="126">
        <f t="shared" si="105"/>
        <v>0.3</v>
      </c>
      <c r="U249" s="126">
        <f t="shared" si="105"/>
        <v>0.3</v>
      </c>
      <c r="V249" s="126">
        <f t="shared" si="105"/>
        <v>0.3</v>
      </c>
      <c r="W249" s="126">
        <f t="shared" si="105"/>
        <v>0.3</v>
      </c>
      <c r="X249" s="126">
        <f t="shared" si="105"/>
        <v>0.3</v>
      </c>
      <c r="Y249" s="126">
        <f t="shared" si="105"/>
        <v>0.3</v>
      </c>
      <c r="Z249" s="126">
        <f t="shared" si="105"/>
        <v>0.3</v>
      </c>
      <c r="AA249" s="126">
        <f t="shared" si="105"/>
        <v>0.3</v>
      </c>
      <c r="AB249" s="126">
        <f t="shared" si="105"/>
        <v>0.3</v>
      </c>
      <c r="AC249" s="126">
        <f t="shared" si="105"/>
        <v>0.3</v>
      </c>
      <c r="AD249" s="126">
        <f t="shared" si="105"/>
        <v>0.3</v>
      </c>
      <c r="AE249" s="126">
        <f t="shared" si="105"/>
        <v>0.3</v>
      </c>
      <c r="AF249" s="126">
        <f t="shared" si="10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03"/>
        <v>0.4</v>
      </c>
      <c r="C250" s="126">
        <v>0.4</v>
      </c>
      <c r="D250" s="126">
        <f t="shared" si="104"/>
        <v>0.4</v>
      </c>
      <c r="E250" s="126">
        <f t="shared" si="104"/>
        <v>0.4</v>
      </c>
      <c r="F250" s="126">
        <f t="shared" si="104"/>
        <v>0.4</v>
      </c>
      <c r="G250" s="126">
        <f t="shared" si="104"/>
        <v>0.4</v>
      </c>
      <c r="H250" s="126">
        <f t="shared" si="104"/>
        <v>0.4</v>
      </c>
      <c r="I250" s="126">
        <f t="shared" si="104"/>
        <v>0.4</v>
      </c>
      <c r="J250" s="126">
        <f t="shared" si="104"/>
        <v>0.4</v>
      </c>
      <c r="K250" s="126">
        <f t="shared" si="104"/>
        <v>0.4</v>
      </c>
      <c r="L250" s="126">
        <f t="shared" si="104"/>
        <v>0.4</v>
      </c>
      <c r="M250" s="126">
        <f t="shared" si="104"/>
        <v>0.4</v>
      </c>
      <c r="N250" s="126">
        <f t="shared" si="104"/>
        <v>0.4</v>
      </c>
      <c r="O250" s="126">
        <f t="shared" si="104"/>
        <v>0.4</v>
      </c>
      <c r="P250" s="126">
        <f t="shared" si="104"/>
        <v>0.4</v>
      </c>
      <c r="Q250" s="126">
        <f t="shared" si="104"/>
        <v>0.4</v>
      </c>
      <c r="R250" s="126">
        <f t="shared" si="104"/>
        <v>0.4</v>
      </c>
      <c r="S250" s="126">
        <f t="shared" si="104"/>
        <v>0.4</v>
      </c>
      <c r="T250" s="126">
        <f t="shared" si="105"/>
        <v>0.4</v>
      </c>
      <c r="U250" s="126">
        <f t="shared" si="105"/>
        <v>0.4</v>
      </c>
      <c r="V250" s="126">
        <f t="shared" si="105"/>
        <v>0.4</v>
      </c>
      <c r="W250" s="126">
        <f t="shared" si="105"/>
        <v>0.4</v>
      </c>
      <c r="X250" s="126">
        <f t="shared" si="105"/>
        <v>0.4</v>
      </c>
      <c r="Y250" s="126">
        <f t="shared" si="105"/>
        <v>0.4</v>
      </c>
      <c r="Z250" s="126">
        <f t="shared" si="105"/>
        <v>0.4</v>
      </c>
      <c r="AA250" s="126">
        <f t="shared" si="105"/>
        <v>0.4</v>
      </c>
      <c r="AB250" s="126">
        <f t="shared" si="105"/>
        <v>0.4</v>
      </c>
      <c r="AC250" s="126">
        <f t="shared" si="105"/>
        <v>0.4</v>
      </c>
      <c r="AD250" s="126">
        <f t="shared" si="105"/>
        <v>0.4</v>
      </c>
      <c r="AE250" s="126">
        <f t="shared" si="105"/>
        <v>0.4</v>
      </c>
      <c r="AF250" s="126">
        <f t="shared" si="10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03"/>
        <v>0.64</v>
      </c>
      <c r="C251" s="130">
        <v>0.64</v>
      </c>
      <c r="D251" s="130">
        <f t="shared" si="104"/>
        <v>0.64</v>
      </c>
      <c r="E251" s="130">
        <f t="shared" si="104"/>
        <v>0.64</v>
      </c>
      <c r="F251" s="130">
        <f t="shared" si="104"/>
        <v>0.64</v>
      </c>
      <c r="G251" s="130">
        <f t="shared" si="104"/>
        <v>0.64</v>
      </c>
      <c r="H251" s="130">
        <f t="shared" si="104"/>
        <v>0.64</v>
      </c>
      <c r="I251" s="130">
        <f t="shared" si="104"/>
        <v>0.64</v>
      </c>
      <c r="J251" s="130">
        <f t="shared" si="104"/>
        <v>0.64</v>
      </c>
      <c r="K251" s="130">
        <f t="shared" si="104"/>
        <v>0.64</v>
      </c>
      <c r="L251" s="130">
        <f t="shared" si="104"/>
        <v>0.64</v>
      </c>
      <c r="M251" s="130">
        <f t="shared" si="104"/>
        <v>0.64</v>
      </c>
      <c r="N251" s="130">
        <f t="shared" si="104"/>
        <v>0.64</v>
      </c>
      <c r="O251" s="130">
        <f t="shared" si="104"/>
        <v>0.64</v>
      </c>
      <c r="P251" s="130">
        <f t="shared" si="104"/>
        <v>0.64</v>
      </c>
      <c r="Q251" s="130">
        <f t="shared" si="104"/>
        <v>0.64</v>
      </c>
      <c r="R251" s="130">
        <f t="shared" si="104"/>
        <v>0.64</v>
      </c>
      <c r="S251" s="130">
        <f t="shared" si="104"/>
        <v>0.64</v>
      </c>
      <c r="T251" s="130">
        <f t="shared" si="105"/>
        <v>0.64</v>
      </c>
      <c r="U251" s="130">
        <f t="shared" si="105"/>
        <v>0.64</v>
      </c>
      <c r="V251" s="130">
        <f t="shared" si="105"/>
        <v>0.64</v>
      </c>
      <c r="W251" s="130">
        <f t="shared" si="105"/>
        <v>0.64</v>
      </c>
      <c r="X251" s="130">
        <f t="shared" si="105"/>
        <v>0.64</v>
      </c>
      <c r="Y251" s="130">
        <f t="shared" si="105"/>
        <v>0.64</v>
      </c>
      <c r="Z251" s="130">
        <f t="shared" si="105"/>
        <v>0.64</v>
      </c>
      <c r="AA251" s="130">
        <f t="shared" si="105"/>
        <v>0.64</v>
      </c>
      <c r="AB251" s="130">
        <f t="shared" si="105"/>
        <v>0.64</v>
      </c>
      <c r="AC251" s="130">
        <f t="shared" si="105"/>
        <v>0.64</v>
      </c>
      <c r="AD251" s="130">
        <f t="shared" si="105"/>
        <v>0.64</v>
      </c>
      <c r="AE251" s="130">
        <f t="shared" si="105"/>
        <v>0.64</v>
      </c>
      <c r="AF251" s="130">
        <f t="shared" si="10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06">SUM(B246:B251)</f>
        <v>3.54</v>
      </c>
      <c r="C252" s="134">
        <f t="shared" si="106"/>
        <v>3.54</v>
      </c>
      <c r="D252" s="134">
        <f t="shared" si="106"/>
        <v>3.54</v>
      </c>
      <c r="E252" s="134">
        <f t="shared" si="106"/>
        <v>3.54</v>
      </c>
      <c r="F252" s="134">
        <f t="shared" si="106"/>
        <v>3.54</v>
      </c>
      <c r="G252" s="134">
        <f t="shared" si="106"/>
        <v>3.54</v>
      </c>
      <c r="H252" s="134">
        <f t="shared" si="106"/>
        <v>3.54</v>
      </c>
      <c r="I252" s="134">
        <f t="shared" si="106"/>
        <v>3.54</v>
      </c>
      <c r="J252" s="134">
        <f t="shared" si="106"/>
        <v>3.54</v>
      </c>
      <c r="K252" s="134">
        <f t="shared" si="106"/>
        <v>3.54</v>
      </c>
      <c r="L252" s="134">
        <f t="shared" si="106"/>
        <v>3.54</v>
      </c>
      <c r="M252" s="134">
        <f t="shared" si="106"/>
        <v>3.54</v>
      </c>
      <c r="N252" s="134">
        <f t="shared" si="106"/>
        <v>3.54</v>
      </c>
      <c r="O252" s="134">
        <f t="shared" si="106"/>
        <v>3.54</v>
      </c>
      <c r="P252" s="134">
        <f t="shared" si="106"/>
        <v>3.54</v>
      </c>
      <c r="Q252" s="134">
        <f t="shared" si="106"/>
        <v>3.54</v>
      </c>
      <c r="R252" s="134">
        <f t="shared" si="106"/>
        <v>3.54</v>
      </c>
      <c r="S252" s="134">
        <f t="shared" si="106"/>
        <v>3.54</v>
      </c>
      <c r="T252" s="134">
        <f t="shared" si="106"/>
        <v>3.54</v>
      </c>
      <c r="U252" s="134">
        <f t="shared" si="106"/>
        <v>3.54</v>
      </c>
      <c r="V252" s="134">
        <f t="shared" si="106"/>
        <v>3.54</v>
      </c>
      <c r="W252" s="134">
        <f t="shared" si="106"/>
        <v>3.54</v>
      </c>
      <c r="X252" s="134">
        <f t="shared" si="106"/>
        <v>3.54</v>
      </c>
      <c r="Y252" s="134">
        <f t="shared" si="106"/>
        <v>3.54</v>
      </c>
      <c r="Z252" s="134">
        <f t="shared" si="106"/>
        <v>3.54</v>
      </c>
      <c r="AA252" s="134">
        <f t="shared" si="106"/>
        <v>3.54</v>
      </c>
      <c r="AB252" s="134">
        <f t="shared" si="106"/>
        <v>3.54</v>
      </c>
      <c r="AC252" s="134">
        <f t="shared" si="106"/>
        <v>3.54</v>
      </c>
      <c r="AD252" s="134">
        <f t="shared" si="106"/>
        <v>3.54</v>
      </c>
      <c r="AE252" s="134">
        <f t="shared" si="106"/>
        <v>3.54</v>
      </c>
      <c r="AF252" s="134">
        <f t="shared" si="106"/>
        <v>3.54</v>
      </c>
      <c r="AG252" s="143">
        <f t="shared" si="10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1712.39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6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2080/10/6)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2080/10/6)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107">B99</f>
        <v>1167.0900000000001</v>
      </c>
      <c r="U261" s="165">
        <f t="shared" si="107"/>
        <v>1175.29</v>
      </c>
      <c r="V261" s="165">
        <f t="shared" si="107"/>
        <v>1097.0900000000001</v>
      </c>
      <c r="W261" s="165">
        <f t="shared" si="107"/>
        <v>1128.69</v>
      </c>
      <c r="X261" s="165">
        <f t="shared" si="107"/>
        <v>1154.19</v>
      </c>
      <c r="Y261" s="165">
        <f t="shared" si="107"/>
        <v>1197.0900000000001</v>
      </c>
      <c r="Z261" s="165">
        <f t="shared" si="107"/>
        <v>1306.067</v>
      </c>
      <c r="AA261" s="165">
        <f t="shared" si="107"/>
        <v>1395.19</v>
      </c>
      <c r="AB261" s="165">
        <f t="shared" si="107"/>
        <v>1480.79</v>
      </c>
      <c r="AC261" s="165">
        <f t="shared" si="107"/>
        <v>1440.0889999999999</v>
      </c>
      <c r="AD261" s="165">
        <f t="shared" si="107"/>
        <v>1425.29</v>
      </c>
      <c r="AE261" s="165">
        <f t="shared" si="107"/>
        <v>1712.39</v>
      </c>
      <c r="AF261" s="165">
        <f t="shared" si="107"/>
        <v>1610.89</v>
      </c>
      <c r="AG261" s="165">
        <f t="shared" si="107"/>
        <v>1497.09</v>
      </c>
      <c r="AH261" s="165">
        <f t="shared" si="107"/>
        <v>1395.3899999999999</v>
      </c>
      <c r="AI261" s="165">
        <f t="shared" si="107"/>
        <v>1487.69</v>
      </c>
      <c r="AJ261" s="165">
        <f t="shared" si="107"/>
        <v>1471.99</v>
      </c>
      <c r="AK261" s="165">
        <f t="shared" si="107"/>
        <v>1479.79</v>
      </c>
      <c r="AL261" s="165">
        <f t="shared" si="107"/>
        <v>1531.8899999999999</v>
      </c>
      <c r="AM261" s="165">
        <f t="shared" si="107"/>
        <v>1526.69</v>
      </c>
      <c r="AN261" s="165">
        <f t="shared" si="107"/>
        <v>1303.79</v>
      </c>
      <c r="AO261" s="165">
        <f t="shared" si="107"/>
        <v>1343.69</v>
      </c>
      <c r="AP261" s="165">
        <f t="shared" si="107"/>
        <v>1540.29</v>
      </c>
      <c r="AQ261" s="165">
        <f t="shared" si="107"/>
        <v>1804.9899999999998</v>
      </c>
      <c r="AR261" s="165">
        <f t="shared" si="107"/>
        <v>1751.95</v>
      </c>
      <c r="AS261" s="165">
        <f t="shared" si="107"/>
        <v>1721.09</v>
      </c>
      <c r="AT261" s="165">
        <f t="shared" si="107"/>
        <v>1548.37</v>
      </c>
      <c r="AU261" s="165">
        <f t="shared" si="107"/>
        <v>1442.5900000000001</v>
      </c>
      <c r="AV261" s="165">
        <f t="shared" si="107"/>
        <v>1340.0900000000001</v>
      </c>
      <c r="AW261" s="165">
        <f t="shared" si="107"/>
        <v>1146.19</v>
      </c>
      <c r="AX261" s="165">
        <f t="shared" si="107"/>
        <v>1242.69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08">C251</f>
        <v>0.64</v>
      </c>
      <c r="C282" s="168">
        <f t="shared" si="108"/>
        <v>0.64</v>
      </c>
      <c r="D282" s="168">
        <f t="shared" si="108"/>
        <v>0.64</v>
      </c>
      <c r="E282" s="168">
        <f t="shared" si="108"/>
        <v>0.64</v>
      </c>
      <c r="F282" s="168">
        <f t="shared" si="108"/>
        <v>0.64</v>
      </c>
      <c r="G282" s="168">
        <f t="shared" si="108"/>
        <v>0.64</v>
      </c>
      <c r="H282" s="168">
        <f t="shared" si="108"/>
        <v>0.64</v>
      </c>
      <c r="I282" s="168">
        <f t="shared" si="108"/>
        <v>0.64</v>
      </c>
      <c r="J282" s="168">
        <f t="shared" si="108"/>
        <v>0.64</v>
      </c>
      <c r="K282" s="168">
        <f t="shared" si="108"/>
        <v>0.64</v>
      </c>
      <c r="L282" s="168">
        <f t="shared" si="108"/>
        <v>0.64</v>
      </c>
      <c r="M282" s="168">
        <f t="shared" si="108"/>
        <v>0.64</v>
      </c>
      <c r="N282" s="168">
        <f t="shared" si="108"/>
        <v>0.64</v>
      </c>
      <c r="O282" s="168">
        <f t="shared" si="108"/>
        <v>0.64</v>
      </c>
      <c r="P282" s="168">
        <f t="shared" si="108"/>
        <v>0.64</v>
      </c>
      <c r="Q282" s="168">
        <f t="shared" si="108"/>
        <v>0.64</v>
      </c>
      <c r="R282" s="168">
        <f t="shared" si="108"/>
        <v>0.64</v>
      </c>
      <c r="S282" s="168">
        <f t="shared" si="108"/>
        <v>0.64</v>
      </c>
      <c r="T282" s="168">
        <f t="shared" si="108"/>
        <v>0.64</v>
      </c>
      <c r="U282" s="168">
        <f t="shared" si="108"/>
        <v>0.64</v>
      </c>
      <c r="V282" s="168">
        <f t="shared" si="108"/>
        <v>0.64</v>
      </c>
      <c r="W282" s="168">
        <f t="shared" si="108"/>
        <v>0.64</v>
      </c>
      <c r="X282" s="168">
        <f t="shared" si="108"/>
        <v>0.64</v>
      </c>
      <c r="Y282" s="168">
        <f t="shared" si="108"/>
        <v>0.64</v>
      </c>
      <c r="Z282" s="168">
        <f t="shared" si="108"/>
        <v>0.64</v>
      </c>
      <c r="AA282" s="168">
        <f t="shared" si="108"/>
        <v>0.64</v>
      </c>
      <c r="AB282" s="168">
        <f t="shared" si="108"/>
        <v>0.64</v>
      </c>
      <c r="AC282" s="168">
        <f t="shared" si="108"/>
        <v>0.64</v>
      </c>
      <c r="AD282" s="168">
        <f t="shared" si="108"/>
        <v>0.64</v>
      </c>
      <c r="AE282" s="168">
        <f t="shared" si="108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4088" priority="1">
      <formula>$AH11=0</formula>
    </cfRule>
  </conditionalFormatting>
  <conditionalFormatting sqref="A132:A253">
    <cfRule type="expression" dxfId="4087" priority="6">
      <formula>$AH132=0</formula>
    </cfRule>
  </conditionalFormatting>
  <conditionalFormatting sqref="B8 M8 S8 AB8">
    <cfRule type="expression" dxfId="4086" priority="115">
      <formula>AND(C$9&gt;=8/24,C$9&lt;14/24)</formula>
    </cfRule>
    <cfRule type="expression" dxfId="4085" priority="116">
      <formula>C$9&lt;8/24</formula>
    </cfRule>
    <cfRule type="expression" dxfId="4084" priority="114">
      <formula>AND(C$9&gt;=14/24,C$9&lt;20/24)</formula>
    </cfRule>
  </conditionalFormatting>
  <conditionalFormatting sqref="B63:I74 J64:J74 K66:K74 K69:L71 L69:Q74">
    <cfRule type="expression" dxfId="4083" priority="21">
      <formula>B$9&gt;=20/24</formula>
    </cfRule>
    <cfRule type="expression" dxfId="4082" priority="22">
      <formula>AND(B$9&gt;=14/24,B$9&lt;20/24)</formula>
    </cfRule>
    <cfRule type="expression" dxfId="4081" priority="23">
      <formula>AND(B$9&gt;=8/24,B$9&lt;14/24)</formula>
    </cfRule>
    <cfRule type="expression" dxfId="4080" priority="24">
      <formula>B$9&lt;8/24</formula>
    </cfRule>
  </conditionalFormatting>
  <conditionalFormatting sqref="B56:R56 S56:AF57 N57:R57">
    <cfRule type="expression" dxfId="4079" priority="63">
      <formula>B$9&lt;8/24</formula>
    </cfRule>
  </conditionalFormatting>
  <conditionalFormatting sqref="B9:AF52">
    <cfRule type="expression" dxfId="4078" priority="26">
      <formula>B$9&gt;=20/24</formula>
    </cfRule>
    <cfRule type="expression" dxfId="4077" priority="27">
      <formula>AND(B$9&gt;=14/24,B$9&lt;20/24)</formula>
    </cfRule>
    <cfRule type="expression" dxfId="4076" priority="28">
      <formula>AND(B$9&gt;=8/24,B$9&lt;14/24)</formula>
    </cfRule>
    <cfRule type="expression" dxfId="4075" priority="29">
      <formula>B$9&lt;8/24</formula>
    </cfRule>
  </conditionalFormatting>
  <conditionalFormatting sqref="B11:AF54">
    <cfRule type="expression" dxfId="4074" priority="15">
      <formula>B11&gt;$AG11</formula>
    </cfRule>
  </conditionalFormatting>
  <conditionalFormatting sqref="B53:AF54">
    <cfRule type="expression" dxfId="4073" priority="11">
      <formula>B$9&gt;=20/24</formula>
    </cfRule>
    <cfRule type="expression" dxfId="4072" priority="12">
      <formula>AND(B$9&gt;=14/24,B$9&lt;20/24)</formula>
    </cfRule>
    <cfRule type="expression" dxfId="4071" priority="13">
      <formula>AND(B$9&gt;=8/24,B$9&lt;14/24)</formula>
    </cfRule>
    <cfRule type="expression" dxfId="4070" priority="14">
      <formula>B$9&lt;8/24</formula>
    </cfRule>
  </conditionalFormatting>
  <conditionalFormatting sqref="B55:AF55">
    <cfRule type="expression" dxfId="4069" priority="35">
      <formula>B55&gt;$AG55</formula>
    </cfRule>
  </conditionalFormatting>
  <conditionalFormatting sqref="B55:AF57">
    <cfRule type="expression" dxfId="4068" priority="31">
      <formula>B$9&gt;=20/24</formula>
    </cfRule>
    <cfRule type="expression" dxfId="4067" priority="32">
      <formula>AND(B$9&gt;=14/24,B$9&lt;20/24)</formula>
    </cfRule>
    <cfRule type="expression" dxfId="4066" priority="33">
      <formula>AND(B$9&gt;=8/24,B$9&lt;14/24)</formula>
    </cfRule>
  </conditionalFormatting>
  <conditionalFormatting sqref="B56:AF61">
    <cfRule type="expression" dxfId="4065" priority="30">
      <formula>B56&gt;$AG56</formula>
    </cfRule>
  </conditionalFormatting>
  <conditionalFormatting sqref="B59:AF61">
    <cfRule type="expression" dxfId="4064" priority="44">
      <formula>B$9&lt;8/24</formula>
    </cfRule>
    <cfRule type="expression" dxfId="4063" priority="43">
      <formula>AND(B$9&gt;=8/24,B$9&lt;14/24)</formula>
    </cfRule>
    <cfRule type="expression" dxfId="4062" priority="42">
      <formula>AND(B$9&gt;=14/24,B$9&lt;20/24)</formula>
    </cfRule>
    <cfRule type="expression" dxfId="4061" priority="41">
      <formula>B$9&gt;=20/24</formula>
    </cfRule>
  </conditionalFormatting>
  <conditionalFormatting sqref="B63:AF74">
    <cfRule type="expression" dxfId="4060" priority="20">
      <formula>B63&gt;$AG63</formula>
    </cfRule>
  </conditionalFormatting>
  <conditionalFormatting sqref="B77:AF79">
    <cfRule type="expression" dxfId="4059" priority="46">
      <formula>B$9&gt;=20/24</formula>
    </cfRule>
    <cfRule type="expression" dxfId="4058" priority="47">
      <formula>AND(B$9&gt;=14/24,B$9&lt;20/24)</formula>
    </cfRule>
    <cfRule type="expression" dxfId="4057" priority="48">
      <formula>AND(B$9&gt;=8/24,B$9&lt;14/24)</formula>
    </cfRule>
    <cfRule type="expression" dxfId="4056" priority="49">
      <formula>B$9&lt;8/24</formula>
    </cfRule>
    <cfRule type="expression" dxfId="4055" priority="45">
      <formula>B77&gt;$AG77</formula>
    </cfRule>
  </conditionalFormatting>
  <conditionalFormatting sqref="B81:AF99">
    <cfRule type="expression" dxfId="4054" priority="18">
      <formula>AND(B$9&gt;=8/24,B$9&lt;14/24)</formula>
    </cfRule>
    <cfRule type="expression" dxfId="4053" priority="16">
      <formula>B$9&gt;=20/24</formula>
    </cfRule>
    <cfRule type="expression" dxfId="4052" priority="19">
      <formula>B$9&lt;8/24</formula>
    </cfRule>
    <cfRule type="expression" dxfId="4051" priority="17">
      <formula>AND(B$9&gt;=14/24,B$9&lt;20/24)</formula>
    </cfRule>
  </conditionalFormatting>
  <conditionalFormatting sqref="B101:AF117">
    <cfRule type="expression" dxfId="4050" priority="9">
      <formula>AND(B$9&gt;=8/24,B$9&lt;14/24)</formula>
    </cfRule>
    <cfRule type="expression" dxfId="4049" priority="10">
      <formula>B$9&lt;8/24</formula>
    </cfRule>
    <cfRule type="expression" dxfId="4048" priority="8">
      <formula>AND(B$9&gt;=14/24,B$9&lt;20/24)</formula>
    </cfRule>
    <cfRule type="expression" dxfId="4047" priority="7">
      <formula>B$9&gt;=20/24</formula>
    </cfRule>
  </conditionalFormatting>
  <conditionalFormatting sqref="B119:AF137">
    <cfRule type="expression" dxfId="4046" priority="2">
      <formula>B$9&gt;=20/24</formula>
    </cfRule>
    <cfRule type="expression" dxfId="4045" priority="3">
      <formula>AND(B$9&gt;=14/24,B$9&lt;20/24)</formula>
    </cfRule>
    <cfRule type="expression" dxfId="4044" priority="4">
      <formula>AND(B$9&gt;=8/24,B$9&lt;14/24)</formula>
    </cfRule>
    <cfRule type="expression" dxfId="4043" priority="5">
      <formula>B$9&lt;8/24</formula>
    </cfRule>
  </conditionalFormatting>
  <conditionalFormatting sqref="B244:AF244 B246:B252 D246:AF252 U260:AF260">
    <cfRule type="expression" dxfId="4042" priority="110">
      <formula>B$9&lt;8/24</formula>
    </cfRule>
    <cfRule type="expression" dxfId="4041" priority="109">
      <formula>AND(B$9&gt;=8/24,B$9&lt;14/24)</formula>
    </cfRule>
    <cfRule type="expression" dxfId="4040" priority="107">
      <formula>B$9&gt;=20/24</formula>
    </cfRule>
    <cfRule type="expression" dxfId="4039" priority="108">
      <formula>AND(B$9&gt;=14/24,B$9&lt;20/24)</formula>
    </cfRule>
  </conditionalFormatting>
  <conditionalFormatting sqref="B62:AG62">
    <cfRule type="expression" dxfId="4038" priority="50">
      <formula>B62&gt;$AG62</formula>
    </cfRule>
    <cfRule type="expression" dxfId="4037" priority="51">
      <formula>B$9&gt;=20/24</formula>
    </cfRule>
    <cfRule type="expression" dxfId="4036" priority="52">
      <formula>AND(B$9&gt;=14/24,B$9&lt;20/24)</formula>
    </cfRule>
    <cfRule type="expression" dxfId="4035" priority="53">
      <formula>AND(B$9&gt;=8/24,B$9&lt;14/24)</formula>
    </cfRule>
    <cfRule type="expression" dxfId="4034" priority="54">
      <formula>B$9&lt;8/24</formula>
    </cfRule>
  </conditionalFormatting>
  <conditionalFormatting sqref="B75:AG76 B80:AG80">
    <cfRule type="expression" dxfId="4033" priority="36">
      <formula>B75&gt;$AG75</formula>
    </cfRule>
  </conditionalFormatting>
  <conditionalFormatting sqref="B80:AG80">
    <cfRule type="expression" dxfId="4032" priority="39">
      <formula>AND(B$9&gt;=8/24,B$9&lt;14/24)</formula>
    </cfRule>
    <cfRule type="expression" dxfId="4031" priority="40">
      <formula>B$9&lt;8/24</formula>
    </cfRule>
    <cfRule type="expression" dxfId="4030" priority="37">
      <formula>B$9&gt;=20/24</formula>
    </cfRule>
    <cfRule type="expression" dxfId="4029" priority="38">
      <formula>AND(B$9&gt;=14/24,B$9&lt;20/24)</formula>
    </cfRule>
  </conditionalFormatting>
  <conditionalFormatting sqref="F63:L65">
    <cfRule type="expression" dxfId="4028" priority="91">
      <formula>F$9&lt;8/24</formula>
    </cfRule>
    <cfRule type="expression" dxfId="4027" priority="90">
      <formula>AND(F$9&gt;=8/24,F$9&lt;14/24)</formula>
    </cfRule>
    <cfRule type="expression" dxfId="4026" priority="89">
      <formula>AND(F$9&gt;=14/24,F$9&lt;20/24)</formula>
    </cfRule>
    <cfRule type="expression" dxfId="4025" priority="88">
      <formula>F$9&gt;=20/24</formula>
    </cfRule>
  </conditionalFormatting>
  <conditionalFormatting sqref="F68:X68">
    <cfRule type="expression" dxfId="4024" priority="67">
      <formula>AND(F$9&gt;=8/24,F$9&lt;14/24)</formula>
    </cfRule>
    <cfRule type="expression" dxfId="4023" priority="68">
      <formula>F$9&lt;8/24</formula>
    </cfRule>
    <cfRule type="expression" dxfId="4022" priority="65">
      <formula>F$9&gt;=20/24</formula>
    </cfRule>
    <cfRule type="expression" dxfId="4021" priority="66">
      <formula>AND(F$9&gt;=14/24,F$9&lt;20/24)</formula>
    </cfRule>
  </conditionalFormatting>
  <conditionalFormatting sqref="F69:AF74">
    <cfRule type="expression" dxfId="4020" priority="55">
      <formula>F$9&gt;=20/24</formula>
    </cfRule>
    <cfRule type="expression" dxfId="4019" priority="57">
      <formula>AND(F$9&gt;=8/24,F$9&lt;14/24)</formula>
    </cfRule>
    <cfRule type="expression" dxfId="4018" priority="58">
      <formula>F$9&lt;8/24</formula>
    </cfRule>
    <cfRule type="expression" dxfId="4017" priority="56">
      <formula>AND(F$9&gt;=14/24,F$9&lt;20/24)</formula>
    </cfRule>
  </conditionalFormatting>
  <conditionalFormatting sqref="M63:X67">
    <cfRule type="expression" dxfId="4016" priority="95">
      <formula>M$9&lt;8/24</formula>
    </cfRule>
    <cfRule type="expression" dxfId="4015" priority="92">
      <formula>M$9&gt;=20/24</formula>
    </cfRule>
    <cfRule type="expression" dxfId="4014" priority="93">
      <formula>AND(M$9&gt;=14/24,M$9&lt;20/24)</formula>
    </cfRule>
    <cfRule type="expression" dxfId="4013" priority="94">
      <formula>AND(M$9&gt;=8/24,M$9&lt;14/24)</formula>
    </cfRule>
  </conditionalFormatting>
  <conditionalFormatting sqref="N55:AF56 B55:M57">
    <cfRule type="expression" dxfId="4012" priority="34">
      <formula>B$9&lt;8/24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011" priority="113">
      <formula>C$9&gt;=20/24</formula>
    </cfRule>
  </conditionalFormatting>
  <conditionalFormatting sqref="S8">
    <cfRule type="expression" dxfId="4010" priority="102">
      <formula>AND(U$9&gt;=8/24,U$9&lt;14/24)</formula>
    </cfRule>
    <cfRule type="expression" dxfId="4009" priority="103">
      <formula>U$9&lt;8/24</formula>
    </cfRule>
    <cfRule type="expression" dxfId="4008" priority="100">
      <formula>U$9&gt;=20/24</formula>
    </cfRule>
    <cfRule type="expression" dxfId="4007" priority="101">
      <formula>AND(U$9&gt;=14/24,U$9&lt;20/24)</formula>
    </cfRule>
  </conditionalFormatting>
  <conditionalFormatting sqref="T260">
    <cfRule type="expression" dxfId="4006" priority="128">
      <formula>AX$9&lt;8/24</formula>
    </cfRule>
    <cfRule type="expression" dxfId="4005" priority="125">
      <formula>AX$9&gt;=20/24</formula>
    </cfRule>
    <cfRule type="expression" dxfId="4004" priority="126">
      <formula>AND(AX$9&gt;=14/24,AX$9&lt;20/24)</formula>
    </cfRule>
    <cfRule type="expression" dxfId="4003" priority="127">
      <formula>AND(AX$9&gt;=8/24,AX$9&lt;14/24)</formula>
    </cfRule>
  </conditionalFormatting>
  <conditionalFormatting sqref="T63:AF68">
    <cfRule type="expression" dxfId="4002" priority="62">
      <formula>T$9&lt;8/24</formula>
    </cfRule>
    <cfRule type="expression" dxfId="4001" priority="61">
      <formula>AND(T$9&gt;=8/24,T$9&lt;14/24)</formula>
    </cfRule>
    <cfRule type="expression" dxfId="4000" priority="60">
      <formula>AND(T$9&gt;=14/24,T$9&lt;20/24)</formula>
    </cfRule>
    <cfRule type="expression" dxfId="3999" priority="59">
      <formula>T$9&gt;=20/24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998" priority="96">
      <formula>AD$9&gt;=20/24</formula>
    </cfRule>
    <cfRule type="expression" dxfId="3997" priority="97">
      <formula>AND(AD$9&gt;=14/24,AD$9&lt;20/24)</formula>
    </cfRule>
    <cfRule type="expression" dxfId="3996" priority="98">
      <formula>AND(AD$9&gt;=8/24,AD$9&lt;14/24)</formula>
    </cfRule>
    <cfRule type="expression" dxfId="3995" priority="99">
      <formula>AD$9&lt;8/24</formula>
    </cfRule>
  </conditionalFormatting>
  <conditionalFormatting sqref="AG58">
    <cfRule type="expression" dxfId="3994" priority="83">
      <formula>AG58&gt;$AG58</formula>
    </cfRule>
  </conditionalFormatting>
  <conditionalFormatting sqref="AG97">
    <cfRule type="expression" dxfId="3993" priority="84">
      <formula>AG$9&gt;=20/24</formula>
    </cfRule>
    <cfRule type="expression" dxfId="3992" priority="86">
      <formula>AND(AG$9&gt;=8/24,AG$9&lt;14/24)</formula>
    </cfRule>
    <cfRule type="expression" dxfId="3991" priority="85">
      <formula>AND(AG$9&gt;=14/24,AG$9&lt;20/24)</formula>
    </cfRule>
    <cfRule type="expression" dxfId="3990" priority="87">
      <formula>AG$9&lt;8/24</formula>
    </cfRule>
  </conditionalFormatting>
  <conditionalFormatting sqref="AG260">
    <cfRule type="expression" dxfId="3989" priority="118">
      <formula>AND(B$9&gt;=14/24,B$9&lt;20/24)</formula>
    </cfRule>
    <cfRule type="expression" dxfId="3988" priority="120">
      <formula>B$9&lt;8/24</formula>
    </cfRule>
    <cfRule type="expression" dxfId="3987" priority="119">
      <formula>AND(B$9&gt;=8/24,B$9&lt;14/24)</formula>
    </cfRule>
    <cfRule type="expression" dxfId="3986" priority="117">
      <formula>B$9&gt;=20/24</formula>
    </cfRule>
  </conditionalFormatting>
  <conditionalFormatting sqref="AH260:AX260">
    <cfRule type="expression" dxfId="3985" priority="121">
      <formula>AG$9&gt;=20/24</formula>
    </cfRule>
    <cfRule type="expression" dxfId="3984" priority="122">
      <formula>AND(AG$9&gt;=14/24,AG$9&lt;20/24)</formula>
    </cfRule>
    <cfRule type="expression" dxfId="3983" priority="123">
      <formula>AND(AG$9&gt;=8/24,AG$9&lt;14/24)</formula>
    </cfRule>
    <cfRule type="expression" dxfId="3982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981" priority="130">
      <formula>AJ$9&gt;=20/24</formula>
    </cfRule>
    <cfRule type="expression" dxfId="3980" priority="131">
      <formula>AND(AJ$9&gt;=14/24,AJ$9&lt;20/24)</formula>
    </cfRule>
    <cfRule type="expression" dxfId="3979" priority="132">
      <formula>AND(AJ$9&gt;=8/24,AJ$9&lt;14/24)</formula>
    </cfRule>
    <cfRule type="expression" dxfId="3978" priority="133">
      <formula>AJ$9&lt;8/24</formula>
    </cfRule>
  </conditionalFormatting>
  <conditionalFormatting sqref="AL88:AN88 AL94:AN94">
    <cfRule type="expression" dxfId="3977" priority="79">
      <formula>AL$9&lt;8/24</formula>
    </cfRule>
    <cfRule type="expression" dxfId="3976" priority="77">
      <formula>AND(AL$9&gt;=14/24,AL$9&lt;20/24)</formula>
    </cfRule>
    <cfRule type="expression" dxfId="3975" priority="76">
      <formula>AL$9&gt;=20/24</formula>
    </cfRule>
    <cfRule type="expression" dxfId="3974" priority="78">
      <formula>AND(AL$9&gt;=8/24,AL$9&lt;14/24)</formula>
    </cfRule>
  </conditionalFormatting>
  <conditionalFormatting sqref="AN89:AN92">
    <cfRule type="expression" dxfId="3973" priority="75">
      <formula>AN$9&lt;8/24</formula>
    </cfRule>
    <cfRule type="expression" dxfId="3972" priority="74">
      <formula>AND(AN$9&gt;=8/24,AN$9&lt;14/24)</formula>
    </cfRule>
    <cfRule type="expression" dxfId="3971" priority="73">
      <formula>AND(AN$9&gt;=14/24,AN$9&lt;20/24)</formula>
    </cfRule>
    <cfRule type="expression" dxfId="3970" priority="72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C2E-AC59-4FD8-9FC7-B037107DE33E}">
  <dimension ref="A1:CJ293"/>
  <sheetViews>
    <sheetView zoomScaleNormal="100" workbookViewId="0">
      <pane xSplit="1" ySplit="10" topLeftCell="B79" activePane="bottomRight" state="frozen"/>
      <selection activeCell="Z63" sqref="Z63"/>
      <selection pane="topRight" activeCell="Z63" sqref="Z63"/>
      <selection pane="bottomLeft" activeCell="Z63" sqref="Z63"/>
      <selection pane="bottomRight" activeCell="B81" sqref="B81:AF8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2080/10/7</v>
      </c>
      <c r="C4" s="272"/>
      <c r="D4" s="272"/>
      <c r="E4" s="273" t="str">
        <f ca="1">"2080/"&amp;"10/"&amp;INT(MID(CELL("filename",G6),FIND("]",CELL("filename",G6))+1,200))</f>
        <v>2080/10/7</v>
      </c>
      <c r="F4" s="273"/>
      <c r="G4" s="273"/>
      <c r="H4" s="273" t="str">
        <f ca="1">TEXT(E4,"dddd")</f>
        <v>Monday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606.29999999999995</v>
      </c>
      <c r="C5" s="30">
        <f t="shared" si="0"/>
        <v>563.5</v>
      </c>
      <c r="D5" s="30">
        <f t="shared" si="0"/>
        <v>590.5</v>
      </c>
      <c r="E5" s="30">
        <f t="shared" si="0"/>
        <v>547.6</v>
      </c>
      <c r="F5" s="30">
        <f t="shared" si="0"/>
        <v>567.70000000000005</v>
      </c>
      <c r="G5" s="30">
        <f t="shared" si="0"/>
        <v>573.29999999999995</v>
      </c>
      <c r="H5" s="30">
        <f t="shared" si="0"/>
        <v>573.69999999999993</v>
      </c>
      <c r="I5" s="30">
        <f t="shared" si="0"/>
        <v>512.4</v>
      </c>
      <c r="J5" s="30">
        <f t="shared" si="0"/>
        <v>414.59999999999997</v>
      </c>
      <c r="K5" s="30">
        <f t="shared" si="0"/>
        <v>405.2</v>
      </c>
      <c r="L5" s="30">
        <f t="shared" si="0"/>
        <v>395.7</v>
      </c>
      <c r="M5" s="30">
        <f t="shared" si="0"/>
        <v>376.2</v>
      </c>
      <c r="N5" s="30">
        <f t="shared" si="0"/>
        <v>475</v>
      </c>
      <c r="O5" s="30">
        <f t="shared" si="0"/>
        <v>527.6</v>
      </c>
      <c r="P5" s="30">
        <f t="shared" si="0"/>
        <v>605.29999999999995</v>
      </c>
      <c r="Q5" s="30">
        <f t="shared" si="0"/>
        <v>581.30000000000007</v>
      </c>
      <c r="R5" s="30">
        <f t="shared" si="0"/>
        <v>631.6</v>
      </c>
      <c r="S5" s="30">
        <f t="shared" si="0"/>
        <v>627.20000000000005</v>
      </c>
      <c r="T5" s="30">
        <f t="shared" si="0"/>
        <v>638</v>
      </c>
      <c r="U5" s="30">
        <f t="shared" si="0"/>
        <v>545.6</v>
      </c>
      <c r="V5" s="30">
        <f t="shared" si="0"/>
        <v>619.79999999999995</v>
      </c>
      <c r="W5" s="30">
        <f t="shared" si="0"/>
        <v>554.20000000000005</v>
      </c>
      <c r="X5" s="30">
        <f t="shared" si="0"/>
        <v>451.1</v>
      </c>
      <c r="Y5" s="30">
        <f t="shared" si="0"/>
        <v>413.1</v>
      </c>
      <c r="Z5" s="30">
        <f t="shared" si="0"/>
        <v>421.9</v>
      </c>
      <c r="AA5" s="30">
        <f t="shared" si="0"/>
        <v>424.59999999999997</v>
      </c>
      <c r="AB5" s="30">
        <f t="shared" si="0"/>
        <v>527.5</v>
      </c>
      <c r="AC5" s="30">
        <f t="shared" si="0"/>
        <v>605.4</v>
      </c>
      <c r="AD5" s="30">
        <f t="shared" si="0"/>
        <v>622.5</v>
      </c>
      <c r="AE5" s="30">
        <f t="shared" si="0"/>
        <v>652.5</v>
      </c>
      <c r="AF5" s="30">
        <f>B92</f>
        <v>571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Load=1161</v>
      </c>
      <c r="B7" s="35">
        <f>B100</f>
        <v>1168.79</v>
      </c>
      <c r="C7" s="35">
        <f t="shared" ref="C7:AF7" si="1">C100</f>
        <v>1204.0899999999999</v>
      </c>
      <c r="D7" s="35">
        <f t="shared" si="1"/>
        <v>1161.29</v>
      </c>
      <c r="E7" s="35">
        <f t="shared" si="1"/>
        <v>1188.99</v>
      </c>
      <c r="F7" s="35">
        <f t="shared" si="1"/>
        <v>1162.3899999999999</v>
      </c>
      <c r="G7" s="35">
        <f t="shared" si="1"/>
        <v>1230.19</v>
      </c>
      <c r="H7" s="35">
        <f t="shared" si="1"/>
        <v>1267.0899999999999</v>
      </c>
      <c r="I7" s="35">
        <f t="shared" si="1"/>
        <v>1342.3899999999999</v>
      </c>
      <c r="J7" s="35">
        <f t="shared" si="1"/>
        <v>1446.29</v>
      </c>
      <c r="K7" s="35">
        <f t="shared" si="1"/>
        <v>1550.09</v>
      </c>
      <c r="L7" s="35">
        <f t="shared" si="1"/>
        <v>1641.49</v>
      </c>
      <c r="M7" s="35">
        <f t="shared" si="1"/>
        <v>1618.49</v>
      </c>
      <c r="N7" s="35">
        <f t="shared" si="1"/>
        <v>1593.69</v>
      </c>
      <c r="O7" s="35">
        <f t="shared" si="1"/>
        <v>1605.0900000000001</v>
      </c>
      <c r="P7" s="35">
        <f t="shared" si="1"/>
        <v>1556.0900000000001</v>
      </c>
      <c r="Q7" s="35">
        <f t="shared" si="1"/>
        <v>1413.59</v>
      </c>
      <c r="R7" s="35">
        <f t="shared" si="1"/>
        <v>1400.0900000000001</v>
      </c>
      <c r="S7" s="35">
        <f t="shared" si="1"/>
        <v>1443.99</v>
      </c>
      <c r="T7" s="35">
        <f t="shared" si="1"/>
        <v>1484.19</v>
      </c>
      <c r="U7" s="35">
        <f t="shared" si="1"/>
        <v>1451.59</v>
      </c>
      <c r="V7" s="35">
        <f t="shared" si="1"/>
        <v>1380.3899999999999</v>
      </c>
      <c r="W7" s="35">
        <f t="shared" si="1"/>
        <v>1483.69</v>
      </c>
      <c r="X7" s="35">
        <f t="shared" si="1"/>
        <v>1662.39</v>
      </c>
      <c r="Y7" s="35">
        <f t="shared" si="1"/>
        <v>1805.65</v>
      </c>
      <c r="Z7" s="35">
        <f t="shared" si="1"/>
        <v>1778.65</v>
      </c>
      <c r="AA7" s="35">
        <f t="shared" si="1"/>
        <v>1695.09</v>
      </c>
      <c r="AB7" s="35">
        <f t="shared" si="1"/>
        <v>1633.8899999999999</v>
      </c>
      <c r="AC7" s="35">
        <f t="shared" si="1"/>
        <v>1592.29</v>
      </c>
      <c r="AD7" s="35">
        <f t="shared" si="1"/>
        <v>1361.5900000000001</v>
      </c>
      <c r="AE7" s="35">
        <f t="shared" si="1"/>
        <v>1306.5899999999999</v>
      </c>
      <c r="AF7" s="35">
        <f t="shared" si="1"/>
        <v>1274.29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</v>
      </c>
      <c r="C11" s="45">
        <v>27</v>
      </c>
      <c r="D11" s="45">
        <v>27</v>
      </c>
      <c r="E11" s="45">
        <v>27</v>
      </c>
      <c r="F11" s="45">
        <v>27</v>
      </c>
      <c r="G11" s="45">
        <v>27</v>
      </c>
      <c r="H11" s="45">
        <v>27</v>
      </c>
      <c r="I11" s="45">
        <v>27</v>
      </c>
      <c r="J11" s="45">
        <v>27</v>
      </c>
      <c r="K11" s="45">
        <v>27</v>
      </c>
      <c r="L11" s="45">
        <v>27</v>
      </c>
      <c r="M11" s="45">
        <v>27</v>
      </c>
      <c r="N11" s="45">
        <v>27</v>
      </c>
      <c r="O11" s="45">
        <v>27</v>
      </c>
      <c r="P11" s="45">
        <v>27</v>
      </c>
      <c r="Q11" s="45">
        <v>27</v>
      </c>
      <c r="R11" s="45">
        <v>27</v>
      </c>
      <c r="S11" s="45">
        <v>27</v>
      </c>
      <c r="T11" s="45">
        <v>27</v>
      </c>
      <c r="U11" s="45">
        <v>27</v>
      </c>
      <c r="V11" s="45">
        <v>27</v>
      </c>
      <c r="W11" s="45">
        <v>27</v>
      </c>
      <c r="X11" s="45">
        <v>27</v>
      </c>
      <c r="Y11" s="45">
        <v>27</v>
      </c>
      <c r="Z11" s="45">
        <v>27</v>
      </c>
      <c r="AA11" s="45">
        <v>27</v>
      </c>
      <c r="AB11" s="45">
        <v>29.5</v>
      </c>
      <c r="AC11" s="45">
        <v>29.5</v>
      </c>
      <c r="AD11" s="45">
        <v>29.5</v>
      </c>
      <c r="AE11" s="45">
        <v>29</v>
      </c>
      <c r="AF11" s="45">
        <v>29.2</v>
      </c>
      <c r="AG11" s="46">
        <v>86</v>
      </c>
      <c r="AH11" s="47">
        <f t="shared" ref="AH11:AH84" si="2">MAX(B11:AF11)</f>
        <v>29.5</v>
      </c>
      <c r="AI11" s="48">
        <f t="shared" ref="AI11:AI84" si="3">MIN(B11:AF11)</f>
        <v>27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9.9</v>
      </c>
      <c r="C12" s="45">
        <v>9.9</v>
      </c>
      <c r="D12" s="45">
        <v>9.9</v>
      </c>
      <c r="E12" s="45">
        <v>9.9</v>
      </c>
      <c r="F12" s="45">
        <v>9.9</v>
      </c>
      <c r="G12" s="45">
        <v>9.9</v>
      </c>
      <c r="H12" s="45">
        <v>9.9</v>
      </c>
      <c r="I12" s="45">
        <v>9.9</v>
      </c>
      <c r="J12" s="45">
        <v>9.9</v>
      </c>
      <c r="K12" s="45">
        <v>9.9</v>
      </c>
      <c r="L12" s="45">
        <v>9.9</v>
      </c>
      <c r="M12" s="45">
        <v>9.9</v>
      </c>
      <c r="N12" s="45">
        <v>9.9</v>
      </c>
      <c r="O12" s="45">
        <v>9.9</v>
      </c>
      <c r="P12" s="45">
        <v>9.9</v>
      </c>
      <c r="Q12" s="45">
        <v>9.9</v>
      </c>
      <c r="R12" s="45">
        <v>9.9</v>
      </c>
      <c r="S12" s="45">
        <v>9.9</v>
      </c>
      <c r="T12" s="45">
        <v>9.9</v>
      </c>
      <c r="U12" s="45">
        <v>9.9</v>
      </c>
      <c r="V12" s="45">
        <v>9.9</v>
      </c>
      <c r="W12" s="45">
        <v>9.9</v>
      </c>
      <c r="X12" s="45">
        <v>9.9</v>
      </c>
      <c r="Y12" s="45">
        <v>9.9</v>
      </c>
      <c r="Z12" s="45">
        <v>9.9</v>
      </c>
      <c r="AA12" s="45">
        <v>9.9</v>
      </c>
      <c r="AB12" s="45">
        <v>9.9</v>
      </c>
      <c r="AC12" s="45">
        <v>9.9</v>
      </c>
      <c r="AD12" s="45">
        <v>9.9</v>
      </c>
      <c r="AE12" s="45">
        <v>9.9</v>
      </c>
      <c r="AF12" s="45">
        <v>9.9</v>
      </c>
      <c r="AG12" s="49">
        <v>54</v>
      </c>
      <c r="AH12" s="47">
        <f t="shared" si="2"/>
        <v>9.9</v>
      </c>
      <c r="AI12" s="48">
        <f t="shared" si="3"/>
        <v>9.9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10.199999999999999</v>
      </c>
      <c r="C13" s="45">
        <v>10.199999999999999</v>
      </c>
      <c r="D13" s="45">
        <v>10.199999999999999</v>
      </c>
      <c r="E13" s="45">
        <v>10.199999999999999</v>
      </c>
      <c r="F13" s="45">
        <v>10.199999999999999</v>
      </c>
      <c r="G13" s="45">
        <v>10.199999999999999</v>
      </c>
      <c r="H13" s="45">
        <v>10.199999999999999</v>
      </c>
      <c r="I13" s="45">
        <v>10.199999999999999</v>
      </c>
      <c r="J13" s="45">
        <v>10.199999999999999</v>
      </c>
      <c r="K13" s="45">
        <v>10.199999999999999</v>
      </c>
      <c r="L13" s="45">
        <v>10.199999999999999</v>
      </c>
      <c r="M13" s="45">
        <v>10.199999999999999</v>
      </c>
      <c r="N13" s="45">
        <v>10.199999999999999</v>
      </c>
      <c r="O13" s="45">
        <v>10.199999999999999</v>
      </c>
      <c r="P13" s="45">
        <v>10.199999999999999</v>
      </c>
      <c r="Q13" s="45">
        <v>10.199999999999999</v>
      </c>
      <c r="R13" s="45">
        <v>10.199999999999999</v>
      </c>
      <c r="S13" s="45">
        <v>10.199999999999999</v>
      </c>
      <c r="T13" s="45">
        <v>10.199999999999999</v>
      </c>
      <c r="U13" s="45">
        <v>10.199999999999999</v>
      </c>
      <c r="V13" s="45">
        <v>10.199999999999999</v>
      </c>
      <c r="W13" s="45">
        <v>10.199999999999999</v>
      </c>
      <c r="X13" s="45">
        <v>10.199999999999999</v>
      </c>
      <c r="Y13" s="45">
        <v>10.199999999999999</v>
      </c>
      <c r="Z13" s="45">
        <v>10.199999999999999</v>
      </c>
      <c r="AA13" s="45">
        <v>10.199999999999999</v>
      </c>
      <c r="AB13" s="45">
        <v>10.199999999999999</v>
      </c>
      <c r="AC13" s="45">
        <v>10.199999999999999</v>
      </c>
      <c r="AD13" s="45">
        <v>10.199999999999999</v>
      </c>
      <c r="AE13" s="45">
        <v>13.1</v>
      </c>
      <c r="AF13" s="45">
        <v>13.1</v>
      </c>
      <c r="AG13" s="49">
        <v>54</v>
      </c>
      <c r="AH13" s="47">
        <f t="shared" si="2"/>
        <v>13.1</v>
      </c>
      <c r="AI13" s="48">
        <f t="shared" si="3"/>
        <v>10.199999999999999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15.4</v>
      </c>
      <c r="C14" s="45">
        <v>15.4</v>
      </c>
      <c r="D14" s="45">
        <v>15.4</v>
      </c>
      <c r="E14" s="45">
        <v>15.4</v>
      </c>
      <c r="F14" s="45">
        <v>15.4</v>
      </c>
      <c r="G14" s="45">
        <v>15.4</v>
      </c>
      <c r="H14" s="45">
        <v>15.4</v>
      </c>
      <c r="I14" s="45">
        <v>15.4</v>
      </c>
      <c r="J14" s="45">
        <v>15.4</v>
      </c>
      <c r="K14" s="45">
        <v>15.4</v>
      </c>
      <c r="L14" s="45">
        <v>15.4</v>
      </c>
      <c r="M14" s="45">
        <v>15.4</v>
      </c>
      <c r="N14" s="45">
        <v>15.4</v>
      </c>
      <c r="O14" s="45">
        <v>15.4</v>
      </c>
      <c r="P14" s="45">
        <v>15.4</v>
      </c>
      <c r="Q14" s="45">
        <v>15.4</v>
      </c>
      <c r="R14" s="45">
        <v>15.4</v>
      </c>
      <c r="S14" s="45">
        <v>15.4</v>
      </c>
      <c r="T14" s="45">
        <v>15.4</v>
      </c>
      <c r="U14" s="45">
        <v>15.4</v>
      </c>
      <c r="V14" s="45">
        <v>15.4</v>
      </c>
      <c r="W14" s="45">
        <v>15.4</v>
      </c>
      <c r="X14" s="45">
        <v>15.4</v>
      </c>
      <c r="Y14" s="45">
        <v>15.4</v>
      </c>
      <c r="Z14" s="45">
        <v>15.4</v>
      </c>
      <c r="AA14" s="45">
        <v>15.4</v>
      </c>
      <c r="AB14" s="45">
        <v>15.4</v>
      </c>
      <c r="AC14" s="45">
        <v>15.4</v>
      </c>
      <c r="AD14" s="45">
        <v>15.4</v>
      </c>
      <c r="AE14" s="45">
        <v>16.100000000000001</v>
      </c>
      <c r="AF14" s="45">
        <v>16.600000000000001</v>
      </c>
      <c r="AG14" s="46">
        <v>52.4</v>
      </c>
      <c r="AH14" s="47">
        <f t="shared" si="2"/>
        <v>16.600000000000001</v>
      </c>
      <c r="AI14" s="48">
        <f t="shared" si="3"/>
        <v>15.4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28.7</v>
      </c>
      <c r="C15" s="45">
        <v>28.7</v>
      </c>
      <c r="D15" s="45">
        <v>28.7</v>
      </c>
      <c r="E15" s="45">
        <v>28.7</v>
      </c>
      <c r="F15" s="45">
        <v>28.7</v>
      </c>
      <c r="G15" s="45">
        <v>28.7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28.7</v>
      </c>
      <c r="R15" s="45">
        <v>28.7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45">
        <v>28.7</v>
      </c>
      <c r="AA15" s="45">
        <v>28.7</v>
      </c>
      <c r="AB15" s="45">
        <v>28.8</v>
      </c>
      <c r="AC15" s="45">
        <v>28.8</v>
      </c>
      <c r="AD15" s="45">
        <v>28.8</v>
      </c>
      <c r="AE15" s="45">
        <v>28.7</v>
      </c>
      <c r="AF15" s="45">
        <v>28.8</v>
      </c>
      <c r="AG15" s="49">
        <v>50</v>
      </c>
      <c r="AH15" s="47">
        <f t="shared" si="2"/>
        <v>28.8</v>
      </c>
      <c r="AI15" s="48">
        <f t="shared" si="3"/>
        <v>28.7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16.600000000000001</v>
      </c>
      <c r="C16" s="45">
        <v>16.600000000000001</v>
      </c>
      <c r="D16" s="45">
        <v>16.600000000000001</v>
      </c>
      <c r="E16" s="45">
        <v>16.600000000000001</v>
      </c>
      <c r="F16" s="45">
        <v>16.600000000000001</v>
      </c>
      <c r="G16" s="45">
        <v>16.600000000000001</v>
      </c>
      <c r="H16" s="45">
        <v>16.600000000000001</v>
      </c>
      <c r="I16" s="45">
        <v>16.600000000000001</v>
      </c>
      <c r="J16" s="45">
        <v>16.600000000000001</v>
      </c>
      <c r="K16" s="45">
        <v>16.600000000000001</v>
      </c>
      <c r="L16" s="45">
        <v>16.600000000000001</v>
      </c>
      <c r="M16" s="45">
        <v>16.600000000000001</v>
      </c>
      <c r="N16" s="45">
        <v>16.600000000000001</v>
      </c>
      <c r="O16" s="45">
        <v>16.600000000000001</v>
      </c>
      <c r="P16" s="45">
        <v>16.600000000000001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45">
        <v>16.600000000000001</v>
      </c>
      <c r="Y16" s="45">
        <v>16.600000000000001</v>
      </c>
      <c r="Z16" s="45">
        <v>16.600000000000001</v>
      </c>
      <c r="AA16" s="45">
        <v>16.600000000000001</v>
      </c>
      <c r="AB16" s="45">
        <v>17.2</v>
      </c>
      <c r="AC16" s="45">
        <v>17.2</v>
      </c>
      <c r="AD16" s="45">
        <v>17.2</v>
      </c>
      <c r="AE16" s="45">
        <v>16.899999999999999</v>
      </c>
      <c r="AF16" s="45">
        <v>16.899999999999999</v>
      </c>
      <c r="AG16" s="49">
        <v>45</v>
      </c>
      <c r="AH16" s="47">
        <f t="shared" si="2"/>
        <v>17.2</v>
      </c>
      <c r="AI16" s="48">
        <f t="shared" si="3"/>
        <v>16.600000000000001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</v>
      </c>
      <c r="C18" s="45">
        <v>7</v>
      </c>
      <c r="D18" s="45">
        <v>7</v>
      </c>
      <c r="E18" s="45">
        <v>7</v>
      </c>
      <c r="F18" s="45">
        <v>7</v>
      </c>
      <c r="G18" s="45">
        <v>7</v>
      </c>
      <c r="H18" s="45">
        <v>7</v>
      </c>
      <c r="I18" s="45">
        <v>7</v>
      </c>
      <c r="J18" s="45">
        <v>7</v>
      </c>
      <c r="K18" s="45">
        <v>7</v>
      </c>
      <c r="L18" s="45">
        <v>7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7</v>
      </c>
      <c r="S18" s="45">
        <v>7</v>
      </c>
      <c r="T18" s="45">
        <v>7</v>
      </c>
      <c r="U18" s="45">
        <v>7</v>
      </c>
      <c r="V18" s="45">
        <v>7</v>
      </c>
      <c r="W18" s="45">
        <v>7</v>
      </c>
      <c r="X18" s="45">
        <v>7</v>
      </c>
      <c r="Y18" s="45">
        <v>7</v>
      </c>
      <c r="Z18" s="45">
        <v>7</v>
      </c>
      <c r="AA18" s="45">
        <v>7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7.5</v>
      </c>
      <c r="AI18" s="48">
        <f t="shared" si="3"/>
        <v>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8.4</v>
      </c>
      <c r="C22" s="45">
        <v>8.4</v>
      </c>
      <c r="D22" s="45">
        <v>8.4</v>
      </c>
      <c r="E22" s="45">
        <v>8.4</v>
      </c>
      <c r="F22" s="45">
        <v>8.4</v>
      </c>
      <c r="G22" s="45">
        <v>8.4</v>
      </c>
      <c r="H22" s="45">
        <v>8.4</v>
      </c>
      <c r="I22" s="45">
        <v>8.4</v>
      </c>
      <c r="J22" s="45">
        <v>8.4</v>
      </c>
      <c r="K22" s="45">
        <v>8.4</v>
      </c>
      <c r="L22" s="45">
        <v>8.4</v>
      </c>
      <c r="M22" s="45">
        <v>8.4</v>
      </c>
      <c r="N22" s="45">
        <v>8.4</v>
      </c>
      <c r="O22" s="45">
        <v>8.4</v>
      </c>
      <c r="P22" s="45">
        <v>8.4</v>
      </c>
      <c r="Q22" s="45">
        <v>8.4</v>
      </c>
      <c r="R22" s="45">
        <v>8.4</v>
      </c>
      <c r="S22" s="45">
        <v>8.4</v>
      </c>
      <c r="T22" s="45">
        <v>8.4</v>
      </c>
      <c r="U22" s="45">
        <v>8.4</v>
      </c>
      <c r="V22" s="45">
        <v>8.4</v>
      </c>
      <c r="W22" s="45">
        <v>8.4</v>
      </c>
      <c r="X22" s="45">
        <v>8.4</v>
      </c>
      <c r="Y22" s="45">
        <v>8.4</v>
      </c>
      <c r="Z22" s="45">
        <v>8.4</v>
      </c>
      <c r="AA22" s="45">
        <v>8.4</v>
      </c>
      <c r="AB22" s="45">
        <v>8.4</v>
      </c>
      <c r="AC22" s="45">
        <v>8.4</v>
      </c>
      <c r="AD22" s="45">
        <v>8.4</v>
      </c>
      <c r="AE22" s="45">
        <v>7.9</v>
      </c>
      <c r="AF22" s="45">
        <v>7.9</v>
      </c>
      <c r="AG22" s="52">
        <v>30</v>
      </c>
      <c r="AH22" s="47">
        <f t="shared" si="2"/>
        <v>8.4</v>
      </c>
      <c r="AI22" s="48">
        <f t="shared" si="3"/>
        <v>7.9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8.1999999999999993</v>
      </c>
      <c r="C24" s="45">
        <v>8.1999999999999993</v>
      </c>
      <c r="D24" s="45">
        <v>8.1999999999999993</v>
      </c>
      <c r="E24" s="45">
        <v>8.1999999999999993</v>
      </c>
      <c r="F24" s="45">
        <v>8.1999999999999993</v>
      </c>
      <c r="G24" s="45">
        <v>8.1999999999999993</v>
      </c>
      <c r="H24" s="45">
        <v>8.1999999999999993</v>
      </c>
      <c r="I24" s="45">
        <v>8.1999999999999993</v>
      </c>
      <c r="J24" s="45">
        <v>8.1999999999999993</v>
      </c>
      <c r="K24" s="45">
        <v>8.1999999999999993</v>
      </c>
      <c r="L24" s="45">
        <v>8.1999999999999993</v>
      </c>
      <c r="M24" s="45">
        <v>8.1999999999999993</v>
      </c>
      <c r="N24" s="45">
        <v>8.1999999999999993</v>
      </c>
      <c r="O24" s="45">
        <v>8.1999999999999993</v>
      </c>
      <c r="P24" s="45">
        <v>8.1999999999999993</v>
      </c>
      <c r="Q24" s="45">
        <v>8.1999999999999993</v>
      </c>
      <c r="R24" s="45">
        <v>8.1999999999999993</v>
      </c>
      <c r="S24" s="45">
        <v>8.1999999999999993</v>
      </c>
      <c r="T24" s="45">
        <v>8.1999999999999993</v>
      </c>
      <c r="U24" s="45">
        <v>8.1999999999999993</v>
      </c>
      <c r="V24" s="45">
        <v>8.1999999999999993</v>
      </c>
      <c r="W24" s="45">
        <v>8.1999999999999993</v>
      </c>
      <c r="X24" s="45">
        <v>8.1999999999999993</v>
      </c>
      <c r="Y24" s="45">
        <v>8.1999999999999993</v>
      </c>
      <c r="Z24" s="45">
        <v>8.1999999999999993</v>
      </c>
      <c r="AA24" s="45">
        <v>8.1999999999999993</v>
      </c>
      <c r="AB24" s="45">
        <v>8.1999999999999993</v>
      </c>
      <c r="AC24" s="45">
        <v>8.1999999999999993</v>
      </c>
      <c r="AD24" s="45">
        <v>8.1999999999999993</v>
      </c>
      <c r="AE24" s="45">
        <v>8.1999999999999993</v>
      </c>
      <c r="AF24" s="45">
        <v>7.9</v>
      </c>
      <c r="AG24" s="49">
        <v>28</v>
      </c>
      <c r="AH24" s="47">
        <f t="shared" si="2"/>
        <v>8.1999999999999993</v>
      </c>
      <c r="AI24" s="48">
        <f t="shared" si="3"/>
        <v>7.9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6.4</v>
      </c>
      <c r="C25" s="45">
        <v>6.4</v>
      </c>
      <c r="D25" s="45">
        <v>6.4</v>
      </c>
      <c r="E25" s="45">
        <v>6.4</v>
      </c>
      <c r="F25" s="45">
        <v>6.4</v>
      </c>
      <c r="G25" s="45">
        <v>6.4</v>
      </c>
      <c r="H25" s="45">
        <v>6.4</v>
      </c>
      <c r="I25" s="45">
        <v>6.4</v>
      </c>
      <c r="J25" s="45">
        <v>6.4</v>
      </c>
      <c r="K25" s="45">
        <v>6.4</v>
      </c>
      <c r="L25" s="45">
        <v>6.4</v>
      </c>
      <c r="M25" s="45">
        <v>6.4</v>
      </c>
      <c r="N25" s="45">
        <v>6.4</v>
      </c>
      <c r="O25" s="45">
        <v>6.4</v>
      </c>
      <c r="P25" s="45">
        <v>6.4</v>
      </c>
      <c r="Q25" s="45">
        <v>6.4</v>
      </c>
      <c r="R25" s="45">
        <v>6.4</v>
      </c>
      <c r="S25" s="45">
        <v>6.4</v>
      </c>
      <c r="T25" s="45">
        <v>6.4</v>
      </c>
      <c r="U25" s="45">
        <v>6.4</v>
      </c>
      <c r="V25" s="45">
        <v>6.4</v>
      </c>
      <c r="W25" s="45">
        <v>6.4</v>
      </c>
      <c r="X25" s="45">
        <v>6.4</v>
      </c>
      <c r="Y25" s="45">
        <v>6.4</v>
      </c>
      <c r="Z25" s="45">
        <v>6.4</v>
      </c>
      <c r="AA25" s="45">
        <v>6.4</v>
      </c>
      <c r="AB25" s="45">
        <v>6.4</v>
      </c>
      <c r="AC25" s="45">
        <v>6.4</v>
      </c>
      <c r="AD25" s="45">
        <v>6.4</v>
      </c>
      <c r="AE25" s="45">
        <v>8</v>
      </c>
      <c r="AF25" s="45">
        <v>7.7</v>
      </c>
      <c r="AG25" s="52">
        <v>30</v>
      </c>
      <c r="AH25" s="47">
        <f t="shared" si="2"/>
        <v>8</v>
      </c>
      <c r="AI25" s="48">
        <f t="shared" si="3"/>
        <v>6.4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6.5</v>
      </c>
      <c r="C26" s="45">
        <v>6.5</v>
      </c>
      <c r="D26" s="45">
        <v>6.5</v>
      </c>
      <c r="E26" s="45">
        <v>6.5</v>
      </c>
      <c r="F26" s="45">
        <v>6.5</v>
      </c>
      <c r="G26" s="45">
        <v>6.5</v>
      </c>
      <c r="H26" s="45">
        <v>6.5</v>
      </c>
      <c r="I26" s="45">
        <v>6.5</v>
      </c>
      <c r="J26" s="45">
        <v>6.5</v>
      </c>
      <c r="K26" s="45">
        <v>6.5</v>
      </c>
      <c r="L26" s="45">
        <v>6.5</v>
      </c>
      <c r="M26" s="45">
        <v>6.5</v>
      </c>
      <c r="N26" s="45">
        <v>6.5</v>
      </c>
      <c r="O26" s="45">
        <v>6.5</v>
      </c>
      <c r="P26" s="45">
        <v>6.5</v>
      </c>
      <c r="Q26" s="45">
        <v>6.5</v>
      </c>
      <c r="R26" s="45">
        <v>6.5</v>
      </c>
      <c r="S26" s="45">
        <v>6.5</v>
      </c>
      <c r="T26" s="45">
        <v>6.5</v>
      </c>
      <c r="U26" s="45">
        <v>6.5</v>
      </c>
      <c r="V26" s="45">
        <v>6.5</v>
      </c>
      <c r="W26" s="45">
        <v>6.5</v>
      </c>
      <c r="X26" s="45">
        <v>6.5</v>
      </c>
      <c r="Y26" s="45">
        <v>6.5</v>
      </c>
      <c r="Z26" s="45">
        <v>6.5</v>
      </c>
      <c r="AA26" s="45">
        <v>6.5</v>
      </c>
      <c r="AB26" s="45">
        <v>6.5</v>
      </c>
      <c r="AC26" s="45">
        <v>6.5</v>
      </c>
      <c r="AD26" s="45">
        <v>6.5</v>
      </c>
      <c r="AE26" s="45">
        <v>9.5</v>
      </c>
      <c r="AF26" s="45">
        <v>8.6999999999999993</v>
      </c>
      <c r="AG26" s="49">
        <v>25</v>
      </c>
      <c r="AH26" s="47">
        <f t="shared" si="2"/>
        <v>9.5</v>
      </c>
      <c r="AI26" s="48">
        <f t="shared" si="3"/>
        <v>6.5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7.2</v>
      </c>
      <c r="C29" s="45">
        <v>7.2</v>
      </c>
      <c r="D29" s="45">
        <v>7.2</v>
      </c>
      <c r="E29" s="45">
        <v>7.2</v>
      </c>
      <c r="F29" s="45">
        <v>7.2</v>
      </c>
      <c r="G29" s="45">
        <v>7.2</v>
      </c>
      <c r="H29" s="45">
        <v>7.2</v>
      </c>
      <c r="I29" s="45">
        <v>7.2</v>
      </c>
      <c r="J29" s="45">
        <v>7.2</v>
      </c>
      <c r="K29" s="45">
        <v>7.2</v>
      </c>
      <c r="L29" s="45">
        <v>7.2</v>
      </c>
      <c r="M29" s="45">
        <v>7.2</v>
      </c>
      <c r="N29" s="45">
        <v>7.2</v>
      </c>
      <c r="O29" s="45">
        <v>7.2</v>
      </c>
      <c r="P29" s="45">
        <v>7.2</v>
      </c>
      <c r="Q29" s="45">
        <v>7.2</v>
      </c>
      <c r="R29" s="45">
        <v>7.2</v>
      </c>
      <c r="S29" s="45">
        <v>7.2</v>
      </c>
      <c r="T29" s="45">
        <v>7.2</v>
      </c>
      <c r="U29" s="45">
        <v>7.2</v>
      </c>
      <c r="V29" s="45">
        <v>7.2</v>
      </c>
      <c r="W29" s="45">
        <v>7.2</v>
      </c>
      <c r="X29" s="45">
        <v>7.2</v>
      </c>
      <c r="Y29" s="45">
        <v>7.2</v>
      </c>
      <c r="Z29" s="45">
        <v>7.2</v>
      </c>
      <c r="AA29" s="45">
        <v>7.2</v>
      </c>
      <c r="AB29" s="45">
        <v>7.2</v>
      </c>
      <c r="AC29" s="45">
        <v>7.2</v>
      </c>
      <c r="AD29" s="45">
        <v>7.2</v>
      </c>
      <c r="AE29" s="45">
        <v>8.4</v>
      </c>
      <c r="AF29" s="45">
        <v>8.4</v>
      </c>
      <c r="AG29" s="49">
        <v>25</v>
      </c>
      <c r="AH29" s="47">
        <f t="shared" si="2"/>
        <v>8.4</v>
      </c>
      <c r="AI29" s="48">
        <f t="shared" si="3"/>
        <v>7.2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7.6</v>
      </c>
      <c r="C30" s="45">
        <v>7.6</v>
      </c>
      <c r="D30" s="45">
        <v>7.6</v>
      </c>
      <c r="E30" s="45">
        <v>7.6</v>
      </c>
      <c r="F30" s="45">
        <v>7.6</v>
      </c>
      <c r="G30" s="45">
        <v>7.6</v>
      </c>
      <c r="H30" s="45">
        <v>7.6</v>
      </c>
      <c r="I30" s="45">
        <v>7.6</v>
      </c>
      <c r="J30" s="45">
        <v>7.6</v>
      </c>
      <c r="K30" s="45">
        <v>7.6</v>
      </c>
      <c r="L30" s="45">
        <v>7.6</v>
      </c>
      <c r="M30" s="45">
        <v>7.6</v>
      </c>
      <c r="N30" s="45">
        <v>7.6</v>
      </c>
      <c r="O30" s="45">
        <v>7.6</v>
      </c>
      <c r="P30" s="45">
        <v>7.6</v>
      </c>
      <c r="Q30" s="45">
        <v>7.6</v>
      </c>
      <c r="R30" s="45">
        <v>7.6</v>
      </c>
      <c r="S30" s="45">
        <v>7.6</v>
      </c>
      <c r="T30" s="45">
        <v>7.6</v>
      </c>
      <c r="U30" s="45">
        <v>7.6</v>
      </c>
      <c r="V30" s="45">
        <v>7.6</v>
      </c>
      <c r="W30" s="45">
        <v>7.6</v>
      </c>
      <c r="X30" s="45">
        <v>7.6</v>
      </c>
      <c r="Y30" s="45">
        <v>7.6</v>
      </c>
      <c r="Z30" s="45">
        <v>7.6</v>
      </c>
      <c r="AA30" s="45">
        <v>7.6</v>
      </c>
      <c r="AB30" s="45">
        <v>7.6</v>
      </c>
      <c r="AC30" s="45">
        <v>7.6</v>
      </c>
      <c r="AD30" s="45">
        <v>7.6</v>
      </c>
      <c r="AE30" s="45">
        <v>7.7</v>
      </c>
      <c r="AF30" s="45">
        <v>7.7</v>
      </c>
      <c r="AG30" s="49">
        <v>23.5</v>
      </c>
      <c r="AH30" s="47">
        <f t="shared" si="2"/>
        <v>7.7</v>
      </c>
      <c r="AI30" s="48">
        <f t="shared" si="3"/>
        <v>7.6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4.5</v>
      </c>
      <c r="C31" s="45">
        <v>4.5</v>
      </c>
      <c r="D31" s="45">
        <v>4.5</v>
      </c>
      <c r="E31" s="45">
        <v>4.5</v>
      </c>
      <c r="F31" s="45">
        <v>4.5</v>
      </c>
      <c r="G31" s="45">
        <v>4.5</v>
      </c>
      <c r="H31" s="45">
        <v>4.5</v>
      </c>
      <c r="I31" s="45">
        <v>4.5</v>
      </c>
      <c r="J31" s="45">
        <v>4.5</v>
      </c>
      <c r="K31" s="45">
        <v>4.5</v>
      </c>
      <c r="L31" s="45">
        <v>4.5</v>
      </c>
      <c r="M31" s="45">
        <v>4.5</v>
      </c>
      <c r="N31" s="45">
        <v>4.5</v>
      </c>
      <c r="O31" s="45">
        <v>4.5</v>
      </c>
      <c r="P31" s="45">
        <v>4.5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22.2</v>
      </c>
      <c r="AH31" s="47">
        <f t="shared" si="2"/>
        <v>4.5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10.4</v>
      </c>
      <c r="C34" s="45">
        <v>10.4</v>
      </c>
      <c r="D34" s="45">
        <v>10.4</v>
      </c>
      <c r="E34" s="45">
        <v>10.4</v>
      </c>
      <c r="F34" s="45">
        <v>10.4</v>
      </c>
      <c r="G34" s="45">
        <v>10.4</v>
      </c>
      <c r="H34" s="45">
        <v>10.4</v>
      </c>
      <c r="I34" s="45">
        <v>10.4</v>
      </c>
      <c r="J34" s="45">
        <v>10.4</v>
      </c>
      <c r="K34" s="45">
        <v>10.4</v>
      </c>
      <c r="L34" s="45">
        <v>10.4</v>
      </c>
      <c r="M34" s="45">
        <v>10.4</v>
      </c>
      <c r="N34" s="45">
        <v>10.4</v>
      </c>
      <c r="O34" s="45">
        <v>10.4</v>
      </c>
      <c r="P34" s="45">
        <v>10.4</v>
      </c>
      <c r="Q34" s="45">
        <v>10.4</v>
      </c>
      <c r="R34" s="45">
        <v>10.4</v>
      </c>
      <c r="S34" s="45">
        <v>10.4</v>
      </c>
      <c r="T34" s="45">
        <v>10.4</v>
      </c>
      <c r="U34" s="45">
        <v>10.4</v>
      </c>
      <c r="V34" s="45">
        <v>10.4</v>
      </c>
      <c r="W34" s="45">
        <v>10.4</v>
      </c>
      <c r="X34" s="45">
        <v>10.4</v>
      </c>
      <c r="Y34" s="45">
        <v>10.4</v>
      </c>
      <c r="Z34" s="45">
        <v>10.4</v>
      </c>
      <c r="AA34" s="45">
        <v>10.4</v>
      </c>
      <c r="AB34" s="45">
        <v>10.4</v>
      </c>
      <c r="AC34" s="45">
        <v>10.4</v>
      </c>
      <c r="AD34" s="45">
        <v>10.4</v>
      </c>
      <c r="AE34" s="45">
        <v>10.3</v>
      </c>
      <c r="AF34" s="45">
        <v>10.7</v>
      </c>
      <c r="AG34" s="49">
        <v>22</v>
      </c>
      <c r="AH34" s="47">
        <f t="shared" si="2"/>
        <v>10.7</v>
      </c>
      <c r="AI34" s="48">
        <f t="shared" si="3"/>
        <v>10.3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7"/>
      <c r="Y57" s="57"/>
      <c r="Z57" s="57"/>
      <c r="AA57" s="57"/>
      <c r="AB57" s="57"/>
      <c r="AC57" s="57"/>
      <c r="AD57" s="57"/>
      <c r="AE57" s="57">
        <f>7.8+18</f>
        <v>25.8</v>
      </c>
      <c r="AF57" s="57">
        <f>7.9+17.7</f>
        <v>25.6</v>
      </c>
      <c r="AG57" s="55">
        <v>240</v>
      </c>
      <c r="AH57" s="47">
        <f t="shared" si="2"/>
        <v>25.8</v>
      </c>
      <c r="AI57" s="48">
        <f t="shared" si="3"/>
        <v>25.6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483.95</v>
      </c>
      <c r="C58" s="60">
        <f t="shared" si="4"/>
        <v>483.95</v>
      </c>
      <c r="D58" s="60">
        <f t="shared" ref="D58" si="5">SUM(D11:D56)</f>
        <v>483.95</v>
      </c>
      <c r="E58" s="60">
        <f t="shared" ref="E58:AD58" si="6">SUM(E11:E56)</f>
        <v>483.95</v>
      </c>
      <c r="F58" s="60">
        <f t="shared" si="6"/>
        <v>483.95</v>
      </c>
      <c r="G58" s="60">
        <f t="shared" si="6"/>
        <v>483.95</v>
      </c>
      <c r="H58" s="60">
        <f t="shared" si="6"/>
        <v>483.95</v>
      </c>
      <c r="I58" s="60">
        <f t="shared" si="6"/>
        <v>483.95</v>
      </c>
      <c r="J58" s="60">
        <f t="shared" si="6"/>
        <v>483.95</v>
      </c>
      <c r="K58" s="60">
        <f t="shared" si="6"/>
        <v>483.95</v>
      </c>
      <c r="L58" s="60">
        <f t="shared" si="6"/>
        <v>483.95</v>
      </c>
      <c r="M58" s="60">
        <f t="shared" si="6"/>
        <v>483.95</v>
      </c>
      <c r="N58" s="60">
        <f t="shared" si="6"/>
        <v>483.95</v>
      </c>
      <c r="O58" s="60">
        <f t="shared" si="6"/>
        <v>483.95</v>
      </c>
      <c r="P58" s="60">
        <f t="shared" si="6"/>
        <v>483.95</v>
      </c>
      <c r="Q58" s="60">
        <f t="shared" si="6"/>
        <v>479.45</v>
      </c>
      <c r="R58" s="60">
        <f t="shared" si="6"/>
        <v>479.45</v>
      </c>
      <c r="S58" s="60">
        <f t="shared" si="6"/>
        <v>479.45</v>
      </c>
      <c r="T58" s="60">
        <f t="shared" si="6"/>
        <v>479.45</v>
      </c>
      <c r="U58" s="60">
        <f t="shared" si="6"/>
        <v>479.45</v>
      </c>
      <c r="V58" s="60">
        <f t="shared" si="6"/>
        <v>479.45</v>
      </c>
      <c r="W58" s="60">
        <f t="shared" si="6"/>
        <v>479.45</v>
      </c>
      <c r="X58" s="60">
        <f t="shared" si="6"/>
        <v>479.45</v>
      </c>
      <c r="Y58" s="60">
        <f>SUM(Y11:Y56)</f>
        <v>479.45</v>
      </c>
      <c r="Z58" s="60">
        <f>SUM(Z11:Z56)</f>
        <v>479.45</v>
      </c>
      <c r="AA58" s="60">
        <f t="shared" si="6"/>
        <v>479.45</v>
      </c>
      <c r="AB58" s="60">
        <f t="shared" si="6"/>
        <v>483.15</v>
      </c>
      <c r="AC58" s="60">
        <f t="shared" si="6"/>
        <v>483.15</v>
      </c>
      <c r="AD58" s="60">
        <f t="shared" si="6"/>
        <v>483.15</v>
      </c>
      <c r="AE58" s="60">
        <f t="shared" ref="AE58:AF58" si="7">SUM(AE11:AE56)</f>
        <v>491.15</v>
      </c>
      <c r="AF58" s="60">
        <f t="shared" si="7"/>
        <v>490.95</v>
      </c>
      <c r="AG58" s="61">
        <f>SUM(AG14:AG56)</f>
        <v>1042.4000000000001</v>
      </c>
      <c r="AH58" s="47">
        <f t="shared" si="2"/>
        <v>491.15</v>
      </c>
      <c r="AI58" s="48">
        <f t="shared" si="3"/>
        <v>479.45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25</v>
      </c>
      <c r="H59" s="45">
        <v>25</v>
      </c>
      <c r="I59" s="45">
        <v>50</v>
      </c>
      <c r="J59" s="45">
        <v>200</v>
      </c>
      <c r="K59" s="45">
        <v>140</v>
      </c>
      <c r="L59" s="45">
        <v>190</v>
      </c>
      <c r="M59" s="45">
        <v>220</v>
      </c>
      <c r="N59" s="63">
        <v>200</v>
      </c>
      <c r="O59" s="63">
        <v>140</v>
      </c>
      <c r="P59" s="63">
        <v>70</v>
      </c>
      <c r="Q59" s="63">
        <v>50</v>
      </c>
      <c r="R59" s="63">
        <v>70</v>
      </c>
      <c r="S59" s="63">
        <v>70</v>
      </c>
      <c r="T59" s="63">
        <v>140</v>
      </c>
      <c r="U59" s="45">
        <v>100</v>
      </c>
      <c r="V59" s="45">
        <v>50</v>
      </c>
      <c r="W59" s="45">
        <v>30</v>
      </c>
      <c r="X59" s="45">
        <v>100</v>
      </c>
      <c r="Y59" s="45">
        <v>220</v>
      </c>
      <c r="Z59" s="45">
        <v>220</v>
      </c>
      <c r="AA59" s="45">
        <v>160</v>
      </c>
      <c r="AB59" s="45">
        <v>160</v>
      </c>
      <c r="AC59" s="45">
        <v>60</v>
      </c>
      <c r="AD59" s="45">
        <v>15</v>
      </c>
      <c r="AE59" s="45">
        <v>0</v>
      </c>
      <c r="AF59" s="45">
        <v>0</v>
      </c>
      <c r="AG59" s="52">
        <v>456</v>
      </c>
      <c r="AH59" s="47">
        <f t="shared" si="2"/>
        <v>220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28</v>
      </c>
      <c r="C60" s="65">
        <v>28</v>
      </c>
      <c r="D60" s="65">
        <v>28</v>
      </c>
      <c r="E60" s="65">
        <v>28</v>
      </c>
      <c r="F60" s="65">
        <v>28</v>
      </c>
      <c r="G60" s="65">
        <v>28</v>
      </c>
      <c r="H60" s="65">
        <v>28</v>
      </c>
      <c r="I60" s="65">
        <v>28</v>
      </c>
      <c r="J60" s="65">
        <v>28</v>
      </c>
      <c r="K60" s="65">
        <v>28</v>
      </c>
      <c r="L60" s="65">
        <v>28</v>
      </c>
      <c r="M60" s="65">
        <v>28</v>
      </c>
      <c r="N60" s="65">
        <v>28</v>
      </c>
      <c r="O60" s="65">
        <v>28</v>
      </c>
      <c r="P60" s="65">
        <v>28</v>
      </c>
      <c r="Q60" s="65">
        <v>28</v>
      </c>
      <c r="R60" s="65">
        <v>28</v>
      </c>
      <c r="S60" s="65">
        <v>28</v>
      </c>
      <c r="T60" s="65">
        <v>28</v>
      </c>
      <c r="U60" s="65">
        <v>28</v>
      </c>
      <c r="V60" s="65">
        <v>28</v>
      </c>
      <c r="W60" s="65">
        <v>28</v>
      </c>
      <c r="X60" s="65">
        <v>28</v>
      </c>
      <c r="Y60" s="65">
        <v>28</v>
      </c>
      <c r="Z60" s="65">
        <v>28</v>
      </c>
      <c r="AA60" s="65">
        <v>28</v>
      </c>
      <c r="AB60" s="65">
        <v>28</v>
      </c>
      <c r="AC60" s="65">
        <v>28</v>
      </c>
      <c r="AD60" s="65">
        <v>28</v>
      </c>
      <c r="AE60" s="65">
        <v>28</v>
      </c>
      <c r="AF60" s="65">
        <v>28</v>
      </c>
      <c r="AG60" s="55">
        <v>60</v>
      </c>
      <c r="AH60" s="47">
        <f t="shared" si="2"/>
        <v>28</v>
      </c>
      <c r="AI60" s="48">
        <f t="shared" si="3"/>
        <v>28</v>
      </c>
      <c r="AK60" s="50"/>
    </row>
    <row r="61" spans="1:88" ht="15.75" thickBot="1" x14ac:dyDescent="0.3">
      <c r="A61" s="66" t="s">
        <v>61</v>
      </c>
      <c r="B61" s="67">
        <v>10.199999999999999</v>
      </c>
      <c r="C61" s="67">
        <v>10.199999999999999</v>
      </c>
      <c r="D61" s="67">
        <v>10.199999999999999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9</v>
      </c>
      <c r="J61" s="67">
        <v>9.1</v>
      </c>
      <c r="K61" s="67">
        <v>9</v>
      </c>
      <c r="L61" s="67">
        <v>9</v>
      </c>
      <c r="M61" s="67">
        <v>8.4</v>
      </c>
      <c r="N61" s="67">
        <v>8.3000000000000007</v>
      </c>
      <c r="O61" s="67">
        <v>8.1999999999999993</v>
      </c>
      <c r="P61" s="67">
        <v>8.1999999999999993</v>
      </c>
      <c r="Q61" s="67">
        <v>8.1</v>
      </c>
      <c r="R61" s="67">
        <v>8.1999999999999993</v>
      </c>
      <c r="S61" s="67">
        <v>8.1999999999999993</v>
      </c>
      <c r="T61" s="67">
        <v>8.1999999999999993</v>
      </c>
      <c r="U61" s="67">
        <v>8.1999999999999993</v>
      </c>
      <c r="V61" s="67">
        <v>8.1999999999999993</v>
      </c>
      <c r="W61" s="67">
        <v>8.1999999999999993</v>
      </c>
      <c r="X61" s="67">
        <v>8.1999999999999993</v>
      </c>
      <c r="Y61" s="67">
        <v>8.1999999999999993</v>
      </c>
      <c r="Z61" s="67">
        <v>8.1999999999999993</v>
      </c>
      <c r="AA61" s="67">
        <v>8.1999999999999993</v>
      </c>
      <c r="AB61" s="67">
        <v>15.1</v>
      </c>
      <c r="AC61" s="67">
        <v>15.2</v>
      </c>
      <c r="AD61" s="67">
        <v>9.1</v>
      </c>
      <c r="AE61" s="67">
        <v>9</v>
      </c>
      <c r="AF61" s="67">
        <v>9.1</v>
      </c>
      <c r="AG61" s="68">
        <v>22.1</v>
      </c>
      <c r="AH61" s="47">
        <f t="shared" si="2"/>
        <v>15.2</v>
      </c>
      <c r="AI61" s="48">
        <f t="shared" si="3"/>
        <v>8.1</v>
      </c>
      <c r="AK61" s="50"/>
    </row>
    <row r="62" spans="1:88" ht="15.75" thickBot="1" x14ac:dyDescent="0.3">
      <c r="A62" s="69" t="s">
        <v>62</v>
      </c>
      <c r="B62" s="60">
        <f t="shared" ref="B62:C62" si="8">SUM(B59:B61)</f>
        <v>38.200000000000003</v>
      </c>
      <c r="C62" s="60">
        <f t="shared" si="8"/>
        <v>38.200000000000003</v>
      </c>
      <c r="D62" s="60">
        <f t="shared" ref="D62" si="9">SUM(D59:D61)</f>
        <v>38.200000000000003</v>
      </c>
      <c r="E62" s="60">
        <f t="shared" ref="E62:AG62" si="10">SUM(E59:E61)</f>
        <v>38.200000000000003</v>
      </c>
      <c r="F62" s="60">
        <f t="shared" si="10"/>
        <v>38.200000000000003</v>
      </c>
      <c r="G62" s="60">
        <f t="shared" si="10"/>
        <v>63.2</v>
      </c>
      <c r="H62" s="60">
        <f t="shared" si="10"/>
        <v>63.2</v>
      </c>
      <c r="I62" s="60">
        <f t="shared" si="10"/>
        <v>87</v>
      </c>
      <c r="J62" s="60">
        <f t="shared" si="10"/>
        <v>237.1</v>
      </c>
      <c r="K62" s="60">
        <f t="shared" si="10"/>
        <v>177</v>
      </c>
      <c r="L62" s="60">
        <f t="shared" si="10"/>
        <v>227</v>
      </c>
      <c r="M62" s="60">
        <f t="shared" si="10"/>
        <v>256.39999999999998</v>
      </c>
      <c r="N62" s="60">
        <f t="shared" si="10"/>
        <v>236.3</v>
      </c>
      <c r="O62" s="60">
        <f t="shared" si="10"/>
        <v>176.2</v>
      </c>
      <c r="P62" s="60">
        <f t="shared" si="10"/>
        <v>106.2</v>
      </c>
      <c r="Q62" s="60">
        <f t="shared" si="10"/>
        <v>86.1</v>
      </c>
      <c r="R62" s="60">
        <f t="shared" si="10"/>
        <v>106.2</v>
      </c>
      <c r="S62" s="60">
        <f t="shared" si="10"/>
        <v>106.2</v>
      </c>
      <c r="T62" s="60">
        <f t="shared" si="10"/>
        <v>176.2</v>
      </c>
      <c r="U62" s="60">
        <f t="shared" ref="U62" si="11">SUM(U59:U61)</f>
        <v>136.19999999999999</v>
      </c>
      <c r="V62" s="60">
        <f t="shared" si="10"/>
        <v>86.2</v>
      </c>
      <c r="W62" s="60">
        <f t="shared" si="10"/>
        <v>66.2</v>
      </c>
      <c r="X62" s="60">
        <f t="shared" si="10"/>
        <v>136.19999999999999</v>
      </c>
      <c r="Y62" s="60">
        <f>SUM(Y59:Y61)</f>
        <v>256.2</v>
      </c>
      <c r="Z62" s="60">
        <f>SUM(Z59:Z61)</f>
        <v>256.2</v>
      </c>
      <c r="AA62" s="60">
        <f t="shared" si="10"/>
        <v>196.2</v>
      </c>
      <c r="AB62" s="60">
        <f t="shared" si="10"/>
        <v>203.1</v>
      </c>
      <c r="AC62" s="60">
        <f t="shared" si="10"/>
        <v>103.2</v>
      </c>
      <c r="AD62" s="60">
        <f t="shared" si="10"/>
        <v>52.1</v>
      </c>
      <c r="AE62" s="60">
        <f t="shared" ref="AE62:AF62" si="12">SUM(AE59:AE61)</f>
        <v>37</v>
      </c>
      <c r="AF62" s="60">
        <f t="shared" si="12"/>
        <v>37.1</v>
      </c>
      <c r="AG62" s="61">
        <f t="shared" si="10"/>
        <v>538.1</v>
      </c>
      <c r="AH62" s="47">
        <f t="shared" si="2"/>
        <v>256.39999999999998</v>
      </c>
      <c r="AI62" s="48">
        <f t="shared" si="3"/>
        <v>37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32.799999999999997</v>
      </c>
      <c r="I63" s="45">
        <v>60.8</v>
      </c>
      <c r="J63" s="45">
        <v>60.9</v>
      </c>
      <c r="K63" s="45">
        <v>93.1</v>
      </c>
      <c r="L63" s="45">
        <v>93.1</v>
      </c>
      <c r="M63" s="45">
        <v>93.1</v>
      </c>
      <c r="N63" s="45">
        <v>97.3</v>
      </c>
      <c r="O63" s="45">
        <v>97.8</v>
      </c>
      <c r="P63" s="45">
        <v>97.5</v>
      </c>
      <c r="Q63" s="45">
        <v>61.2</v>
      </c>
      <c r="R63" s="45">
        <v>60.9</v>
      </c>
      <c r="S63" s="45">
        <v>60.9</v>
      </c>
      <c r="T63" s="45">
        <v>60.9</v>
      </c>
      <c r="U63" s="45">
        <v>60.9</v>
      </c>
      <c r="V63" s="45">
        <v>60.9</v>
      </c>
      <c r="W63" s="45">
        <v>60.9</v>
      </c>
      <c r="X63" s="45">
        <v>87</v>
      </c>
      <c r="Y63" s="45">
        <v>142.1</v>
      </c>
      <c r="Z63" s="45">
        <v>142.1</v>
      </c>
      <c r="AA63" s="45">
        <v>131.69999999999999</v>
      </c>
      <c r="AB63" s="45">
        <v>92.2</v>
      </c>
      <c r="AC63" s="45">
        <v>61.9</v>
      </c>
      <c r="AD63" s="45">
        <v>61.1</v>
      </c>
      <c r="AE63" s="45">
        <v>0</v>
      </c>
      <c r="AF63" s="45">
        <v>0</v>
      </c>
      <c r="AG63" s="52">
        <v>144</v>
      </c>
      <c r="AH63" s="47">
        <f t="shared" si="2"/>
        <v>142.1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23</v>
      </c>
      <c r="J64" s="65">
        <v>23</v>
      </c>
      <c r="K64" s="65">
        <v>45</v>
      </c>
      <c r="L64" s="65">
        <v>45</v>
      </c>
      <c r="M64" s="65">
        <v>45</v>
      </c>
      <c r="N64" s="65">
        <v>45</v>
      </c>
      <c r="O64" s="65">
        <v>45</v>
      </c>
      <c r="P64" s="65">
        <v>45</v>
      </c>
      <c r="Q64" s="65">
        <v>45</v>
      </c>
      <c r="R64" s="65">
        <v>45</v>
      </c>
      <c r="S64" s="65">
        <v>55</v>
      </c>
      <c r="T64" s="65">
        <v>35</v>
      </c>
      <c r="U64" s="65">
        <v>35</v>
      </c>
      <c r="V64" s="65">
        <v>0</v>
      </c>
      <c r="W64" s="65">
        <v>0</v>
      </c>
      <c r="X64" s="65">
        <v>0</v>
      </c>
      <c r="Y64" s="65">
        <v>50</v>
      </c>
      <c r="Z64" s="65">
        <v>60</v>
      </c>
      <c r="AA64" s="65">
        <v>45</v>
      </c>
      <c r="AB64" s="45">
        <v>24.6</v>
      </c>
      <c r="AC64" s="45">
        <v>24.6</v>
      </c>
      <c r="AD64" s="65">
        <v>24.6</v>
      </c>
      <c r="AE64" s="65">
        <v>25</v>
      </c>
      <c r="AF64" s="65">
        <v>0</v>
      </c>
      <c r="AG64" s="55">
        <v>70</v>
      </c>
      <c r="AH64" s="47">
        <f t="shared" si="2"/>
        <v>60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16.3</v>
      </c>
      <c r="G65" s="65">
        <v>38</v>
      </c>
      <c r="H65" s="65">
        <v>36.5</v>
      </c>
      <c r="I65" s="65">
        <v>36.6</v>
      </c>
      <c r="J65" s="65">
        <v>36.6</v>
      </c>
      <c r="K65" s="65">
        <v>35.799999999999997</v>
      </c>
      <c r="L65" s="65">
        <v>35.799999999999997</v>
      </c>
      <c r="M65" s="65">
        <v>35.799999999999997</v>
      </c>
      <c r="N65" s="65">
        <v>46.1</v>
      </c>
      <c r="O65" s="65">
        <v>46.8</v>
      </c>
      <c r="P65" s="65">
        <v>33.700000000000003</v>
      </c>
      <c r="Q65" s="65">
        <v>31.9</v>
      </c>
      <c r="R65" s="65">
        <v>22.9</v>
      </c>
      <c r="S65" s="65">
        <v>16.3</v>
      </c>
      <c r="T65" s="65">
        <v>16.3</v>
      </c>
      <c r="U65" s="65">
        <v>16.3</v>
      </c>
      <c r="V65" s="65">
        <v>16.3</v>
      </c>
      <c r="W65" s="65">
        <v>16.3</v>
      </c>
      <c r="X65" s="65">
        <v>59.8</v>
      </c>
      <c r="Y65" s="65">
        <v>68.099999999999994</v>
      </c>
      <c r="Z65" s="65">
        <v>68.099999999999994</v>
      </c>
      <c r="AA65" s="65">
        <v>68.099999999999994</v>
      </c>
      <c r="AB65" s="45">
        <v>69.5</v>
      </c>
      <c r="AC65" s="45">
        <v>60</v>
      </c>
      <c r="AD65" s="65">
        <v>52.5</v>
      </c>
      <c r="AE65" s="65">
        <v>35.5</v>
      </c>
      <c r="AF65" s="65">
        <v>0</v>
      </c>
      <c r="AG65" s="55">
        <v>69</v>
      </c>
      <c r="AH65" s="47">
        <f t="shared" si="2"/>
        <v>69.5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37.299999999999997</v>
      </c>
      <c r="C66" s="65">
        <v>37.299999999999997</v>
      </c>
      <c r="D66" s="65">
        <v>37.299999999999997</v>
      </c>
      <c r="E66" s="65">
        <v>38</v>
      </c>
      <c r="F66" s="65">
        <v>38</v>
      </c>
      <c r="G66" s="65">
        <v>39</v>
      </c>
      <c r="H66" s="65">
        <v>39</v>
      </c>
      <c r="I66" s="65">
        <v>39</v>
      </c>
      <c r="J66" s="65">
        <v>39</v>
      </c>
      <c r="K66" s="57">
        <v>39</v>
      </c>
      <c r="L66" s="57">
        <v>39</v>
      </c>
      <c r="M66" s="57">
        <v>39</v>
      </c>
      <c r="N66" s="65">
        <v>39</v>
      </c>
      <c r="O66" s="65">
        <v>37.799999999999997</v>
      </c>
      <c r="P66" s="65">
        <v>38.299999999999997</v>
      </c>
      <c r="Q66" s="65">
        <v>39</v>
      </c>
      <c r="R66" s="65">
        <v>39</v>
      </c>
      <c r="S66" s="65">
        <v>39</v>
      </c>
      <c r="T66" s="65">
        <v>39</v>
      </c>
      <c r="U66" s="65">
        <v>39</v>
      </c>
      <c r="V66" s="65">
        <v>39</v>
      </c>
      <c r="W66" s="65">
        <v>39</v>
      </c>
      <c r="X66" s="65">
        <v>39</v>
      </c>
      <c r="Y66" s="65">
        <v>38</v>
      </c>
      <c r="Z66" s="65">
        <v>38</v>
      </c>
      <c r="AA66" s="65">
        <v>38</v>
      </c>
      <c r="AB66" s="45">
        <v>30</v>
      </c>
      <c r="AC66" s="45">
        <v>30.2</v>
      </c>
      <c r="AD66" s="65">
        <v>31</v>
      </c>
      <c r="AE66" s="65">
        <v>42.1</v>
      </c>
      <c r="AF66" s="65">
        <v>40.1</v>
      </c>
      <c r="AG66" s="55">
        <v>60</v>
      </c>
      <c r="AH66" s="47">
        <f t="shared" si="2"/>
        <v>42.1</v>
      </c>
      <c r="AI66" s="48">
        <f t="shared" si="3"/>
        <v>30</v>
      </c>
      <c r="AK66" s="50"/>
    </row>
    <row r="67" spans="1:41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15</v>
      </c>
      <c r="K67" s="57">
        <v>23</v>
      </c>
      <c r="L67" s="57">
        <v>23</v>
      </c>
      <c r="M67" s="57">
        <v>23</v>
      </c>
      <c r="N67" s="65">
        <v>23</v>
      </c>
      <c r="O67" s="65">
        <v>10</v>
      </c>
      <c r="P67" s="65">
        <v>10</v>
      </c>
      <c r="Q67" s="65">
        <v>10</v>
      </c>
      <c r="R67" s="65">
        <v>10</v>
      </c>
      <c r="S67" s="65">
        <v>0</v>
      </c>
      <c r="T67" s="65">
        <v>0</v>
      </c>
      <c r="U67" s="65">
        <v>0</v>
      </c>
      <c r="V67" s="65">
        <v>10</v>
      </c>
      <c r="W67" s="65">
        <v>10</v>
      </c>
      <c r="X67" s="65">
        <v>15</v>
      </c>
      <c r="Y67" s="65">
        <v>28</v>
      </c>
      <c r="Z67" s="65">
        <v>28</v>
      </c>
      <c r="AA67" s="65">
        <v>23</v>
      </c>
      <c r="AB67" s="45">
        <v>15</v>
      </c>
      <c r="AC67" s="45">
        <v>10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0.3</v>
      </c>
      <c r="L68" s="65">
        <v>1.1000000000000001</v>
      </c>
      <c r="M68" s="65">
        <v>5</v>
      </c>
      <c r="N68" s="65">
        <v>5.3</v>
      </c>
      <c r="O68" s="65">
        <v>11</v>
      </c>
      <c r="P68" s="65">
        <v>12.3</v>
      </c>
      <c r="Q68" s="65">
        <v>14.1</v>
      </c>
      <c r="R68" s="65">
        <v>13.8</v>
      </c>
      <c r="S68" s="65">
        <v>13.8</v>
      </c>
      <c r="T68" s="65">
        <v>8.4</v>
      </c>
      <c r="U68" s="65">
        <v>5</v>
      </c>
      <c r="V68" s="65">
        <v>1.2</v>
      </c>
      <c r="W68" s="65">
        <v>0.3</v>
      </c>
      <c r="X68" s="65">
        <v>0</v>
      </c>
      <c r="Y68" s="65">
        <v>0</v>
      </c>
      <c r="Z68" s="65">
        <v>0</v>
      </c>
      <c r="AA68" s="6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14.1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9.8000000000000007</v>
      </c>
      <c r="D71" s="65">
        <v>9.8000000000000007</v>
      </c>
      <c r="E71" s="65">
        <v>9.8000000000000007</v>
      </c>
      <c r="F71" s="65">
        <v>9.8000000000000007</v>
      </c>
      <c r="G71" s="65">
        <v>9.8000000000000007</v>
      </c>
      <c r="H71" s="65">
        <v>9.8000000000000007</v>
      </c>
      <c r="I71" s="65">
        <v>9.8000000000000007</v>
      </c>
      <c r="J71" s="65">
        <v>9.8000000000000007</v>
      </c>
      <c r="K71" s="65">
        <v>9.8000000000000007</v>
      </c>
      <c r="L71" s="65">
        <v>9.8000000000000007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9.9</v>
      </c>
      <c r="AF71" s="65">
        <v>10</v>
      </c>
      <c r="AG71" s="55">
        <v>14.1</v>
      </c>
      <c r="AH71" s="47">
        <f t="shared" si="2"/>
        <v>10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4.9000000000000004</v>
      </c>
      <c r="AF72" s="65">
        <v>5.0999999999999996</v>
      </c>
      <c r="AG72" s="55">
        <v>14</v>
      </c>
      <c r="AH72" s="47">
        <f t="shared" si="2"/>
        <v>5.0999999999999996</v>
      </c>
      <c r="AI72" s="48">
        <f t="shared" si="3"/>
        <v>0</v>
      </c>
      <c r="AK72" s="50"/>
    </row>
    <row r="73" spans="1:41" x14ac:dyDescent="0.25">
      <c r="A73" s="54" t="s">
        <v>73</v>
      </c>
      <c r="B73" s="65">
        <v>4</v>
      </c>
      <c r="C73" s="65">
        <v>4</v>
      </c>
      <c r="D73" s="65">
        <v>4</v>
      </c>
      <c r="E73" s="65">
        <v>4</v>
      </c>
      <c r="F73" s="65">
        <v>4</v>
      </c>
      <c r="G73" s="65">
        <v>4</v>
      </c>
      <c r="H73" s="65">
        <v>4</v>
      </c>
      <c r="I73" s="65">
        <v>4</v>
      </c>
      <c r="J73" s="65">
        <v>4</v>
      </c>
      <c r="K73" s="65">
        <v>4</v>
      </c>
      <c r="L73" s="65">
        <v>4</v>
      </c>
      <c r="M73" s="65">
        <v>4</v>
      </c>
      <c r="N73" s="65">
        <v>4</v>
      </c>
      <c r="O73" s="65">
        <v>4</v>
      </c>
      <c r="P73" s="65">
        <v>4</v>
      </c>
      <c r="Q73" s="65">
        <v>4</v>
      </c>
      <c r="R73" s="65">
        <v>4</v>
      </c>
      <c r="S73" s="65">
        <v>4</v>
      </c>
      <c r="T73" s="65">
        <v>4</v>
      </c>
      <c r="U73" s="65">
        <v>4</v>
      </c>
      <c r="V73" s="65">
        <v>4</v>
      </c>
      <c r="W73" s="65">
        <v>4</v>
      </c>
      <c r="X73" s="65">
        <v>4</v>
      </c>
      <c r="Y73" s="65">
        <v>4</v>
      </c>
      <c r="Z73" s="65">
        <v>4</v>
      </c>
      <c r="AA73" s="65">
        <v>4</v>
      </c>
      <c r="AB73" s="65">
        <v>4</v>
      </c>
      <c r="AC73" s="65">
        <v>4</v>
      </c>
      <c r="AD73" s="65">
        <v>4</v>
      </c>
      <c r="AE73" s="65">
        <v>4</v>
      </c>
      <c r="AF73" s="65">
        <v>4</v>
      </c>
      <c r="AG73" s="55">
        <v>10.050000000000001</v>
      </c>
      <c r="AH73" s="47">
        <f t="shared" si="2"/>
        <v>4</v>
      </c>
      <c r="AI73" s="48">
        <f t="shared" si="3"/>
        <v>4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4.5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13">SUM(B63:B75)</f>
        <v>75.64</v>
      </c>
      <c r="C76" s="60">
        <f t="shared" si="13"/>
        <v>75.64</v>
      </c>
      <c r="D76" s="60">
        <f t="shared" ref="D76" si="14">SUM(D63:D75)</f>
        <v>75.64</v>
      </c>
      <c r="E76" s="60">
        <f t="shared" ref="E76:AG76" si="15">SUM(E63:E75)</f>
        <v>76.34</v>
      </c>
      <c r="F76" s="60">
        <f t="shared" si="15"/>
        <v>92.64</v>
      </c>
      <c r="G76" s="60">
        <f t="shared" si="15"/>
        <v>115.34</v>
      </c>
      <c r="H76" s="60">
        <f t="shared" si="15"/>
        <v>146.63999999999999</v>
      </c>
      <c r="I76" s="60">
        <f t="shared" si="15"/>
        <v>197.74</v>
      </c>
      <c r="J76" s="60">
        <f t="shared" si="15"/>
        <v>212.84</v>
      </c>
      <c r="K76" s="60">
        <f t="shared" si="15"/>
        <v>274.54000000000002</v>
      </c>
      <c r="L76" s="60">
        <f t="shared" si="15"/>
        <v>275.33999999999997</v>
      </c>
      <c r="M76" s="60">
        <f t="shared" si="15"/>
        <v>282.44</v>
      </c>
      <c r="N76" s="60">
        <f t="shared" si="15"/>
        <v>297.24000000000007</v>
      </c>
      <c r="O76" s="60">
        <f t="shared" si="15"/>
        <v>289.94000000000005</v>
      </c>
      <c r="P76" s="60">
        <f t="shared" si="15"/>
        <v>278.34000000000003</v>
      </c>
      <c r="Q76" s="60">
        <f t="shared" si="15"/>
        <v>242.73999999999998</v>
      </c>
      <c r="R76" s="60">
        <f t="shared" si="15"/>
        <v>233.14000000000001</v>
      </c>
      <c r="S76" s="60">
        <f t="shared" si="15"/>
        <v>226.74000000000004</v>
      </c>
      <c r="T76" s="60">
        <f t="shared" si="15"/>
        <v>201.34</v>
      </c>
      <c r="U76" s="60">
        <f t="shared" si="15"/>
        <v>197.94</v>
      </c>
      <c r="V76" s="60">
        <f t="shared" si="15"/>
        <v>169.14000000000001</v>
      </c>
      <c r="W76" s="60">
        <f t="shared" si="15"/>
        <v>168.24</v>
      </c>
      <c r="X76" s="60">
        <f t="shared" si="15"/>
        <v>242.54000000000002</v>
      </c>
      <c r="Y76" s="60">
        <f>SUM(Y63:Y75)</f>
        <v>368.9</v>
      </c>
      <c r="Z76" s="60">
        <f>SUM(Z63:Z75)</f>
        <v>379.9</v>
      </c>
      <c r="AA76" s="60">
        <f t="shared" si="15"/>
        <v>347.53999999999996</v>
      </c>
      <c r="AB76" s="60">
        <f t="shared" si="15"/>
        <v>273.04000000000002</v>
      </c>
      <c r="AC76" s="60">
        <f t="shared" si="15"/>
        <v>228.44</v>
      </c>
      <c r="AD76" s="60">
        <f t="shared" si="15"/>
        <v>220.94</v>
      </c>
      <c r="AE76" s="60">
        <f t="shared" ref="AE76:AF76" si="16">SUM(AE63:AE75)</f>
        <v>155.94</v>
      </c>
      <c r="AF76" s="60">
        <f t="shared" si="16"/>
        <v>93.74</v>
      </c>
      <c r="AG76" s="61">
        <f t="shared" si="15"/>
        <v>489.91</v>
      </c>
      <c r="AH76" s="47">
        <f t="shared" si="2"/>
        <v>379.9</v>
      </c>
      <c r="AI76" s="48">
        <f t="shared" si="3"/>
        <v>75.64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17">B77+B78+B79</f>
        <v>0</v>
      </c>
      <c r="C80" s="60">
        <f t="shared" si="17"/>
        <v>0</v>
      </c>
      <c r="D80" s="60">
        <f t="shared" ref="D80" si="18">D77+D78+D79</f>
        <v>0</v>
      </c>
      <c r="E80" s="60">
        <f t="shared" ref="E80:AD80" si="19">E77+E78+E79</f>
        <v>0</v>
      </c>
      <c r="F80" s="60">
        <f t="shared" si="19"/>
        <v>0</v>
      </c>
      <c r="G80" s="60">
        <f t="shared" si="19"/>
        <v>0</v>
      </c>
      <c r="H80" s="60">
        <f t="shared" si="19"/>
        <v>0</v>
      </c>
      <c r="I80" s="60">
        <f t="shared" si="19"/>
        <v>0</v>
      </c>
      <c r="J80" s="60">
        <f t="shared" si="19"/>
        <v>0</v>
      </c>
      <c r="K80" s="60">
        <f t="shared" si="19"/>
        <v>0</v>
      </c>
      <c r="L80" s="60">
        <f t="shared" si="19"/>
        <v>0</v>
      </c>
      <c r="M80" s="60">
        <f t="shared" si="19"/>
        <v>0</v>
      </c>
      <c r="N80" s="60">
        <f t="shared" si="19"/>
        <v>0</v>
      </c>
      <c r="O80" s="60">
        <f t="shared" si="19"/>
        <v>0</v>
      </c>
      <c r="P80" s="60">
        <f t="shared" si="19"/>
        <v>0</v>
      </c>
      <c r="Q80" s="60">
        <f t="shared" si="19"/>
        <v>0</v>
      </c>
      <c r="R80" s="60">
        <f t="shared" si="19"/>
        <v>0</v>
      </c>
      <c r="S80" s="60">
        <f t="shared" si="19"/>
        <v>0</v>
      </c>
      <c r="T80" s="60">
        <f t="shared" si="19"/>
        <v>0</v>
      </c>
      <c r="U80" s="60">
        <f t="shared" si="19"/>
        <v>0</v>
      </c>
      <c r="V80" s="60">
        <f t="shared" si="19"/>
        <v>0</v>
      </c>
      <c r="W80" s="60">
        <f t="shared" si="19"/>
        <v>0</v>
      </c>
      <c r="X80" s="60">
        <f t="shared" si="19"/>
        <v>0</v>
      </c>
      <c r="Y80" s="60">
        <f>Y77+Y78+Y79</f>
        <v>0</v>
      </c>
      <c r="Z80" s="60">
        <f>Z77+Z78+Z79</f>
        <v>0</v>
      </c>
      <c r="AA80" s="60">
        <f t="shared" si="19"/>
        <v>0</v>
      </c>
      <c r="AB80" s="60">
        <f t="shared" si="19"/>
        <v>0</v>
      </c>
      <c r="AC80" s="60">
        <f t="shared" si="19"/>
        <v>0</v>
      </c>
      <c r="AD80" s="60">
        <f t="shared" si="19"/>
        <v>0</v>
      </c>
      <c r="AE80" s="60">
        <f t="shared" ref="AE80:AF80" si="20">AE77+AE78+AE79</f>
        <v>0</v>
      </c>
      <c r="AF80" s="60">
        <f t="shared" si="20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66</v>
      </c>
      <c r="C81" s="45">
        <v>62.7</v>
      </c>
      <c r="D81" s="45">
        <v>66.900000000000006</v>
      </c>
      <c r="E81" s="45">
        <v>66.5</v>
      </c>
      <c r="F81" s="45">
        <v>65.599999999999994</v>
      </c>
      <c r="G81" s="45">
        <v>59.3</v>
      </c>
      <c r="H81" s="45">
        <v>56.5</v>
      </c>
      <c r="I81" s="45">
        <v>67.900000000000006</v>
      </c>
      <c r="J81" s="45">
        <v>74.2</v>
      </c>
      <c r="K81" s="45">
        <v>67.400000000000006</v>
      </c>
      <c r="L81" s="45">
        <v>65</v>
      </c>
      <c r="M81" s="45">
        <v>62</v>
      </c>
      <c r="N81" s="45">
        <v>64</v>
      </c>
      <c r="O81" s="45">
        <v>61.8</v>
      </c>
      <c r="P81" s="45">
        <v>60.2</v>
      </c>
      <c r="Q81" s="45">
        <v>55</v>
      </c>
      <c r="R81" s="45">
        <v>55.2</v>
      </c>
      <c r="S81" s="45">
        <v>55.5</v>
      </c>
      <c r="T81" s="45">
        <v>58</v>
      </c>
      <c r="U81" s="45">
        <v>70</v>
      </c>
      <c r="V81" s="45">
        <v>60.5</v>
      </c>
      <c r="W81" s="45">
        <v>68.7</v>
      </c>
      <c r="X81" s="45">
        <v>70.5</v>
      </c>
      <c r="Y81" s="45">
        <v>67.099999999999994</v>
      </c>
      <c r="Z81" s="45">
        <v>68.599999999999994</v>
      </c>
      <c r="AA81" s="45">
        <v>71.900000000000006</v>
      </c>
      <c r="AB81" s="45">
        <v>65.599999999999994</v>
      </c>
      <c r="AC81" s="45">
        <v>61</v>
      </c>
      <c r="AD81" s="45">
        <v>56</v>
      </c>
      <c r="AE81" s="45">
        <v>64</v>
      </c>
      <c r="AF81" s="45">
        <v>63.5</v>
      </c>
      <c r="AG81" s="52"/>
      <c r="AH81" s="47">
        <f t="shared" si="2"/>
        <v>74.2</v>
      </c>
      <c r="AI81" s="48">
        <f t="shared" si="3"/>
        <v>55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392</v>
      </c>
      <c r="C83" s="65">
        <v>420</v>
      </c>
      <c r="D83" s="65">
        <v>394</v>
      </c>
      <c r="E83" s="65">
        <v>400</v>
      </c>
      <c r="F83" s="65">
        <v>390</v>
      </c>
      <c r="G83" s="65">
        <v>396</v>
      </c>
      <c r="H83" s="65">
        <v>408</v>
      </c>
      <c r="I83" s="65">
        <v>380</v>
      </c>
      <c r="J83" s="65">
        <v>264</v>
      </c>
      <c r="K83" s="65">
        <v>234</v>
      </c>
      <c r="L83" s="65">
        <v>226</v>
      </c>
      <c r="M83" s="65">
        <v>230</v>
      </c>
      <c r="N83" s="65">
        <v>260</v>
      </c>
      <c r="O83" s="65">
        <v>352</v>
      </c>
      <c r="P83" s="65">
        <v>406</v>
      </c>
      <c r="Q83" s="65">
        <v>390</v>
      </c>
      <c r="R83" s="65">
        <v>366</v>
      </c>
      <c r="S83" s="65">
        <v>402</v>
      </c>
      <c r="T83" s="65">
        <v>390</v>
      </c>
      <c r="U83" s="65">
        <v>400</v>
      </c>
      <c r="V83" s="65">
        <v>380</v>
      </c>
      <c r="W83" s="65">
        <v>409.1</v>
      </c>
      <c r="X83" s="65">
        <v>383</v>
      </c>
      <c r="Y83" s="65">
        <v>271</v>
      </c>
      <c r="Z83" s="65">
        <v>237</v>
      </c>
      <c r="AA83" s="65">
        <v>244</v>
      </c>
      <c r="AB83" s="65">
        <v>246.8</v>
      </c>
      <c r="AC83" s="65">
        <v>349.7</v>
      </c>
      <c r="AD83" s="65">
        <v>390.4</v>
      </c>
      <c r="AE83" s="65">
        <v>388.9</v>
      </c>
      <c r="AF83" s="65">
        <v>402.5</v>
      </c>
      <c r="AG83" s="75"/>
      <c r="AH83" s="47">
        <f t="shared" si="2"/>
        <v>420</v>
      </c>
      <c r="AI83" s="48">
        <f t="shared" si="3"/>
        <v>226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65"/>
      <c r="AE84" s="65"/>
      <c r="AF84" s="65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113</v>
      </c>
      <c r="C85" s="45">
        <v>123.6</v>
      </c>
      <c r="D85" s="45">
        <v>102.6</v>
      </c>
      <c r="E85" s="45">
        <v>124</v>
      </c>
      <c r="F85" s="45">
        <v>92</v>
      </c>
      <c r="G85" s="45">
        <v>112.4</v>
      </c>
      <c r="H85" s="45">
        <v>108.8</v>
      </c>
      <c r="I85" s="45">
        <v>125.8</v>
      </c>
      <c r="J85" s="45">
        <v>120.2</v>
      </c>
      <c r="K85" s="45">
        <v>56.2</v>
      </c>
      <c r="L85" s="45">
        <v>56.2</v>
      </c>
      <c r="M85" s="45">
        <v>52</v>
      </c>
      <c r="N85" s="45">
        <v>0</v>
      </c>
      <c r="O85" s="45">
        <v>0</v>
      </c>
      <c r="P85" s="45">
        <v>0</v>
      </c>
      <c r="Q85" s="45">
        <v>98</v>
      </c>
      <c r="R85" s="45">
        <v>97</v>
      </c>
      <c r="S85" s="45">
        <v>102</v>
      </c>
      <c r="T85" s="45">
        <v>105</v>
      </c>
      <c r="U85" s="45">
        <v>99</v>
      </c>
      <c r="V85" s="45">
        <v>56</v>
      </c>
      <c r="W85" s="45">
        <v>46</v>
      </c>
      <c r="X85" s="45">
        <v>49</v>
      </c>
      <c r="Y85" s="45">
        <v>56</v>
      </c>
      <c r="Z85" s="45">
        <v>52</v>
      </c>
      <c r="AA85" s="45">
        <v>53</v>
      </c>
      <c r="AB85" s="45">
        <v>61</v>
      </c>
      <c r="AC85" s="45">
        <v>64.599999999999994</v>
      </c>
      <c r="AD85" s="45">
        <v>100</v>
      </c>
      <c r="AE85" s="45">
        <v>104</v>
      </c>
      <c r="AF85" s="45">
        <v>124</v>
      </c>
      <c r="AG85" s="75"/>
      <c r="AH85" s="47">
        <f t="shared" ref="AH85:AH130" si="21">MAX(B85:AF85)</f>
        <v>125.8</v>
      </c>
      <c r="AI85" s="48">
        <f t="shared" ref="AI85:AI130" si="22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1"/>
        <v>0</v>
      </c>
      <c r="AI86" s="48">
        <f t="shared" si="22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1"/>
        <v>0</v>
      </c>
      <c r="AI87" s="48">
        <f t="shared" si="22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1"/>
        <v>0</v>
      </c>
      <c r="AI88" s="48">
        <f t="shared" si="22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1"/>
        <v>0</v>
      </c>
      <c r="AI89" s="48">
        <f t="shared" si="22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1"/>
        <v>0</v>
      </c>
      <c r="AI90" s="48">
        <f t="shared" si="22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54</v>
      </c>
      <c r="K91" s="77">
        <v>57</v>
      </c>
      <c r="L91" s="77">
        <v>58</v>
      </c>
      <c r="M91" s="77">
        <v>51.7</v>
      </c>
      <c r="N91" s="77">
        <v>52.2</v>
      </c>
      <c r="O91" s="77">
        <v>61.2</v>
      </c>
      <c r="P91" s="77">
        <v>61.4</v>
      </c>
      <c r="Q91" s="77">
        <v>62.3</v>
      </c>
      <c r="R91" s="77">
        <v>63.1</v>
      </c>
      <c r="S91" s="77">
        <v>72.099999999999994</v>
      </c>
      <c r="T91" s="77">
        <v>74.2</v>
      </c>
      <c r="U91" s="77">
        <v>69</v>
      </c>
      <c r="V91" s="77">
        <v>49.1</v>
      </c>
      <c r="W91" s="77">
        <v>96</v>
      </c>
      <c r="X91" s="77">
        <v>51.7</v>
      </c>
      <c r="Y91" s="77">
        <v>57</v>
      </c>
      <c r="Z91" s="77">
        <v>55.5</v>
      </c>
      <c r="AA91" s="77">
        <v>53</v>
      </c>
      <c r="AB91" s="77">
        <v>51.2</v>
      </c>
      <c r="AC91" s="77">
        <v>52.2</v>
      </c>
      <c r="AD91" s="77">
        <v>59</v>
      </c>
      <c r="AE91" s="77">
        <v>65.599999999999994</v>
      </c>
      <c r="AF91" s="77">
        <v>62.5</v>
      </c>
      <c r="AG91" s="85"/>
      <c r="AH91" s="47">
        <f t="shared" si="21"/>
        <v>96</v>
      </c>
      <c r="AI91" s="48">
        <f t="shared" si="22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23">SUMIF(B81:B91,"&gt;0")</f>
        <v>571</v>
      </c>
      <c r="C92" s="60">
        <f t="shared" si="23"/>
        <v>606.29999999999995</v>
      </c>
      <c r="D92" s="60">
        <f t="shared" ref="D92" si="24">SUMIF(D81:D91,"&gt;0")</f>
        <v>563.5</v>
      </c>
      <c r="E92" s="60">
        <f t="shared" ref="E92:AD92" si="25">SUMIF(E81:E91,"&gt;0")</f>
        <v>590.5</v>
      </c>
      <c r="F92" s="60">
        <f t="shared" si="25"/>
        <v>547.6</v>
      </c>
      <c r="G92" s="60">
        <f t="shared" si="25"/>
        <v>567.70000000000005</v>
      </c>
      <c r="H92" s="60">
        <f t="shared" si="25"/>
        <v>573.29999999999995</v>
      </c>
      <c r="I92" s="60">
        <f t="shared" si="25"/>
        <v>573.69999999999993</v>
      </c>
      <c r="J92" s="60">
        <f t="shared" si="25"/>
        <v>512.4</v>
      </c>
      <c r="K92" s="60">
        <f t="shared" si="25"/>
        <v>414.59999999999997</v>
      </c>
      <c r="L92" s="60">
        <f t="shared" si="25"/>
        <v>405.2</v>
      </c>
      <c r="M92" s="60">
        <f t="shared" si="25"/>
        <v>395.7</v>
      </c>
      <c r="N92" s="60">
        <f t="shared" si="25"/>
        <v>376.2</v>
      </c>
      <c r="O92" s="60">
        <f t="shared" si="25"/>
        <v>475</v>
      </c>
      <c r="P92" s="60">
        <f t="shared" si="25"/>
        <v>527.6</v>
      </c>
      <c r="Q92" s="60">
        <f t="shared" si="25"/>
        <v>605.29999999999995</v>
      </c>
      <c r="R92" s="60">
        <f t="shared" si="25"/>
        <v>581.30000000000007</v>
      </c>
      <c r="S92" s="60">
        <f t="shared" si="25"/>
        <v>631.6</v>
      </c>
      <c r="T92" s="60">
        <f t="shared" si="25"/>
        <v>627.20000000000005</v>
      </c>
      <c r="U92" s="60">
        <f t="shared" si="25"/>
        <v>638</v>
      </c>
      <c r="V92" s="60">
        <f t="shared" si="25"/>
        <v>545.6</v>
      </c>
      <c r="W92" s="60">
        <f t="shared" si="25"/>
        <v>619.79999999999995</v>
      </c>
      <c r="X92" s="60">
        <f t="shared" si="25"/>
        <v>554.20000000000005</v>
      </c>
      <c r="Y92" s="60">
        <f>SUMIF(Y81:Y91,"&gt;0")</f>
        <v>451.1</v>
      </c>
      <c r="Z92" s="60">
        <f>SUMIF(Z81:Z91,"&gt;0")</f>
        <v>413.1</v>
      </c>
      <c r="AA92" s="60">
        <f t="shared" si="25"/>
        <v>421.9</v>
      </c>
      <c r="AB92" s="60">
        <f t="shared" si="25"/>
        <v>424.59999999999997</v>
      </c>
      <c r="AC92" s="60">
        <f t="shared" si="25"/>
        <v>527.5</v>
      </c>
      <c r="AD92" s="60">
        <f t="shared" si="25"/>
        <v>605.4</v>
      </c>
      <c r="AE92" s="60">
        <f t="shared" ref="AE92:AF92" si="26">SUMIF(AE81:AE91,"&gt;0")</f>
        <v>622.5</v>
      </c>
      <c r="AF92" s="60">
        <f t="shared" si="26"/>
        <v>652.5</v>
      </c>
      <c r="AG92" s="88">
        <f>SUM(AG81:AG91)</f>
        <v>0</v>
      </c>
      <c r="AH92" s="47">
        <f t="shared" si="21"/>
        <v>652.5</v>
      </c>
      <c r="AI92" s="48">
        <f t="shared" si="22"/>
        <v>376.2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1"/>
        <v>0</v>
      </c>
      <c r="AI93" s="48">
        <f t="shared" si="22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1"/>
        <v>0</v>
      </c>
      <c r="AI94" s="48">
        <f t="shared" si="22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1"/>
        <v>0</v>
      </c>
      <c r="AI95" s="48">
        <f t="shared" si="22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1"/>
        <v>0</v>
      </c>
      <c r="AI96" s="48">
        <f t="shared" si="22"/>
        <v>0</v>
      </c>
    </row>
    <row r="97" spans="1:37" ht="15.75" thickBot="1" x14ac:dyDescent="0.3">
      <c r="A97" s="74" t="s">
        <v>99</v>
      </c>
      <c r="B97" s="95">
        <f t="shared" ref="B97:C97" si="27">B58+B62+B80+B76+B92+B96</f>
        <v>1168.79</v>
      </c>
      <c r="C97" s="95">
        <f t="shared" si="27"/>
        <v>1204.0899999999999</v>
      </c>
      <c r="D97" s="95">
        <f t="shared" ref="D97" si="28">D58+D62+D80+D76+D92+D96</f>
        <v>1161.29</v>
      </c>
      <c r="E97" s="95">
        <f t="shared" ref="E97:AG97" si="29">E58+E62+E80+E76+E92+E96</f>
        <v>1188.99</v>
      </c>
      <c r="F97" s="95">
        <f t="shared" si="29"/>
        <v>1162.3899999999999</v>
      </c>
      <c r="G97" s="95">
        <f t="shared" si="29"/>
        <v>1230.19</v>
      </c>
      <c r="H97" s="95">
        <f t="shared" si="29"/>
        <v>1267.0899999999999</v>
      </c>
      <c r="I97" s="95">
        <f t="shared" si="29"/>
        <v>1342.3899999999999</v>
      </c>
      <c r="J97" s="95">
        <f t="shared" si="29"/>
        <v>1446.29</v>
      </c>
      <c r="K97" s="95">
        <f t="shared" si="29"/>
        <v>1350.09</v>
      </c>
      <c r="L97" s="95">
        <f t="shared" si="29"/>
        <v>1391.49</v>
      </c>
      <c r="M97" s="95">
        <f t="shared" si="29"/>
        <v>1418.49</v>
      </c>
      <c r="N97" s="95">
        <f t="shared" si="29"/>
        <v>1393.69</v>
      </c>
      <c r="O97" s="95">
        <f t="shared" si="29"/>
        <v>1425.0900000000001</v>
      </c>
      <c r="P97" s="95">
        <f t="shared" si="29"/>
        <v>1396.0900000000001</v>
      </c>
      <c r="Q97" s="95">
        <f t="shared" si="29"/>
        <v>1413.59</v>
      </c>
      <c r="R97" s="95">
        <f t="shared" si="29"/>
        <v>1400.0900000000001</v>
      </c>
      <c r="S97" s="95">
        <f t="shared" si="29"/>
        <v>1443.99</v>
      </c>
      <c r="T97" s="95">
        <f t="shared" si="29"/>
        <v>1484.19</v>
      </c>
      <c r="U97" s="95">
        <f t="shared" si="29"/>
        <v>1451.59</v>
      </c>
      <c r="V97" s="95">
        <f t="shared" si="29"/>
        <v>1280.3899999999999</v>
      </c>
      <c r="W97" s="95">
        <f t="shared" si="29"/>
        <v>1333.69</v>
      </c>
      <c r="X97" s="95">
        <f t="shared" si="29"/>
        <v>1412.39</v>
      </c>
      <c r="Y97" s="95">
        <f>Y58+Y62+Y80+Y76+Y92+Y96</f>
        <v>1555.65</v>
      </c>
      <c r="Z97" s="95">
        <f>Z58+Z62+Z80+Z76+Z92+Z96</f>
        <v>1528.65</v>
      </c>
      <c r="AA97" s="95">
        <f t="shared" si="29"/>
        <v>1445.09</v>
      </c>
      <c r="AB97" s="95">
        <f t="shared" si="29"/>
        <v>1383.8899999999999</v>
      </c>
      <c r="AC97" s="95">
        <f t="shared" si="29"/>
        <v>1342.29</v>
      </c>
      <c r="AD97" s="95">
        <f t="shared" si="29"/>
        <v>1361.5900000000001</v>
      </c>
      <c r="AE97" s="95">
        <f t="shared" ref="AE97:AF97" si="30">AE58+AE62+AE80+AE76+AE92+AE96</f>
        <v>1306.5899999999999</v>
      </c>
      <c r="AF97" s="95">
        <f t="shared" si="30"/>
        <v>1274.29</v>
      </c>
      <c r="AG97" s="61">
        <f t="shared" si="29"/>
        <v>2231.81</v>
      </c>
      <c r="AH97" s="47">
        <f t="shared" si="21"/>
        <v>1555.65</v>
      </c>
      <c r="AI97" s="48">
        <f t="shared" si="22"/>
        <v>1161.29</v>
      </c>
    </row>
    <row r="98" spans="1:37" ht="15.75" thickBot="1" x14ac:dyDescent="0.3">
      <c r="A98" s="96" t="s">
        <v>100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>
        <v>0</v>
      </c>
      <c r="J98" s="97"/>
      <c r="K98" s="97">
        <v>200</v>
      </c>
      <c r="L98" s="97">
        <v>250</v>
      </c>
      <c r="M98" s="97">
        <v>200</v>
      </c>
      <c r="N98" s="97">
        <v>200</v>
      </c>
      <c r="O98" s="97">
        <v>180</v>
      </c>
      <c r="P98" s="97">
        <v>160</v>
      </c>
      <c r="Q98" s="97"/>
      <c r="R98" s="97"/>
      <c r="S98" s="97"/>
      <c r="T98" s="97"/>
      <c r="U98" s="97"/>
      <c r="V98" s="97">
        <v>100</v>
      </c>
      <c r="W98" s="97">
        <v>150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/>
      <c r="AE98" s="97"/>
      <c r="AF98" s="97"/>
      <c r="AG98" s="88"/>
      <c r="AH98" s="47">
        <f t="shared" si="21"/>
        <v>250</v>
      </c>
      <c r="AI98" s="48">
        <f t="shared" si="22"/>
        <v>0</v>
      </c>
    </row>
    <row r="99" spans="1:37" ht="15.75" thickBot="1" x14ac:dyDescent="0.3">
      <c r="A99" s="74" t="s">
        <v>101</v>
      </c>
      <c r="B99" s="95">
        <f t="shared" ref="B99:C99" si="31">B97+B98</f>
        <v>1168.79</v>
      </c>
      <c r="C99" s="95">
        <f t="shared" si="31"/>
        <v>1204.0899999999999</v>
      </c>
      <c r="D99" s="95">
        <f t="shared" ref="D99" si="32">D97+D98</f>
        <v>1161.29</v>
      </c>
      <c r="E99" s="95">
        <f t="shared" ref="E99:AD99" si="33">E97+E98</f>
        <v>1188.99</v>
      </c>
      <c r="F99" s="95">
        <f t="shared" si="33"/>
        <v>1162.3899999999999</v>
      </c>
      <c r="G99" s="95">
        <f t="shared" si="33"/>
        <v>1230.19</v>
      </c>
      <c r="H99" s="95">
        <f t="shared" si="33"/>
        <v>1267.0899999999999</v>
      </c>
      <c r="I99" s="95">
        <f t="shared" si="33"/>
        <v>1342.3899999999999</v>
      </c>
      <c r="J99" s="95">
        <f t="shared" si="33"/>
        <v>1446.29</v>
      </c>
      <c r="K99" s="95">
        <f t="shared" si="33"/>
        <v>1550.09</v>
      </c>
      <c r="L99" s="95">
        <f t="shared" si="33"/>
        <v>1641.49</v>
      </c>
      <c r="M99" s="95">
        <f t="shared" si="33"/>
        <v>1618.49</v>
      </c>
      <c r="N99" s="95">
        <f t="shared" si="33"/>
        <v>1593.69</v>
      </c>
      <c r="O99" s="95">
        <f t="shared" si="33"/>
        <v>1605.0900000000001</v>
      </c>
      <c r="P99" s="95">
        <f t="shared" si="33"/>
        <v>1556.0900000000001</v>
      </c>
      <c r="Q99" s="95">
        <f t="shared" si="33"/>
        <v>1413.59</v>
      </c>
      <c r="R99" s="95">
        <f t="shared" si="33"/>
        <v>1400.0900000000001</v>
      </c>
      <c r="S99" s="95">
        <f t="shared" si="33"/>
        <v>1443.99</v>
      </c>
      <c r="T99" s="95">
        <f t="shared" si="33"/>
        <v>1484.19</v>
      </c>
      <c r="U99" s="95">
        <f t="shared" si="33"/>
        <v>1451.59</v>
      </c>
      <c r="V99" s="95">
        <f t="shared" si="33"/>
        <v>1380.3899999999999</v>
      </c>
      <c r="W99" s="95">
        <f t="shared" si="33"/>
        <v>1483.69</v>
      </c>
      <c r="X99" s="95">
        <f t="shared" si="33"/>
        <v>1662.39</v>
      </c>
      <c r="Y99" s="95">
        <f>Y97+Y98</f>
        <v>1805.65</v>
      </c>
      <c r="Z99" s="95">
        <f>Z97+Z98</f>
        <v>1778.65</v>
      </c>
      <c r="AA99" s="95">
        <f t="shared" si="33"/>
        <v>1695.09</v>
      </c>
      <c r="AB99" s="95">
        <f t="shared" si="33"/>
        <v>1633.8899999999999</v>
      </c>
      <c r="AC99" s="95">
        <f t="shared" si="33"/>
        <v>1592.29</v>
      </c>
      <c r="AD99" s="95">
        <f t="shared" si="33"/>
        <v>1361.5900000000001</v>
      </c>
      <c r="AE99" s="95">
        <f t="shared" ref="AE99:AF99" si="34">AE97+AE98</f>
        <v>1306.5899999999999</v>
      </c>
      <c r="AF99" s="95">
        <f t="shared" si="34"/>
        <v>1274.29</v>
      </c>
      <c r="AG99" s="88">
        <f>AG96+AG92+AG80+AG76+AG58+AG98</f>
        <v>1693.71</v>
      </c>
      <c r="AH99" s="47">
        <f t="shared" si="21"/>
        <v>1805.65</v>
      </c>
      <c r="AI99" s="48">
        <f t="shared" si="22"/>
        <v>1161.29</v>
      </c>
    </row>
    <row r="100" spans="1:37" ht="15.75" thickBot="1" x14ac:dyDescent="0.3">
      <c r="A100" s="74" t="s">
        <v>102</v>
      </c>
      <c r="B100" s="95">
        <f t="shared" ref="B100:C100" si="35">B99-(B107)</f>
        <v>1168.79</v>
      </c>
      <c r="C100" s="95">
        <f t="shared" si="35"/>
        <v>1204.0899999999999</v>
      </c>
      <c r="D100" s="95">
        <f t="shared" ref="D100" si="36">D99-(D107)</f>
        <v>1161.29</v>
      </c>
      <c r="E100" s="95">
        <f t="shared" ref="E100:M100" si="37">E99-(E107)</f>
        <v>1188.99</v>
      </c>
      <c r="F100" s="95">
        <f t="shared" si="37"/>
        <v>1162.3899999999999</v>
      </c>
      <c r="G100" s="95">
        <f t="shared" si="37"/>
        <v>1230.19</v>
      </c>
      <c r="H100" s="95">
        <f t="shared" si="37"/>
        <v>1267.0899999999999</v>
      </c>
      <c r="I100" s="95">
        <f t="shared" si="37"/>
        <v>1342.3899999999999</v>
      </c>
      <c r="J100" s="95">
        <f t="shared" si="37"/>
        <v>1446.29</v>
      </c>
      <c r="K100" s="95">
        <f t="shared" si="37"/>
        <v>1550.09</v>
      </c>
      <c r="L100" s="95">
        <f t="shared" si="37"/>
        <v>1641.49</v>
      </c>
      <c r="M100" s="95">
        <f t="shared" si="37"/>
        <v>1618.49</v>
      </c>
      <c r="N100" s="95">
        <f>N99-(N107)</f>
        <v>1593.69</v>
      </c>
      <c r="O100" s="95">
        <f t="shared" ref="O100:AD100" si="38">O99-(O107)</f>
        <v>1605.0900000000001</v>
      </c>
      <c r="P100" s="95">
        <f t="shared" si="38"/>
        <v>1556.0900000000001</v>
      </c>
      <c r="Q100" s="95">
        <f t="shared" si="38"/>
        <v>1413.59</v>
      </c>
      <c r="R100" s="95">
        <f t="shared" si="38"/>
        <v>1400.0900000000001</v>
      </c>
      <c r="S100" s="95">
        <f t="shared" si="38"/>
        <v>1443.99</v>
      </c>
      <c r="T100" s="95">
        <f t="shared" si="38"/>
        <v>1484.19</v>
      </c>
      <c r="U100" s="95">
        <f t="shared" si="38"/>
        <v>1451.59</v>
      </c>
      <c r="V100" s="95">
        <f t="shared" si="38"/>
        <v>1380.3899999999999</v>
      </c>
      <c r="W100" s="95">
        <f t="shared" si="38"/>
        <v>1483.69</v>
      </c>
      <c r="X100" s="95">
        <f t="shared" si="38"/>
        <v>1662.39</v>
      </c>
      <c r="Y100" s="95">
        <f t="shared" si="38"/>
        <v>1805.65</v>
      </c>
      <c r="Z100" s="95">
        <f t="shared" si="38"/>
        <v>1778.65</v>
      </c>
      <c r="AA100" s="95">
        <f t="shared" si="38"/>
        <v>1695.09</v>
      </c>
      <c r="AB100" s="95">
        <f t="shared" si="38"/>
        <v>1633.8899999999999</v>
      </c>
      <c r="AC100" s="95">
        <f t="shared" si="38"/>
        <v>1592.29</v>
      </c>
      <c r="AD100" s="95">
        <f t="shared" si="38"/>
        <v>1361.5900000000001</v>
      </c>
      <c r="AE100" s="95">
        <f t="shared" ref="AE100:AF100" si="39">AE99-(AE107)</f>
        <v>1306.5899999999999</v>
      </c>
      <c r="AF100" s="95">
        <f t="shared" si="39"/>
        <v>1274.29</v>
      </c>
      <c r="AG100" s="88"/>
      <c r="AH100" s="47">
        <f t="shared" si="21"/>
        <v>1805.65</v>
      </c>
      <c r="AI100" s="48">
        <f t="shared" si="22"/>
        <v>1161.29</v>
      </c>
    </row>
    <row r="101" spans="1:37" x14ac:dyDescent="0.25">
      <c r="A101" s="44" t="s">
        <v>84</v>
      </c>
      <c r="B101" s="76">
        <f t="shared" ref="B101:C101" si="40">IF(B84&lt;0,B84*-1,0)</f>
        <v>0</v>
      </c>
      <c r="C101" s="76">
        <f t="shared" si="40"/>
        <v>0</v>
      </c>
      <c r="D101" s="76">
        <f t="shared" ref="D101" si="41">IF(D84&lt;0,D84*-1,0)</f>
        <v>0</v>
      </c>
      <c r="E101" s="76">
        <f t="shared" ref="E101:AD101" si="42">IF(E84&lt;0,E84*-1,0)</f>
        <v>0</v>
      </c>
      <c r="F101" s="76">
        <f t="shared" si="42"/>
        <v>0</v>
      </c>
      <c r="G101" s="76">
        <f t="shared" si="42"/>
        <v>0</v>
      </c>
      <c r="H101" s="76">
        <f t="shared" si="42"/>
        <v>0</v>
      </c>
      <c r="I101" s="76">
        <f t="shared" si="42"/>
        <v>0</v>
      </c>
      <c r="J101" s="76">
        <f t="shared" si="42"/>
        <v>0</v>
      </c>
      <c r="K101" s="76">
        <f t="shared" si="42"/>
        <v>0</v>
      </c>
      <c r="L101" s="76">
        <f t="shared" si="42"/>
        <v>0</v>
      </c>
      <c r="M101" s="76">
        <f t="shared" si="42"/>
        <v>0</v>
      </c>
      <c r="N101" s="76">
        <f t="shared" si="42"/>
        <v>0</v>
      </c>
      <c r="O101" s="76">
        <f t="shared" si="42"/>
        <v>0</v>
      </c>
      <c r="P101" s="76">
        <f t="shared" si="42"/>
        <v>0</v>
      </c>
      <c r="Q101" s="76">
        <f t="shared" si="42"/>
        <v>0</v>
      </c>
      <c r="R101" s="76">
        <f t="shared" si="42"/>
        <v>0</v>
      </c>
      <c r="S101" s="76">
        <f t="shared" si="42"/>
        <v>0</v>
      </c>
      <c r="T101" s="76">
        <f t="shared" si="42"/>
        <v>0</v>
      </c>
      <c r="U101" s="76">
        <f t="shared" si="42"/>
        <v>0</v>
      </c>
      <c r="V101" s="76">
        <f t="shared" si="42"/>
        <v>0</v>
      </c>
      <c r="W101" s="76">
        <f t="shared" si="42"/>
        <v>0</v>
      </c>
      <c r="X101" s="76">
        <f t="shared" si="42"/>
        <v>0</v>
      </c>
      <c r="Y101" s="76">
        <f t="shared" si="42"/>
        <v>0</v>
      </c>
      <c r="Z101" s="76">
        <f t="shared" si="42"/>
        <v>0</v>
      </c>
      <c r="AA101" s="76">
        <f t="shared" si="42"/>
        <v>0</v>
      </c>
      <c r="AB101" s="76">
        <f t="shared" si="42"/>
        <v>0</v>
      </c>
      <c r="AC101" s="76">
        <f t="shared" si="42"/>
        <v>0</v>
      </c>
      <c r="AD101" s="76">
        <f t="shared" si="42"/>
        <v>0</v>
      </c>
      <c r="AE101" s="76">
        <f t="shared" ref="AE101:AF101" si="43">IF(AE84&lt;0,AE84*-1,0)</f>
        <v>0</v>
      </c>
      <c r="AF101" s="76">
        <f t="shared" si="43"/>
        <v>0</v>
      </c>
      <c r="AG101" s="52"/>
      <c r="AH101" s="47">
        <f t="shared" si="21"/>
        <v>0</v>
      </c>
      <c r="AI101" s="48">
        <f t="shared" si="22"/>
        <v>0</v>
      </c>
    </row>
    <row r="102" spans="1:37" x14ac:dyDescent="0.25">
      <c r="A102" s="54" t="s">
        <v>82</v>
      </c>
      <c r="B102" s="76">
        <f t="shared" ref="B102:C102" si="44">IF(B82&lt;0,B82*-1,0)</f>
        <v>0</v>
      </c>
      <c r="C102" s="76">
        <f t="shared" si="44"/>
        <v>0</v>
      </c>
      <c r="D102" s="76">
        <f t="shared" ref="D102" si="45">IF(D82&lt;0,D82*-1,0)</f>
        <v>0</v>
      </c>
      <c r="E102" s="76">
        <f t="shared" ref="E102:AD102" si="46">IF(E82&lt;0,E82*-1,0)</f>
        <v>0</v>
      </c>
      <c r="F102" s="76">
        <f t="shared" si="46"/>
        <v>0</v>
      </c>
      <c r="G102" s="76">
        <f t="shared" si="46"/>
        <v>0</v>
      </c>
      <c r="H102" s="76">
        <f t="shared" si="46"/>
        <v>0</v>
      </c>
      <c r="I102" s="76">
        <f t="shared" si="46"/>
        <v>0</v>
      </c>
      <c r="J102" s="76">
        <f t="shared" si="46"/>
        <v>0</v>
      </c>
      <c r="K102" s="76">
        <f t="shared" si="46"/>
        <v>0</v>
      </c>
      <c r="L102" s="76">
        <f t="shared" si="46"/>
        <v>0</v>
      </c>
      <c r="M102" s="76">
        <f t="shared" si="46"/>
        <v>0</v>
      </c>
      <c r="N102" s="76">
        <f t="shared" si="46"/>
        <v>0</v>
      </c>
      <c r="O102" s="76">
        <f t="shared" si="46"/>
        <v>0</v>
      </c>
      <c r="P102" s="76">
        <f t="shared" si="46"/>
        <v>0</v>
      </c>
      <c r="Q102" s="76">
        <f t="shared" si="46"/>
        <v>0</v>
      </c>
      <c r="R102" s="76">
        <f t="shared" si="46"/>
        <v>0</v>
      </c>
      <c r="S102" s="76">
        <f t="shared" si="46"/>
        <v>0</v>
      </c>
      <c r="T102" s="76">
        <f t="shared" si="46"/>
        <v>0</v>
      </c>
      <c r="U102" s="76">
        <f t="shared" si="46"/>
        <v>0</v>
      </c>
      <c r="V102" s="76">
        <f t="shared" si="46"/>
        <v>0</v>
      </c>
      <c r="W102" s="76">
        <f t="shared" si="46"/>
        <v>0</v>
      </c>
      <c r="X102" s="76">
        <f t="shared" si="46"/>
        <v>0</v>
      </c>
      <c r="Y102" s="76">
        <f t="shared" si="46"/>
        <v>0</v>
      </c>
      <c r="Z102" s="76">
        <f t="shared" si="46"/>
        <v>0</v>
      </c>
      <c r="AA102" s="76">
        <f t="shared" si="46"/>
        <v>0</v>
      </c>
      <c r="AB102" s="76">
        <f t="shared" si="46"/>
        <v>0</v>
      </c>
      <c r="AC102" s="76">
        <f t="shared" si="46"/>
        <v>0</v>
      </c>
      <c r="AD102" s="76">
        <f t="shared" si="46"/>
        <v>0</v>
      </c>
      <c r="AE102" s="76">
        <f t="shared" ref="AE102:AF102" si="47">IF(AE82&lt;0,AE82*-1,0)</f>
        <v>0</v>
      </c>
      <c r="AF102" s="76">
        <f t="shared" si="47"/>
        <v>0</v>
      </c>
      <c r="AG102" s="55"/>
      <c r="AH102" s="47">
        <f t="shared" si="21"/>
        <v>0</v>
      </c>
      <c r="AI102" s="48">
        <f t="shared" si="22"/>
        <v>0</v>
      </c>
    </row>
    <row r="103" spans="1:37" x14ac:dyDescent="0.25">
      <c r="A103" s="84" t="s">
        <v>103</v>
      </c>
      <c r="B103" s="76">
        <f t="shared" ref="B103:C103" si="48">IF(B85&lt;0,B85*-1,0)</f>
        <v>0</v>
      </c>
      <c r="C103" s="76">
        <f t="shared" si="48"/>
        <v>0</v>
      </c>
      <c r="D103" s="76">
        <f t="shared" ref="D103" si="49">IF(D85&lt;0,D85*-1,0)</f>
        <v>0</v>
      </c>
      <c r="E103" s="76">
        <f t="shared" ref="E103:AD103" si="50">IF(E85&lt;0,E85*-1,0)</f>
        <v>0</v>
      </c>
      <c r="F103" s="76">
        <f t="shared" si="50"/>
        <v>0</v>
      </c>
      <c r="G103" s="76">
        <f t="shared" si="50"/>
        <v>0</v>
      </c>
      <c r="H103" s="76">
        <f t="shared" si="50"/>
        <v>0</v>
      </c>
      <c r="I103" s="76">
        <f t="shared" si="50"/>
        <v>0</v>
      </c>
      <c r="J103" s="76">
        <f t="shared" si="50"/>
        <v>0</v>
      </c>
      <c r="K103" s="76">
        <f t="shared" si="50"/>
        <v>0</v>
      </c>
      <c r="L103" s="76">
        <f t="shared" si="50"/>
        <v>0</v>
      </c>
      <c r="M103" s="76">
        <f t="shared" si="50"/>
        <v>0</v>
      </c>
      <c r="N103" s="76">
        <f t="shared" si="50"/>
        <v>0</v>
      </c>
      <c r="O103" s="76">
        <f t="shared" si="50"/>
        <v>0</v>
      </c>
      <c r="P103" s="76">
        <f t="shared" si="50"/>
        <v>0</v>
      </c>
      <c r="Q103" s="76">
        <f t="shared" si="50"/>
        <v>0</v>
      </c>
      <c r="R103" s="76">
        <f t="shared" si="50"/>
        <v>0</v>
      </c>
      <c r="S103" s="76">
        <f t="shared" si="50"/>
        <v>0</v>
      </c>
      <c r="T103" s="76">
        <f t="shared" si="50"/>
        <v>0</v>
      </c>
      <c r="U103" s="76">
        <f t="shared" si="50"/>
        <v>0</v>
      </c>
      <c r="V103" s="76">
        <f t="shared" si="50"/>
        <v>0</v>
      </c>
      <c r="W103" s="76">
        <f t="shared" si="50"/>
        <v>0</v>
      </c>
      <c r="X103" s="76">
        <f t="shared" si="50"/>
        <v>0</v>
      </c>
      <c r="Y103" s="76">
        <f t="shared" si="50"/>
        <v>0</v>
      </c>
      <c r="Z103" s="76">
        <f t="shared" si="50"/>
        <v>0</v>
      </c>
      <c r="AA103" s="76">
        <f t="shared" si="50"/>
        <v>0</v>
      </c>
      <c r="AB103" s="76">
        <f t="shared" si="50"/>
        <v>0</v>
      </c>
      <c r="AC103" s="76">
        <f t="shared" si="50"/>
        <v>0</v>
      </c>
      <c r="AD103" s="76">
        <f t="shared" si="50"/>
        <v>0</v>
      </c>
      <c r="AE103" s="76">
        <f t="shared" ref="AE103:AF103" si="51">IF(AE85&lt;0,AE85*-1,0)</f>
        <v>0</v>
      </c>
      <c r="AF103" s="76">
        <f t="shared" si="51"/>
        <v>0</v>
      </c>
      <c r="AG103" s="98"/>
      <c r="AH103" s="47">
        <f t="shared" si="21"/>
        <v>0</v>
      </c>
      <c r="AI103" s="48">
        <f t="shared" si="22"/>
        <v>0</v>
      </c>
    </row>
    <row r="104" spans="1:37" x14ac:dyDescent="0.25">
      <c r="A104" s="84" t="s">
        <v>104</v>
      </c>
      <c r="B104" s="76">
        <f t="shared" ref="B104:C104" si="52">IF(B83&lt;0,B83*-1,0)</f>
        <v>0</v>
      </c>
      <c r="C104" s="76">
        <f t="shared" si="52"/>
        <v>0</v>
      </c>
      <c r="D104" s="76">
        <f t="shared" ref="D104" si="53">IF(D83&lt;0,D83*-1,0)</f>
        <v>0</v>
      </c>
      <c r="E104" s="76">
        <f t="shared" ref="E104:AD104" si="54">IF(E83&lt;0,E83*-1,0)</f>
        <v>0</v>
      </c>
      <c r="F104" s="76">
        <f t="shared" si="54"/>
        <v>0</v>
      </c>
      <c r="G104" s="76">
        <f t="shared" si="54"/>
        <v>0</v>
      </c>
      <c r="H104" s="76">
        <f t="shared" si="54"/>
        <v>0</v>
      </c>
      <c r="I104" s="76">
        <f t="shared" si="54"/>
        <v>0</v>
      </c>
      <c r="J104" s="76">
        <f t="shared" si="54"/>
        <v>0</v>
      </c>
      <c r="K104" s="76">
        <f t="shared" si="54"/>
        <v>0</v>
      </c>
      <c r="L104" s="76">
        <f t="shared" si="54"/>
        <v>0</v>
      </c>
      <c r="M104" s="76">
        <f t="shared" si="54"/>
        <v>0</v>
      </c>
      <c r="N104" s="76">
        <f t="shared" si="54"/>
        <v>0</v>
      </c>
      <c r="O104" s="76">
        <f t="shared" si="54"/>
        <v>0</v>
      </c>
      <c r="P104" s="76">
        <f t="shared" si="54"/>
        <v>0</v>
      </c>
      <c r="Q104" s="76">
        <f t="shared" si="54"/>
        <v>0</v>
      </c>
      <c r="R104" s="76">
        <f t="shared" si="54"/>
        <v>0</v>
      </c>
      <c r="S104" s="76">
        <f t="shared" si="54"/>
        <v>0</v>
      </c>
      <c r="T104" s="76">
        <f t="shared" si="54"/>
        <v>0</v>
      </c>
      <c r="U104" s="76">
        <f t="shared" si="54"/>
        <v>0</v>
      </c>
      <c r="V104" s="76">
        <f t="shared" si="54"/>
        <v>0</v>
      </c>
      <c r="W104" s="76">
        <f t="shared" si="54"/>
        <v>0</v>
      </c>
      <c r="X104" s="76">
        <f t="shared" si="54"/>
        <v>0</v>
      </c>
      <c r="Y104" s="76">
        <f t="shared" si="54"/>
        <v>0</v>
      </c>
      <c r="Z104" s="76">
        <f t="shared" si="54"/>
        <v>0</v>
      </c>
      <c r="AA104" s="76">
        <f t="shared" si="54"/>
        <v>0</v>
      </c>
      <c r="AB104" s="76">
        <f t="shared" si="54"/>
        <v>0</v>
      </c>
      <c r="AC104" s="76">
        <f t="shared" si="54"/>
        <v>0</v>
      </c>
      <c r="AD104" s="76">
        <f t="shared" si="54"/>
        <v>0</v>
      </c>
      <c r="AE104" s="76">
        <f t="shared" ref="AE104:AF104" si="55">IF(AE83&lt;0,AE83*-1,0)</f>
        <v>0</v>
      </c>
      <c r="AF104" s="76">
        <f t="shared" si="55"/>
        <v>0</v>
      </c>
      <c r="AG104" s="98"/>
      <c r="AH104" s="47">
        <f t="shared" si="21"/>
        <v>0</v>
      </c>
      <c r="AI104" s="48">
        <f t="shared" si="22"/>
        <v>0</v>
      </c>
    </row>
    <row r="105" spans="1:37" x14ac:dyDescent="0.25">
      <c r="A105" s="84" t="s">
        <v>81</v>
      </c>
      <c r="B105" s="76">
        <f t="shared" ref="B105:C105" si="56">IF(B81&lt;0,B81*-1,0)</f>
        <v>0</v>
      </c>
      <c r="C105" s="76">
        <f t="shared" si="56"/>
        <v>0</v>
      </c>
      <c r="D105" s="76">
        <f t="shared" ref="D105" si="57">IF(D81&lt;0,D81*-1,0)</f>
        <v>0</v>
      </c>
      <c r="E105" s="76">
        <f t="shared" ref="E105:AD105" si="58">IF(E81&lt;0,E81*-1,0)</f>
        <v>0</v>
      </c>
      <c r="F105" s="76">
        <f t="shared" si="58"/>
        <v>0</v>
      </c>
      <c r="G105" s="76">
        <f t="shared" si="58"/>
        <v>0</v>
      </c>
      <c r="H105" s="76">
        <f t="shared" si="58"/>
        <v>0</v>
      </c>
      <c r="I105" s="76">
        <f t="shared" si="58"/>
        <v>0</v>
      </c>
      <c r="J105" s="76">
        <f t="shared" si="58"/>
        <v>0</v>
      </c>
      <c r="K105" s="76">
        <f t="shared" si="58"/>
        <v>0</v>
      </c>
      <c r="L105" s="76">
        <f t="shared" si="58"/>
        <v>0</v>
      </c>
      <c r="M105" s="76">
        <f t="shared" si="58"/>
        <v>0</v>
      </c>
      <c r="N105" s="76">
        <f t="shared" si="58"/>
        <v>0</v>
      </c>
      <c r="O105" s="76">
        <f t="shared" si="58"/>
        <v>0</v>
      </c>
      <c r="P105" s="76">
        <f t="shared" si="58"/>
        <v>0</v>
      </c>
      <c r="Q105" s="76">
        <f t="shared" si="58"/>
        <v>0</v>
      </c>
      <c r="R105" s="76">
        <f t="shared" si="58"/>
        <v>0</v>
      </c>
      <c r="S105" s="76">
        <f t="shared" si="58"/>
        <v>0</v>
      </c>
      <c r="T105" s="76">
        <f t="shared" si="58"/>
        <v>0</v>
      </c>
      <c r="U105" s="76">
        <f t="shared" si="58"/>
        <v>0</v>
      </c>
      <c r="V105" s="76">
        <f t="shared" si="58"/>
        <v>0</v>
      </c>
      <c r="W105" s="76">
        <f t="shared" si="58"/>
        <v>0</v>
      </c>
      <c r="X105" s="76">
        <f t="shared" si="58"/>
        <v>0</v>
      </c>
      <c r="Y105" s="76">
        <f t="shared" si="58"/>
        <v>0</v>
      </c>
      <c r="Z105" s="76">
        <f t="shared" si="58"/>
        <v>0</v>
      </c>
      <c r="AA105" s="76">
        <f t="shared" si="58"/>
        <v>0</v>
      </c>
      <c r="AB105" s="76">
        <f t="shared" si="58"/>
        <v>0</v>
      </c>
      <c r="AC105" s="76">
        <f t="shared" si="58"/>
        <v>0</v>
      </c>
      <c r="AD105" s="76">
        <f t="shared" si="58"/>
        <v>0</v>
      </c>
      <c r="AE105" s="76">
        <f t="shared" ref="AE105:AF105" si="59">IF(AE81&lt;0,AE81*-1,0)</f>
        <v>0</v>
      </c>
      <c r="AF105" s="76">
        <f t="shared" si="59"/>
        <v>0</v>
      </c>
      <c r="AG105" s="98"/>
      <c r="AH105" s="47">
        <f t="shared" si="21"/>
        <v>0</v>
      </c>
      <c r="AI105" s="48">
        <f t="shared" si="22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1"/>
        <v>0</v>
      </c>
      <c r="AI106" s="48">
        <f t="shared" si="22"/>
        <v>0</v>
      </c>
    </row>
    <row r="107" spans="1:37" ht="15.75" thickBot="1" x14ac:dyDescent="0.3">
      <c r="A107" s="99" t="s">
        <v>106</v>
      </c>
      <c r="B107" s="60">
        <f t="shared" ref="B107:C107" si="60">SUM(B101:B106)</f>
        <v>0</v>
      </c>
      <c r="C107" s="60">
        <f t="shared" si="60"/>
        <v>0</v>
      </c>
      <c r="D107" s="60">
        <f t="shared" ref="D107" si="61">SUM(D101:D106)</f>
        <v>0</v>
      </c>
      <c r="E107" s="60">
        <f t="shared" ref="E107:AD107" si="62">SUM(E101:E106)</f>
        <v>0</v>
      </c>
      <c r="F107" s="60">
        <f t="shared" si="62"/>
        <v>0</v>
      </c>
      <c r="G107" s="60">
        <f t="shared" si="62"/>
        <v>0</v>
      </c>
      <c r="H107" s="60">
        <f t="shared" si="62"/>
        <v>0</v>
      </c>
      <c r="I107" s="60">
        <f t="shared" si="62"/>
        <v>0</v>
      </c>
      <c r="J107" s="60">
        <f t="shared" si="62"/>
        <v>0</v>
      </c>
      <c r="K107" s="60">
        <f t="shared" si="62"/>
        <v>0</v>
      </c>
      <c r="L107" s="60">
        <f t="shared" si="62"/>
        <v>0</v>
      </c>
      <c r="M107" s="60">
        <f t="shared" si="62"/>
        <v>0</v>
      </c>
      <c r="N107" s="60">
        <f t="shared" si="62"/>
        <v>0</v>
      </c>
      <c r="O107" s="60">
        <f t="shared" si="62"/>
        <v>0</v>
      </c>
      <c r="P107" s="60">
        <f t="shared" si="62"/>
        <v>0</v>
      </c>
      <c r="Q107" s="60">
        <f t="shared" si="62"/>
        <v>0</v>
      </c>
      <c r="R107" s="60">
        <f t="shared" si="62"/>
        <v>0</v>
      </c>
      <c r="S107" s="60">
        <f t="shared" si="62"/>
        <v>0</v>
      </c>
      <c r="T107" s="60">
        <f t="shared" si="62"/>
        <v>0</v>
      </c>
      <c r="U107" s="60">
        <f t="shared" si="62"/>
        <v>0</v>
      </c>
      <c r="V107" s="60">
        <f t="shared" si="62"/>
        <v>0</v>
      </c>
      <c r="W107" s="60">
        <f t="shared" si="62"/>
        <v>0</v>
      </c>
      <c r="X107" s="60">
        <f t="shared" si="62"/>
        <v>0</v>
      </c>
      <c r="Y107" s="60">
        <f t="shared" si="62"/>
        <v>0</v>
      </c>
      <c r="Z107" s="60">
        <f t="shared" si="62"/>
        <v>0</v>
      </c>
      <c r="AA107" s="60">
        <f t="shared" si="62"/>
        <v>0</v>
      </c>
      <c r="AB107" s="60">
        <f t="shared" si="62"/>
        <v>0</v>
      </c>
      <c r="AC107" s="60">
        <f t="shared" si="62"/>
        <v>0</v>
      </c>
      <c r="AD107" s="60">
        <f t="shared" si="62"/>
        <v>0</v>
      </c>
      <c r="AE107" s="60">
        <f t="shared" ref="AE107:AF107" si="63">SUM(AE101:AE106)</f>
        <v>0</v>
      </c>
      <c r="AF107" s="60">
        <f t="shared" si="63"/>
        <v>0</v>
      </c>
      <c r="AG107" s="88"/>
      <c r="AH107" s="47">
        <f t="shared" si="21"/>
        <v>0</v>
      </c>
      <c r="AI107" s="48">
        <f t="shared" si="22"/>
        <v>0</v>
      </c>
      <c r="AK107" s="50"/>
    </row>
    <row r="108" spans="1:37" ht="15.75" thickBot="1" x14ac:dyDescent="0.3">
      <c r="A108" s="74" t="s">
        <v>107</v>
      </c>
      <c r="B108" s="60">
        <f t="shared" ref="B108:C108" si="64">B92-B107</f>
        <v>571</v>
      </c>
      <c r="C108" s="60">
        <f t="shared" si="64"/>
        <v>606.29999999999995</v>
      </c>
      <c r="D108" s="60">
        <f t="shared" ref="D108" si="65">D92-D107</f>
        <v>563.5</v>
      </c>
      <c r="E108" s="60">
        <f t="shared" ref="E108:AD108" si="66">E92-E107</f>
        <v>590.5</v>
      </c>
      <c r="F108" s="60">
        <f t="shared" si="66"/>
        <v>547.6</v>
      </c>
      <c r="G108" s="60">
        <f t="shared" si="66"/>
        <v>567.70000000000005</v>
      </c>
      <c r="H108" s="60">
        <f t="shared" si="66"/>
        <v>573.29999999999995</v>
      </c>
      <c r="I108" s="60">
        <f t="shared" si="66"/>
        <v>573.69999999999993</v>
      </c>
      <c r="J108" s="60">
        <f t="shared" si="66"/>
        <v>512.4</v>
      </c>
      <c r="K108" s="60">
        <f t="shared" si="66"/>
        <v>414.59999999999997</v>
      </c>
      <c r="L108" s="60">
        <f t="shared" si="66"/>
        <v>405.2</v>
      </c>
      <c r="M108" s="60">
        <f t="shared" si="66"/>
        <v>395.7</v>
      </c>
      <c r="N108" s="60">
        <f t="shared" si="66"/>
        <v>376.2</v>
      </c>
      <c r="O108" s="60">
        <f t="shared" si="66"/>
        <v>475</v>
      </c>
      <c r="P108" s="60">
        <f t="shared" si="66"/>
        <v>527.6</v>
      </c>
      <c r="Q108" s="60">
        <f t="shared" si="66"/>
        <v>605.29999999999995</v>
      </c>
      <c r="R108" s="60">
        <f t="shared" si="66"/>
        <v>581.30000000000007</v>
      </c>
      <c r="S108" s="60">
        <f t="shared" si="66"/>
        <v>631.6</v>
      </c>
      <c r="T108" s="60">
        <f t="shared" si="66"/>
        <v>627.20000000000005</v>
      </c>
      <c r="U108" s="60">
        <f t="shared" si="66"/>
        <v>638</v>
      </c>
      <c r="V108" s="60">
        <f t="shared" si="66"/>
        <v>545.6</v>
      </c>
      <c r="W108" s="60">
        <f t="shared" si="66"/>
        <v>619.79999999999995</v>
      </c>
      <c r="X108" s="60">
        <f t="shared" si="66"/>
        <v>554.20000000000005</v>
      </c>
      <c r="Y108" s="60">
        <f>Y92-Y107</f>
        <v>451.1</v>
      </c>
      <c r="Z108" s="60">
        <f>Z92-Z107</f>
        <v>413.1</v>
      </c>
      <c r="AA108" s="60">
        <f t="shared" si="66"/>
        <v>421.9</v>
      </c>
      <c r="AB108" s="60">
        <f t="shared" si="66"/>
        <v>424.59999999999997</v>
      </c>
      <c r="AC108" s="60">
        <f t="shared" si="66"/>
        <v>527.5</v>
      </c>
      <c r="AD108" s="60">
        <f t="shared" si="66"/>
        <v>605.4</v>
      </c>
      <c r="AE108" s="60">
        <f t="shared" ref="AE108:AF108" si="67">AE92-AE107</f>
        <v>622.5</v>
      </c>
      <c r="AF108" s="60">
        <f t="shared" si="67"/>
        <v>652.5</v>
      </c>
      <c r="AG108" s="88"/>
      <c r="AH108" s="47">
        <f t="shared" si="21"/>
        <v>652.5</v>
      </c>
      <c r="AI108" s="48">
        <f t="shared" si="22"/>
        <v>376.2</v>
      </c>
    </row>
    <row r="109" spans="1:37" x14ac:dyDescent="0.25">
      <c r="A109" s="100" t="s">
        <v>108</v>
      </c>
      <c r="B109" s="101">
        <v>50.01</v>
      </c>
      <c r="C109" s="101">
        <v>49.94</v>
      </c>
      <c r="D109" s="101">
        <v>50.06</v>
      </c>
      <c r="E109" s="101">
        <v>50.03</v>
      </c>
      <c r="F109" s="101">
        <v>50.055999999999997</v>
      </c>
      <c r="G109" s="101">
        <v>50.024000000000001</v>
      </c>
      <c r="H109" s="101">
        <v>50.012</v>
      </c>
      <c r="I109" s="101">
        <v>49.92</v>
      </c>
      <c r="J109" s="101">
        <v>50.104999999999997</v>
      </c>
      <c r="K109" s="101">
        <v>50.052</v>
      </c>
      <c r="L109" s="101"/>
      <c r="M109" s="101">
        <v>50.314</v>
      </c>
      <c r="N109" s="101">
        <v>50.064</v>
      </c>
      <c r="O109" s="101">
        <v>50.186999999999998</v>
      </c>
      <c r="P109" s="101">
        <v>50.101999999999997</v>
      </c>
      <c r="Q109" s="101">
        <v>49.981000000000002</v>
      </c>
      <c r="R109" s="101">
        <v>49.962000000000003</v>
      </c>
      <c r="S109" s="101">
        <v>49.993000000000002</v>
      </c>
      <c r="T109" s="101">
        <v>49.914999999999999</v>
      </c>
      <c r="U109" s="101">
        <v>49.93</v>
      </c>
      <c r="V109" s="101">
        <v>49.997999999999998</v>
      </c>
      <c r="W109" s="101">
        <v>49.883000000000003</v>
      </c>
      <c r="X109" s="101">
        <v>50.031999999999996</v>
      </c>
      <c r="Y109" s="101">
        <v>49.923000000000002</v>
      </c>
      <c r="Z109" s="101">
        <v>49.935000000000002</v>
      </c>
      <c r="AA109" s="101">
        <v>50.043999999999997</v>
      </c>
      <c r="AB109" s="101">
        <v>50.113999999999997</v>
      </c>
      <c r="AC109" s="101">
        <v>50.02</v>
      </c>
      <c r="AD109" s="101">
        <v>50.073</v>
      </c>
      <c r="AE109" s="101">
        <v>50.02</v>
      </c>
      <c r="AF109" s="101">
        <v>50.01</v>
      </c>
      <c r="AG109" s="102"/>
      <c r="AH109" s="47">
        <f t="shared" si="21"/>
        <v>50.314</v>
      </c>
      <c r="AI109" s="48">
        <f t="shared" si="22"/>
        <v>49.883000000000003</v>
      </c>
    </row>
    <row r="110" spans="1:37" x14ac:dyDescent="0.25">
      <c r="A110" s="103" t="s">
        <v>109</v>
      </c>
      <c r="B110" s="65">
        <v>129.4</v>
      </c>
      <c r="C110" s="65">
        <v>127.6</v>
      </c>
      <c r="D110" s="65">
        <v>128.6</v>
      </c>
      <c r="E110" s="65">
        <v>129.19999999999999</v>
      </c>
      <c r="F110" s="65">
        <v>128.80000000000001</v>
      </c>
      <c r="G110" s="65">
        <v>128</v>
      </c>
      <c r="H110" s="65">
        <v>129.6</v>
      </c>
      <c r="I110" s="65">
        <v>127.5</v>
      </c>
      <c r="J110" s="65">
        <v>126.7</v>
      </c>
      <c r="K110" s="65">
        <v>129.30000000000001</v>
      </c>
      <c r="L110" s="65"/>
      <c r="M110" s="65">
        <v>125.3</v>
      </c>
      <c r="N110" s="65">
        <v>123.7</v>
      </c>
      <c r="O110" s="65">
        <v>124.6</v>
      </c>
      <c r="P110" s="65">
        <v>122</v>
      </c>
      <c r="Q110" s="65">
        <v>125.3</v>
      </c>
      <c r="R110" s="65">
        <v>126.1</v>
      </c>
      <c r="S110" s="65">
        <v>125.3</v>
      </c>
      <c r="T110" s="65">
        <v>123.7</v>
      </c>
      <c r="U110" s="65">
        <v>125</v>
      </c>
      <c r="V110" s="65">
        <v>129</v>
      </c>
      <c r="W110" s="65">
        <v>127</v>
      </c>
      <c r="X110" s="65">
        <v>127.4</v>
      </c>
      <c r="Y110" s="65">
        <v>125.6</v>
      </c>
      <c r="Z110" s="65">
        <v>126.8</v>
      </c>
      <c r="AA110" s="65">
        <v>128.4</v>
      </c>
      <c r="AB110" s="65">
        <v>129.9</v>
      </c>
      <c r="AC110" s="65">
        <v>130.4</v>
      </c>
      <c r="AD110" s="65">
        <v>129.19999999999999</v>
      </c>
      <c r="AE110" s="65">
        <v>130</v>
      </c>
      <c r="AF110" s="65">
        <v>127.9</v>
      </c>
      <c r="AG110" s="104"/>
      <c r="AH110" s="47">
        <f t="shared" si="21"/>
        <v>130.4</v>
      </c>
      <c r="AI110" s="48">
        <f t="shared" si="22"/>
        <v>122</v>
      </c>
    </row>
    <row r="111" spans="1:37" x14ac:dyDescent="0.25">
      <c r="A111" s="103" t="s">
        <v>110</v>
      </c>
      <c r="B111" s="65">
        <v>132.4</v>
      </c>
      <c r="C111" s="65">
        <v>131.19999999999999</v>
      </c>
      <c r="D111" s="65">
        <v>131.9</v>
      </c>
      <c r="E111" s="65">
        <v>132.5</v>
      </c>
      <c r="F111" s="65">
        <v>132.30000000000001</v>
      </c>
      <c r="G111" s="65">
        <v>131.6</v>
      </c>
      <c r="H111" s="65">
        <v>132.4</v>
      </c>
      <c r="I111" s="65">
        <v>130</v>
      </c>
      <c r="J111" s="65">
        <v>129.30000000000001</v>
      </c>
      <c r="K111" s="65">
        <v>130.4</v>
      </c>
      <c r="L111" s="65"/>
      <c r="M111" s="65">
        <v>126.8</v>
      </c>
      <c r="N111" s="65">
        <v>125.8</v>
      </c>
      <c r="O111" s="65">
        <v>126.9</v>
      </c>
      <c r="P111" s="65">
        <v>124.9</v>
      </c>
      <c r="Q111" s="65">
        <v>127.5</v>
      </c>
      <c r="R111" s="65">
        <v>128.19999999999999</v>
      </c>
      <c r="S111" s="65">
        <v>127.6</v>
      </c>
      <c r="T111" s="65">
        <v>126.1</v>
      </c>
      <c r="U111" s="65">
        <v>127</v>
      </c>
      <c r="V111" s="65">
        <v>130.69999999999999</v>
      </c>
      <c r="W111" s="65">
        <v>128.69999999999999</v>
      </c>
      <c r="X111" s="65">
        <v>129</v>
      </c>
      <c r="Y111" s="65">
        <v>127</v>
      </c>
      <c r="Z111" s="65">
        <v>127.8</v>
      </c>
      <c r="AA111" s="65">
        <v>129.30000000000001</v>
      </c>
      <c r="AB111" s="65">
        <v>130.9</v>
      </c>
      <c r="AC111" s="65">
        <v>131.6</v>
      </c>
      <c r="AD111" s="65">
        <v>131.1</v>
      </c>
      <c r="AE111" s="65">
        <v>132.6</v>
      </c>
      <c r="AF111" s="65">
        <v>131.1</v>
      </c>
      <c r="AG111" s="104"/>
      <c r="AH111" s="47">
        <f t="shared" si="21"/>
        <v>132.6</v>
      </c>
      <c r="AI111" s="48">
        <f t="shared" si="22"/>
        <v>124.9</v>
      </c>
    </row>
    <row r="112" spans="1:37" x14ac:dyDescent="0.25">
      <c r="A112" s="103" t="s">
        <v>111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>
        <v>131.9</v>
      </c>
      <c r="AF112" s="65">
        <v>127.9</v>
      </c>
      <c r="AG112" s="104"/>
      <c r="AH112" s="47">
        <f t="shared" si="21"/>
        <v>131.9</v>
      </c>
      <c r="AI112" s="48">
        <f t="shared" si="22"/>
        <v>127.9</v>
      </c>
    </row>
    <row r="113" spans="1:35" x14ac:dyDescent="0.25">
      <c r="A113" s="105" t="s">
        <v>112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>
        <v>135</v>
      </c>
      <c r="AF113" s="65">
        <v>131.6</v>
      </c>
      <c r="AG113" s="104"/>
      <c r="AH113" s="47">
        <f t="shared" si="21"/>
        <v>135</v>
      </c>
      <c r="AI113" s="48">
        <f t="shared" si="22"/>
        <v>131.6</v>
      </c>
    </row>
    <row r="114" spans="1:35" x14ac:dyDescent="0.25">
      <c r="A114" s="105" t="s">
        <v>113</v>
      </c>
      <c r="B114" s="106">
        <v>131.1</v>
      </c>
      <c r="C114" s="106">
        <v>130.4</v>
      </c>
      <c r="D114" s="106">
        <v>132.4</v>
      </c>
      <c r="E114" s="106">
        <v>133.6</v>
      </c>
      <c r="F114" s="106">
        <v>132.9</v>
      </c>
      <c r="G114" s="106">
        <v>131.19999999999999</v>
      </c>
      <c r="H114" s="106">
        <v>135.4</v>
      </c>
      <c r="I114" s="106">
        <v>132.69999999999999</v>
      </c>
      <c r="J114" s="106">
        <v>131.80000000000001</v>
      </c>
      <c r="K114" s="106">
        <v>135.19999999999999</v>
      </c>
      <c r="L114" s="106"/>
      <c r="M114" s="106">
        <v>131.69999999999999</v>
      </c>
      <c r="N114" s="106">
        <v>131.19999999999999</v>
      </c>
      <c r="O114" s="106">
        <v>132.4</v>
      </c>
      <c r="P114" s="106">
        <v>130.30000000000001</v>
      </c>
      <c r="Q114" s="106">
        <v>133</v>
      </c>
      <c r="R114" s="106">
        <v>134.4</v>
      </c>
      <c r="S114" s="106">
        <v>133</v>
      </c>
      <c r="T114" s="106">
        <v>132.5</v>
      </c>
      <c r="U114" s="106">
        <v>134</v>
      </c>
      <c r="V114" s="106">
        <v>136.9</v>
      </c>
      <c r="W114" s="106">
        <v>135</v>
      </c>
      <c r="X114" s="106">
        <v>134.9</v>
      </c>
      <c r="Y114" s="106">
        <v>133.5</v>
      </c>
      <c r="Z114" s="106">
        <v>133.6</v>
      </c>
      <c r="AA114" s="106">
        <v>135</v>
      </c>
      <c r="AB114" s="106">
        <v>137.4</v>
      </c>
      <c r="AC114" s="106">
        <v>137.6</v>
      </c>
      <c r="AD114" s="106">
        <v>137.19999999999999</v>
      </c>
      <c r="AE114" s="106">
        <v>135</v>
      </c>
      <c r="AF114" s="106">
        <v>130.4</v>
      </c>
      <c r="AG114" s="107"/>
      <c r="AH114" s="47">
        <f t="shared" si="21"/>
        <v>137.6</v>
      </c>
      <c r="AI114" s="48">
        <f t="shared" si="22"/>
        <v>130.30000000000001</v>
      </c>
    </row>
    <row r="115" spans="1:35" x14ac:dyDescent="0.25">
      <c r="A115" s="103" t="s">
        <v>114</v>
      </c>
      <c r="B115" s="65">
        <v>131.6</v>
      </c>
      <c r="C115" s="65">
        <v>128.4</v>
      </c>
      <c r="D115" s="65">
        <v>126.3</v>
      </c>
      <c r="E115" s="65">
        <v>127.4</v>
      </c>
      <c r="F115" s="65">
        <v>131.1</v>
      </c>
      <c r="G115" s="65">
        <v>128.30000000000001</v>
      </c>
      <c r="H115" s="65">
        <v>133.9</v>
      </c>
      <c r="I115" s="65">
        <v>125.4</v>
      </c>
      <c r="J115" s="65">
        <v>125.6</v>
      </c>
      <c r="K115" s="65">
        <v>132</v>
      </c>
      <c r="L115" s="65"/>
      <c r="M115" s="65">
        <v>131.9</v>
      </c>
      <c r="N115" s="65">
        <v>133.5</v>
      </c>
      <c r="O115" s="65">
        <v>133.9</v>
      </c>
      <c r="P115" s="65">
        <v>127.6</v>
      </c>
      <c r="Q115" s="65">
        <v>134.19999999999999</v>
      </c>
      <c r="R115" s="65">
        <v>129.6</v>
      </c>
      <c r="S115" s="65">
        <v>135.5</v>
      </c>
      <c r="T115" s="65">
        <v>133.9</v>
      </c>
      <c r="U115" s="65">
        <v>133</v>
      </c>
      <c r="V115" s="65">
        <v>133.6</v>
      </c>
      <c r="W115" s="65">
        <v>127.9</v>
      </c>
      <c r="X115" s="65">
        <v>127</v>
      </c>
      <c r="Y115" s="65">
        <v>127.8</v>
      </c>
      <c r="Z115" s="65">
        <v>132.4</v>
      </c>
      <c r="AA115" s="65">
        <v>127.8</v>
      </c>
      <c r="AB115" s="65">
        <v>135.80000000000001</v>
      </c>
      <c r="AC115" s="65">
        <v>130.9</v>
      </c>
      <c r="AD115" s="65">
        <v>131.80000000000001</v>
      </c>
      <c r="AE115" s="65">
        <v>126.6</v>
      </c>
      <c r="AF115" s="65">
        <v>126.9</v>
      </c>
      <c r="AG115" s="104"/>
      <c r="AH115" s="47">
        <f t="shared" si="21"/>
        <v>135.80000000000001</v>
      </c>
      <c r="AI115" s="48">
        <f t="shared" si="22"/>
        <v>125.4</v>
      </c>
    </row>
    <row r="116" spans="1:35" ht="15.75" thickBot="1" x14ac:dyDescent="0.3">
      <c r="A116" s="103" t="s">
        <v>115</v>
      </c>
      <c r="B116" s="92">
        <v>66.5</v>
      </c>
      <c r="C116" s="92">
        <v>66</v>
      </c>
      <c r="D116" s="92">
        <v>66.7</v>
      </c>
      <c r="E116" s="92">
        <v>66.7</v>
      </c>
      <c r="F116" s="92">
        <v>66.599999999999994</v>
      </c>
      <c r="G116" s="92">
        <v>66.099999999999994</v>
      </c>
      <c r="H116" s="92">
        <v>66.400000000000006</v>
      </c>
      <c r="I116" s="92">
        <v>65.3</v>
      </c>
      <c r="J116" s="92">
        <v>64.900000000000006</v>
      </c>
      <c r="K116" s="92">
        <v>65.5</v>
      </c>
      <c r="L116" s="92"/>
      <c r="M116" s="92">
        <v>63.6</v>
      </c>
      <c r="N116" s="92">
        <v>63.3</v>
      </c>
      <c r="O116" s="92">
        <v>64</v>
      </c>
      <c r="P116" s="92">
        <v>62.5</v>
      </c>
      <c r="Q116" s="92">
        <v>64.099999999999994</v>
      </c>
      <c r="R116" s="92">
        <v>64.5</v>
      </c>
      <c r="S116" s="92">
        <v>64</v>
      </c>
      <c r="T116" s="92">
        <v>63.3</v>
      </c>
      <c r="U116" s="92">
        <v>63.7</v>
      </c>
      <c r="V116" s="92">
        <v>65.7</v>
      </c>
      <c r="W116" s="92">
        <v>64.599999999999994</v>
      </c>
      <c r="X116" s="92">
        <v>64.7</v>
      </c>
      <c r="Y116" s="92">
        <v>63.5</v>
      </c>
      <c r="Z116" s="92">
        <v>64.099999999999994</v>
      </c>
      <c r="AA116" s="92">
        <v>64.8</v>
      </c>
      <c r="AB116" s="92">
        <v>65.599999999999994</v>
      </c>
      <c r="AC116" s="92">
        <v>65.900000000000006</v>
      </c>
      <c r="AD116" s="92">
        <v>65.599999999999994</v>
      </c>
      <c r="AE116" s="92">
        <v>66.400000000000006</v>
      </c>
      <c r="AF116" s="92">
        <v>66.099999999999994</v>
      </c>
      <c r="AG116" s="108"/>
      <c r="AH116" s="47">
        <f t="shared" si="21"/>
        <v>66.7</v>
      </c>
      <c r="AI116" s="48">
        <f t="shared" si="22"/>
        <v>62.5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1"/>
        <v>0</v>
      </c>
      <c r="AI117" s="48">
        <f t="shared" si="22"/>
        <v>0</v>
      </c>
    </row>
    <row r="118" spans="1:35" ht="15.75" thickBot="1" x14ac:dyDescent="0.3">
      <c r="A118" s="110" t="s">
        <v>117</v>
      </c>
      <c r="B118" s="111">
        <f t="shared" ref="B118:C118" si="68">SUM(B22,B28,B31:B32,B66,B68:B69,B71,B73,B119:B123,B155,B161,B167,B176,B178,B190,B197,B200:B201,B208,B210,B212,B216:B218,B220:B222,B227,B233:B234,B236:B238,B246,B251)</f>
        <v>152.53999999999996</v>
      </c>
      <c r="C118" s="111">
        <f t="shared" si="68"/>
        <v>141.41999999999999</v>
      </c>
      <c r="D118" s="111">
        <f t="shared" ref="D118" si="69">SUM(D22,D28,D31:D32,D66,D68:D69,D71,D73,D119:D123,D155,D161,D167,D176,D178,D190,D197,D200:D201,D208,D210,D212,D216:D218,D220:D222,D227,D233:D234,D236:D238,D246,D251)</f>
        <v>116.21999999999998</v>
      </c>
      <c r="E118" s="111">
        <f t="shared" ref="E118:O118" si="70">SUM(E22,E28,E31:E32,E66,E68:E69,E71,E73,E119:E123,E155,E161,E167,E176,E178,E190,E197,E200:E201,E208,E210,E212,E216:E218,E220:E222,E227,E233:E234,E236:E238,E246,E251)</f>
        <v>135.24</v>
      </c>
      <c r="F118" s="111">
        <f t="shared" si="70"/>
        <v>141.482</v>
      </c>
      <c r="G118" s="111">
        <f t="shared" si="70"/>
        <v>162.03899999999999</v>
      </c>
      <c r="H118" s="111">
        <f t="shared" si="70"/>
        <v>195.572</v>
      </c>
      <c r="I118" s="111">
        <f t="shared" si="70"/>
        <v>237.62599999999998</v>
      </c>
      <c r="J118" s="111">
        <f t="shared" si="70"/>
        <v>269.00799999999998</v>
      </c>
      <c r="K118" s="111">
        <f t="shared" si="70"/>
        <v>312.35399999999998</v>
      </c>
      <c r="L118" s="111">
        <f t="shared" si="70"/>
        <v>94.24</v>
      </c>
      <c r="M118" s="111">
        <f t="shared" si="70"/>
        <v>376.61599999999999</v>
      </c>
      <c r="N118" s="111">
        <f t="shared" si="70"/>
        <v>375.91699999999997</v>
      </c>
      <c r="O118" s="111">
        <f t="shared" si="70"/>
        <v>366.95799999999997</v>
      </c>
      <c r="P118" s="111">
        <v>42</v>
      </c>
      <c r="Q118" s="111">
        <f t="shared" ref="Q118:AC118" si="71">SUM(Q22,Q28,Q31:Q32,Q66,Q68:Q69,Q71,Q73,Q119:Q123,Q155,Q161,Q167,Q176,Q178,Q190,Q197,Q200:Q201,Q208,Q210,Q212,Q216:Q218,Q220:Q222,Q227,Q233:Q234,Q236:Q238,Q246,Q251)</f>
        <v>325.596</v>
      </c>
      <c r="R118" s="111">
        <f t="shared" si="71"/>
        <v>309.71099999999996</v>
      </c>
      <c r="S118" s="111">
        <f t="shared" si="71"/>
        <v>292.83999999999997</v>
      </c>
      <c r="T118" s="111">
        <f t="shared" si="71"/>
        <v>295.94</v>
      </c>
      <c r="U118" s="111">
        <f t="shared" si="71"/>
        <v>294.64</v>
      </c>
      <c r="V118" s="111">
        <f t="shared" si="71"/>
        <v>299.44</v>
      </c>
      <c r="W118" s="111">
        <f t="shared" si="71"/>
        <v>321.44</v>
      </c>
      <c r="X118" s="111">
        <f t="shared" si="71"/>
        <v>343.84</v>
      </c>
      <c r="Y118" s="111">
        <f t="shared" ref="Y118:Z118" si="72">SUM(Y20,Y26,Y37:Y38,Y66,Y68:Y69,Y71,Y73,Y119:Y123,Y148,Y154,Y160,Y169,Y171,Y183,Y190,Y193:Y194,Y201,Y203,Y205,Y209:Y211,Y213:Y215,Y220,Y226:Y227,Y229:Y231,Y239,Y244)</f>
        <v>412.20000000000005</v>
      </c>
      <c r="Z118" s="111">
        <f t="shared" si="72"/>
        <v>411.22</v>
      </c>
      <c r="AA118" s="111">
        <f t="shared" si="71"/>
        <v>387.18</v>
      </c>
      <c r="AB118" s="111">
        <f t="shared" si="71"/>
        <v>356.32</v>
      </c>
      <c r="AC118" s="111">
        <f t="shared" si="71"/>
        <v>336.05999999999995</v>
      </c>
      <c r="AD118" s="111"/>
      <c r="AE118" s="111">
        <f>SUM(AE22,AE28,AE31:AE32,AE66,AE68:AE69,AE71,AE73,AE119:AE123,AE155,AE161,AE167,AE176,AE178,AE190,AE197,AE200:AE201,AE208,AE210,AE212,AE216:AE218,AE220:AE222,AE227,AE233:AE234,AE236:AE238,AE246,AE251)</f>
        <v>218.14000000000001</v>
      </c>
      <c r="AF118" s="111">
        <f>SUM(AF22,AF28,AF31:AF32,AF66,AF68:AF69,AF71,AF73,AF119:AF123,AF155,AF161,AF167,AF176,AF178,AF190,AF197,AF200:AF201,AF208,AF210,AF212,AF216:AF218,AF220:AF222,AF227,AF233:AF234,AF236:AF238,AF246,AF251)</f>
        <v>164.08</v>
      </c>
      <c r="AG118" s="112"/>
      <c r="AH118" s="47">
        <f t="shared" si="21"/>
        <v>412.20000000000005</v>
      </c>
      <c r="AI118" s="48">
        <f t="shared" si="22"/>
        <v>42</v>
      </c>
    </row>
    <row r="119" spans="1:35" x14ac:dyDescent="0.25">
      <c r="A119" s="172" t="s">
        <v>118</v>
      </c>
      <c r="B119" s="113">
        <v>-7.9</v>
      </c>
      <c r="C119" s="113">
        <v>-19.2</v>
      </c>
      <c r="D119" s="113">
        <v>-39</v>
      </c>
      <c r="E119" s="113">
        <v>-16.899999999999999</v>
      </c>
      <c r="F119" s="113">
        <v>-17</v>
      </c>
      <c r="G119" s="113">
        <v>-11</v>
      </c>
      <c r="H119" s="113">
        <v>-3</v>
      </c>
      <c r="I119" s="113">
        <v>5.5</v>
      </c>
      <c r="J119" s="113">
        <v>15</v>
      </c>
      <c r="K119" s="113">
        <v>28.5</v>
      </c>
      <c r="L119" s="113"/>
      <c r="M119" s="113">
        <v>26.2</v>
      </c>
      <c r="N119" s="113">
        <v>29.9</v>
      </c>
      <c r="O119" s="113">
        <v>34.299999999999997</v>
      </c>
      <c r="P119" s="113">
        <v>31.4</v>
      </c>
      <c r="Q119" s="113">
        <v>23.4</v>
      </c>
      <c r="R119" s="113">
        <v>20.3</v>
      </c>
      <c r="S119" s="113">
        <v>15.5</v>
      </c>
      <c r="T119" s="113">
        <v>14</v>
      </c>
      <c r="U119" s="113">
        <v>14</v>
      </c>
      <c r="V119" s="113">
        <v>13.4</v>
      </c>
      <c r="W119" s="113">
        <v>13</v>
      </c>
      <c r="X119" s="113">
        <v>26</v>
      </c>
      <c r="Y119" s="113">
        <v>45</v>
      </c>
      <c r="Z119" s="113">
        <v>48</v>
      </c>
      <c r="AA119" s="113">
        <v>48.1</v>
      </c>
      <c r="AB119" s="113">
        <v>38.6</v>
      </c>
      <c r="AC119" s="113">
        <v>31.9</v>
      </c>
      <c r="AD119" s="113">
        <v>33.1</v>
      </c>
      <c r="AE119" s="113">
        <v>1.9</v>
      </c>
      <c r="AF119" s="113">
        <v>-14.7</v>
      </c>
      <c r="AG119" s="114">
        <v>75</v>
      </c>
      <c r="AH119" s="47">
        <f t="shared" si="21"/>
        <v>48.1</v>
      </c>
      <c r="AI119" s="48">
        <f t="shared" si="22"/>
        <v>-39</v>
      </c>
    </row>
    <row r="120" spans="1:35" x14ac:dyDescent="0.25">
      <c r="A120" s="173" t="s">
        <v>119</v>
      </c>
      <c r="B120" s="115">
        <v>-14.5</v>
      </c>
      <c r="C120" s="115">
        <v>-27.1</v>
      </c>
      <c r="D120" s="115">
        <v>-26.8</v>
      </c>
      <c r="E120" s="115">
        <v>-25.2</v>
      </c>
      <c r="F120" s="115">
        <v>-26.7</v>
      </c>
      <c r="G120" s="115">
        <v>-21</v>
      </c>
      <c r="H120" s="115">
        <v>-9</v>
      </c>
      <c r="I120" s="115">
        <v>4</v>
      </c>
      <c r="J120" s="115">
        <v>15.5</v>
      </c>
      <c r="K120" s="115">
        <v>41.5</v>
      </c>
      <c r="L120" s="115"/>
      <c r="M120" s="115">
        <v>38.1</v>
      </c>
      <c r="N120" s="115">
        <v>43.5</v>
      </c>
      <c r="O120" s="115">
        <v>49.1</v>
      </c>
      <c r="P120" s="115">
        <v>39.9</v>
      </c>
      <c r="Q120" s="115">
        <v>27.3</v>
      </c>
      <c r="R120" s="115">
        <v>24.4</v>
      </c>
      <c r="S120" s="115">
        <v>18.100000000000001</v>
      </c>
      <c r="T120" s="115">
        <v>14</v>
      </c>
      <c r="U120" s="115">
        <v>14</v>
      </c>
      <c r="V120" s="115">
        <v>17.600000000000001</v>
      </c>
      <c r="W120" s="115">
        <v>17.100000000000001</v>
      </c>
      <c r="X120" s="115">
        <v>34.200000000000003</v>
      </c>
      <c r="Y120" s="115">
        <v>60</v>
      </c>
      <c r="Z120" s="115">
        <v>64.5</v>
      </c>
      <c r="AA120" s="115">
        <v>64.599999999999994</v>
      </c>
      <c r="AB120" s="115">
        <v>50.4</v>
      </c>
      <c r="AC120" s="115">
        <v>41.8</v>
      </c>
      <c r="AD120" s="115">
        <v>36</v>
      </c>
      <c r="AE120" s="115">
        <v>-4.5999999999999996</v>
      </c>
      <c r="AF120" s="115">
        <v>-24.9</v>
      </c>
      <c r="AG120" s="114">
        <v>240</v>
      </c>
      <c r="AH120" s="47">
        <f t="shared" si="21"/>
        <v>64.599999999999994</v>
      </c>
      <c r="AI120" s="48">
        <f t="shared" si="22"/>
        <v>-27.1</v>
      </c>
    </row>
    <row r="121" spans="1:35" x14ac:dyDescent="0.25">
      <c r="A121" s="173" t="s">
        <v>120</v>
      </c>
      <c r="B121" s="115">
        <v>-12.5</v>
      </c>
      <c r="C121" s="115">
        <v>-14</v>
      </c>
      <c r="D121" s="115">
        <v>-16</v>
      </c>
      <c r="E121" s="115">
        <v>-17.2</v>
      </c>
      <c r="F121" s="115">
        <v>-15.9</v>
      </c>
      <c r="G121" s="115">
        <v>-14.5</v>
      </c>
      <c r="H121" s="115">
        <v>-6.9</v>
      </c>
      <c r="I121" s="115">
        <v>0</v>
      </c>
      <c r="J121" s="115">
        <v>5.3</v>
      </c>
      <c r="K121" s="115">
        <v>20.3</v>
      </c>
      <c r="L121" s="115"/>
      <c r="M121" s="115">
        <v>37</v>
      </c>
      <c r="N121" s="115">
        <v>27.9</v>
      </c>
      <c r="O121" s="115">
        <v>19.5</v>
      </c>
      <c r="P121" s="115">
        <v>6.5</v>
      </c>
      <c r="Q121" s="115">
        <v>21.5</v>
      </c>
      <c r="R121" s="115">
        <v>17.2</v>
      </c>
      <c r="S121" s="115">
        <v>14</v>
      </c>
      <c r="T121" s="115">
        <v>13</v>
      </c>
      <c r="U121" s="115">
        <v>17</v>
      </c>
      <c r="V121" s="115">
        <v>32</v>
      </c>
      <c r="W121" s="115">
        <v>37</v>
      </c>
      <c r="X121" s="115">
        <v>37</v>
      </c>
      <c r="Y121" s="115">
        <v>47</v>
      </c>
      <c r="Z121" s="115">
        <v>43</v>
      </c>
      <c r="AA121" s="115">
        <v>41</v>
      </c>
      <c r="AB121" s="115">
        <f>17.4+20.5</f>
        <v>37.9</v>
      </c>
      <c r="AC121" s="115">
        <f>16.7+19.5</f>
        <v>36.200000000000003</v>
      </c>
      <c r="AD121" s="115">
        <f>11+13</f>
        <v>24</v>
      </c>
      <c r="AE121" s="115">
        <f>2.9+3.7</f>
        <v>6.6</v>
      </c>
      <c r="AF121" s="115">
        <f>-1.2-1.6</f>
        <v>-2.8</v>
      </c>
      <c r="AG121" s="114">
        <v>240</v>
      </c>
      <c r="AH121" s="47">
        <f t="shared" si="21"/>
        <v>47</v>
      </c>
      <c r="AI121" s="48">
        <f t="shared" si="22"/>
        <v>-17.2</v>
      </c>
    </row>
    <row r="122" spans="1:35" ht="15.75" thickBot="1" x14ac:dyDescent="0.3">
      <c r="A122" s="173" t="s">
        <v>121</v>
      </c>
      <c r="B122" s="115">
        <v>-8</v>
      </c>
      <c r="C122" s="115">
        <v>-10.199999999999999</v>
      </c>
      <c r="D122" s="115">
        <v>-9.9</v>
      </c>
      <c r="E122" s="115">
        <v>-11.7</v>
      </c>
      <c r="F122" s="115">
        <v>-10.7</v>
      </c>
      <c r="G122" s="115">
        <v>-10.6</v>
      </c>
      <c r="H122" s="115">
        <v>-3.2</v>
      </c>
      <c r="I122" s="115">
        <v>1</v>
      </c>
      <c r="J122" s="115">
        <v>3.8</v>
      </c>
      <c r="K122" s="115">
        <v>18.100000000000001</v>
      </c>
      <c r="L122" s="115"/>
      <c r="M122" s="115">
        <v>22.2</v>
      </c>
      <c r="N122" s="115">
        <v>20.7</v>
      </c>
      <c r="O122" s="115">
        <v>18.5</v>
      </c>
      <c r="P122" s="115">
        <v>10</v>
      </c>
      <c r="Q122" s="115">
        <v>10.6</v>
      </c>
      <c r="R122" s="115">
        <v>9.6</v>
      </c>
      <c r="S122" s="115">
        <v>8.4</v>
      </c>
      <c r="T122" s="115">
        <v>4.3</v>
      </c>
      <c r="U122" s="115">
        <v>6</v>
      </c>
      <c r="V122" s="115">
        <v>17</v>
      </c>
      <c r="W122" s="115">
        <v>18.2</v>
      </c>
      <c r="X122" s="115">
        <v>22</v>
      </c>
      <c r="Y122" s="115">
        <v>27</v>
      </c>
      <c r="Z122" s="115">
        <v>27</v>
      </c>
      <c r="AA122" s="115">
        <v>26.8</v>
      </c>
      <c r="AB122" s="115">
        <v>23.5</v>
      </c>
      <c r="AC122" s="115">
        <v>22.5</v>
      </c>
      <c r="AD122" s="115">
        <v>10.6</v>
      </c>
      <c r="AE122" s="115">
        <v>-0.3</v>
      </c>
      <c r="AF122" s="115">
        <v>-7.6</v>
      </c>
      <c r="AG122" s="114">
        <v>60</v>
      </c>
      <c r="AH122" s="47">
        <f t="shared" si="21"/>
        <v>27</v>
      </c>
      <c r="AI122" s="48">
        <f t="shared" si="22"/>
        <v>-11.7</v>
      </c>
    </row>
    <row r="123" spans="1:35" x14ac:dyDescent="0.25">
      <c r="A123" s="172" t="s">
        <v>259</v>
      </c>
      <c r="B123" s="117">
        <f>65*1.6</f>
        <v>104</v>
      </c>
      <c r="C123" s="117">
        <f>75.3*1.6</f>
        <v>120.48</v>
      </c>
      <c r="D123" s="117">
        <f>72.8*1.6</f>
        <v>116.48</v>
      </c>
      <c r="E123" s="117">
        <f>70*1.63</f>
        <v>114.1</v>
      </c>
      <c r="F123" s="117">
        <f>73.4*1.63</f>
        <v>119.642</v>
      </c>
      <c r="G123" s="117">
        <f>77.3*1.63</f>
        <v>125.99899999999998</v>
      </c>
      <c r="H123" s="117">
        <f>76.4*1.63</f>
        <v>124.532</v>
      </c>
      <c r="I123" s="117">
        <f>82.2*1.63</f>
        <v>133.98599999999999</v>
      </c>
      <c r="J123" s="117">
        <f>83.6*1.63</f>
        <v>136.26799999999997</v>
      </c>
      <c r="K123" s="117">
        <f>67.8*1.63</f>
        <v>110.51399999999998</v>
      </c>
      <c r="L123" s="117"/>
      <c r="M123" s="117">
        <f>92.8*1.67</f>
        <v>154.976</v>
      </c>
      <c r="N123" s="117">
        <f>93.1*1.67</f>
        <v>155.47699999999998</v>
      </c>
      <c r="O123" s="117">
        <f>85.4*1.67</f>
        <v>142.61799999999999</v>
      </c>
      <c r="P123" s="117">
        <f>1.64*88.9</f>
        <v>145.79599999999999</v>
      </c>
      <c r="Q123" s="117">
        <f>1.64*85.4</f>
        <v>140.05600000000001</v>
      </c>
      <c r="R123" s="117">
        <f>81.3*1.67</f>
        <v>135.77099999999999</v>
      </c>
      <c r="S123" s="117">
        <f>84*1.6</f>
        <v>134.4</v>
      </c>
      <c r="T123" s="117">
        <f>96*1.6</f>
        <v>153.60000000000002</v>
      </c>
      <c r="U123" s="117">
        <v>150</v>
      </c>
      <c r="V123" s="117">
        <f>81*1.6</f>
        <v>129.6</v>
      </c>
      <c r="W123" s="117">
        <f>92*1.6</f>
        <v>147.20000000000002</v>
      </c>
      <c r="X123" s="117">
        <f>85*1.6</f>
        <v>136</v>
      </c>
      <c r="Y123" s="117">
        <f>87*1.6</f>
        <v>139.20000000000002</v>
      </c>
      <c r="Z123" s="117">
        <f>84.2*1.6</f>
        <v>134.72</v>
      </c>
      <c r="AA123" s="117">
        <f>74.4*1.6</f>
        <v>119.04000000000002</v>
      </c>
      <c r="AB123" s="117">
        <f>77*1.64</f>
        <v>126.27999999999999</v>
      </c>
      <c r="AC123" s="117">
        <f>75.5*1.64</f>
        <v>123.82</v>
      </c>
      <c r="AD123" s="117">
        <f>73*1.64</f>
        <v>119.72</v>
      </c>
      <c r="AE123" s="117">
        <f>77*1.6</f>
        <v>123.2</v>
      </c>
      <c r="AF123" s="117">
        <f>77.9*1.6</f>
        <v>124.64000000000001</v>
      </c>
      <c r="AG123" s="118">
        <v>120</v>
      </c>
      <c r="AH123" s="47">
        <f t="shared" si="21"/>
        <v>155.47699999999998</v>
      </c>
      <c r="AI123" s="48">
        <f t="shared" si="22"/>
        <v>104</v>
      </c>
    </row>
    <row r="124" spans="1:35" x14ac:dyDescent="0.25">
      <c r="A124" s="173" t="s">
        <v>258</v>
      </c>
      <c r="B124" s="117">
        <v>76.900000000000006</v>
      </c>
      <c r="C124" s="117">
        <v>83.6</v>
      </c>
      <c r="D124" s="117">
        <v>83.3</v>
      </c>
      <c r="E124" s="117">
        <v>82.4</v>
      </c>
      <c r="F124" s="117">
        <v>83.9</v>
      </c>
      <c r="G124" s="117">
        <v>88.9</v>
      </c>
      <c r="H124" s="117">
        <v>86.4</v>
      </c>
      <c r="I124" s="117">
        <v>90.9</v>
      </c>
      <c r="J124" s="117">
        <v>91.9</v>
      </c>
      <c r="K124" s="117">
        <v>78.2</v>
      </c>
      <c r="L124" s="117"/>
      <c r="M124" s="117">
        <v>99.4</v>
      </c>
      <c r="N124" s="117">
        <v>99.6</v>
      </c>
      <c r="O124" s="117">
        <v>93</v>
      </c>
      <c r="P124" s="117">
        <v>98.1</v>
      </c>
      <c r="Q124" s="117">
        <v>91.3</v>
      </c>
      <c r="R124" s="117">
        <v>88.7</v>
      </c>
      <c r="S124" s="117">
        <v>92</v>
      </c>
      <c r="T124" s="117">
        <v>103</v>
      </c>
      <c r="U124" s="117">
        <v>102</v>
      </c>
      <c r="V124" s="117">
        <v>89</v>
      </c>
      <c r="W124" s="117">
        <v>98</v>
      </c>
      <c r="X124" s="117">
        <v>93</v>
      </c>
      <c r="Y124" s="117">
        <v>93</v>
      </c>
      <c r="Z124" s="117">
        <v>92</v>
      </c>
      <c r="AA124" s="117">
        <v>84</v>
      </c>
      <c r="AB124" s="117">
        <v>87</v>
      </c>
      <c r="AC124" s="117">
        <v>85.7</v>
      </c>
      <c r="AD124" s="117">
        <v>83.7</v>
      </c>
      <c r="AE124" s="117">
        <v>86.4</v>
      </c>
      <c r="AF124" s="117">
        <v>88.8</v>
      </c>
      <c r="AG124" s="118"/>
      <c r="AH124" s="47"/>
      <c r="AI124" s="48"/>
    </row>
    <row r="125" spans="1:35" x14ac:dyDescent="0.25">
      <c r="A125" s="173" t="s">
        <v>255</v>
      </c>
      <c r="B125" s="117">
        <v>60.5</v>
      </c>
      <c r="C125" s="117">
        <v>80</v>
      </c>
      <c r="D125" s="117">
        <v>80</v>
      </c>
      <c r="E125" s="117">
        <v>78</v>
      </c>
      <c r="F125" s="117">
        <v>75</v>
      </c>
      <c r="G125" s="117">
        <v>73.8</v>
      </c>
      <c r="H125" s="117">
        <v>55.2</v>
      </c>
      <c r="I125" s="117">
        <v>42.2</v>
      </c>
      <c r="J125" s="117">
        <v>26.7</v>
      </c>
      <c r="K125" s="117">
        <v>-15.6</v>
      </c>
      <c r="L125" s="117"/>
      <c r="M125" s="117">
        <v>-8.1</v>
      </c>
      <c r="N125" s="117">
        <v>-6.4</v>
      </c>
      <c r="O125" s="117">
        <v>-7.1</v>
      </c>
      <c r="P125" s="117">
        <v>17.63</v>
      </c>
      <c r="Q125" s="117">
        <v>12.63</v>
      </c>
      <c r="R125" s="117">
        <v>18.600000000000001</v>
      </c>
      <c r="S125" s="117">
        <v>25</v>
      </c>
      <c r="T125" s="117">
        <v>40</v>
      </c>
      <c r="U125" s="117">
        <v>38</v>
      </c>
      <c r="V125" s="117">
        <v>11</v>
      </c>
      <c r="W125" s="117">
        <v>12</v>
      </c>
      <c r="X125" s="117">
        <v>-12</v>
      </c>
      <c r="Y125" s="117">
        <v>-43</v>
      </c>
      <c r="Z125" s="117">
        <v>-43</v>
      </c>
      <c r="AA125" s="117">
        <v>-43.2</v>
      </c>
      <c r="AB125" s="117">
        <v>-24.7</v>
      </c>
      <c r="AC125" s="117">
        <v>-16.3</v>
      </c>
      <c r="AD125" s="117">
        <v>-3.6</v>
      </c>
      <c r="AE125" s="117">
        <v>42.8</v>
      </c>
      <c r="AF125" s="117">
        <v>61.2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73.3</v>
      </c>
      <c r="C126" s="117">
        <v>83.4</v>
      </c>
      <c r="D126" s="117">
        <v>80.2</v>
      </c>
      <c r="E126" s="117">
        <v>80.599999999999994</v>
      </c>
      <c r="F126" s="117">
        <v>80.2</v>
      </c>
      <c r="G126" s="117">
        <v>90.5</v>
      </c>
      <c r="H126" s="117">
        <v>84.9</v>
      </c>
      <c r="I126" s="117">
        <v>87.6</v>
      </c>
      <c r="J126" s="117">
        <v>80.8</v>
      </c>
      <c r="K126" s="117">
        <v>67.8</v>
      </c>
      <c r="L126" s="117"/>
      <c r="M126" s="117">
        <v>89.2</v>
      </c>
      <c r="N126" s="117">
        <v>95.3</v>
      </c>
      <c r="O126" s="117">
        <v>93.2</v>
      </c>
      <c r="P126" s="117">
        <v>112.6</v>
      </c>
      <c r="Q126" s="117">
        <v>85.1</v>
      </c>
      <c r="R126" s="117">
        <v>82.9</v>
      </c>
      <c r="S126" s="117">
        <v>85</v>
      </c>
      <c r="T126" s="117">
        <v>97</v>
      </c>
      <c r="U126" s="117">
        <v>96</v>
      </c>
      <c r="V126" s="117">
        <v>83</v>
      </c>
      <c r="W126" s="117">
        <v>92</v>
      </c>
      <c r="X126" s="117">
        <v>85</v>
      </c>
      <c r="Y126" s="117">
        <v>82</v>
      </c>
      <c r="Z126" s="117">
        <v>69</v>
      </c>
      <c r="AA126" s="117">
        <v>62.4</v>
      </c>
      <c r="AB126" s="117">
        <v>67.2</v>
      </c>
      <c r="AC126" s="117">
        <v>74.2</v>
      </c>
      <c r="AD126" s="117">
        <v>74.400000000000006</v>
      </c>
      <c r="AE126" s="117">
        <v>82.6</v>
      </c>
      <c r="AF126" s="117">
        <v>83.2</v>
      </c>
      <c r="AG126" s="114"/>
      <c r="AH126" s="47">
        <f t="shared" si="21"/>
        <v>112.6</v>
      </c>
      <c r="AI126" s="48">
        <f t="shared" si="22"/>
        <v>62.4</v>
      </c>
    </row>
    <row r="127" spans="1:35" x14ac:dyDescent="0.25">
      <c r="A127" s="172" t="s">
        <v>587</v>
      </c>
      <c r="B127" s="117">
        <v>23.4</v>
      </c>
      <c r="C127" s="117">
        <v>32.799999999999997</v>
      </c>
      <c r="D127" s="117">
        <v>32.700000000000003</v>
      </c>
      <c r="E127" s="117">
        <v>31.2</v>
      </c>
      <c r="F127" s="117">
        <v>30.6</v>
      </c>
      <c r="G127" s="117">
        <v>34.5</v>
      </c>
      <c r="H127" s="117">
        <v>25.5</v>
      </c>
      <c r="I127" s="117">
        <v>20.7</v>
      </c>
      <c r="J127" s="117">
        <v>9.1999999999999993</v>
      </c>
      <c r="K127" s="117">
        <v>1.3</v>
      </c>
      <c r="L127" s="117"/>
      <c r="M127" s="117">
        <v>1.6</v>
      </c>
      <c r="N127" s="117">
        <v>1</v>
      </c>
      <c r="O127" s="117">
        <v>0</v>
      </c>
      <c r="P127" s="117">
        <v>0</v>
      </c>
      <c r="Q127" s="117">
        <v>8.8000000000000007</v>
      </c>
      <c r="R127" s="117">
        <v>7.9</v>
      </c>
      <c r="S127" s="117">
        <v>7</v>
      </c>
      <c r="T127" s="117">
        <v>8.1</v>
      </c>
      <c r="U127" s="117">
        <v>6</v>
      </c>
      <c r="V127" s="117">
        <v>1</v>
      </c>
      <c r="W127" s="117">
        <v>1.5</v>
      </c>
      <c r="X127" s="117">
        <v>0</v>
      </c>
      <c r="Y127" s="117">
        <v>-9</v>
      </c>
      <c r="Z127" s="117">
        <v>-9</v>
      </c>
      <c r="AA127" s="117">
        <v>-8</v>
      </c>
      <c r="AB127" s="117">
        <v>-2.4</v>
      </c>
      <c r="AC127" s="117">
        <v>2.5</v>
      </c>
      <c r="AD127" s="117">
        <v>1.3</v>
      </c>
      <c r="AE127" s="117">
        <v>15.2</v>
      </c>
      <c r="AF127" s="117">
        <v>25.1</v>
      </c>
      <c r="AG127" s="114"/>
      <c r="AH127" s="47">
        <f t="shared" si="21"/>
        <v>34.5</v>
      </c>
      <c r="AI127" s="48">
        <f t="shared" si="22"/>
        <v>-9</v>
      </c>
    </row>
    <row r="128" spans="1:35" x14ac:dyDescent="0.25">
      <c r="A128" s="173" t="s">
        <v>123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>
        <v>-10.7</v>
      </c>
      <c r="AF128" s="106">
        <v>-5.3</v>
      </c>
      <c r="AG128" s="114"/>
      <c r="AH128" s="47">
        <f t="shared" si="21"/>
        <v>-5.3</v>
      </c>
      <c r="AI128" s="48">
        <f t="shared" si="22"/>
        <v>-10.7</v>
      </c>
    </row>
    <row r="129" spans="1:37" x14ac:dyDescent="0.25">
      <c r="A129" s="173" t="s">
        <v>260</v>
      </c>
      <c r="B129" s="106">
        <v>19.3</v>
      </c>
      <c r="C129" s="106">
        <v>21.2</v>
      </c>
      <c r="D129" s="106">
        <v>21.2</v>
      </c>
      <c r="E129" s="106">
        <v>21.4</v>
      </c>
      <c r="F129" s="106">
        <v>21.5</v>
      </c>
      <c r="G129" s="106">
        <v>22.5</v>
      </c>
      <c r="H129" s="106">
        <v>23.1</v>
      </c>
      <c r="I129" s="106">
        <v>22</v>
      </c>
      <c r="J129" s="106">
        <v>23</v>
      </c>
      <c r="K129" s="106">
        <v>12.1</v>
      </c>
      <c r="L129" s="106"/>
      <c r="M129" s="106">
        <v>13.8</v>
      </c>
      <c r="N129" s="106">
        <v>14.2</v>
      </c>
      <c r="O129" s="106">
        <v>13.2</v>
      </c>
      <c r="P129" s="106">
        <v>13.3</v>
      </c>
      <c r="Q129" s="106">
        <v>21.2</v>
      </c>
      <c r="R129" s="106">
        <v>20.7</v>
      </c>
      <c r="S129" s="106">
        <v>27</v>
      </c>
      <c r="T129" s="106">
        <v>27</v>
      </c>
      <c r="U129" s="106">
        <v>25</v>
      </c>
      <c r="V129" s="106">
        <v>12</v>
      </c>
      <c r="W129" s="106">
        <v>12</v>
      </c>
      <c r="X129" s="106">
        <v>12.1</v>
      </c>
      <c r="Y129" s="106">
        <v>13</v>
      </c>
      <c r="Z129" s="106">
        <v>13</v>
      </c>
      <c r="AA129" s="106">
        <v>11</v>
      </c>
      <c r="AB129" s="106">
        <v>9.9</v>
      </c>
      <c r="AC129" s="106">
        <v>10.1</v>
      </c>
      <c r="AD129" s="106">
        <v>11.8</v>
      </c>
      <c r="AE129" s="106">
        <v>10.1</v>
      </c>
      <c r="AF129" s="106">
        <v>9.6999999999999993</v>
      </c>
      <c r="AG129" s="114"/>
      <c r="AH129" s="47">
        <f t="shared" si="21"/>
        <v>27</v>
      </c>
      <c r="AI129" s="48">
        <f t="shared" si="22"/>
        <v>9.6999999999999993</v>
      </c>
    </row>
    <row r="130" spans="1:37" ht="15.75" thickBot="1" x14ac:dyDescent="0.3">
      <c r="A130" s="173" t="s">
        <v>257</v>
      </c>
      <c r="B130" s="106">
        <v>95.6</v>
      </c>
      <c r="C130" s="106">
        <v>92.8</v>
      </c>
      <c r="D130" s="106">
        <v>90.5</v>
      </c>
      <c r="E130" s="106">
        <v>96.6</v>
      </c>
      <c r="F130" s="106">
        <v>93.2</v>
      </c>
      <c r="G130" s="106">
        <v>89.8</v>
      </c>
      <c r="H130" s="106">
        <v>95.9</v>
      </c>
      <c r="I130" s="106">
        <v>95.8</v>
      </c>
      <c r="J130" s="106">
        <v>102.8</v>
      </c>
      <c r="K130" s="106">
        <v>99.2</v>
      </c>
      <c r="L130" s="106"/>
      <c r="M130" s="106">
        <v>98.2</v>
      </c>
      <c r="N130" s="106">
        <v>95</v>
      </c>
      <c r="O130" s="106">
        <v>110.3</v>
      </c>
      <c r="P130" s="106">
        <v>108.5</v>
      </c>
      <c r="Q130" s="106">
        <v>113</v>
      </c>
      <c r="R130" s="106">
        <v>107.5</v>
      </c>
      <c r="S130" s="106">
        <v>109</v>
      </c>
      <c r="T130" s="106">
        <v>117</v>
      </c>
      <c r="U130" s="106">
        <v>114</v>
      </c>
      <c r="V130" s="106">
        <v>95.1</v>
      </c>
      <c r="W130" s="106">
        <v>84</v>
      </c>
      <c r="X130" s="106">
        <v>110</v>
      </c>
      <c r="Y130" s="106">
        <v>115</v>
      </c>
      <c r="Z130" s="106">
        <v>106</v>
      </c>
      <c r="AA130" s="106">
        <v>97</v>
      </c>
      <c r="AB130" s="106">
        <v>92.3</v>
      </c>
      <c r="AC130" s="106">
        <v>91.4</v>
      </c>
      <c r="AD130" s="106">
        <v>94.9</v>
      </c>
      <c r="AE130" s="106">
        <v>90</v>
      </c>
      <c r="AF130" s="106">
        <v>89.2</v>
      </c>
      <c r="AG130" s="114"/>
      <c r="AH130" s="47">
        <f t="shared" si="21"/>
        <v>117</v>
      </c>
      <c r="AI130" s="48">
        <f t="shared" si="22"/>
        <v>84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5" t="s">
        <v>367</v>
      </c>
      <c r="B132" s="147">
        <v>1984.8</v>
      </c>
      <c r="C132" s="147">
        <v>1985.02</v>
      </c>
      <c r="D132" s="147">
        <v>1985.25</v>
      </c>
      <c r="E132" s="147">
        <v>1985.47</v>
      </c>
      <c r="F132" s="147">
        <v>1985.69</v>
      </c>
      <c r="G132" s="147">
        <v>1985.9</v>
      </c>
      <c r="H132" s="147"/>
      <c r="I132" s="147">
        <v>1986</v>
      </c>
      <c r="J132" s="147"/>
      <c r="K132" s="147">
        <v>1985.78</v>
      </c>
      <c r="L132" s="147"/>
      <c r="M132" s="147">
        <v>1985.4</v>
      </c>
      <c r="N132" s="147">
        <v>1985.1</v>
      </c>
      <c r="O132" s="147">
        <v>1984.72</v>
      </c>
      <c r="P132" s="147">
        <v>1984.62</v>
      </c>
      <c r="Q132" s="147">
        <v>1984.68</v>
      </c>
      <c r="R132" s="147">
        <v>1984.73</v>
      </c>
      <c r="S132" s="147">
        <v>1984.7</v>
      </c>
      <c r="T132" s="147">
        <v>1984.62</v>
      </c>
      <c r="U132" s="147">
        <v>1984.45</v>
      </c>
      <c r="V132" s="147">
        <v>1984.42</v>
      </c>
      <c r="W132" s="147">
        <v>1984.49</v>
      </c>
      <c r="X132" s="147"/>
      <c r="Y132" s="147"/>
      <c r="Z132" s="147">
        <v>1984.15</v>
      </c>
      <c r="AA132" s="147"/>
      <c r="AB132" s="106">
        <v>1983.85</v>
      </c>
      <c r="AC132" s="147"/>
      <c r="AD132" s="147">
        <v>1983.85</v>
      </c>
      <c r="AE132" s="147">
        <v>1984.07</v>
      </c>
      <c r="AF132" s="147">
        <v>1984.32</v>
      </c>
      <c r="AG132" s="149"/>
      <c r="AH132" s="47"/>
      <c r="AI132" s="48"/>
    </row>
    <row r="133" spans="1:37" x14ac:dyDescent="0.25">
      <c r="A133" s="185" t="s">
        <v>238</v>
      </c>
      <c r="B133" s="150">
        <v>521.37</v>
      </c>
      <c r="C133" s="150">
        <v>521.70000000000005</v>
      </c>
      <c r="D133" s="150">
        <v>522.04</v>
      </c>
      <c r="E133" s="150">
        <v>522.41</v>
      </c>
      <c r="F133" s="150">
        <v>522.66999999999996</v>
      </c>
      <c r="G133" s="150">
        <v>522.96</v>
      </c>
      <c r="H133" s="150"/>
      <c r="I133" s="150">
        <v>523.08000000000004</v>
      </c>
      <c r="J133" s="150"/>
      <c r="K133" s="150">
        <v>522.98</v>
      </c>
      <c r="L133" s="150"/>
      <c r="M133" s="150">
        <v>522.78</v>
      </c>
      <c r="N133" s="150">
        <v>522.59</v>
      </c>
      <c r="O133" s="150">
        <v>522.4</v>
      </c>
      <c r="P133" s="150">
        <v>522.14</v>
      </c>
      <c r="Q133" s="150">
        <v>522</v>
      </c>
      <c r="R133" s="150">
        <v>521.96</v>
      </c>
      <c r="S133" s="150">
        <v>521.96</v>
      </c>
      <c r="T133" s="150"/>
      <c r="U133" s="150">
        <v>521.91999999999996</v>
      </c>
      <c r="V133" s="150">
        <v>521.88</v>
      </c>
      <c r="W133" s="150">
        <v>521.87</v>
      </c>
      <c r="X133" s="150">
        <v>521.84</v>
      </c>
      <c r="Y133" s="150"/>
      <c r="Z133" s="150">
        <v>521.44000000000005</v>
      </c>
      <c r="AA133" s="150"/>
      <c r="AB133" s="106">
        <v>521</v>
      </c>
      <c r="AC133" s="150"/>
      <c r="AD133" s="150">
        <v>520.85</v>
      </c>
      <c r="AE133" s="150">
        <v>520.92999999999995</v>
      </c>
      <c r="AF133" s="150">
        <v>521.36</v>
      </c>
      <c r="AG133" s="149"/>
      <c r="AH133" s="47"/>
      <c r="AI133" s="48"/>
    </row>
    <row r="134" spans="1:37" x14ac:dyDescent="0.25">
      <c r="A134" s="185" t="s">
        <v>239</v>
      </c>
      <c r="B134" s="150">
        <v>622.88</v>
      </c>
      <c r="C134" s="150">
        <v>623.24</v>
      </c>
      <c r="D134" s="150">
        <v>623.54</v>
      </c>
      <c r="E134" s="150" t="s">
        <v>591</v>
      </c>
      <c r="F134" s="150">
        <v>624.33000000000004</v>
      </c>
      <c r="G134" s="150">
        <v>624.66</v>
      </c>
      <c r="H134" s="150"/>
      <c r="I134" s="150">
        <v>624.91</v>
      </c>
      <c r="J134" s="150"/>
      <c r="K134" s="150">
        <v>624.91</v>
      </c>
      <c r="L134" s="150"/>
      <c r="M134" s="150">
        <v>624.70000000000005</v>
      </c>
      <c r="N134" s="150">
        <v>624.51</v>
      </c>
      <c r="O134" s="150">
        <v>624.30999999999995</v>
      </c>
      <c r="P134" s="150">
        <v>624.08000000000004</v>
      </c>
      <c r="Q134" s="150">
        <v>623.84</v>
      </c>
      <c r="R134" s="150">
        <v>623.54999999999995</v>
      </c>
      <c r="S134" s="150">
        <v>623.04</v>
      </c>
      <c r="T134" s="150"/>
      <c r="U134" s="150">
        <v>622.80999999999995</v>
      </c>
      <c r="V134" s="150">
        <v>622.83000000000004</v>
      </c>
      <c r="W134" s="150">
        <v>623.1</v>
      </c>
      <c r="X134" s="150">
        <v>623.24</v>
      </c>
      <c r="Y134" s="150"/>
      <c r="Z134" s="150">
        <v>622.96</v>
      </c>
      <c r="AA134" s="150"/>
      <c r="AB134" s="106">
        <v>622.66</v>
      </c>
      <c r="AC134" s="150"/>
      <c r="AD134" s="150">
        <v>622.75</v>
      </c>
      <c r="AE134" s="150">
        <v>622.75</v>
      </c>
      <c r="AF134" s="150">
        <v>623.16</v>
      </c>
      <c r="AG134" s="149"/>
      <c r="AH134" s="47"/>
      <c r="AI134" s="48"/>
    </row>
    <row r="135" spans="1:37" x14ac:dyDescent="0.25">
      <c r="A135" s="185" t="s">
        <v>240</v>
      </c>
      <c r="B135" s="150">
        <v>336.04</v>
      </c>
      <c r="C135" s="150">
        <v>336.54</v>
      </c>
      <c r="D135" s="150">
        <v>336.86</v>
      </c>
      <c r="E135" s="150">
        <v>337.06</v>
      </c>
      <c r="F135" s="150">
        <v>337.26</v>
      </c>
      <c r="G135" s="150">
        <v>337.29</v>
      </c>
      <c r="H135" s="150"/>
      <c r="I135" s="150">
        <v>337.16</v>
      </c>
      <c r="J135" s="150"/>
      <c r="K135" s="150">
        <v>336.99</v>
      </c>
      <c r="L135" s="150"/>
      <c r="M135" s="150">
        <v>336.8</v>
      </c>
      <c r="N135" s="150">
        <v>336.63</v>
      </c>
      <c r="O135" s="150">
        <v>336.31</v>
      </c>
      <c r="P135" s="150">
        <v>335.98</v>
      </c>
      <c r="Q135" s="150">
        <v>335.75</v>
      </c>
      <c r="R135" s="150">
        <v>335.56</v>
      </c>
      <c r="S135" s="150">
        <v>335.66</v>
      </c>
      <c r="T135" s="150"/>
      <c r="U135" s="150">
        <v>336.23</v>
      </c>
      <c r="V135" s="150">
        <v>336.5</v>
      </c>
      <c r="W135" s="150">
        <v>336.67</v>
      </c>
      <c r="X135" s="150">
        <v>336.81</v>
      </c>
      <c r="Y135" s="150"/>
      <c r="Z135" s="150">
        <v>336.8</v>
      </c>
      <c r="AA135" s="150"/>
      <c r="AB135" s="106">
        <v>336.48</v>
      </c>
      <c r="AC135" s="150"/>
      <c r="AD135" s="150">
        <v>336.24</v>
      </c>
      <c r="AE135" s="150">
        <v>336.11</v>
      </c>
      <c r="AF135" s="150">
        <v>336.15</v>
      </c>
      <c r="AG135" s="149"/>
      <c r="AH135" s="47"/>
      <c r="AI135" s="48"/>
    </row>
    <row r="136" spans="1:37" x14ac:dyDescent="0.25">
      <c r="A136" s="185" t="s">
        <v>384</v>
      </c>
      <c r="B136" s="150">
        <v>884</v>
      </c>
      <c r="C136" s="150">
        <v>884.6</v>
      </c>
      <c r="D136" s="150">
        <v>885.3</v>
      </c>
      <c r="E136" s="150">
        <v>885.7</v>
      </c>
      <c r="F136" s="150">
        <v>886.4</v>
      </c>
      <c r="G136" s="150">
        <v>886</v>
      </c>
      <c r="H136" s="150"/>
      <c r="I136" s="150">
        <v>887.2</v>
      </c>
      <c r="J136" s="150"/>
      <c r="K136" s="150">
        <v>887</v>
      </c>
      <c r="L136" s="150"/>
      <c r="M136" s="150">
        <v>886.1</v>
      </c>
      <c r="N136" s="150">
        <v>885.2</v>
      </c>
      <c r="O136" s="150">
        <v>884.9</v>
      </c>
      <c r="P136" s="150">
        <v>884.8</v>
      </c>
      <c r="Q136" s="150">
        <v>884.7</v>
      </c>
      <c r="R136" s="150">
        <v>884.5</v>
      </c>
      <c r="S136" s="150">
        <v>885</v>
      </c>
      <c r="T136" s="150">
        <v>885.3</v>
      </c>
      <c r="U136" s="150">
        <v>886</v>
      </c>
      <c r="V136" s="150">
        <v>885.9</v>
      </c>
      <c r="W136" s="150">
        <v>885.9</v>
      </c>
      <c r="X136" s="150">
        <v>885.8</v>
      </c>
      <c r="Y136" s="150"/>
      <c r="Z136" s="150">
        <v>884.8</v>
      </c>
      <c r="AA136" s="150"/>
      <c r="AB136" s="106">
        <v>884</v>
      </c>
      <c r="AC136" s="150"/>
      <c r="AD136" s="150"/>
      <c r="AE136" s="150"/>
      <c r="AF136" s="150">
        <v>883.8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1519.12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1519.13</v>
      </c>
      <c r="N137" s="152"/>
      <c r="O137" s="152"/>
      <c r="P137" s="152"/>
      <c r="Q137" s="152"/>
      <c r="R137" s="152">
        <v>1519.14</v>
      </c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73">SUM(B139:B243)</f>
        <v>0</v>
      </c>
      <c r="C244" s="134">
        <f t="shared" si="73"/>
        <v>0</v>
      </c>
      <c r="D244" s="134">
        <f t="shared" si="73"/>
        <v>0</v>
      </c>
      <c r="E244" s="134">
        <f t="shared" si="73"/>
        <v>0</v>
      </c>
      <c r="F244" s="134">
        <f t="shared" si="73"/>
        <v>0</v>
      </c>
      <c r="G244" s="134">
        <f t="shared" si="73"/>
        <v>0</v>
      </c>
      <c r="H244" s="134">
        <f t="shared" si="73"/>
        <v>0</v>
      </c>
      <c r="I244" s="134">
        <f t="shared" si="73"/>
        <v>0</v>
      </c>
      <c r="J244" s="134">
        <f t="shared" si="73"/>
        <v>0</v>
      </c>
      <c r="K244" s="134">
        <f t="shared" si="73"/>
        <v>0</v>
      </c>
      <c r="L244" s="134">
        <f t="shared" si="73"/>
        <v>0</v>
      </c>
      <c r="M244" s="134">
        <f t="shared" si="73"/>
        <v>0</v>
      </c>
      <c r="N244" s="134">
        <f t="shared" si="73"/>
        <v>0</v>
      </c>
      <c r="O244" s="134">
        <f t="shared" si="73"/>
        <v>0</v>
      </c>
      <c r="P244" s="134">
        <f t="shared" si="73"/>
        <v>0</v>
      </c>
      <c r="Q244" s="134">
        <f t="shared" si="73"/>
        <v>0</v>
      </c>
      <c r="R244" s="134">
        <f t="shared" si="73"/>
        <v>0</v>
      </c>
      <c r="S244" s="134">
        <f t="shared" si="73"/>
        <v>0</v>
      </c>
      <c r="T244" s="134">
        <f t="shared" si="73"/>
        <v>0</v>
      </c>
      <c r="U244" s="134">
        <f t="shared" si="73"/>
        <v>0</v>
      </c>
      <c r="V244" s="134">
        <f t="shared" si="73"/>
        <v>0</v>
      </c>
      <c r="W244" s="134">
        <f t="shared" si="73"/>
        <v>0</v>
      </c>
      <c r="X244" s="134">
        <f t="shared" si="73"/>
        <v>0</v>
      </c>
      <c r="Y244" s="134">
        <f t="shared" si="73"/>
        <v>0</v>
      </c>
      <c r="Z244" s="134">
        <f t="shared" si="73"/>
        <v>0</v>
      </c>
      <c r="AA244" s="134">
        <f t="shared" si="73"/>
        <v>0</v>
      </c>
      <c r="AB244" s="134">
        <f t="shared" si="73"/>
        <v>0</v>
      </c>
      <c r="AC244" s="134">
        <f t="shared" si="73"/>
        <v>0</v>
      </c>
      <c r="AD244" s="134">
        <f t="shared" si="73"/>
        <v>0</v>
      </c>
      <c r="AE244" s="134">
        <f t="shared" si="73"/>
        <v>0</v>
      </c>
      <c r="AF244" s="135">
        <f t="shared" si="73"/>
        <v>0</v>
      </c>
      <c r="AG244" s="136">
        <f t="shared" si="7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74">AF246</f>
        <v>0.3</v>
      </c>
      <c r="C246" s="138">
        <v>0.3</v>
      </c>
      <c r="D246" s="138">
        <f t="shared" ref="D246:S251" si="75">C246</f>
        <v>0.3</v>
      </c>
      <c r="E246" s="138">
        <f t="shared" si="75"/>
        <v>0.3</v>
      </c>
      <c r="F246" s="138">
        <f t="shared" si="75"/>
        <v>0.3</v>
      </c>
      <c r="G246" s="138">
        <f t="shared" si="75"/>
        <v>0.3</v>
      </c>
      <c r="H246" s="138">
        <f t="shared" si="75"/>
        <v>0.3</v>
      </c>
      <c r="I246" s="138">
        <f t="shared" si="75"/>
        <v>0.3</v>
      </c>
      <c r="J246" s="138">
        <f t="shared" si="75"/>
        <v>0.3</v>
      </c>
      <c r="K246" s="138">
        <f t="shared" si="75"/>
        <v>0.3</v>
      </c>
      <c r="L246" s="138">
        <f t="shared" si="75"/>
        <v>0.3</v>
      </c>
      <c r="M246" s="138">
        <f t="shared" si="75"/>
        <v>0.3</v>
      </c>
      <c r="N246" s="138">
        <f t="shared" si="75"/>
        <v>0.3</v>
      </c>
      <c r="O246" s="138">
        <f t="shared" si="75"/>
        <v>0.3</v>
      </c>
      <c r="P246" s="138">
        <f t="shared" si="75"/>
        <v>0.3</v>
      </c>
      <c r="Q246" s="138">
        <f t="shared" si="75"/>
        <v>0.3</v>
      </c>
      <c r="R246" s="138">
        <f t="shared" si="75"/>
        <v>0.3</v>
      </c>
      <c r="S246" s="138">
        <f t="shared" si="75"/>
        <v>0.3</v>
      </c>
      <c r="T246" s="138">
        <f t="shared" ref="T246:AF251" si="76">S246</f>
        <v>0.3</v>
      </c>
      <c r="U246" s="138">
        <f t="shared" si="76"/>
        <v>0.3</v>
      </c>
      <c r="V246" s="138">
        <f t="shared" si="76"/>
        <v>0.3</v>
      </c>
      <c r="W246" s="138">
        <f t="shared" si="76"/>
        <v>0.3</v>
      </c>
      <c r="X246" s="138">
        <f t="shared" si="76"/>
        <v>0.3</v>
      </c>
      <c r="Y246" s="138">
        <f t="shared" si="76"/>
        <v>0.3</v>
      </c>
      <c r="Z246" s="138">
        <f t="shared" si="76"/>
        <v>0.3</v>
      </c>
      <c r="AA246" s="138">
        <f t="shared" si="76"/>
        <v>0.3</v>
      </c>
      <c r="AB246" s="138">
        <f t="shared" si="76"/>
        <v>0.3</v>
      </c>
      <c r="AC246" s="138">
        <f t="shared" si="76"/>
        <v>0.3</v>
      </c>
      <c r="AD246" s="138">
        <f t="shared" si="76"/>
        <v>0.3</v>
      </c>
      <c r="AE246" s="138">
        <f t="shared" si="76"/>
        <v>0.3</v>
      </c>
      <c r="AF246" s="138">
        <f t="shared" si="7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74"/>
        <v>0.4</v>
      </c>
      <c r="C247" s="126">
        <v>0.4</v>
      </c>
      <c r="D247" s="126">
        <f t="shared" si="75"/>
        <v>0.4</v>
      </c>
      <c r="E247" s="126">
        <f t="shared" si="75"/>
        <v>0.4</v>
      </c>
      <c r="F247" s="126">
        <f t="shared" si="75"/>
        <v>0.4</v>
      </c>
      <c r="G247" s="126">
        <f t="shared" si="75"/>
        <v>0.4</v>
      </c>
      <c r="H247" s="126">
        <f t="shared" si="75"/>
        <v>0.4</v>
      </c>
      <c r="I247" s="126">
        <f t="shared" si="75"/>
        <v>0.4</v>
      </c>
      <c r="J247" s="126">
        <f t="shared" si="75"/>
        <v>0.4</v>
      </c>
      <c r="K247" s="126">
        <f t="shared" si="75"/>
        <v>0.4</v>
      </c>
      <c r="L247" s="126">
        <f t="shared" si="75"/>
        <v>0.4</v>
      </c>
      <c r="M247" s="126">
        <f t="shared" si="75"/>
        <v>0.4</v>
      </c>
      <c r="N247" s="126">
        <f t="shared" si="75"/>
        <v>0.4</v>
      </c>
      <c r="O247" s="126">
        <f t="shared" si="75"/>
        <v>0.4</v>
      </c>
      <c r="P247" s="126">
        <f t="shared" si="75"/>
        <v>0.4</v>
      </c>
      <c r="Q247" s="126">
        <f t="shared" si="75"/>
        <v>0.4</v>
      </c>
      <c r="R247" s="126">
        <f t="shared" si="75"/>
        <v>0.4</v>
      </c>
      <c r="S247" s="126">
        <f t="shared" si="75"/>
        <v>0.4</v>
      </c>
      <c r="T247" s="126">
        <f t="shared" si="76"/>
        <v>0.4</v>
      </c>
      <c r="U247" s="126">
        <f t="shared" si="76"/>
        <v>0.4</v>
      </c>
      <c r="V247" s="126">
        <f t="shared" si="76"/>
        <v>0.4</v>
      </c>
      <c r="W247" s="126">
        <f t="shared" si="76"/>
        <v>0.4</v>
      </c>
      <c r="X247" s="126">
        <f t="shared" si="76"/>
        <v>0.4</v>
      </c>
      <c r="Y247" s="126">
        <f t="shared" si="76"/>
        <v>0.4</v>
      </c>
      <c r="Z247" s="126">
        <f t="shared" si="76"/>
        <v>0.4</v>
      </c>
      <c r="AA247" s="126">
        <f t="shared" si="76"/>
        <v>0.4</v>
      </c>
      <c r="AB247" s="126">
        <f t="shared" si="76"/>
        <v>0.4</v>
      </c>
      <c r="AC247" s="126">
        <f t="shared" si="76"/>
        <v>0.4</v>
      </c>
      <c r="AD247" s="126">
        <f t="shared" si="76"/>
        <v>0.4</v>
      </c>
      <c r="AE247" s="126">
        <f t="shared" si="76"/>
        <v>0.4</v>
      </c>
      <c r="AF247" s="126">
        <f t="shared" si="7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74"/>
        <v>1.5</v>
      </c>
      <c r="C248" s="126">
        <v>1.5</v>
      </c>
      <c r="D248" s="126">
        <f t="shared" si="75"/>
        <v>1.5</v>
      </c>
      <c r="E248" s="126">
        <f t="shared" si="75"/>
        <v>1.5</v>
      </c>
      <c r="F248" s="126">
        <f t="shared" si="75"/>
        <v>1.5</v>
      </c>
      <c r="G248" s="126">
        <f t="shared" si="75"/>
        <v>1.5</v>
      </c>
      <c r="H248" s="126">
        <f t="shared" si="75"/>
        <v>1.5</v>
      </c>
      <c r="I248" s="126">
        <f t="shared" si="75"/>
        <v>1.5</v>
      </c>
      <c r="J248" s="126">
        <f t="shared" si="75"/>
        <v>1.5</v>
      </c>
      <c r="K248" s="126">
        <f t="shared" si="75"/>
        <v>1.5</v>
      </c>
      <c r="L248" s="126">
        <f t="shared" si="75"/>
        <v>1.5</v>
      </c>
      <c r="M248" s="126">
        <f t="shared" si="75"/>
        <v>1.5</v>
      </c>
      <c r="N248" s="126">
        <f t="shared" si="75"/>
        <v>1.5</v>
      </c>
      <c r="O248" s="126">
        <f t="shared" si="75"/>
        <v>1.5</v>
      </c>
      <c r="P248" s="126">
        <f t="shared" si="75"/>
        <v>1.5</v>
      </c>
      <c r="Q248" s="126">
        <f t="shared" si="75"/>
        <v>1.5</v>
      </c>
      <c r="R248" s="126">
        <f t="shared" si="75"/>
        <v>1.5</v>
      </c>
      <c r="S248" s="126">
        <f t="shared" si="75"/>
        <v>1.5</v>
      </c>
      <c r="T248" s="126">
        <f t="shared" si="76"/>
        <v>1.5</v>
      </c>
      <c r="U248" s="126">
        <f t="shared" si="76"/>
        <v>1.5</v>
      </c>
      <c r="V248" s="126">
        <f t="shared" si="76"/>
        <v>1.5</v>
      </c>
      <c r="W248" s="126">
        <f t="shared" si="76"/>
        <v>1.5</v>
      </c>
      <c r="X248" s="126">
        <f t="shared" si="76"/>
        <v>1.5</v>
      </c>
      <c r="Y248" s="126">
        <f t="shared" si="76"/>
        <v>1.5</v>
      </c>
      <c r="Z248" s="126">
        <f t="shared" si="76"/>
        <v>1.5</v>
      </c>
      <c r="AA248" s="126">
        <f t="shared" si="76"/>
        <v>1.5</v>
      </c>
      <c r="AB248" s="126">
        <f t="shared" si="76"/>
        <v>1.5</v>
      </c>
      <c r="AC248" s="126">
        <f t="shared" si="76"/>
        <v>1.5</v>
      </c>
      <c r="AD248" s="126">
        <f t="shared" si="76"/>
        <v>1.5</v>
      </c>
      <c r="AE248" s="126">
        <f t="shared" si="76"/>
        <v>1.5</v>
      </c>
      <c r="AF248" s="126">
        <f t="shared" si="7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74"/>
        <v>0.3</v>
      </c>
      <c r="C249" s="126">
        <v>0.3</v>
      </c>
      <c r="D249" s="126">
        <f t="shared" si="75"/>
        <v>0.3</v>
      </c>
      <c r="E249" s="126">
        <f t="shared" si="75"/>
        <v>0.3</v>
      </c>
      <c r="F249" s="126">
        <f t="shared" si="75"/>
        <v>0.3</v>
      </c>
      <c r="G249" s="126">
        <f t="shared" si="75"/>
        <v>0.3</v>
      </c>
      <c r="H249" s="126">
        <f t="shared" si="75"/>
        <v>0.3</v>
      </c>
      <c r="I249" s="126">
        <f t="shared" si="75"/>
        <v>0.3</v>
      </c>
      <c r="J249" s="126">
        <f t="shared" si="75"/>
        <v>0.3</v>
      </c>
      <c r="K249" s="126">
        <f t="shared" si="75"/>
        <v>0.3</v>
      </c>
      <c r="L249" s="126">
        <f t="shared" si="75"/>
        <v>0.3</v>
      </c>
      <c r="M249" s="126">
        <f t="shared" si="75"/>
        <v>0.3</v>
      </c>
      <c r="N249" s="126">
        <f t="shared" si="75"/>
        <v>0.3</v>
      </c>
      <c r="O249" s="126">
        <f t="shared" si="75"/>
        <v>0.3</v>
      </c>
      <c r="P249" s="126">
        <f t="shared" si="75"/>
        <v>0.3</v>
      </c>
      <c r="Q249" s="126">
        <f t="shared" si="75"/>
        <v>0.3</v>
      </c>
      <c r="R249" s="126">
        <f t="shared" si="75"/>
        <v>0.3</v>
      </c>
      <c r="S249" s="126">
        <f t="shared" si="75"/>
        <v>0.3</v>
      </c>
      <c r="T249" s="126">
        <f t="shared" si="76"/>
        <v>0.3</v>
      </c>
      <c r="U249" s="126">
        <f t="shared" si="76"/>
        <v>0.3</v>
      </c>
      <c r="V249" s="126">
        <f t="shared" si="76"/>
        <v>0.3</v>
      </c>
      <c r="W249" s="126">
        <f t="shared" si="76"/>
        <v>0.3</v>
      </c>
      <c r="X249" s="126">
        <f t="shared" si="76"/>
        <v>0.3</v>
      </c>
      <c r="Y249" s="126">
        <f t="shared" si="76"/>
        <v>0.3</v>
      </c>
      <c r="Z249" s="126">
        <f t="shared" si="76"/>
        <v>0.3</v>
      </c>
      <c r="AA249" s="126">
        <f t="shared" si="76"/>
        <v>0.3</v>
      </c>
      <c r="AB249" s="126">
        <f t="shared" si="76"/>
        <v>0.3</v>
      </c>
      <c r="AC249" s="126">
        <f t="shared" si="76"/>
        <v>0.3</v>
      </c>
      <c r="AD249" s="126">
        <f t="shared" si="76"/>
        <v>0.3</v>
      </c>
      <c r="AE249" s="126">
        <f t="shared" si="76"/>
        <v>0.3</v>
      </c>
      <c r="AF249" s="126">
        <f t="shared" si="7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74"/>
        <v>0.4</v>
      </c>
      <c r="C250" s="126">
        <v>0.4</v>
      </c>
      <c r="D250" s="126">
        <f t="shared" si="75"/>
        <v>0.4</v>
      </c>
      <c r="E250" s="126">
        <f t="shared" si="75"/>
        <v>0.4</v>
      </c>
      <c r="F250" s="126">
        <f t="shared" si="75"/>
        <v>0.4</v>
      </c>
      <c r="G250" s="126">
        <f t="shared" si="75"/>
        <v>0.4</v>
      </c>
      <c r="H250" s="126">
        <f t="shared" si="75"/>
        <v>0.4</v>
      </c>
      <c r="I250" s="126">
        <f t="shared" si="75"/>
        <v>0.4</v>
      </c>
      <c r="J250" s="126">
        <f t="shared" si="75"/>
        <v>0.4</v>
      </c>
      <c r="K250" s="126">
        <f t="shared" si="75"/>
        <v>0.4</v>
      </c>
      <c r="L250" s="126">
        <f t="shared" si="75"/>
        <v>0.4</v>
      </c>
      <c r="M250" s="126">
        <f t="shared" si="75"/>
        <v>0.4</v>
      </c>
      <c r="N250" s="126">
        <f t="shared" si="75"/>
        <v>0.4</v>
      </c>
      <c r="O250" s="126">
        <f t="shared" si="75"/>
        <v>0.4</v>
      </c>
      <c r="P250" s="126">
        <f t="shared" si="75"/>
        <v>0.4</v>
      </c>
      <c r="Q250" s="126">
        <f t="shared" si="75"/>
        <v>0.4</v>
      </c>
      <c r="R250" s="126">
        <f t="shared" si="75"/>
        <v>0.4</v>
      </c>
      <c r="S250" s="126">
        <f t="shared" si="75"/>
        <v>0.4</v>
      </c>
      <c r="T250" s="126">
        <f t="shared" si="76"/>
        <v>0.4</v>
      </c>
      <c r="U250" s="126">
        <f t="shared" si="76"/>
        <v>0.4</v>
      </c>
      <c r="V250" s="126">
        <f t="shared" si="76"/>
        <v>0.4</v>
      </c>
      <c r="W250" s="126">
        <f t="shared" si="76"/>
        <v>0.4</v>
      </c>
      <c r="X250" s="126">
        <f t="shared" si="76"/>
        <v>0.4</v>
      </c>
      <c r="Y250" s="126">
        <f t="shared" si="76"/>
        <v>0.4</v>
      </c>
      <c r="Z250" s="126">
        <f t="shared" si="76"/>
        <v>0.4</v>
      </c>
      <c r="AA250" s="126">
        <f t="shared" si="76"/>
        <v>0.4</v>
      </c>
      <c r="AB250" s="126">
        <f t="shared" si="76"/>
        <v>0.4</v>
      </c>
      <c r="AC250" s="126">
        <f t="shared" si="76"/>
        <v>0.4</v>
      </c>
      <c r="AD250" s="126">
        <f t="shared" si="76"/>
        <v>0.4</v>
      </c>
      <c r="AE250" s="126">
        <f t="shared" si="76"/>
        <v>0.4</v>
      </c>
      <c r="AF250" s="126">
        <f t="shared" si="7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74"/>
        <v>0.64</v>
      </c>
      <c r="C251" s="130">
        <v>0.64</v>
      </c>
      <c r="D251" s="130">
        <f t="shared" si="75"/>
        <v>0.64</v>
      </c>
      <c r="E251" s="130">
        <f t="shared" si="75"/>
        <v>0.64</v>
      </c>
      <c r="F251" s="130">
        <f t="shared" si="75"/>
        <v>0.64</v>
      </c>
      <c r="G251" s="130">
        <f t="shared" si="75"/>
        <v>0.64</v>
      </c>
      <c r="H251" s="130">
        <f t="shared" si="75"/>
        <v>0.64</v>
      </c>
      <c r="I251" s="130">
        <f t="shared" si="75"/>
        <v>0.64</v>
      </c>
      <c r="J251" s="130">
        <f t="shared" si="75"/>
        <v>0.64</v>
      </c>
      <c r="K251" s="130">
        <f t="shared" si="75"/>
        <v>0.64</v>
      </c>
      <c r="L251" s="130">
        <f t="shared" si="75"/>
        <v>0.64</v>
      </c>
      <c r="M251" s="130">
        <f t="shared" si="75"/>
        <v>0.64</v>
      </c>
      <c r="N251" s="130">
        <f t="shared" si="75"/>
        <v>0.64</v>
      </c>
      <c r="O251" s="130">
        <f t="shared" si="75"/>
        <v>0.64</v>
      </c>
      <c r="P251" s="130">
        <f t="shared" si="75"/>
        <v>0.64</v>
      </c>
      <c r="Q251" s="130">
        <f t="shared" si="75"/>
        <v>0.64</v>
      </c>
      <c r="R251" s="130">
        <f t="shared" si="75"/>
        <v>0.64</v>
      </c>
      <c r="S251" s="130">
        <f t="shared" si="75"/>
        <v>0.64</v>
      </c>
      <c r="T251" s="130">
        <f t="shared" si="76"/>
        <v>0.64</v>
      </c>
      <c r="U251" s="130">
        <f t="shared" si="76"/>
        <v>0.64</v>
      </c>
      <c r="V251" s="130">
        <f t="shared" si="76"/>
        <v>0.64</v>
      </c>
      <c r="W251" s="130">
        <f t="shared" si="76"/>
        <v>0.64</v>
      </c>
      <c r="X251" s="130">
        <f t="shared" si="76"/>
        <v>0.64</v>
      </c>
      <c r="Y251" s="130">
        <f t="shared" si="76"/>
        <v>0.64</v>
      </c>
      <c r="Z251" s="130">
        <f t="shared" si="76"/>
        <v>0.64</v>
      </c>
      <c r="AA251" s="130">
        <f t="shared" si="76"/>
        <v>0.64</v>
      </c>
      <c r="AB251" s="130">
        <f t="shared" si="76"/>
        <v>0.64</v>
      </c>
      <c r="AC251" s="130">
        <f t="shared" si="76"/>
        <v>0.64</v>
      </c>
      <c r="AD251" s="130">
        <f t="shared" si="76"/>
        <v>0.64</v>
      </c>
      <c r="AE251" s="130">
        <f t="shared" si="76"/>
        <v>0.64</v>
      </c>
      <c r="AF251" s="130">
        <f t="shared" si="7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77">SUM(B246:B251)</f>
        <v>3.54</v>
      </c>
      <c r="C252" s="134">
        <f t="shared" si="77"/>
        <v>3.54</v>
      </c>
      <c r="D252" s="134">
        <f t="shared" si="77"/>
        <v>3.54</v>
      </c>
      <c r="E252" s="134">
        <f t="shared" si="77"/>
        <v>3.54</v>
      </c>
      <c r="F252" s="134">
        <f t="shared" si="77"/>
        <v>3.54</v>
      </c>
      <c r="G252" s="134">
        <f t="shared" si="77"/>
        <v>3.54</v>
      </c>
      <c r="H252" s="134">
        <f t="shared" si="77"/>
        <v>3.54</v>
      </c>
      <c r="I252" s="134">
        <f t="shared" si="77"/>
        <v>3.54</v>
      </c>
      <c r="J252" s="134">
        <f t="shared" si="77"/>
        <v>3.54</v>
      </c>
      <c r="K252" s="134">
        <f t="shared" si="77"/>
        <v>3.54</v>
      </c>
      <c r="L252" s="134">
        <f t="shared" si="77"/>
        <v>3.54</v>
      </c>
      <c r="M252" s="134">
        <f t="shared" si="77"/>
        <v>3.54</v>
      </c>
      <c r="N252" s="134">
        <f t="shared" si="77"/>
        <v>3.54</v>
      </c>
      <c r="O252" s="134">
        <f t="shared" si="77"/>
        <v>3.54</v>
      </c>
      <c r="P252" s="134">
        <f t="shared" si="77"/>
        <v>3.54</v>
      </c>
      <c r="Q252" s="134">
        <f t="shared" si="77"/>
        <v>3.54</v>
      </c>
      <c r="R252" s="134">
        <f t="shared" si="77"/>
        <v>3.54</v>
      </c>
      <c r="S252" s="134">
        <f t="shared" si="77"/>
        <v>3.54</v>
      </c>
      <c r="T252" s="134">
        <f t="shared" si="77"/>
        <v>3.54</v>
      </c>
      <c r="U252" s="134">
        <f t="shared" si="77"/>
        <v>3.54</v>
      </c>
      <c r="V252" s="134">
        <f t="shared" si="77"/>
        <v>3.54</v>
      </c>
      <c r="W252" s="134">
        <f t="shared" si="77"/>
        <v>3.54</v>
      </c>
      <c r="X252" s="134">
        <f t="shared" si="77"/>
        <v>3.54</v>
      </c>
      <c r="Y252" s="134">
        <f t="shared" si="77"/>
        <v>3.54</v>
      </c>
      <c r="Z252" s="134">
        <f t="shared" si="77"/>
        <v>3.54</v>
      </c>
      <c r="AA252" s="134">
        <f t="shared" si="77"/>
        <v>3.54</v>
      </c>
      <c r="AB252" s="134">
        <f t="shared" si="77"/>
        <v>3.54</v>
      </c>
      <c r="AC252" s="134">
        <f t="shared" si="77"/>
        <v>3.54</v>
      </c>
      <c r="AD252" s="134">
        <f t="shared" si="77"/>
        <v>3.54</v>
      </c>
      <c r="AE252" s="134">
        <f t="shared" si="77"/>
        <v>3.54</v>
      </c>
      <c r="AF252" s="134">
        <f t="shared" si="77"/>
        <v>3.54</v>
      </c>
      <c r="AG252" s="143">
        <f t="shared" si="7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1641.49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7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2080/10/7)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2080/10/7)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78">B99</f>
        <v>1168.79</v>
      </c>
      <c r="U261" s="165">
        <f t="shared" si="78"/>
        <v>1204.0899999999999</v>
      </c>
      <c r="V261" s="165">
        <f t="shared" si="78"/>
        <v>1161.29</v>
      </c>
      <c r="W261" s="165">
        <f t="shared" si="78"/>
        <v>1188.99</v>
      </c>
      <c r="X261" s="165">
        <f t="shared" si="78"/>
        <v>1162.3899999999999</v>
      </c>
      <c r="Y261" s="165">
        <f t="shared" si="78"/>
        <v>1230.19</v>
      </c>
      <c r="Z261" s="165">
        <f t="shared" si="78"/>
        <v>1267.0899999999999</v>
      </c>
      <c r="AA261" s="165">
        <f t="shared" si="78"/>
        <v>1342.3899999999999</v>
      </c>
      <c r="AB261" s="165">
        <f t="shared" si="78"/>
        <v>1446.29</v>
      </c>
      <c r="AC261" s="165">
        <f t="shared" si="78"/>
        <v>1550.09</v>
      </c>
      <c r="AD261" s="165">
        <f t="shared" si="78"/>
        <v>1641.49</v>
      </c>
      <c r="AE261" s="165">
        <f t="shared" si="78"/>
        <v>1618.49</v>
      </c>
      <c r="AF261" s="165">
        <f t="shared" si="78"/>
        <v>1593.69</v>
      </c>
      <c r="AG261" s="165">
        <f t="shared" si="78"/>
        <v>1605.0900000000001</v>
      </c>
      <c r="AH261" s="165">
        <f t="shared" si="78"/>
        <v>1556.0900000000001</v>
      </c>
      <c r="AI261" s="165">
        <f t="shared" si="78"/>
        <v>1413.59</v>
      </c>
      <c r="AJ261" s="165">
        <f t="shared" si="78"/>
        <v>1400.0900000000001</v>
      </c>
      <c r="AK261" s="165">
        <f t="shared" si="78"/>
        <v>1443.99</v>
      </c>
      <c r="AL261" s="165">
        <f t="shared" si="78"/>
        <v>1484.19</v>
      </c>
      <c r="AM261" s="165">
        <f t="shared" si="78"/>
        <v>1451.59</v>
      </c>
      <c r="AN261" s="165">
        <f t="shared" si="78"/>
        <v>1380.3899999999999</v>
      </c>
      <c r="AO261" s="165">
        <f t="shared" si="78"/>
        <v>1483.69</v>
      </c>
      <c r="AP261" s="165">
        <f t="shared" si="78"/>
        <v>1662.39</v>
      </c>
      <c r="AQ261" s="165">
        <f t="shared" si="78"/>
        <v>1805.65</v>
      </c>
      <c r="AR261" s="165">
        <f t="shared" si="78"/>
        <v>1778.65</v>
      </c>
      <c r="AS261" s="165">
        <f t="shared" si="78"/>
        <v>1695.09</v>
      </c>
      <c r="AT261" s="165">
        <f t="shared" si="78"/>
        <v>1633.8899999999999</v>
      </c>
      <c r="AU261" s="165">
        <f t="shared" si="78"/>
        <v>1592.29</v>
      </c>
      <c r="AV261" s="165">
        <f t="shared" si="78"/>
        <v>1361.5900000000001</v>
      </c>
      <c r="AW261" s="165">
        <f t="shared" si="78"/>
        <v>1306.5899999999999</v>
      </c>
      <c r="AX261" s="165">
        <f t="shared" si="78"/>
        <v>1274.29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79">C251</f>
        <v>0.64</v>
      </c>
      <c r="C282" s="168">
        <f t="shared" si="79"/>
        <v>0.64</v>
      </c>
      <c r="D282" s="168">
        <f t="shared" si="79"/>
        <v>0.64</v>
      </c>
      <c r="E282" s="168">
        <f t="shared" si="79"/>
        <v>0.64</v>
      </c>
      <c r="F282" s="168">
        <f t="shared" si="79"/>
        <v>0.64</v>
      </c>
      <c r="G282" s="168">
        <f t="shared" si="79"/>
        <v>0.64</v>
      </c>
      <c r="H282" s="168">
        <f t="shared" si="79"/>
        <v>0.64</v>
      </c>
      <c r="I282" s="168">
        <f t="shared" si="79"/>
        <v>0.64</v>
      </c>
      <c r="J282" s="168">
        <f t="shared" si="79"/>
        <v>0.64</v>
      </c>
      <c r="K282" s="168">
        <f t="shared" si="79"/>
        <v>0.64</v>
      </c>
      <c r="L282" s="168">
        <f t="shared" si="79"/>
        <v>0.64</v>
      </c>
      <c r="M282" s="168">
        <f t="shared" si="79"/>
        <v>0.64</v>
      </c>
      <c r="N282" s="168">
        <f t="shared" si="79"/>
        <v>0.64</v>
      </c>
      <c r="O282" s="168">
        <f t="shared" si="79"/>
        <v>0.64</v>
      </c>
      <c r="P282" s="168">
        <f t="shared" si="79"/>
        <v>0.64</v>
      </c>
      <c r="Q282" s="168">
        <f t="shared" si="79"/>
        <v>0.64</v>
      </c>
      <c r="R282" s="168">
        <f t="shared" si="79"/>
        <v>0.64</v>
      </c>
      <c r="S282" s="168">
        <f t="shared" si="79"/>
        <v>0.64</v>
      </c>
      <c r="T282" s="168">
        <f t="shared" si="79"/>
        <v>0.64</v>
      </c>
      <c r="U282" s="168">
        <f t="shared" si="79"/>
        <v>0.64</v>
      </c>
      <c r="V282" s="168">
        <f t="shared" si="79"/>
        <v>0.64</v>
      </c>
      <c r="W282" s="168">
        <f t="shared" si="79"/>
        <v>0.64</v>
      </c>
      <c r="X282" s="168">
        <f t="shared" si="79"/>
        <v>0.64</v>
      </c>
      <c r="Y282" s="168">
        <f t="shared" si="79"/>
        <v>0.64</v>
      </c>
      <c r="Z282" s="168">
        <f t="shared" si="79"/>
        <v>0.64</v>
      </c>
      <c r="AA282" s="168">
        <f t="shared" si="79"/>
        <v>0.64</v>
      </c>
      <c r="AB282" s="168">
        <f t="shared" si="79"/>
        <v>0.64</v>
      </c>
      <c r="AC282" s="168">
        <f t="shared" si="79"/>
        <v>0.64</v>
      </c>
      <c r="AD282" s="168">
        <f t="shared" si="79"/>
        <v>0.64</v>
      </c>
      <c r="AE282" s="168">
        <f t="shared" si="79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969" priority="1">
      <formula>$AH11=0</formula>
    </cfRule>
  </conditionalFormatting>
  <conditionalFormatting sqref="A132:A253">
    <cfRule type="expression" dxfId="3968" priority="6">
      <formula>$AH132=0</formula>
    </cfRule>
  </conditionalFormatting>
  <conditionalFormatting sqref="B8 M8 S8 AB8">
    <cfRule type="expression" dxfId="3967" priority="115">
      <formula>AND(C$9&gt;=8/24,C$9&lt;14/24)</formula>
    </cfRule>
    <cfRule type="expression" dxfId="3966" priority="114">
      <formula>AND(C$9&gt;=14/24,C$9&lt;20/24)</formula>
    </cfRule>
    <cfRule type="expression" dxfId="3965" priority="116">
      <formula>C$9&lt;8/24</formula>
    </cfRule>
  </conditionalFormatting>
  <conditionalFormatting sqref="B63:I74 J64:J74 K69:M74 N70:O74 P71:AF74">
    <cfRule type="expression" dxfId="3964" priority="24">
      <formula>B$9&lt;8/24</formula>
    </cfRule>
    <cfRule type="expression" dxfId="3963" priority="21">
      <formula>B$9&gt;=20/24</formula>
    </cfRule>
    <cfRule type="expression" dxfId="3962" priority="22">
      <formula>AND(B$9&gt;=14/24,B$9&lt;20/24)</formula>
    </cfRule>
    <cfRule type="expression" dxfId="3961" priority="23">
      <formula>AND(B$9&gt;=8/24,B$9&lt;14/24)</formula>
    </cfRule>
  </conditionalFormatting>
  <conditionalFormatting sqref="B9:AF52">
    <cfRule type="expression" dxfId="3960" priority="27">
      <formula>AND(B$9&gt;=14/24,B$9&lt;20/24)</formula>
    </cfRule>
    <cfRule type="expression" dxfId="3959" priority="28">
      <formula>AND(B$9&gt;=8/24,B$9&lt;14/24)</formula>
    </cfRule>
    <cfRule type="expression" dxfId="3958" priority="29">
      <formula>B$9&lt;8/24</formula>
    </cfRule>
    <cfRule type="expression" dxfId="3957" priority="26">
      <formula>B$9&gt;=20/24</formula>
    </cfRule>
  </conditionalFormatting>
  <conditionalFormatting sqref="B11:AF54">
    <cfRule type="expression" dxfId="3956" priority="15">
      <formula>B11&gt;$AG11</formula>
    </cfRule>
  </conditionalFormatting>
  <conditionalFormatting sqref="B53:AF54">
    <cfRule type="expression" dxfId="3955" priority="13">
      <formula>AND(B$9&gt;=8/24,B$9&lt;14/24)</formula>
    </cfRule>
    <cfRule type="expression" dxfId="3954" priority="11">
      <formula>B$9&gt;=20/24</formula>
    </cfRule>
    <cfRule type="expression" dxfId="3953" priority="12">
      <formula>AND(B$9&gt;=14/24,B$9&lt;20/24)</formula>
    </cfRule>
    <cfRule type="expression" dxfId="3952" priority="14">
      <formula>B$9&lt;8/24</formula>
    </cfRule>
  </conditionalFormatting>
  <conditionalFormatting sqref="B55:AF55">
    <cfRule type="expression" dxfId="3951" priority="35">
      <formula>B55&gt;$AG55</formula>
    </cfRule>
  </conditionalFormatting>
  <conditionalFormatting sqref="B55:AF57">
    <cfRule type="expression" dxfId="3950" priority="34">
      <formula>B$9&lt;8/24</formula>
    </cfRule>
    <cfRule type="expression" dxfId="3949" priority="33">
      <formula>AND(B$9&gt;=8/24,B$9&lt;14/24)</formula>
    </cfRule>
    <cfRule type="expression" dxfId="3948" priority="32">
      <formula>AND(B$9&gt;=14/24,B$9&lt;20/24)</formula>
    </cfRule>
    <cfRule type="expression" dxfId="3947" priority="31">
      <formula>B$9&gt;=20/24</formula>
    </cfRule>
  </conditionalFormatting>
  <conditionalFormatting sqref="B56:AF61">
    <cfRule type="expression" dxfId="3946" priority="30">
      <formula>B56&gt;$AG56</formula>
    </cfRule>
  </conditionalFormatting>
  <conditionalFormatting sqref="B59:AF61">
    <cfRule type="expression" dxfId="3945" priority="41">
      <formula>B$9&gt;=20/24</formula>
    </cfRule>
    <cfRule type="expression" dxfId="3944" priority="42">
      <formula>AND(B$9&gt;=14/24,B$9&lt;20/24)</formula>
    </cfRule>
    <cfRule type="expression" dxfId="3943" priority="44">
      <formula>B$9&lt;8/24</formula>
    </cfRule>
    <cfRule type="expression" dxfId="3942" priority="43">
      <formula>AND(B$9&gt;=8/24,B$9&lt;14/24)</formula>
    </cfRule>
  </conditionalFormatting>
  <conditionalFormatting sqref="B63:AF74">
    <cfRule type="expression" dxfId="3941" priority="20">
      <formula>B63&gt;$AG63</formula>
    </cfRule>
  </conditionalFormatting>
  <conditionalFormatting sqref="B77:AF79">
    <cfRule type="expression" dxfId="3940" priority="47">
      <formula>AND(B$9&gt;=14/24,B$9&lt;20/24)</formula>
    </cfRule>
    <cfRule type="expression" dxfId="3939" priority="48">
      <formula>AND(B$9&gt;=8/24,B$9&lt;14/24)</formula>
    </cfRule>
    <cfRule type="expression" dxfId="3938" priority="49">
      <formula>B$9&lt;8/24</formula>
    </cfRule>
    <cfRule type="expression" dxfId="3937" priority="45">
      <formula>B77&gt;$AG77</formula>
    </cfRule>
    <cfRule type="expression" dxfId="3936" priority="46">
      <formula>B$9&gt;=20/24</formula>
    </cfRule>
  </conditionalFormatting>
  <conditionalFormatting sqref="B81:AF99">
    <cfRule type="expression" dxfId="3935" priority="19">
      <formula>B$9&lt;8/24</formula>
    </cfRule>
    <cfRule type="expression" dxfId="3934" priority="18">
      <formula>AND(B$9&gt;=8/24,B$9&lt;14/24)</formula>
    </cfRule>
    <cfRule type="expression" dxfId="3933" priority="17">
      <formula>AND(B$9&gt;=14/24,B$9&lt;20/24)</formula>
    </cfRule>
    <cfRule type="expression" dxfId="3932" priority="16">
      <formula>B$9&gt;=20/24</formula>
    </cfRule>
  </conditionalFormatting>
  <conditionalFormatting sqref="B101:AF117">
    <cfRule type="expression" dxfId="3931" priority="7">
      <formula>B$9&gt;=20/24</formula>
    </cfRule>
    <cfRule type="expression" dxfId="3930" priority="8">
      <formula>AND(B$9&gt;=14/24,B$9&lt;20/24)</formula>
    </cfRule>
    <cfRule type="expression" dxfId="3929" priority="10">
      <formula>B$9&lt;8/24</formula>
    </cfRule>
    <cfRule type="expression" dxfId="3928" priority="9">
      <formula>AND(B$9&gt;=8/24,B$9&lt;14/24)</formula>
    </cfRule>
  </conditionalFormatting>
  <conditionalFormatting sqref="B119:AF137">
    <cfRule type="expression" dxfId="3927" priority="2">
      <formula>B$9&gt;=20/24</formula>
    </cfRule>
    <cfRule type="expression" dxfId="3926" priority="3">
      <formula>AND(B$9&gt;=14/24,B$9&lt;20/24)</formula>
    </cfRule>
    <cfRule type="expression" dxfId="3925" priority="4">
      <formula>AND(B$9&gt;=8/24,B$9&lt;14/24)</formula>
    </cfRule>
    <cfRule type="expression" dxfId="3924" priority="5">
      <formula>B$9&lt;8/24</formula>
    </cfRule>
  </conditionalFormatting>
  <conditionalFormatting sqref="B244:AF244 B246:B252 D246:AF252 U260:AF260">
    <cfRule type="expression" dxfId="3923" priority="108">
      <formula>AND(B$9&gt;=14/24,B$9&lt;20/24)</formula>
    </cfRule>
    <cfRule type="expression" dxfId="3922" priority="107">
      <formula>B$9&gt;=20/24</formula>
    </cfRule>
    <cfRule type="expression" dxfId="3921" priority="109">
      <formula>AND(B$9&gt;=8/24,B$9&lt;14/24)</formula>
    </cfRule>
    <cfRule type="expression" dxfId="3920" priority="110">
      <formula>B$9&lt;8/24</formula>
    </cfRule>
  </conditionalFormatting>
  <conditionalFormatting sqref="B62:AG62">
    <cfRule type="expression" dxfId="3919" priority="50">
      <formula>B62&gt;$AG62</formula>
    </cfRule>
    <cfRule type="expression" dxfId="3918" priority="51">
      <formula>B$9&gt;=20/24</formula>
    </cfRule>
    <cfRule type="expression" dxfId="3917" priority="52">
      <formula>AND(B$9&gt;=14/24,B$9&lt;20/24)</formula>
    </cfRule>
    <cfRule type="expression" dxfId="3916" priority="53">
      <formula>AND(B$9&gt;=8/24,B$9&lt;14/24)</formula>
    </cfRule>
    <cfRule type="expression" dxfId="3915" priority="54">
      <formula>B$9&lt;8/24</formula>
    </cfRule>
  </conditionalFormatting>
  <conditionalFormatting sqref="B75:AG76 B80:AG80">
    <cfRule type="expression" dxfId="3914" priority="36">
      <formula>B75&gt;$AG75</formula>
    </cfRule>
  </conditionalFormatting>
  <conditionalFormatting sqref="B80:AG80">
    <cfRule type="expression" dxfId="3913" priority="38">
      <formula>AND(B$9&gt;=14/24,B$9&lt;20/24)</formula>
    </cfRule>
    <cfRule type="expression" dxfId="3912" priority="37">
      <formula>B$9&gt;=20/24</formula>
    </cfRule>
    <cfRule type="expression" dxfId="3911" priority="39">
      <formula>AND(B$9&gt;=8/24,B$9&lt;14/24)</formula>
    </cfRule>
    <cfRule type="expression" dxfId="3910" priority="40">
      <formula>B$9&lt;8/24</formula>
    </cfRule>
  </conditionalFormatting>
  <conditionalFormatting sqref="F63:M65">
    <cfRule type="expression" dxfId="3909" priority="88">
      <formula>F$9&gt;=20/24</formula>
    </cfRule>
    <cfRule type="expression" dxfId="3908" priority="89">
      <formula>AND(F$9&gt;=14/24,F$9&lt;20/24)</formula>
    </cfRule>
    <cfRule type="expression" dxfId="3907" priority="90">
      <formula>AND(F$9&gt;=8/24,F$9&lt;14/24)</formula>
    </cfRule>
    <cfRule type="expression" dxfId="3906" priority="91">
      <formula>F$9&lt;8/24</formula>
    </cfRule>
  </conditionalFormatting>
  <conditionalFormatting sqref="F68:AA68">
    <cfRule type="expression" dxfId="3905" priority="65">
      <formula>F$9&gt;=20/24</formula>
    </cfRule>
    <cfRule type="expression" dxfId="3904" priority="66">
      <formula>AND(F$9&gt;=14/24,F$9&lt;20/24)</formula>
    </cfRule>
    <cfRule type="expression" dxfId="3903" priority="67">
      <formula>AND(F$9&gt;=8/24,F$9&lt;14/24)</formula>
    </cfRule>
    <cfRule type="expression" dxfId="3902" priority="68">
      <formula>F$9&lt;8/24</formula>
    </cfRule>
  </conditionalFormatting>
  <conditionalFormatting sqref="F69:AF74">
    <cfRule type="expression" dxfId="3901" priority="55">
      <formula>F$9&gt;=20/24</formula>
    </cfRule>
    <cfRule type="expression" dxfId="3900" priority="56">
      <formula>AND(F$9&gt;=14/24,F$9&lt;20/24)</formula>
    </cfRule>
    <cfRule type="expression" dxfId="3899" priority="57">
      <formula>AND(F$9&gt;=8/24,F$9&lt;14/24)</formula>
    </cfRule>
    <cfRule type="expression" dxfId="3898" priority="58">
      <formula>F$9&lt;8/24</formula>
    </cfRule>
  </conditionalFormatting>
  <conditionalFormatting sqref="M63:AA67">
    <cfRule type="expression" dxfId="3897" priority="93">
      <formula>AND(M$9&gt;=14/24,M$9&lt;20/24)</formula>
    </cfRule>
    <cfRule type="expression" dxfId="3896" priority="92">
      <formula>M$9&gt;=20/24</formula>
    </cfRule>
    <cfRule type="expression" dxfId="3895" priority="94">
      <formula>AND(M$9&gt;=8/24,M$9&lt;14/24)</formula>
    </cfRule>
    <cfRule type="expression" dxfId="3894" priority="95">
      <formula>M$9&lt;8/24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893" priority="113">
      <formula>C$9&gt;=20/24</formula>
    </cfRule>
  </conditionalFormatting>
  <conditionalFormatting sqref="S8">
    <cfRule type="expression" dxfId="3892" priority="100">
      <formula>U$9&gt;=20/24</formula>
    </cfRule>
    <cfRule type="expression" dxfId="3891" priority="103">
      <formula>U$9&lt;8/24</formula>
    </cfRule>
    <cfRule type="expression" dxfId="3890" priority="102">
      <formula>AND(U$9&gt;=8/24,U$9&lt;14/24)</formula>
    </cfRule>
    <cfRule type="expression" dxfId="3889" priority="101">
      <formula>AND(U$9&gt;=14/24,U$9&lt;20/24)</formula>
    </cfRule>
  </conditionalFormatting>
  <conditionalFormatting sqref="S63:AF68">
    <cfRule type="expression" dxfId="3888" priority="62">
      <formula>S$9&lt;8/24</formula>
    </cfRule>
    <cfRule type="expression" dxfId="3887" priority="59">
      <formula>S$9&gt;=20/24</formula>
    </cfRule>
    <cfRule type="expression" dxfId="3886" priority="60">
      <formula>AND(S$9&gt;=14/24,S$9&lt;20/24)</formula>
    </cfRule>
    <cfRule type="expression" dxfId="3885" priority="61">
      <formula>AND(S$9&gt;=8/24,S$9&lt;14/24)</formula>
    </cfRule>
  </conditionalFormatting>
  <conditionalFormatting sqref="T260">
    <cfRule type="expression" dxfId="3884" priority="125">
      <formula>AX$9&gt;=20/24</formula>
    </cfRule>
    <cfRule type="expression" dxfId="3883" priority="126">
      <formula>AND(AX$9&gt;=14/24,AX$9&lt;20/24)</formula>
    </cfRule>
    <cfRule type="expression" dxfId="3882" priority="127">
      <formula>AND(AX$9&gt;=8/24,AX$9&lt;14/24)</formula>
    </cfRule>
    <cfRule type="expression" dxfId="3881" priority="128">
      <formula>AX$9&lt;8/24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880" priority="97">
      <formula>AND(AD$9&gt;=14/24,AD$9&lt;20/24)</formula>
    </cfRule>
    <cfRule type="expression" dxfId="3879" priority="96">
      <formula>AD$9&gt;=20/24</formula>
    </cfRule>
    <cfRule type="expression" dxfId="3878" priority="99">
      <formula>AD$9&lt;8/24</formula>
    </cfRule>
    <cfRule type="expression" dxfId="3877" priority="98">
      <formula>AND(AD$9&gt;=8/24,AD$9&lt;14/24)</formula>
    </cfRule>
  </conditionalFormatting>
  <conditionalFormatting sqref="AG58">
    <cfRule type="expression" dxfId="3876" priority="83">
      <formula>AG58&gt;$AG58</formula>
    </cfRule>
  </conditionalFormatting>
  <conditionalFormatting sqref="AG97">
    <cfRule type="expression" dxfId="3875" priority="86">
      <formula>AND(AG$9&gt;=8/24,AG$9&lt;14/24)</formula>
    </cfRule>
    <cfRule type="expression" dxfId="3874" priority="87">
      <formula>AG$9&lt;8/24</formula>
    </cfRule>
    <cfRule type="expression" dxfId="3873" priority="85">
      <formula>AND(AG$9&gt;=14/24,AG$9&lt;20/24)</formula>
    </cfRule>
    <cfRule type="expression" dxfId="3872" priority="84">
      <formula>AG$9&gt;=20/24</formula>
    </cfRule>
  </conditionalFormatting>
  <conditionalFormatting sqref="AG260">
    <cfRule type="expression" dxfId="3871" priority="117">
      <formula>B$9&gt;=20/24</formula>
    </cfRule>
    <cfRule type="expression" dxfId="3870" priority="118">
      <formula>AND(B$9&gt;=14/24,B$9&lt;20/24)</formula>
    </cfRule>
    <cfRule type="expression" dxfId="3869" priority="119">
      <formula>AND(B$9&gt;=8/24,B$9&lt;14/24)</formula>
    </cfRule>
    <cfRule type="expression" dxfId="3868" priority="120">
      <formula>B$9&lt;8/24</formula>
    </cfRule>
  </conditionalFormatting>
  <conditionalFormatting sqref="AH260:AX260">
    <cfRule type="expression" dxfId="3867" priority="121">
      <formula>AG$9&gt;=20/24</formula>
    </cfRule>
    <cfRule type="expression" dxfId="3866" priority="122">
      <formula>AND(AG$9&gt;=14/24,AG$9&lt;20/24)</formula>
    </cfRule>
    <cfRule type="expression" dxfId="3865" priority="123">
      <formula>AND(AG$9&gt;=8/24,AG$9&lt;14/24)</formula>
    </cfRule>
    <cfRule type="expression" dxfId="3864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863" priority="130">
      <formula>AJ$9&gt;=20/24</formula>
    </cfRule>
    <cfRule type="expression" dxfId="3862" priority="131">
      <formula>AND(AJ$9&gt;=14/24,AJ$9&lt;20/24)</formula>
    </cfRule>
    <cfRule type="expression" dxfId="3861" priority="132">
      <formula>AND(AJ$9&gt;=8/24,AJ$9&lt;14/24)</formula>
    </cfRule>
    <cfRule type="expression" dxfId="3860" priority="133">
      <formula>AJ$9&lt;8/24</formula>
    </cfRule>
  </conditionalFormatting>
  <conditionalFormatting sqref="AL88:AN88 AL94:AN94">
    <cfRule type="expression" dxfId="3859" priority="76">
      <formula>AL$9&gt;=20/24</formula>
    </cfRule>
    <cfRule type="expression" dxfId="3858" priority="77">
      <formula>AND(AL$9&gt;=14/24,AL$9&lt;20/24)</formula>
    </cfRule>
    <cfRule type="expression" dxfId="3857" priority="78">
      <formula>AND(AL$9&gt;=8/24,AL$9&lt;14/24)</formula>
    </cfRule>
    <cfRule type="expression" dxfId="3856" priority="79">
      <formula>AL$9&lt;8/24</formula>
    </cfRule>
  </conditionalFormatting>
  <conditionalFormatting sqref="AN89:AN92">
    <cfRule type="expression" dxfId="3855" priority="72">
      <formula>AN$9&gt;=20/24</formula>
    </cfRule>
    <cfRule type="expression" dxfId="3854" priority="73">
      <formula>AND(AN$9&gt;=14/24,AN$9&lt;20/24)</formula>
    </cfRule>
    <cfRule type="expression" dxfId="3853" priority="74">
      <formula>AND(AN$9&gt;=8/24,AN$9&lt;14/24)</formula>
    </cfRule>
    <cfRule type="expression" dxfId="3852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BF4B-D575-483E-9DE4-DB5D345791A1}">
  <dimension ref="A1:CJ293"/>
  <sheetViews>
    <sheetView zoomScale="110" zoomScaleNormal="110" workbookViewId="0">
      <pane xSplit="1" ySplit="10" topLeftCell="B46" activePane="bottomRight" state="frozen"/>
      <selection activeCell="Z63" sqref="Z63"/>
      <selection pane="topRight" activeCell="Z63" sqref="Z63"/>
      <selection pane="bottomLeft" activeCell="Z63" sqref="Z63"/>
      <selection pane="bottomRight" activeCell="AE135" sqref="AE13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2080/10/8</v>
      </c>
      <c r="C4" s="272"/>
      <c r="D4" s="272"/>
      <c r="E4" s="273" t="str">
        <f ca="1">"2080/"&amp;"10/"&amp;INT(MID(CELL("filename",G6),FIND("]",CELL("filename",G6))+1,200))</f>
        <v>2080/10/8</v>
      </c>
      <c r="F4" s="273"/>
      <c r="G4" s="273"/>
      <c r="H4" s="273" t="str">
        <f ca="1">TEXT(E4,"dddd")</f>
        <v>Tuesday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562.09999999999991</v>
      </c>
      <c r="C5" s="30">
        <f t="shared" si="0"/>
        <v>551.29999999999995</v>
      </c>
      <c r="D5" s="30">
        <f t="shared" si="0"/>
        <v>540.9</v>
      </c>
      <c r="E5" s="30">
        <f t="shared" si="0"/>
        <v>572.79999999999995</v>
      </c>
      <c r="F5" s="30">
        <f t="shared" si="0"/>
        <v>599</v>
      </c>
      <c r="G5" s="30">
        <f t="shared" si="0"/>
        <v>602</v>
      </c>
      <c r="H5" s="30">
        <f t="shared" si="0"/>
        <v>586</v>
      </c>
      <c r="I5" s="30">
        <f t="shared" si="0"/>
        <v>555</v>
      </c>
      <c r="J5" s="30">
        <f t="shared" si="0"/>
        <v>475.8</v>
      </c>
      <c r="K5" s="30">
        <f t="shared" si="0"/>
        <v>358.8</v>
      </c>
      <c r="L5" s="30">
        <f t="shared" si="0"/>
        <v>349.9</v>
      </c>
      <c r="M5" s="30">
        <f t="shared" si="0"/>
        <v>388.5</v>
      </c>
      <c r="N5" s="30">
        <f t="shared" si="0"/>
        <v>538.19999999999993</v>
      </c>
      <c r="O5" s="30">
        <f t="shared" si="0"/>
        <v>628.20000000000005</v>
      </c>
      <c r="P5" s="30">
        <f t="shared" si="0"/>
        <v>645.4</v>
      </c>
      <c r="Q5" s="30">
        <f t="shared" si="0"/>
        <v>617</v>
      </c>
      <c r="R5" s="30">
        <f t="shared" si="0"/>
        <v>644.4</v>
      </c>
      <c r="S5" s="30">
        <f t="shared" si="0"/>
        <v>642.6</v>
      </c>
      <c r="T5" s="30">
        <f t="shared" si="0"/>
        <v>622.5</v>
      </c>
      <c r="U5" s="30">
        <f t="shared" si="0"/>
        <v>549.1</v>
      </c>
      <c r="V5" s="30">
        <f t="shared" si="0"/>
        <v>574.70000000000005</v>
      </c>
      <c r="W5" s="30">
        <f t="shared" si="0"/>
        <v>422</v>
      </c>
      <c r="X5" s="30">
        <f t="shared" si="0"/>
        <v>372</v>
      </c>
      <c r="Y5" s="30">
        <f t="shared" si="0"/>
        <v>344.5</v>
      </c>
      <c r="Z5" s="30">
        <f t="shared" si="0"/>
        <v>371.1</v>
      </c>
      <c r="AA5" s="30">
        <f t="shared" si="0"/>
        <v>374</v>
      </c>
      <c r="AB5" s="30">
        <f t="shared" si="0"/>
        <v>421</v>
      </c>
      <c r="AC5" s="30">
        <f t="shared" si="0"/>
        <v>484</v>
      </c>
      <c r="AD5" s="30">
        <f t="shared" si="0"/>
        <v>541</v>
      </c>
      <c r="AE5" s="30">
        <f t="shared" si="0"/>
        <v>539</v>
      </c>
      <c r="AF5" s="30">
        <f>B92</f>
        <v>572.5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1678MW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Load=1148</v>
      </c>
      <c r="B7" s="35">
        <f>B100</f>
        <v>1183.0899999999999</v>
      </c>
      <c r="C7" s="35">
        <f t="shared" ref="C7:AF7" si="1">C100</f>
        <v>1172.69</v>
      </c>
      <c r="D7" s="35">
        <f t="shared" si="1"/>
        <v>1160.19</v>
      </c>
      <c r="E7" s="35">
        <f t="shared" si="1"/>
        <v>1147.99</v>
      </c>
      <c r="F7" s="35">
        <f t="shared" si="1"/>
        <v>1179.49</v>
      </c>
      <c r="G7" s="35">
        <f t="shared" si="1"/>
        <v>1269.29</v>
      </c>
      <c r="H7" s="35">
        <f t="shared" si="1"/>
        <v>1295.52</v>
      </c>
      <c r="I7" s="35">
        <f t="shared" si="1"/>
        <v>1385.89</v>
      </c>
      <c r="J7" s="35">
        <f t="shared" si="1"/>
        <v>1508.49</v>
      </c>
      <c r="K7" s="35">
        <f t="shared" si="1"/>
        <v>1678.29</v>
      </c>
      <c r="L7" s="35">
        <f t="shared" si="1"/>
        <v>1619.99</v>
      </c>
      <c r="M7" s="35">
        <f t="shared" si="1"/>
        <v>1635.5900000000001</v>
      </c>
      <c r="N7" s="35">
        <f t="shared" si="1"/>
        <v>1515.89</v>
      </c>
      <c r="O7" s="35">
        <f t="shared" si="1"/>
        <v>1494.19</v>
      </c>
      <c r="P7" s="35">
        <f t="shared" si="1"/>
        <v>1585.0900000000001</v>
      </c>
      <c r="Q7" s="35">
        <f t="shared" si="1"/>
        <v>1510.19</v>
      </c>
      <c r="R7" s="35">
        <f t="shared" si="1"/>
        <v>1442.79</v>
      </c>
      <c r="S7" s="35">
        <f t="shared" si="1"/>
        <v>1455.19</v>
      </c>
      <c r="T7" s="35">
        <f t="shared" si="1"/>
        <v>1489.5900000000001</v>
      </c>
      <c r="U7" s="35">
        <f t="shared" si="1"/>
        <v>1459.79</v>
      </c>
      <c r="V7" s="35">
        <f t="shared" si="1"/>
        <v>1606.29</v>
      </c>
      <c r="W7" s="35">
        <f t="shared" si="1"/>
        <v>1559.79</v>
      </c>
      <c r="X7" s="35">
        <f t="shared" si="1"/>
        <v>1686.5900000000001</v>
      </c>
      <c r="Y7" s="35">
        <f t="shared" si="1"/>
        <v>1822.65</v>
      </c>
      <c r="Z7" s="35">
        <f t="shared" si="1"/>
        <v>1781.25</v>
      </c>
      <c r="AA7" s="35">
        <f t="shared" si="1"/>
        <v>1775.8899999999999</v>
      </c>
      <c r="AB7" s="35">
        <f t="shared" si="1"/>
        <v>1603.79</v>
      </c>
      <c r="AC7" s="35">
        <f t="shared" si="1"/>
        <v>1494.79</v>
      </c>
      <c r="AD7" s="35">
        <f t="shared" si="1"/>
        <v>1288.79</v>
      </c>
      <c r="AE7" s="35">
        <f t="shared" si="1"/>
        <v>1315.79</v>
      </c>
      <c r="AF7" s="35">
        <f t="shared" si="1"/>
        <v>1265.79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29.2</v>
      </c>
      <c r="C11" s="45">
        <v>29.5</v>
      </c>
      <c r="D11" s="45">
        <v>29.9</v>
      </c>
      <c r="E11" s="45">
        <v>29.1</v>
      </c>
      <c r="F11" s="45">
        <v>28.8</v>
      </c>
      <c r="G11" s="45">
        <v>29.2</v>
      </c>
      <c r="H11" s="45">
        <v>29.1</v>
      </c>
      <c r="I11" s="45">
        <v>29.1</v>
      </c>
      <c r="J11" s="45">
        <v>29.2</v>
      </c>
      <c r="K11" s="45">
        <v>29.1</v>
      </c>
      <c r="L11" s="45">
        <v>29.2</v>
      </c>
      <c r="M11" s="45">
        <v>29.2</v>
      </c>
      <c r="N11" s="45">
        <v>28.2</v>
      </c>
      <c r="O11" s="45">
        <v>27.2</v>
      </c>
      <c r="P11" s="45">
        <v>27.2</v>
      </c>
      <c r="Q11" s="45">
        <v>27.2</v>
      </c>
      <c r="R11" s="45">
        <v>27.2</v>
      </c>
      <c r="S11" s="45">
        <v>27.2</v>
      </c>
      <c r="T11" s="45">
        <v>27.2</v>
      </c>
      <c r="U11" s="45">
        <v>27.2</v>
      </c>
      <c r="V11" s="45">
        <v>28.4</v>
      </c>
      <c r="W11" s="45">
        <v>26.6</v>
      </c>
      <c r="X11" s="45">
        <v>26.6</v>
      </c>
      <c r="Y11" s="45">
        <v>25</v>
      </c>
      <c r="Z11" s="45">
        <v>25</v>
      </c>
      <c r="AA11" s="45">
        <v>25</v>
      </c>
      <c r="AB11" s="45">
        <v>25</v>
      </c>
      <c r="AC11" s="45">
        <v>25</v>
      </c>
      <c r="AD11" s="45">
        <v>25</v>
      </c>
      <c r="AE11" s="45">
        <v>25</v>
      </c>
      <c r="AF11" s="45">
        <v>25</v>
      </c>
      <c r="AG11" s="46">
        <v>86</v>
      </c>
      <c r="AH11" s="47">
        <f t="shared" ref="AH11:AH84" si="2">MAX(B11:AF11)</f>
        <v>29.9</v>
      </c>
      <c r="AI11" s="48">
        <f t="shared" ref="AI11:AI8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9.9</v>
      </c>
      <c r="C12" s="45">
        <v>9.9</v>
      </c>
      <c r="D12" s="45">
        <v>9.9</v>
      </c>
      <c r="E12" s="45">
        <v>9.9</v>
      </c>
      <c r="F12" s="45">
        <v>9.9</v>
      </c>
      <c r="G12" s="45">
        <v>9.9</v>
      </c>
      <c r="H12" s="45">
        <v>9.9</v>
      </c>
      <c r="I12" s="45">
        <v>9.9</v>
      </c>
      <c r="J12" s="45">
        <v>9.9</v>
      </c>
      <c r="K12" s="45">
        <v>9.9</v>
      </c>
      <c r="L12" s="45">
        <v>9.9</v>
      </c>
      <c r="M12" s="45">
        <v>9.9</v>
      </c>
      <c r="N12" s="45">
        <v>9.9</v>
      </c>
      <c r="O12" s="45">
        <v>9.9</v>
      </c>
      <c r="P12" s="45">
        <v>9.9</v>
      </c>
      <c r="Q12" s="45">
        <v>9.9</v>
      </c>
      <c r="R12" s="45">
        <v>9.9</v>
      </c>
      <c r="S12" s="45">
        <v>9.9</v>
      </c>
      <c r="T12" s="45">
        <v>9.9</v>
      </c>
      <c r="U12" s="45">
        <v>9.9</v>
      </c>
      <c r="V12" s="45">
        <v>9.9</v>
      </c>
      <c r="W12" s="45">
        <v>10</v>
      </c>
      <c r="X12" s="45">
        <v>10</v>
      </c>
      <c r="Y12" s="45">
        <v>10</v>
      </c>
      <c r="Z12" s="45">
        <v>10</v>
      </c>
      <c r="AA12" s="45">
        <v>10</v>
      </c>
      <c r="AB12" s="45">
        <v>10</v>
      </c>
      <c r="AC12" s="45">
        <v>10</v>
      </c>
      <c r="AD12" s="45">
        <v>10</v>
      </c>
      <c r="AE12" s="45">
        <v>10</v>
      </c>
      <c r="AF12" s="45">
        <v>10</v>
      </c>
      <c r="AG12" s="49">
        <v>54</v>
      </c>
      <c r="AH12" s="47">
        <f t="shared" si="2"/>
        <v>10</v>
      </c>
      <c r="AI12" s="48">
        <f t="shared" si="3"/>
        <v>9.9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12</v>
      </c>
      <c r="C13" s="45">
        <v>12</v>
      </c>
      <c r="D13" s="45">
        <v>11</v>
      </c>
      <c r="E13" s="45">
        <v>11</v>
      </c>
      <c r="F13" s="45">
        <v>11</v>
      </c>
      <c r="G13" s="45">
        <v>11</v>
      </c>
      <c r="H13" s="45">
        <v>11</v>
      </c>
      <c r="I13" s="45">
        <v>11</v>
      </c>
      <c r="J13" s="45">
        <v>11</v>
      </c>
      <c r="K13" s="45">
        <v>11</v>
      </c>
      <c r="L13" s="45">
        <v>11</v>
      </c>
      <c r="M13" s="45">
        <v>11</v>
      </c>
      <c r="N13" s="45">
        <v>11</v>
      </c>
      <c r="O13" s="45">
        <v>11</v>
      </c>
      <c r="P13" s="45">
        <v>11</v>
      </c>
      <c r="Q13" s="45">
        <v>11</v>
      </c>
      <c r="R13" s="45">
        <v>11</v>
      </c>
      <c r="S13" s="45">
        <v>11</v>
      </c>
      <c r="T13" s="45">
        <v>11</v>
      </c>
      <c r="U13" s="45">
        <v>11</v>
      </c>
      <c r="V13" s="45">
        <v>11</v>
      </c>
      <c r="W13" s="45">
        <v>11</v>
      </c>
      <c r="X13" s="45">
        <v>11</v>
      </c>
      <c r="Y13" s="45">
        <v>11</v>
      </c>
      <c r="Z13" s="45">
        <v>11</v>
      </c>
      <c r="AA13" s="45">
        <v>11</v>
      </c>
      <c r="AB13" s="45">
        <v>11</v>
      </c>
      <c r="AC13" s="45">
        <v>11</v>
      </c>
      <c r="AD13" s="45">
        <v>11</v>
      </c>
      <c r="AE13" s="45">
        <v>11</v>
      </c>
      <c r="AF13" s="45">
        <v>11</v>
      </c>
      <c r="AG13" s="49">
        <v>54</v>
      </c>
      <c r="AH13" s="47">
        <f t="shared" si="2"/>
        <v>12</v>
      </c>
      <c r="AI13" s="48">
        <f t="shared" si="3"/>
        <v>11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16.600000000000001</v>
      </c>
      <c r="C14" s="45">
        <v>16.600000000000001</v>
      </c>
      <c r="D14" s="45">
        <v>16.600000000000001</v>
      </c>
      <c r="E14" s="45">
        <v>16.600000000000001</v>
      </c>
      <c r="F14" s="45">
        <v>16.600000000000001</v>
      </c>
      <c r="G14" s="45">
        <v>16.600000000000001</v>
      </c>
      <c r="H14" s="45">
        <v>16.600000000000001</v>
      </c>
      <c r="I14" s="45">
        <v>16.600000000000001</v>
      </c>
      <c r="J14" s="45">
        <v>16.600000000000001</v>
      </c>
      <c r="K14" s="45">
        <v>16.600000000000001</v>
      </c>
      <c r="L14" s="45">
        <v>16.600000000000001</v>
      </c>
      <c r="M14" s="45">
        <v>16.600000000000001</v>
      </c>
      <c r="N14" s="45">
        <v>16.600000000000001</v>
      </c>
      <c r="O14" s="45">
        <v>16.600000000000001</v>
      </c>
      <c r="P14" s="45">
        <v>16.600000000000001</v>
      </c>
      <c r="Q14" s="45">
        <v>16.600000000000001</v>
      </c>
      <c r="R14" s="45">
        <v>16.600000000000001</v>
      </c>
      <c r="S14" s="45">
        <v>16.600000000000001</v>
      </c>
      <c r="T14" s="45">
        <v>16.600000000000001</v>
      </c>
      <c r="U14" s="45">
        <v>16.600000000000001</v>
      </c>
      <c r="V14" s="45">
        <v>16.600000000000001</v>
      </c>
      <c r="W14" s="45">
        <v>13.2</v>
      </c>
      <c r="X14" s="45">
        <v>13.2</v>
      </c>
      <c r="Y14" s="45">
        <v>13.2</v>
      </c>
      <c r="Z14" s="45">
        <v>13.2</v>
      </c>
      <c r="AA14" s="45">
        <v>13.2</v>
      </c>
      <c r="AB14" s="45">
        <v>13.2</v>
      </c>
      <c r="AC14" s="45">
        <v>13.2</v>
      </c>
      <c r="AD14" s="45">
        <v>13.2</v>
      </c>
      <c r="AE14" s="45">
        <v>13.2</v>
      </c>
      <c r="AF14" s="45">
        <v>13.2</v>
      </c>
      <c r="AG14" s="46">
        <v>52.4</v>
      </c>
      <c r="AH14" s="47">
        <f t="shared" si="2"/>
        <v>16.600000000000001</v>
      </c>
      <c r="AI14" s="48">
        <f t="shared" si="3"/>
        <v>13.2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29.2</v>
      </c>
      <c r="C15" s="45">
        <v>28.9</v>
      </c>
      <c r="D15" s="45">
        <v>29.3</v>
      </c>
      <c r="E15" s="45">
        <v>29.3</v>
      </c>
      <c r="F15" s="45">
        <v>29.3</v>
      </c>
      <c r="G15" s="45">
        <v>29.3</v>
      </c>
      <c r="H15" s="45">
        <v>29.3</v>
      </c>
      <c r="I15" s="45">
        <v>29.3</v>
      </c>
      <c r="J15" s="45">
        <v>29.3</v>
      </c>
      <c r="K15" s="45">
        <v>29.3</v>
      </c>
      <c r="L15" s="45">
        <v>29.3</v>
      </c>
      <c r="M15" s="45">
        <v>29.3</v>
      </c>
      <c r="N15" s="45">
        <v>29.3</v>
      </c>
      <c r="O15" s="45">
        <v>29.3</v>
      </c>
      <c r="P15" s="45">
        <v>29.3</v>
      </c>
      <c r="Q15" s="45">
        <v>29.3</v>
      </c>
      <c r="R15" s="45">
        <v>29.3</v>
      </c>
      <c r="S15" s="45">
        <v>29.3</v>
      </c>
      <c r="T15" s="45">
        <v>29.3</v>
      </c>
      <c r="U15" s="45">
        <v>29.3</v>
      </c>
      <c r="V15" s="45">
        <v>29.3</v>
      </c>
      <c r="W15" s="51">
        <v>30.3</v>
      </c>
      <c r="X15" s="51">
        <v>30.3</v>
      </c>
      <c r="Y15" s="51">
        <v>29.7</v>
      </c>
      <c r="Z15" s="51">
        <v>29.7</v>
      </c>
      <c r="AA15" s="51">
        <v>29.7</v>
      </c>
      <c r="AB15" s="51">
        <v>29.7</v>
      </c>
      <c r="AC15" s="51">
        <v>29.7</v>
      </c>
      <c r="AD15" s="51">
        <v>29.7</v>
      </c>
      <c r="AE15" s="51">
        <v>29.7</v>
      </c>
      <c r="AF15" s="51">
        <v>29.7</v>
      </c>
      <c r="AG15" s="49">
        <v>50</v>
      </c>
      <c r="AH15" s="47">
        <f t="shared" si="2"/>
        <v>30.3</v>
      </c>
      <c r="AI15" s="48">
        <f t="shared" si="3"/>
        <v>28.9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16.899999999999999</v>
      </c>
      <c r="C16" s="45">
        <v>16.899999999999999</v>
      </c>
      <c r="D16" s="45">
        <v>16.8</v>
      </c>
      <c r="E16" s="45">
        <v>16.8</v>
      </c>
      <c r="F16" s="45">
        <v>16.8</v>
      </c>
      <c r="G16" s="45">
        <v>16.8</v>
      </c>
      <c r="H16" s="45">
        <v>16.8</v>
      </c>
      <c r="I16" s="45">
        <v>16.8</v>
      </c>
      <c r="J16" s="45">
        <v>16.8</v>
      </c>
      <c r="K16" s="45">
        <v>16.8</v>
      </c>
      <c r="L16" s="45">
        <v>16.8</v>
      </c>
      <c r="M16" s="45">
        <v>16.8</v>
      </c>
      <c r="N16" s="45">
        <v>16.8</v>
      </c>
      <c r="O16" s="45">
        <v>16.8</v>
      </c>
      <c r="P16" s="45">
        <v>16.8</v>
      </c>
      <c r="Q16" s="45">
        <v>16.8</v>
      </c>
      <c r="R16" s="45">
        <v>16.8</v>
      </c>
      <c r="S16" s="45">
        <v>16.8</v>
      </c>
      <c r="T16" s="45">
        <v>16.8</v>
      </c>
      <c r="U16" s="45">
        <v>16.8</v>
      </c>
      <c r="V16" s="45">
        <v>16.8</v>
      </c>
      <c r="W16" s="45">
        <v>15.1</v>
      </c>
      <c r="X16" s="45">
        <v>15.1</v>
      </c>
      <c r="Y16" s="45">
        <v>16.899999999999999</v>
      </c>
      <c r="Z16" s="45">
        <v>16.899999999999999</v>
      </c>
      <c r="AA16" s="45">
        <v>16.899999999999999</v>
      </c>
      <c r="AB16" s="45">
        <v>16.899999999999999</v>
      </c>
      <c r="AC16" s="45">
        <v>16.899999999999999</v>
      </c>
      <c r="AD16" s="45">
        <v>16.899999999999999</v>
      </c>
      <c r="AE16" s="45">
        <v>16.899999999999999</v>
      </c>
      <c r="AF16" s="45">
        <v>16.899999999999999</v>
      </c>
      <c r="AG16" s="49">
        <v>45</v>
      </c>
      <c r="AH16" s="47">
        <f t="shared" si="2"/>
        <v>16.899999999999999</v>
      </c>
      <c r="AI16" s="48">
        <f t="shared" si="3"/>
        <v>15.1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</v>
      </c>
      <c r="E18" s="45">
        <v>7</v>
      </c>
      <c r="F18" s="45">
        <v>7</v>
      </c>
      <c r="G18" s="45">
        <v>7</v>
      </c>
      <c r="H18" s="45">
        <v>7</v>
      </c>
      <c r="I18" s="45">
        <v>7</v>
      </c>
      <c r="J18" s="45">
        <v>7</v>
      </c>
      <c r="K18" s="45">
        <v>7</v>
      </c>
      <c r="L18" s="45">
        <v>7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7</v>
      </c>
      <c r="S18" s="45">
        <v>7</v>
      </c>
      <c r="T18" s="45">
        <v>7</v>
      </c>
      <c r="U18" s="45">
        <v>7</v>
      </c>
      <c r="V18" s="45">
        <v>7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49">
        <v>42</v>
      </c>
      <c r="AH18" s="47">
        <f t="shared" si="2"/>
        <v>8</v>
      </c>
      <c r="AI18" s="48">
        <f t="shared" si="3"/>
        <v>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12.2</v>
      </c>
      <c r="P19" s="45">
        <v>12.2</v>
      </c>
      <c r="Q19" s="45">
        <v>12.2</v>
      </c>
      <c r="R19" s="45">
        <v>12.2</v>
      </c>
      <c r="S19" s="45">
        <v>12.2</v>
      </c>
      <c r="T19" s="45">
        <v>12.2</v>
      </c>
      <c r="U19" s="45">
        <v>12.2</v>
      </c>
      <c r="V19" s="45">
        <v>12.2</v>
      </c>
      <c r="W19" s="45">
        <v>12.2</v>
      </c>
      <c r="X19" s="45">
        <v>12.2</v>
      </c>
      <c r="Y19" s="45">
        <v>12.2</v>
      </c>
      <c r="Z19" s="45">
        <v>12.2</v>
      </c>
      <c r="AA19" s="45">
        <v>12.2</v>
      </c>
      <c r="AB19" s="45">
        <v>12.2</v>
      </c>
      <c r="AC19" s="45">
        <v>12.2</v>
      </c>
      <c r="AD19" s="45">
        <v>12.2</v>
      </c>
      <c r="AE19" s="45">
        <v>12.2</v>
      </c>
      <c r="AF19" s="45">
        <v>12.2</v>
      </c>
      <c r="AG19" s="49">
        <v>38.46</v>
      </c>
      <c r="AH19" s="47">
        <f t="shared" si="2"/>
        <v>12.2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24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24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8.1</v>
      </c>
      <c r="C22" s="45">
        <v>8.1</v>
      </c>
      <c r="D22" s="45">
        <v>8.5</v>
      </c>
      <c r="E22" s="45">
        <v>8.5</v>
      </c>
      <c r="F22" s="45">
        <v>8.5</v>
      </c>
      <c r="G22" s="45">
        <v>8.5</v>
      </c>
      <c r="H22" s="45">
        <v>8.5</v>
      </c>
      <c r="I22" s="45">
        <v>8.5</v>
      </c>
      <c r="J22" s="45">
        <v>8.5</v>
      </c>
      <c r="K22" s="45">
        <v>8.5</v>
      </c>
      <c r="L22" s="45">
        <v>8.5</v>
      </c>
      <c r="M22" s="45">
        <v>8.5</v>
      </c>
      <c r="N22" s="45">
        <v>8.5</v>
      </c>
      <c r="O22" s="45">
        <v>8.5</v>
      </c>
      <c r="P22" s="45">
        <v>8.5</v>
      </c>
      <c r="Q22" s="45">
        <v>8.5</v>
      </c>
      <c r="R22" s="45">
        <v>8.5</v>
      </c>
      <c r="S22" s="45">
        <v>8.5</v>
      </c>
      <c r="T22" s="45">
        <v>8.5</v>
      </c>
      <c r="U22" s="45">
        <v>8.5</v>
      </c>
      <c r="V22" s="45">
        <v>8.5</v>
      </c>
      <c r="W22" s="45">
        <v>8.5</v>
      </c>
      <c r="X22" s="45">
        <v>8.5</v>
      </c>
      <c r="Y22" s="45">
        <v>8.8000000000000007</v>
      </c>
      <c r="Z22" s="45">
        <v>8.8000000000000007</v>
      </c>
      <c r="AA22" s="45">
        <v>8.8000000000000007</v>
      </c>
      <c r="AB22" s="45">
        <v>8.8000000000000007</v>
      </c>
      <c r="AC22" s="45">
        <v>8.8000000000000007</v>
      </c>
      <c r="AD22" s="45">
        <v>8.8000000000000007</v>
      </c>
      <c r="AE22" s="45">
        <v>8.8000000000000007</v>
      </c>
      <c r="AF22" s="45">
        <v>8.8000000000000007</v>
      </c>
      <c r="AG22" s="52">
        <v>30</v>
      </c>
      <c r="AH22" s="47">
        <f t="shared" si="2"/>
        <v>8.8000000000000007</v>
      </c>
      <c r="AI22" s="48">
        <f t="shared" si="3"/>
        <v>8.1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49">
        <v>24.2</v>
      </c>
      <c r="AH23" s="47">
        <f t="shared" si="2"/>
        <v>9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</v>
      </c>
      <c r="C24" s="45">
        <v>9</v>
      </c>
      <c r="D24" s="45">
        <v>9</v>
      </c>
      <c r="E24" s="45">
        <v>9</v>
      </c>
      <c r="F24" s="45">
        <v>9</v>
      </c>
      <c r="G24" s="45">
        <v>9</v>
      </c>
      <c r="H24" s="45">
        <v>9</v>
      </c>
      <c r="I24" s="45">
        <v>9</v>
      </c>
      <c r="J24" s="45">
        <v>9</v>
      </c>
      <c r="K24" s="45">
        <v>9</v>
      </c>
      <c r="L24" s="45">
        <v>9</v>
      </c>
      <c r="M24" s="45">
        <v>9</v>
      </c>
      <c r="N24" s="45">
        <v>9</v>
      </c>
      <c r="O24" s="45">
        <v>9</v>
      </c>
      <c r="P24" s="45">
        <v>9</v>
      </c>
      <c r="Q24" s="45">
        <v>9</v>
      </c>
      <c r="R24" s="45">
        <v>9</v>
      </c>
      <c r="S24" s="45">
        <v>9</v>
      </c>
      <c r="T24" s="45">
        <v>9</v>
      </c>
      <c r="U24" s="45">
        <v>9</v>
      </c>
      <c r="V24" s="45">
        <v>9</v>
      </c>
      <c r="W24" s="45">
        <v>9</v>
      </c>
      <c r="X24" s="45">
        <v>9</v>
      </c>
      <c r="Y24" s="45">
        <v>9</v>
      </c>
      <c r="Z24" s="45">
        <v>9</v>
      </c>
      <c r="AA24" s="45">
        <v>9</v>
      </c>
      <c r="AB24" s="45">
        <v>9</v>
      </c>
      <c r="AC24" s="45">
        <v>9</v>
      </c>
      <c r="AD24" s="45">
        <v>9</v>
      </c>
      <c r="AE24" s="45">
        <v>9</v>
      </c>
      <c r="AF24" s="45">
        <v>9</v>
      </c>
      <c r="AG24" s="49">
        <v>28</v>
      </c>
      <c r="AH24" s="47">
        <f t="shared" si="2"/>
        <v>9</v>
      </c>
      <c r="AI24" s="48">
        <f t="shared" si="3"/>
        <v>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6.6</v>
      </c>
      <c r="C25" s="45">
        <v>6.2</v>
      </c>
      <c r="D25" s="45">
        <v>7.3</v>
      </c>
      <c r="E25" s="45">
        <v>7.3</v>
      </c>
      <c r="F25" s="45">
        <v>7.3</v>
      </c>
      <c r="G25" s="45">
        <v>7.3</v>
      </c>
      <c r="H25" s="45">
        <v>7.3</v>
      </c>
      <c r="I25" s="45">
        <v>7.3</v>
      </c>
      <c r="J25" s="45">
        <v>7.3</v>
      </c>
      <c r="K25" s="45">
        <v>7.3</v>
      </c>
      <c r="L25" s="45">
        <v>7.3</v>
      </c>
      <c r="M25" s="45">
        <v>7.3</v>
      </c>
      <c r="N25" s="45">
        <v>7.3</v>
      </c>
      <c r="O25" s="45">
        <v>7.3</v>
      </c>
      <c r="P25" s="45">
        <v>7.3</v>
      </c>
      <c r="Q25" s="45">
        <v>7.3</v>
      </c>
      <c r="R25" s="45">
        <v>7.3</v>
      </c>
      <c r="S25" s="45">
        <v>7.3</v>
      </c>
      <c r="T25" s="45">
        <v>7.3</v>
      </c>
      <c r="U25" s="45">
        <v>7.3</v>
      </c>
      <c r="V25" s="45">
        <v>7.3</v>
      </c>
      <c r="W25" s="45">
        <v>7.3</v>
      </c>
      <c r="X25" s="45">
        <v>7.3</v>
      </c>
      <c r="Y25" s="45">
        <v>7.3</v>
      </c>
      <c r="Z25" s="45">
        <v>7.3</v>
      </c>
      <c r="AA25" s="45">
        <v>7.3</v>
      </c>
      <c r="AB25" s="45">
        <v>7.3</v>
      </c>
      <c r="AC25" s="45">
        <v>7.3</v>
      </c>
      <c r="AD25" s="45">
        <v>7.3</v>
      </c>
      <c r="AE25" s="45">
        <v>7.3</v>
      </c>
      <c r="AF25" s="45">
        <v>7.3</v>
      </c>
      <c r="AG25" s="52">
        <v>30</v>
      </c>
      <c r="AH25" s="47">
        <f t="shared" si="2"/>
        <v>7.3</v>
      </c>
      <c r="AI25" s="48">
        <f t="shared" si="3"/>
        <v>6.2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8.6999999999999993</v>
      </c>
      <c r="C26" s="45">
        <v>8.6999999999999993</v>
      </c>
      <c r="D26" s="45">
        <v>8.6</v>
      </c>
      <c r="E26" s="45">
        <v>8.6</v>
      </c>
      <c r="F26" s="45">
        <v>8.6</v>
      </c>
      <c r="G26" s="45">
        <v>8.6</v>
      </c>
      <c r="H26" s="45">
        <v>8.6</v>
      </c>
      <c r="I26" s="45">
        <v>8.6</v>
      </c>
      <c r="J26" s="45">
        <v>8.6</v>
      </c>
      <c r="K26" s="45">
        <v>8.6</v>
      </c>
      <c r="L26" s="45">
        <v>8.6</v>
      </c>
      <c r="M26" s="45">
        <v>8.6</v>
      </c>
      <c r="N26" s="45">
        <v>8.6</v>
      </c>
      <c r="O26" s="45">
        <v>8.6</v>
      </c>
      <c r="P26" s="45">
        <v>8.6</v>
      </c>
      <c r="Q26" s="45">
        <v>8.6</v>
      </c>
      <c r="R26" s="45">
        <v>8.6</v>
      </c>
      <c r="S26" s="45">
        <v>8.6</v>
      </c>
      <c r="T26" s="45">
        <v>8.6</v>
      </c>
      <c r="U26" s="45">
        <v>8.6</v>
      </c>
      <c r="V26" s="45">
        <v>8.6</v>
      </c>
      <c r="W26" s="45">
        <v>8.6</v>
      </c>
      <c r="X26" s="45">
        <v>8.6</v>
      </c>
      <c r="Y26" s="45">
        <v>8.4</v>
      </c>
      <c r="Z26" s="45">
        <v>8.4</v>
      </c>
      <c r="AA26" s="45">
        <v>8.4</v>
      </c>
      <c r="AB26" s="45">
        <v>8.4</v>
      </c>
      <c r="AC26" s="45">
        <v>8.4</v>
      </c>
      <c r="AD26" s="45">
        <v>8.4</v>
      </c>
      <c r="AE26" s="45">
        <v>8.4</v>
      </c>
      <c r="AF26" s="45">
        <v>8.4</v>
      </c>
      <c r="AG26" s="49">
        <v>25</v>
      </c>
      <c r="AH26" s="47">
        <f t="shared" si="2"/>
        <v>8.6999999999999993</v>
      </c>
      <c r="AI26" s="48">
        <f t="shared" si="3"/>
        <v>8.4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7.9</v>
      </c>
      <c r="C29" s="45">
        <v>7.9</v>
      </c>
      <c r="D29" s="45">
        <v>7.5</v>
      </c>
      <c r="E29" s="45">
        <v>7.5</v>
      </c>
      <c r="F29" s="45">
        <v>7.5</v>
      </c>
      <c r="G29" s="45">
        <v>7.5</v>
      </c>
      <c r="H29" s="45">
        <v>7.5</v>
      </c>
      <c r="I29" s="45">
        <v>7.5</v>
      </c>
      <c r="J29" s="45">
        <v>7.5</v>
      </c>
      <c r="K29" s="45">
        <v>7.5</v>
      </c>
      <c r="L29" s="45">
        <v>7.5</v>
      </c>
      <c r="M29" s="45">
        <v>7.5</v>
      </c>
      <c r="N29" s="45">
        <v>7.5</v>
      </c>
      <c r="O29" s="45">
        <v>7.5</v>
      </c>
      <c r="P29" s="45">
        <v>7.5</v>
      </c>
      <c r="Q29" s="45">
        <v>7.5</v>
      </c>
      <c r="R29" s="45">
        <v>7.5</v>
      </c>
      <c r="S29" s="45">
        <v>7.5</v>
      </c>
      <c r="T29" s="45">
        <v>7.5</v>
      </c>
      <c r="U29" s="45">
        <v>7.5</v>
      </c>
      <c r="V29" s="45">
        <v>7.5</v>
      </c>
      <c r="W29" s="45">
        <v>7.5</v>
      </c>
      <c r="X29" s="45">
        <v>7.5</v>
      </c>
      <c r="Y29" s="45">
        <v>7.5</v>
      </c>
      <c r="Z29" s="45">
        <v>7.5</v>
      </c>
      <c r="AA29" s="45">
        <v>7.5</v>
      </c>
      <c r="AB29" s="45">
        <v>7.5</v>
      </c>
      <c r="AC29" s="45">
        <v>7.5</v>
      </c>
      <c r="AD29" s="45">
        <v>7.5</v>
      </c>
      <c r="AE29" s="45">
        <v>7.5</v>
      </c>
      <c r="AF29" s="45">
        <v>7.5</v>
      </c>
      <c r="AG29" s="49">
        <v>25</v>
      </c>
      <c r="AH29" s="47">
        <f t="shared" si="2"/>
        <v>7.9</v>
      </c>
      <c r="AI29" s="48">
        <f t="shared" si="3"/>
        <v>7.5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7.2</v>
      </c>
      <c r="C30" s="45">
        <v>7.2</v>
      </c>
      <c r="D30" s="45">
        <v>7.3</v>
      </c>
      <c r="E30" s="45">
        <v>7.3</v>
      </c>
      <c r="F30" s="45">
        <v>7.3</v>
      </c>
      <c r="G30" s="45">
        <v>7.3</v>
      </c>
      <c r="H30" s="45">
        <v>7.3</v>
      </c>
      <c r="I30" s="45">
        <v>7.3</v>
      </c>
      <c r="J30" s="45">
        <v>7.3</v>
      </c>
      <c r="K30" s="45">
        <v>7.3</v>
      </c>
      <c r="L30" s="45">
        <v>7.3</v>
      </c>
      <c r="M30" s="45">
        <v>7.3</v>
      </c>
      <c r="N30" s="45">
        <v>7.3</v>
      </c>
      <c r="O30" s="45">
        <v>7.3</v>
      </c>
      <c r="P30" s="45">
        <v>7.3</v>
      </c>
      <c r="Q30" s="45">
        <v>7.3</v>
      </c>
      <c r="R30" s="45">
        <v>7.3</v>
      </c>
      <c r="S30" s="45">
        <v>7.3</v>
      </c>
      <c r="T30" s="45">
        <v>7.3</v>
      </c>
      <c r="U30" s="45">
        <v>7.3</v>
      </c>
      <c r="V30" s="45">
        <v>7.3</v>
      </c>
      <c r="W30" s="45">
        <v>7.3</v>
      </c>
      <c r="X30" s="45">
        <v>7.3</v>
      </c>
      <c r="Y30" s="45">
        <v>7.3</v>
      </c>
      <c r="Z30" s="45">
        <v>7.3</v>
      </c>
      <c r="AA30" s="45">
        <v>7.3</v>
      </c>
      <c r="AB30" s="45">
        <v>7.3</v>
      </c>
      <c r="AC30" s="45">
        <v>7.3</v>
      </c>
      <c r="AD30" s="45">
        <v>7.3</v>
      </c>
      <c r="AE30" s="45">
        <v>7.3</v>
      </c>
      <c r="AF30" s="45">
        <v>7.3</v>
      </c>
      <c r="AG30" s="49">
        <v>23.5</v>
      </c>
      <c r="AH30" s="47">
        <f t="shared" si="2"/>
        <v>7.3</v>
      </c>
      <c r="AI30" s="48">
        <f t="shared" si="3"/>
        <v>7.2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22.2</v>
      </c>
      <c r="AH31" s="47">
        <f t="shared" si="2"/>
        <v>0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11.8</v>
      </c>
      <c r="C34" s="45">
        <v>12.4</v>
      </c>
      <c r="D34" s="45">
        <v>11.9</v>
      </c>
      <c r="E34" s="45">
        <v>11.9</v>
      </c>
      <c r="F34" s="45">
        <v>11.9</v>
      </c>
      <c r="G34" s="45">
        <v>11.9</v>
      </c>
      <c r="H34" s="45">
        <v>11.9</v>
      </c>
      <c r="I34" s="45">
        <v>11.9</v>
      </c>
      <c r="J34" s="45">
        <v>11.9</v>
      </c>
      <c r="K34" s="45">
        <v>11.9</v>
      </c>
      <c r="L34" s="45">
        <v>11.9</v>
      </c>
      <c r="M34" s="45">
        <v>11.9</v>
      </c>
      <c r="N34" s="45">
        <v>11.9</v>
      </c>
      <c r="O34" s="45">
        <v>11.9</v>
      </c>
      <c r="P34" s="45">
        <v>11.9</v>
      </c>
      <c r="Q34" s="45">
        <v>11.9</v>
      </c>
      <c r="R34" s="45">
        <v>11.9</v>
      </c>
      <c r="S34" s="45">
        <v>11.9</v>
      </c>
      <c r="T34" s="45">
        <v>11.9</v>
      </c>
      <c r="U34" s="45">
        <v>11.9</v>
      </c>
      <c r="V34" s="45">
        <v>11.9</v>
      </c>
      <c r="W34" s="45">
        <v>11.9</v>
      </c>
      <c r="X34" s="45">
        <v>11.9</v>
      </c>
      <c r="Y34" s="45">
        <v>11.9</v>
      </c>
      <c r="Z34" s="45">
        <v>11.9</v>
      </c>
      <c r="AA34" s="45">
        <v>11.9</v>
      </c>
      <c r="AB34" s="45">
        <v>11.9</v>
      </c>
      <c r="AC34" s="45">
        <v>11.9</v>
      </c>
      <c r="AD34" s="45">
        <v>11.9</v>
      </c>
      <c r="AE34" s="45">
        <v>11.9</v>
      </c>
      <c r="AF34" s="45">
        <v>11.9</v>
      </c>
      <c r="AG34" s="49">
        <v>22</v>
      </c>
      <c r="AH34" s="47">
        <f t="shared" si="2"/>
        <v>12.4</v>
      </c>
      <c r="AI34" s="48">
        <f t="shared" si="3"/>
        <v>11.8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8.1+17.8</f>
        <v>25.9</v>
      </c>
      <c r="C57" s="57">
        <f>8.1+17.9</f>
        <v>26</v>
      </c>
      <c r="D57" s="57">
        <f>7.9+17.4</f>
        <v>25.299999999999997</v>
      </c>
      <c r="E57" s="57">
        <f>16.7+7.7</f>
        <v>24.4</v>
      </c>
      <c r="F57" s="57">
        <f>17.4+7.9</f>
        <v>25.299999999999997</v>
      </c>
      <c r="G57" s="57">
        <f>19.4+8.5</f>
        <v>27.9</v>
      </c>
      <c r="H57" s="57">
        <f>18.9+8.3</f>
        <v>27.2</v>
      </c>
      <c r="I57" s="57">
        <f>18.2+8.3</f>
        <v>26.5</v>
      </c>
      <c r="J57" s="57">
        <f>17.4+8</f>
        <v>25.4</v>
      </c>
      <c r="K57" s="51">
        <f>16.2+7.2</f>
        <v>23.4</v>
      </c>
      <c r="L57" s="51">
        <f>15+6.4</f>
        <v>21.4</v>
      </c>
      <c r="M57" s="51">
        <f>15+6.4</f>
        <v>21.4</v>
      </c>
      <c r="N57" s="51">
        <f>15+6.4</f>
        <v>21.4</v>
      </c>
      <c r="O57" s="51">
        <f>5.2+10.4</f>
        <v>15.600000000000001</v>
      </c>
      <c r="P57" s="51">
        <v>20</v>
      </c>
      <c r="Q57" s="51">
        <v>20</v>
      </c>
      <c r="R57" s="51">
        <f>6.5+13.3</f>
        <v>19.8</v>
      </c>
      <c r="S57" s="51">
        <f>6.5+13.3</f>
        <v>19.8</v>
      </c>
      <c r="T57" s="51">
        <v>22.5</v>
      </c>
      <c r="U57" s="51">
        <v>22.5</v>
      </c>
      <c r="V57" s="51">
        <v>22.5</v>
      </c>
      <c r="W57" s="51">
        <v>24.7</v>
      </c>
      <c r="X57" s="51">
        <v>24.7</v>
      </c>
      <c r="Y57" s="57">
        <v>24.7</v>
      </c>
      <c r="Z57" s="57">
        <v>24.7</v>
      </c>
      <c r="AA57" s="57">
        <v>24.7</v>
      </c>
      <c r="AB57" s="57">
        <v>24.7</v>
      </c>
      <c r="AC57" s="57">
        <v>24.7</v>
      </c>
      <c r="AD57" s="57">
        <v>24.7</v>
      </c>
      <c r="AE57" s="57">
        <v>24.7</v>
      </c>
      <c r="AF57" s="57">
        <v>24.7</v>
      </c>
      <c r="AG57" s="55">
        <v>240</v>
      </c>
      <c r="AH57" s="47">
        <f t="shared" si="2"/>
        <v>27.9</v>
      </c>
      <c r="AI57" s="48">
        <f t="shared" si="3"/>
        <v>15.600000000000001</v>
      </c>
      <c r="AK57" s="50"/>
    </row>
    <row r="58" spans="1:88" ht="15.75" thickBot="1" x14ac:dyDescent="0.3">
      <c r="A58" s="59" t="s">
        <v>58</v>
      </c>
      <c r="B58" s="60">
        <f t="shared" ref="B58:C58" si="4">SUM(B11:B56)</f>
        <v>490.54999999999995</v>
      </c>
      <c r="C58" s="60">
        <f t="shared" si="4"/>
        <v>490.74999999999994</v>
      </c>
      <c r="D58" s="60">
        <f t="shared" ref="D58" si="5">SUM(D11:D56)</f>
        <v>490.55</v>
      </c>
      <c r="E58" s="60">
        <f t="shared" ref="E58:X58" si="6">SUM(E11:E56)</f>
        <v>489.75</v>
      </c>
      <c r="F58" s="60">
        <f t="shared" si="6"/>
        <v>489.45</v>
      </c>
      <c r="G58" s="60">
        <f t="shared" si="6"/>
        <v>489.85</v>
      </c>
      <c r="H58" s="60">
        <f t="shared" si="6"/>
        <v>489.75</v>
      </c>
      <c r="I58" s="60">
        <f t="shared" si="6"/>
        <v>489.75</v>
      </c>
      <c r="J58" s="60">
        <f t="shared" si="6"/>
        <v>489.85</v>
      </c>
      <c r="K58" s="60">
        <f t="shared" si="6"/>
        <v>489.75</v>
      </c>
      <c r="L58" s="60">
        <f t="shared" si="6"/>
        <v>489.85</v>
      </c>
      <c r="M58" s="60">
        <f t="shared" si="6"/>
        <v>489.85</v>
      </c>
      <c r="N58" s="60">
        <f t="shared" si="6"/>
        <v>488.85</v>
      </c>
      <c r="O58" s="60">
        <f t="shared" si="6"/>
        <v>487.85</v>
      </c>
      <c r="P58" s="60">
        <f t="shared" si="6"/>
        <v>487.85</v>
      </c>
      <c r="Q58" s="60">
        <f t="shared" si="6"/>
        <v>487.85</v>
      </c>
      <c r="R58" s="60">
        <f t="shared" si="6"/>
        <v>487.85</v>
      </c>
      <c r="S58" s="60">
        <f t="shared" ref="S58" si="7">SUM(S11:S56)</f>
        <v>487.85</v>
      </c>
      <c r="T58" s="60">
        <f t="shared" si="6"/>
        <v>487.85</v>
      </c>
      <c r="U58" s="60">
        <f t="shared" ref="U58:V58" si="8">SUM(U11:U56)</f>
        <v>487.85</v>
      </c>
      <c r="V58" s="60">
        <f t="shared" si="8"/>
        <v>505.24999999999994</v>
      </c>
      <c r="W58" s="60">
        <f t="shared" si="6"/>
        <v>484.25</v>
      </c>
      <c r="X58" s="60">
        <f t="shared" si="6"/>
        <v>484.25</v>
      </c>
      <c r="Y58" s="60">
        <f t="shared" ref="Y58:AF58" si="9">SUM(Y11:Y56)</f>
        <v>483.95000000000005</v>
      </c>
      <c r="Z58" s="60">
        <f t="shared" si="9"/>
        <v>483.95000000000005</v>
      </c>
      <c r="AA58" s="60">
        <f t="shared" si="9"/>
        <v>483.95000000000005</v>
      </c>
      <c r="AB58" s="60">
        <f t="shared" si="9"/>
        <v>483.95000000000005</v>
      </c>
      <c r="AC58" s="60">
        <f t="shared" si="9"/>
        <v>483.95000000000005</v>
      </c>
      <c r="AD58" s="60">
        <f t="shared" si="9"/>
        <v>483.95000000000005</v>
      </c>
      <c r="AE58" s="60">
        <f t="shared" si="9"/>
        <v>483.95000000000005</v>
      </c>
      <c r="AF58" s="60">
        <f t="shared" si="9"/>
        <v>483.95000000000005</v>
      </c>
      <c r="AG58" s="61">
        <f>SUM(AG14:AG56)</f>
        <v>1042.4000000000001</v>
      </c>
      <c r="AH58" s="47">
        <f t="shared" si="2"/>
        <v>505.24999999999994</v>
      </c>
      <c r="AI58" s="48">
        <f t="shared" si="3"/>
        <v>483.95000000000005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100</v>
      </c>
      <c r="K59" s="45">
        <v>110</v>
      </c>
      <c r="L59" s="45">
        <v>160</v>
      </c>
      <c r="M59" s="45">
        <v>200</v>
      </c>
      <c r="N59" s="63">
        <v>100</v>
      </c>
      <c r="O59" s="63">
        <v>30</v>
      </c>
      <c r="P59" s="63">
        <v>75</v>
      </c>
      <c r="Q59" s="63">
        <v>75</v>
      </c>
      <c r="R59" s="63">
        <v>40</v>
      </c>
      <c r="S59" s="63">
        <v>40</v>
      </c>
      <c r="T59" s="63">
        <v>76</v>
      </c>
      <c r="U59" s="63">
        <v>76</v>
      </c>
      <c r="V59" s="63">
        <v>30</v>
      </c>
      <c r="W59" s="45">
        <v>30</v>
      </c>
      <c r="X59" s="45">
        <v>220</v>
      </c>
      <c r="Y59" s="45">
        <v>270</v>
      </c>
      <c r="Z59" s="45">
        <v>280</v>
      </c>
      <c r="AA59" s="45">
        <v>280</v>
      </c>
      <c r="AB59" s="45">
        <v>150</v>
      </c>
      <c r="AC59" s="45">
        <v>100</v>
      </c>
      <c r="AD59" s="45">
        <v>30</v>
      </c>
      <c r="AE59" s="45">
        <v>0</v>
      </c>
      <c r="AF59" s="45">
        <v>0</v>
      </c>
      <c r="AG59" s="52">
        <v>456</v>
      </c>
      <c r="AH59" s="47">
        <f t="shared" si="2"/>
        <v>280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28</v>
      </c>
      <c r="C60" s="65">
        <v>28</v>
      </c>
      <c r="D60" s="65">
        <v>28</v>
      </c>
      <c r="E60" s="65">
        <v>28</v>
      </c>
      <c r="F60" s="65">
        <v>28</v>
      </c>
      <c r="G60" s="65">
        <v>28</v>
      </c>
      <c r="H60" s="65">
        <v>28</v>
      </c>
      <c r="I60" s="65">
        <v>28</v>
      </c>
      <c r="J60" s="65">
        <v>28</v>
      </c>
      <c r="K60" s="65">
        <v>28</v>
      </c>
      <c r="L60" s="65">
        <v>28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28</v>
      </c>
      <c r="AI60" s="48">
        <f t="shared" si="3"/>
        <v>27</v>
      </c>
      <c r="AK60" s="50"/>
    </row>
    <row r="61" spans="1:88" ht="15.75" thickBot="1" x14ac:dyDescent="0.3">
      <c r="A61" s="66" t="s">
        <v>61</v>
      </c>
      <c r="B61" s="67">
        <v>8.6</v>
      </c>
      <c r="C61" s="67">
        <v>8.5</v>
      </c>
      <c r="D61" s="67">
        <v>8.5</v>
      </c>
      <c r="E61" s="67">
        <v>8.5</v>
      </c>
      <c r="F61" s="67">
        <v>8.4</v>
      </c>
      <c r="G61" s="67">
        <v>8.4</v>
      </c>
      <c r="H61" s="67">
        <v>8.6300000000000008</v>
      </c>
      <c r="I61" s="67">
        <v>8.6</v>
      </c>
      <c r="J61" s="67">
        <v>8.6</v>
      </c>
      <c r="K61" s="67">
        <v>8.6</v>
      </c>
      <c r="L61" s="67">
        <v>8.6</v>
      </c>
      <c r="M61" s="67">
        <v>8.6</v>
      </c>
      <c r="N61" s="67">
        <v>8.8000000000000007</v>
      </c>
      <c r="O61" s="67">
        <v>8.4</v>
      </c>
      <c r="P61" s="67">
        <v>8.4</v>
      </c>
      <c r="Q61" s="67">
        <v>0</v>
      </c>
      <c r="R61" s="67">
        <v>7.8</v>
      </c>
      <c r="S61" s="67">
        <v>7.4</v>
      </c>
      <c r="T61" s="67">
        <v>7.4</v>
      </c>
      <c r="U61" s="67">
        <v>7.4</v>
      </c>
      <c r="V61" s="67">
        <v>7.4</v>
      </c>
      <c r="W61" s="67">
        <v>12.4</v>
      </c>
      <c r="X61" s="67">
        <v>12.4</v>
      </c>
      <c r="Y61" s="67">
        <v>12</v>
      </c>
      <c r="Z61" s="67">
        <v>12.4</v>
      </c>
      <c r="AA61" s="67">
        <v>12.4</v>
      </c>
      <c r="AB61" s="67">
        <v>12.4</v>
      </c>
      <c r="AC61" s="67">
        <v>12.4</v>
      </c>
      <c r="AD61" s="67">
        <v>12.4</v>
      </c>
      <c r="AE61" s="67">
        <v>12.4</v>
      </c>
      <c r="AF61" s="67">
        <v>12.4</v>
      </c>
      <c r="AG61" s="68">
        <v>22.1</v>
      </c>
      <c r="AH61" s="47">
        <f t="shared" si="2"/>
        <v>12.4</v>
      </c>
      <c r="AI61" s="48">
        <f t="shared" si="3"/>
        <v>0</v>
      </c>
      <c r="AK61" s="50"/>
    </row>
    <row r="62" spans="1:88" ht="15.75" thickBot="1" x14ac:dyDescent="0.3">
      <c r="A62" s="69" t="s">
        <v>62</v>
      </c>
      <c r="B62" s="60">
        <f t="shared" ref="B62:C62" si="10">SUM(B59:B61)</f>
        <v>36.6</v>
      </c>
      <c r="C62" s="60">
        <f t="shared" si="10"/>
        <v>36.5</v>
      </c>
      <c r="D62" s="60">
        <f t="shared" ref="D62" si="11">SUM(D59:D61)</f>
        <v>36.5</v>
      </c>
      <c r="E62" s="60">
        <f t="shared" ref="E62:AG62" si="12">SUM(E59:E61)</f>
        <v>36.5</v>
      </c>
      <c r="F62" s="60">
        <f t="shared" si="12"/>
        <v>36.4</v>
      </c>
      <c r="G62" s="60">
        <f t="shared" si="12"/>
        <v>36.4</v>
      </c>
      <c r="H62" s="60">
        <f t="shared" si="12"/>
        <v>36.630000000000003</v>
      </c>
      <c r="I62" s="60">
        <f t="shared" si="12"/>
        <v>36.6</v>
      </c>
      <c r="J62" s="60">
        <f t="shared" si="12"/>
        <v>136.6</v>
      </c>
      <c r="K62" s="60">
        <f t="shared" si="12"/>
        <v>146.6</v>
      </c>
      <c r="L62" s="60">
        <f t="shared" si="12"/>
        <v>196.6</v>
      </c>
      <c r="M62" s="60">
        <f t="shared" si="12"/>
        <v>235.6</v>
      </c>
      <c r="N62" s="60">
        <f t="shared" si="12"/>
        <v>135.80000000000001</v>
      </c>
      <c r="O62" s="60">
        <f t="shared" si="12"/>
        <v>65.400000000000006</v>
      </c>
      <c r="P62" s="60">
        <f t="shared" si="12"/>
        <v>110.4</v>
      </c>
      <c r="Q62" s="60">
        <f t="shared" si="12"/>
        <v>102</v>
      </c>
      <c r="R62" s="60">
        <f t="shared" si="12"/>
        <v>74.8</v>
      </c>
      <c r="S62" s="60">
        <f t="shared" ref="S62" si="13">SUM(S59:S61)</f>
        <v>74.400000000000006</v>
      </c>
      <c r="T62" s="60">
        <f t="shared" si="12"/>
        <v>110.4</v>
      </c>
      <c r="U62" s="60">
        <f t="shared" ref="U62" si="14">SUM(U59:U61)</f>
        <v>110.4</v>
      </c>
      <c r="V62" s="60">
        <f t="shared" si="12"/>
        <v>64.400000000000006</v>
      </c>
      <c r="W62" s="60">
        <f t="shared" si="12"/>
        <v>69.400000000000006</v>
      </c>
      <c r="X62" s="60">
        <f t="shared" si="12"/>
        <v>259.39999999999998</v>
      </c>
      <c r="Y62" s="60">
        <f t="shared" ref="Y62:AF62" si="15">SUM(Y59:Y61)</f>
        <v>309</v>
      </c>
      <c r="Z62" s="60">
        <f t="shared" si="15"/>
        <v>319.39999999999998</v>
      </c>
      <c r="AA62" s="60">
        <f t="shared" si="15"/>
        <v>319.39999999999998</v>
      </c>
      <c r="AB62" s="60">
        <f t="shared" si="15"/>
        <v>189.4</v>
      </c>
      <c r="AC62" s="60">
        <f t="shared" si="15"/>
        <v>139.4</v>
      </c>
      <c r="AD62" s="60">
        <f t="shared" si="15"/>
        <v>69.400000000000006</v>
      </c>
      <c r="AE62" s="60">
        <f t="shared" si="15"/>
        <v>39.4</v>
      </c>
      <c r="AF62" s="60">
        <f t="shared" si="15"/>
        <v>39.4</v>
      </c>
      <c r="AG62" s="61">
        <f t="shared" si="12"/>
        <v>538.1</v>
      </c>
      <c r="AH62" s="47">
        <f t="shared" si="2"/>
        <v>319.39999999999998</v>
      </c>
      <c r="AI62" s="48">
        <f t="shared" si="3"/>
        <v>36.4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</v>
      </c>
      <c r="H63" s="45">
        <v>31.7</v>
      </c>
      <c r="I63" s="45">
        <v>95</v>
      </c>
      <c r="J63" s="45">
        <v>116</v>
      </c>
      <c r="K63" s="45">
        <v>121</v>
      </c>
      <c r="L63" s="45">
        <v>101</v>
      </c>
      <c r="M63" s="45">
        <v>93.7</v>
      </c>
      <c r="N63" s="45">
        <v>71.5</v>
      </c>
      <c r="O63" s="45">
        <v>71.5</v>
      </c>
      <c r="P63" s="45">
        <v>66.7</v>
      </c>
      <c r="Q63" s="45">
        <v>70.7</v>
      </c>
      <c r="R63" s="45">
        <v>61.7</v>
      </c>
      <c r="S63" s="45">
        <v>62.1</v>
      </c>
      <c r="T63" s="45">
        <v>62.1</v>
      </c>
      <c r="U63" s="45">
        <v>62.1</v>
      </c>
      <c r="V63" s="45">
        <v>62.1</v>
      </c>
      <c r="W63" s="45">
        <v>63.1</v>
      </c>
      <c r="X63" s="45">
        <v>97</v>
      </c>
      <c r="Y63" s="45">
        <v>142</v>
      </c>
      <c r="Z63" s="45">
        <v>122</v>
      </c>
      <c r="AA63" s="45">
        <v>122</v>
      </c>
      <c r="AB63" s="45">
        <v>97</v>
      </c>
      <c r="AC63" s="45">
        <v>60</v>
      </c>
      <c r="AD63" s="45">
        <v>61</v>
      </c>
      <c r="AE63" s="45">
        <v>61</v>
      </c>
      <c r="AF63" s="45">
        <v>30</v>
      </c>
      <c r="AG63" s="52">
        <v>144</v>
      </c>
      <c r="AH63" s="47">
        <f t="shared" si="2"/>
        <v>142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35</v>
      </c>
      <c r="J64" s="65">
        <v>60</v>
      </c>
      <c r="K64" s="65">
        <v>50</v>
      </c>
      <c r="L64" s="65">
        <v>50</v>
      </c>
      <c r="M64" s="65">
        <v>45</v>
      </c>
      <c r="N64" s="65">
        <v>35</v>
      </c>
      <c r="O64" s="65">
        <v>35</v>
      </c>
      <c r="P64" s="65">
        <v>45</v>
      </c>
      <c r="Q64" s="65">
        <v>45</v>
      </c>
      <c r="R64" s="65">
        <v>45</v>
      </c>
      <c r="S64" s="65">
        <v>30</v>
      </c>
      <c r="T64" s="65">
        <v>30</v>
      </c>
      <c r="U64" s="65">
        <v>25</v>
      </c>
      <c r="V64" s="65">
        <v>25</v>
      </c>
      <c r="W64" s="45">
        <v>25</v>
      </c>
      <c r="X64" s="45">
        <v>35</v>
      </c>
      <c r="Y64" s="45">
        <v>70</v>
      </c>
      <c r="Z64" s="45">
        <v>70</v>
      </c>
      <c r="AA64" s="45">
        <v>70</v>
      </c>
      <c r="AB64" s="45">
        <v>50</v>
      </c>
      <c r="AC64" s="45">
        <v>45</v>
      </c>
      <c r="AD64" s="45">
        <v>45</v>
      </c>
      <c r="AE64" s="45">
        <v>45</v>
      </c>
      <c r="AF64" s="45">
        <v>35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35</v>
      </c>
      <c r="H65" s="65">
        <v>46.4</v>
      </c>
      <c r="I65" s="65">
        <v>52.5</v>
      </c>
      <c r="J65" s="65">
        <v>60</v>
      </c>
      <c r="K65" s="65">
        <v>53.3</v>
      </c>
      <c r="L65" s="65">
        <v>51</v>
      </c>
      <c r="M65" s="65">
        <v>50.8</v>
      </c>
      <c r="N65" s="65">
        <v>50.5</v>
      </c>
      <c r="O65" s="65">
        <v>50.5</v>
      </c>
      <c r="P65" s="65">
        <v>50.2</v>
      </c>
      <c r="Q65" s="65">
        <v>49.5</v>
      </c>
      <c r="R65" s="65">
        <v>49.3</v>
      </c>
      <c r="S65" s="65">
        <v>49.3</v>
      </c>
      <c r="T65" s="65">
        <v>49.3</v>
      </c>
      <c r="U65" s="65">
        <v>49.3</v>
      </c>
      <c r="V65" s="65">
        <v>49.3</v>
      </c>
      <c r="W65" s="45">
        <v>0</v>
      </c>
      <c r="X65" s="45">
        <v>16</v>
      </c>
      <c r="Y65" s="45">
        <v>53</v>
      </c>
      <c r="Z65" s="45">
        <v>53</v>
      </c>
      <c r="AA65" s="45">
        <v>53</v>
      </c>
      <c r="AB65" s="45">
        <v>53</v>
      </c>
      <c r="AC65" s="45">
        <v>52</v>
      </c>
      <c r="AD65" s="45">
        <v>52</v>
      </c>
      <c r="AE65" s="45">
        <v>52</v>
      </c>
      <c r="AF65" s="45">
        <v>40</v>
      </c>
      <c r="AG65" s="55">
        <v>69</v>
      </c>
      <c r="AH65" s="47">
        <f t="shared" si="2"/>
        <v>60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40.1</v>
      </c>
      <c r="C66" s="65">
        <v>40.1</v>
      </c>
      <c r="D66" s="65">
        <v>40.1</v>
      </c>
      <c r="E66" s="65">
        <v>39.1</v>
      </c>
      <c r="F66" s="65">
        <v>39.1</v>
      </c>
      <c r="G66" s="65">
        <v>37.299999999999997</v>
      </c>
      <c r="H66" s="65">
        <v>37.299999999999997</v>
      </c>
      <c r="I66" s="65">
        <v>39.299999999999997</v>
      </c>
      <c r="J66" s="65">
        <v>39.299999999999997</v>
      </c>
      <c r="K66" s="57">
        <v>40.1</v>
      </c>
      <c r="L66" s="57">
        <v>40.1</v>
      </c>
      <c r="M66" s="65">
        <v>38</v>
      </c>
      <c r="N66" s="65">
        <v>38.299999999999997</v>
      </c>
      <c r="O66" s="65">
        <v>38.299999999999997</v>
      </c>
      <c r="P66" s="65">
        <v>39.299999999999997</v>
      </c>
      <c r="Q66" s="65">
        <v>40.1</v>
      </c>
      <c r="R66" s="65">
        <v>38</v>
      </c>
      <c r="S66" s="65">
        <v>38</v>
      </c>
      <c r="T66" s="65">
        <v>38</v>
      </c>
      <c r="U66" s="65">
        <v>38</v>
      </c>
      <c r="V66" s="65">
        <v>38</v>
      </c>
      <c r="W66" s="45">
        <v>39.299999999999997</v>
      </c>
      <c r="X66" s="45">
        <v>39.299999999999997</v>
      </c>
      <c r="Y66" s="45">
        <v>39.299999999999997</v>
      </c>
      <c r="Z66" s="45">
        <v>39.299999999999997</v>
      </c>
      <c r="AA66" s="45">
        <v>39.299999999999997</v>
      </c>
      <c r="AB66" s="45">
        <v>39.299999999999997</v>
      </c>
      <c r="AC66" s="45">
        <v>39.299999999999997</v>
      </c>
      <c r="AD66" s="45">
        <v>39.299999999999997</v>
      </c>
      <c r="AE66" s="45">
        <v>39.299999999999997</v>
      </c>
      <c r="AF66" s="45">
        <v>39.299999999999997</v>
      </c>
      <c r="AG66" s="55">
        <v>60</v>
      </c>
      <c r="AH66" s="47">
        <f t="shared" si="2"/>
        <v>40.1</v>
      </c>
      <c r="AI66" s="48">
        <f t="shared" si="3"/>
        <v>37.299999999999997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65">
        <v>10</v>
      </c>
      <c r="L67" s="57">
        <v>10</v>
      </c>
      <c r="M67" s="65">
        <v>10</v>
      </c>
      <c r="N67" s="65">
        <v>10</v>
      </c>
      <c r="O67" s="65">
        <v>10</v>
      </c>
      <c r="P67" s="65">
        <v>10</v>
      </c>
      <c r="Q67" s="65">
        <v>10</v>
      </c>
      <c r="R67" s="65">
        <v>10</v>
      </c>
      <c r="S67" s="65">
        <v>10</v>
      </c>
      <c r="T67" s="65">
        <v>15</v>
      </c>
      <c r="U67" s="65">
        <v>15</v>
      </c>
      <c r="V67" s="65">
        <v>15</v>
      </c>
      <c r="W67" s="45">
        <v>10</v>
      </c>
      <c r="X67" s="45">
        <v>10</v>
      </c>
      <c r="Y67" s="45">
        <v>23</v>
      </c>
      <c r="Z67" s="45">
        <v>23</v>
      </c>
      <c r="AA67" s="45">
        <v>23</v>
      </c>
      <c r="AB67" s="45">
        <v>23</v>
      </c>
      <c r="AC67" s="45">
        <v>10</v>
      </c>
      <c r="AD67" s="45">
        <v>10</v>
      </c>
      <c r="AE67" s="45">
        <v>10</v>
      </c>
      <c r="AF67" s="45">
        <v>15</v>
      </c>
      <c r="AG67" s="55">
        <v>30</v>
      </c>
      <c r="AH67" s="47">
        <f t="shared" si="2"/>
        <v>23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0.9</v>
      </c>
      <c r="M68" s="65">
        <v>1.2</v>
      </c>
      <c r="N68" s="65">
        <v>5.9</v>
      </c>
      <c r="O68" s="65">
        <v>5.9</v>
      </c>
      <c r="P68" s="65">
        <v>5.9</v>
      </c>
      <c r="Q68" s="65">
        <v>16</v>
      </c>
      <c r="R68" s="65">
        <v>15.5</v>
      </c>
      <c r="S68" s="65">
        <v>15.5</v>
      </c>
      <c r="T68" s="65">
        <v>10.7</v>
      </c>
      <c r="U68" s="65">
        <v>6</v>
      </c>
      <c r="V68" s="65">
        <v>4.5</v>
      </c>
      <c r="W68" s="45">
        <v>0.4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9.8000000000000007</v>
      </c>
      <c r="N71" s="65">
        <v>9.8000000000000007</v>
      </c>
      <c r="O71" s="65">
        <v>9.8000000000000007</v>
      </c>
      <c r="P71" s="65">
        <v>9.8000000000000007</v>
      </c>
      <c r="Q71" s="65">
        <v>9.8000000000000007</v>
      </c>
      <c r="R71" s="65">
        <v>9.8000000000000007</v>
      </c>
      <c r="S71" s="65">
        <v>9.8000000000000007</v>
      </c>
      <c r="T71" s="65">
        <v>9.8000000000000007</v>
      </c>
      <c r="U71" s="65">
        <v>9.8000000000000007</v>
      </c>
      <c r="V71" s="65">
        <v>9.8000000000000007</v>
      </c>
      <c r="W71" s="65">
        <v>9.8000000000000007</v>
      </c>
      <c r="X71" s="65">
        <v>9.8000000000000007</v>
      </c>
      <c r="Y71" s="65">
        <v>9.8000000000000007</v>
      </c>
      <c r="Z71" s="65">
        <v>9.8000000000000007</v>
      </c>
      <c r="AA71" s="65">
        <v>9.8000000000000007</v>
      </c>
      <c r="AB71" s="65">
        <v>9.8000000000000007</v>
      </c>
      <c r="AC71" s="65">
        <v>9.8000000000000007</v>
      </c>
      <c r="AD71" s="65">
        <v>9.8000000000000007</v>
      </c>
      <c r="AE71" s="65">
        <v>9.8000000000000007</v>
      </c>
      <c r="AF71" s="65">
        <v>9.8000000000000007</v>
      </c>
      <c r="AG71" s="55">
        <v>14.1</v>
      </c>
      <c r="AH71" s="47">
        <f t="shared" si="2"/>
        <v>10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4.8</v>
      </c>
      <c r="C72" s="65">
        <v>4.8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3.2</v>
      </c>
      <c r="N72" s="65">
        <v>3.2</v>
      </c>
      <c r="O72" s="65">
        <v>3.2</v>
      </c>
      <c r="P72" s="65">
        <v>3.2</v>
      </c>
      <c r="Q72" s="65">
        <v>5.3</v>
      </c>
      <c r="R72" s="65">
        <v>5.3</v>
      </c>
      <c r="S72" s="65">
        <v>5.3</v>
      </c>
      <c r="T72" s="65">
        <v>5.3</v>
      </c>
      <c r="U72" s="65">
        <v>5.3</v>
      </c>
      <c r="V72" s="65">
        <v>5.3</v>
      </c>
      <c r="W72" s="65">
        <v>5.3</v>
      </c>
      <c r="X72" s="65">
        <v>5.3</v>
      </c>
      <c r="Y72" s="65">
        <v>5.3</v>
      </c>
      <c r="Z72" s="65">
        <v>5.3</v>
      </c>
      <c r="AA72" s="65">
        <v>5.3</v>
      </c>
      <c r="AB72" s="65">
        <v>5.3</v>
      </c>
      <c r="AC72" s="65">
        <v>5.3</v>
      </c>
      <c r="AD72" s="65">
        <v>5.3</v>
      </c>
      <c r="AE72" s="65">
        <v>5.3</v>
      </c>
      <c r="AF72" s="65">
        <v>5.3</v>
      </c>
      <c r="AG72" s="55">
        <v>14</v>
      </c>
      <c r="AH72" s="47">
        <f t="shared" si="2"/>
        <v>5.3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</v>
      </c>
      <c r="C73" s="65">
        <v>4</v>
      </c>
      <c r="D73" s="65">
        <v>4</v>
      </c>
      <c r="E73" s="65">
        <v>4</v>
      </c>
      <c r="F73" s="65">
        <v>4</v>
      </c>
      <c r="G73" s="65">
        <v>4</v>
      </c>
      <c r="H73" s="65">
        <v>4</v>
      </c>
      <c r="I73" s="65">
        <v>4</v>
      </c>
      <c r="J73" s="65">
        <v>4</v>
      </c>
      <c r="K73" s="65">
        <v>4</v>
      </c>
      <c r="L73" s="65">
        <v>4</v>
      </c>
      <c r="M73" s="65">
        <v>4</v>
      </c>
      <c r="N73" s="65">
        <v>4</v>
      </c>
      <c r="O73" s="65">
        <v>4</v>
      </c>
      <c r="P73" s="65">
        <v>4</v>
      </c>
      <c r="Q73" s="65">
        <v>4</v>
      </c>
      <c r="R73" s="65">
        <v>4</v>
      </c>
      <c r="S73" s="65">
        <v>4</v>
      </c>
      <c r="T73" s="65">
        <v>4</v>
      </c>
      <c r="U73" s="65">
        <v>4</v>
      </c>
      <c r="V73" s="65">
        <v>4</v>
      </c>
      <c r="W73" s="65">
        <v>4</v>
      </c>
      <c r="X73" s="65">
        <v>4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C76" si="16">SUM(B63:B75)</f>
        <v>83.44</v>
      </c>
      <c r="C76" s="60">
        <f t="shared" si="16"/>
        <v>83.34</v>
      </c>
      <c r="D76" s="60">
        <f t="shared" ref="D76" si="17">SUM(D63:D75)</f>
        <v>81.84</v>
      </c>
      <c r="E76" s="60">
        <f t="shared" ref="E76:AG76" si="18">SUM(E63:E75)</f>
        <v>80.84</v>
      </c>
      <c r="F76" s="60">
        <f t="shared" si="18"/>
        <v>80.84</v>
      </c>
      <c r="G76" s="60">
        <f t="shared" si="18"/>
        <v>144.04</v>
      </c>
      <c r="H76" s="60">
        <f t="shared" si="18"/>
        <v>167.14</v>
      </c>
      <c r="I76" s="60">
        <f t="shared" si="18"/>
        <v>273.54000000000002</v>
      </c>
      <c r="J76" s="60">
        <f t="shared" si="18"/>
        <v>327.04000000000002</v>
      </c>
      <c r="K76" s="60">
        <f t="shared" si="18"/>
        <v>316.14000000000004</v>
      </c>
      <c r="L76" s="60">
        <f t="shared" si="18"/>
        <v>294.74</v>
      </c>
      <c r="M76" s="60">
        <f t="shared" si="18"/>
        <v>280.24</v>
      </c>
      <c r="N76" s="60">
        <f t="shared" si="18"/>
        <v>252.74</v>
      </c>
      <c r="O76" s="60">
        <f t="shared" si="18"/>
        <v>252.74</v>
      </c>
      <c r="P76" s="60">
        <f t="shared" si="18"/>
        <v>258.64</v>
      </c>
      <c r="Q76" s="60">
        <f t="shared" si="18"/>
        <v>274.94</v>
      </c>
      <c r="R76" s="60">
        <f t="shared" si="18"/>
        <v>263.14000000000004</v>
      </c>
      <c r="S76" s="60">
        <f t="shared" si="18"/>
        <v>248.54</v>
      </c>
      <c r="T76" s="60">
        <f t="shared" si="18"/>
        <v>248.73999999999998</v>
      </c>
      <c r="U76" s="60">
        <f t="shared" si="18"/>
        <v>239.04</v>
      </c>
      <c r="V76" s="60">
        <f t="shared" ref="V76" si="19">SUM(V63:V75)</f>
        <v>237.54</v>
      </c>
      <c r="W76" s="60">
        <f t="shared" si="18"/>
        <v>181.44</v>
      </c>
      <c r="X76" s="60">
        <f t="shared" si="18"/>
        <v>240.94000000000003</v>
      </c>
      <c r="Y76" s="60">
        <f>SUM(Y63:Y75)</f>
        <v>371.40000000000003</v>
      </c>
      <c r="Z76" s="60">
        <f>SUM(Z63:Z75)</f>
        <v>353.40000000000003</v>
      </c>
      <c r="AA76" s="60">
        <f t="shared" si="18"/>
        <v>351.44000000000005</v>
      </c>
      <c r="AB76" s="60">
        <f t="shared" ref="AB76:AC76" si="20">SUM(AB63:AB75)</f>
        <v>306.44000000000005</v>
      </c>
      <c r="AC76" s="60">
        <f t="shared" si="20"/>
        <v>250.44000000000003</v>
      </c>
      <c r="AD76" s="60">
        <f t="shared" ref="AD76:AE76" si="21">SUM(AD63:AD75)</f>
        <v>251.44000000000003</v>
      </c>
      <c r="AE76" s="60">
        <f t="shared" si="21"/>
        <v>251.44000000000003</v>
      </c>
      <c r="AF76" s="60">
        <f t="shared" ref="AF76" si="22">SUM(AF63:AF75)</f>
        <v>203.44000000000003</v>
      </c>
      <c r="AG76" s="61">
        <f t="shared" si="18"/>
        <v>489.91</v>
      </c>
      <c r="AH76" s="47">
        <f t="shared" si="2"/>
        <v>371.40000000000003</v>
      </c>
      <c r="AI76" s="48">
        <f t="shared" si="3"/>
        <v>80.84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>
        <v>4.7</v>
      </c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4.7</v>
      </c>
      <c r="AI78" s="48">
        <f t="shared" si="3"/>
        <v>4.7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>
        <v>1.6</v>
      </c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1.6</v>
      </c>
      <c r="AI79" s="48">
        <f t="shared" si="3"/>
        <v>1.6</v>
      </c>
      <c r="AK79" s="50"/>
    </row>
    <row r="80" spans="1:41" ht="15.75" thickBot="1" x14ac:dyDescent="0.3">
      <c r="A80" s="74" t="s">
        <v>80</v>
      </c>
      <c r="B80" s="60">
        <f t="shared" ref="B80:C80" si="23">B77+B78+B79</f>
        <v>0</v>
      </c>
      <c r="C80" s="60">
        <f t="shared" si="23"/>
        <v>0</v>
      </c>
      <c r="D80" s="60">
        <f t="shared" ref="D80" si="24">D77+D78+D79</f>
        <v>0</v>
      </c>
      <c r="E80" s="60">
        <f t="shared" ref="E80:AA80" si="25">E77+E78+E79</f>
        <v>0</v>
      </c>
      <c r="F80" s="60">
        <f t="shared" si="25"/>
        <v>0</v>
      </c>
      <c r="G80" s="60">
        <f t="shared" si="25"/>
        <v>0</v>
      </c>
      <c r="H80" s="60">
        <f t="shared" si="25"/>
        <v>0</v>
      </c>
      <c r="I80" s="60">
        <f t="shared" si="25"/>
        <v>0</v>
      </c>
      <c r="J80" s="60">
        <f t="shared" si="25"/>
        <v>0</v>
      </c>
      <c r="K80" s="60">
        <f t="shared" si="25"/>
        <v>0</v>
      </c>
      <c r="L80" s="60">
        <f t="shared" si="25"/>
        <v>0</v>
      </c>
      <c r="M80" s="60">
        <f t="shared" si="25"/>
        <v>0</v>
      </c>
      <c r="N80" s="60">
        <f t="shared" si="25"/>
        <v>0</v>
      </c>
      <c r="O80" s="60">
        <f t="shared" si="25"/>
        <v>0</v>
      </c>
      <c r="P80" s="60">
        <f t="shared" si="25"/>
        <v>0</v>
      </c>
      <c r="Q80" s="60">
        <f t="shared" si="25"/>
        <v>0</v>
      </c>
      <c r="R80" s="60">
        <f t="shared" si="25"/>
        <v>0</v>
      </c>
      <c r="S80" s="60">
        <f t="shared" si="25"/>
        <v>0</v>
      </c>
      <c r="T80" s="60">
        <f t="shared" si="25"/>
        <v>0</v>
      </c>
      <c r="U80" s="60">
        <f t="shared" si="25"/>
        <v>0</v>
      </c>
      <c r="V80" s="60">
        <f t="shared" si="25"/>
        <v>0</v>
      </c>
      <c r="W80" s="60">
        <f t="shared" si="25"/>
        <v>0</v>
      </c>
      <c r="X80" s="60">
        <f t="shared" si="25"/>
        <v>0</v>
      </c>
      <c r="Y80" s="60">
        <f>Y77+Y78+Y79</f>
        <v>6.3000000000000007</v>
      </c>
      <c r="Z80" s="60">
        <f>Z77+Z78+Z79</f>
        <v>0</v>
      </c>
      <c r="AA80" s="60">
        <f t="shared" si="25"/>
        <v>0</v>
      </c>
      <c r="AB80" s="60">
        <f t="shared" ref="AB80:AC80" si="26">AB77+AB78+AB79</f>
        <v>0</v>
      </c>
      <c r="AC80" s="60">
        <f t="shared" si="26"/>
        <v>0</v>
      </c>
      <c r="AD80" s="60">
        <f t="shared" ref="AD80:AE80" si="27">AD77+AD78+AD79</f>
        <v>0</v>
      </c>
      <c r="AE80" s="60">
        <f t="shared" si="27"/>
        <v>0</v>
      </c>
      <c r="AF80" s="60">
        <f t="shared" ref="AF80" si="28">AF77+AF78+AF79</f>
        <v>0</v>
      </c>
      <c r="AG80" s="61">
        <f>SUM(AG77:AG79)</f>
        <v>106</v>
      </c>
      <c r="AH80" s="47">
        <f t="shared" si="2"/>
        <v>6.3000000000000007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61.3</v>
      </c>
      <c r="C81" s="45">
        <v>58.9</v>
      </c>
      <c r="D81" s="45">
        <v>62.8</v>
      </c>
      <c r="E81" s="45">
        <v>60</v>
      </c>
      <c r="F81" s="45">
        <v>51.8</v>
      </c>
      <c r="G81" s="45">
        <v>69</v>
      </c>
      <c r="H81" s="45">
        <v>58</v>
      </c>
      <c r="I81" s="45">
        <v>70</v>
      </c>
      <c r="J81" s="45">
        <v>65</v>
      </c>
      <c r="K81" s="45">
        <v>57.6</v>
      </c>
      <c r="L81" s="45">
        <v>59.6</v>
      </c>
      <c r="M81" s="45">
        <v>60</v>
      </c>
      <c r="N81" s="45">
        <v>61</v>
      </c>
      <c r="O81" s="45">
        <v>71.099999999999994</v>
      </c>
      <c r="P81" s="45">
        <v>60.7</v>
      </c>
      <c r="Q81" s="45">
        <v>69.2</v>
      </c>
      <c r="R81" s="45">
        <v>63.3</v>
      </c>
      <c r="S81" s="45">
        <v>53.3</v>
      </c>
      <c r="T81" s="45">
        <v>66</v>
      </c>
      <c r="U81" s="45">
        <v>59.5</v>
      </c>
      <c r="V81" s="45">
        <v>61</v>
      </c>
      <c r="W81" s="45">
        <v>62.4</v>
      </c>
      <c r="X81" s="45">
        <v>62</v>
      </c>
      <c r="Y81" s="45">
        <v>66</v>
      </c>
      <c r="Z81" s="45">
        <v>60.5</v>
      </c>
      <c r="AA81" s="45">
        <v>57.7</v>
      </c>
      <c r="AB81" s="45">
        <v>58</v>
      </c>
      <c r="AC81" s="45">
        <v>64</v>
      </c>
      <c r="AD81" s="45">
        <v>62</v>
      </c>
      <c r="AE81" s="45">
        <v>72</v>
      </c>
      <c r="AF81" s="45">
        <v>70</v>
      </c>
      <c r="AG81" s="52"/>
      <c r="AH81" s="47">
        <f t="shared" si="2"/>
        <v>72</v>
      </c>
      <c r="AI81" s="48">
        <f t="shared" si="3"/>
        <v>51.8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386.2</v>
      </c>
      <c r="C83" s="65">
        <v>391.2</v>
      </c>
      <c r="D83" s="65">
        <v>378.5</v>
      </c>
      <c r="E83" s="65">
        <v>374.9</v>
      </c>
      <c r="F83" s="65">
        <v>397</v>
      </c>
      <c r="G83" s="65">
        <v>415</v>
      </c>
      <c r="H83" s="65">
        <v>439</v>
      </c>
      <c r="I83" s="65">
        <v>418</v>
      </c>
      <c r="J83" s="65">
        <v>310</v>
      </c>
      <c r="K83" s="65">
        <v>279</v>
      </c>
      <c r="L83" s="65">
        <v>190.5</v>
      </c>
      <c r="M83" s="65">
        <v>187</v>
      </c>
      <c r="N83" s="65">
        <v>259</v>
      </c>
      <c r="O83" s="65">
        <v>345.3</v>
      </c>
      <c r="P83" s="65">
        <v>406</v>
      </c>
      <c r="Q83" s="65">
        <v>394.2</v>
      </c>
      <c r="R83" s="65">
        <v>376</v>
      </c>
      <c r="S83" s="65">
        <v>422</v>
      </c>
      <c r="T83" s="65">
        <v>404</v>
      </c>
      <c r="U83" s="65">
        <v>409</v>
      </c>
      <c r="V83" s="65">
        <v>392</v>
      </c>
      <c r="W83" s="65">
        <v>440</v>
      </c>
      <c r="X83" s="65">
        <v>309</v>
      </c>
      <c r="Y83" s="65">
        <v>240</v>
      </c>
      <c r="Z83" s="65">
        <v>220</v>
      </c>
      <c r="AA83" s="65">
        <v>249</v>
      </c>
      <c r="AB83" s="65">
        <v>255</v>
      </c>
      <c r="AC83" s="65">
        <v>295</v>
      </c>
      <c r="AD83" s="65">
        <v>357</v>
      </c>
      <c r="AE83" s="65">
        <v>398</v>
      </c>
      <c r="AF83" s="65">
        <v>399</v>
      </c>
      <c r="AG83" s="75"/>
      <c r="AH83" s="47">
        <f t="shared" si="2"/>
        <v>440</v>
      </c>
      <c r="AI83" s="48">
        <f t="shared" si="3"/>
        <v>187</v>
      </c>
      <c r="AK83" s="50"/>
    </row>
    <row r="84" spans="1:40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2"/>
        <v>0</v>
      </c>
      <c r="AI84" s="48">
        <f t="shared" si="3"/>
        <v>0</v>
      </c>
      <c r="AK84" s="50"/>
    </row>
    <row r="85" spans="1:40" x14ac:dyDescent="0.25">
      <c r="A85" s="54" t="s">
        <v>85</v>
      </c>
      <c r="B85" s="45">
        <v>125</v>
      </c>
      <c r="C85" s="45">
        <v>112</v>
      </c>
      <c r="D85" s="45">
        <v>110</v>
      </c>
      <c r="E85" s="45">
        <v>106</v>
      </c>
      <c r="F85" s="45">
        <v>124</v>
      </c>
      <c r="G85" s="45">
        <v>115</v>
      </c>
      <c r="H85" s="45">
        <v>105</v>
      </c>
      <c r="I85" s="45">
        <v>98</v>
      </c>
      <c r="J85" s="45">
        <v>102</v>
      </c>
      <c r="K85" s="45">
        <v>60</v>
      </c>
      <c r="L85" s="45">
        <v>36.4</v>
      </c>
      <c r="M85" s="45">
        <v>32</v>
      </c>
      <c r="N85" s="45">
        <v>0</v>
      </c>
      <c r="O85" s="45">
        <v>46</v>
      </c>
      <c r="P85" s="45">
        <v>85</v>
      </c>
      <c r="Q85" s="45">
        <v>104</v>
      </c>
      <c r="R85" s="45">
        <v>111</v>
      </c>
      <c r="S85" s="45">
        <v>105</v>
      </c>
      <c r="T85" s="45">
        <v>102.6</v>
      </c>
      <c r="U85" s="45">
        <v>84</v>
      </c>
      <c r="V85" s="45">
        <v>52.6</v>
      </c>
      <c r="W85" s="45">
        <v>30.2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75"/>
      <c r="AH85" s="47">
        <f t="shared" ref="AH85:AH130" si="29">MAX(B85:AF85)</f>
        <v>125</v>
      </c>
      <c r="AI85" s="48">
        <f t="shared" ref="AI85:AI130" si="30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29"/>
        <v>0</v>
      </c>
      <c r="AI86" s="48">
        <f t="shared" si="30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29"/>
        <v>0</v>
      </c>
      <c r="AI87" s="48">
        <f t="shared" si="3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29"/>
        <v>0</v>
      </c>
      <c r="AI88" s="48">
        <f t="shared" si="3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29"/>
        <v>0</v>
      </c>
      <c r="AI89" s="48">
        <f t="shared" si="3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29"/>
        <v>0</v>
      </c>
      <c r="AI90" s="48">
        <f t="shared" si="3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0</v>
      </c>
      <c r="C91" s="77">
        <v>0</v>
      </c>
      <c r="D91" s="77">
        <v>0</v>
      </c>
      <c r="E91" s="77"/>
      <c r="F91" s="77"/>
      <c r="G91" s="77"/>
      <c r="H91" s="77"/>
      <c r="I91" s="77"/>
      <c r="J91" s="77">
        <v>78</v>
      </c>
      <c r="K91" s="77">
        <v>79.2</v>
      </c>
      <c r="L91" s="77">
        <v>72.3</v>
      </c>
      <c r="M91" s="77">
        <v>70.900000000000006</v>
      </c>
      <c r="N91" s="77">
        <v>68.5</v>
      </c>
      <c r="O91" s="77">
        <v>75.8</v>
      </c>
      <c r="P91" s="77">
        <v>76.5</v>
      </c>
      <c r="Q91" s="77">
        <v>78</v>
      </c>
      <c r="R91" s="77">
        <v>66.7</v>
      </c>
      <c r="S91" s="77">
        <v>64.099999999999994</v>
      </c>
      <c r="T91" s="77">
        <v>70</v>
      </c>
      <c r="U91" s="77">
        <v>70</v>
      </c>
      <c r="V91" s="77">
        <v>43.5</v>
      </c>
      <c r="W91" s="77">
        <v>42.1</v>
      </c>
      <c r="X91" s="77">
        <v>51</v>
      </c>
      <c r="Y91" s="77">
        <v>66</v>
      </c>
      <c r="Z91" s="77">
        <v>64</v>
      </c>
      <c r="AA91" s="77">
        <v>64.400000000000006</v>
      </c>
      <c r="AB91" s="77">
        <v>61</v>
      </c>
      <c r="AC91" s="77">
        <v>62</v>
      </c>
      <c r="AD91" s="77">
        <v>65</v>
      </c>
      <c r="AE91" s="77">
        <v>71</v>
      </c>
      <c r="AF91" s="77">
        <v>70</v>
      </c>
      <c r="AG91" s="85"/>
      <c r="AH91" s="47">
        <f t="shared" si="29"/>
        <v>79.2</v>
      </c>
      <c r="AI91" s="48">
        <f t="shared" si="30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31">SUMIF(B81:B91,"&gt;0")</f>
        <v>572.5</v>
      </c>
      <c r="C92" s="60">
        <f t="shared" si="31"/>
        <v>562.09999999999991</v>
      </c>
      <c r="D92" s="60">
        <f t="shared" ref="D92" si="32">SUMIF(D81:D91,"&gt;0")</f>
        <v>551.29999999999995</v>
      </c>
      <c r="E92" s="60">
        <f t="shared" ref="E92:AA92" si="33">SUMIF(E81:E91,"&gt;0")</f>
        <v>540.9</v>
      </c>
      <c r="F92" s="60">
        <f t="shared" si="33"/>
        <v>572.79999999999995</v>
      </c>
      <c r="G92" s="60">
        <f t="shared" si="33"/>
        <v>599</v>
      </c>
      <c r="H92" s="60">
        <f t="shared" si="33"/>
        <v>602</v>
      </c>
      <c r="I92" s="60">
        <f t="shared" si="33"/>
        <v>586</v>
      </c>
      <c r="J92" s="60">
        <f t="shared" si="33"/>
        <v>555</v>
      </c>
      <c r="K92" s="60">
        <f t="shared" si="33"/>
        <v>475.8</v>
      </c>
      <c r="L92" s="60">
        <f t="shared" si="33"/>
        <v>358.8</v>
      </c>
      <c r="M92" s="60">
        <f t="shared" si="33"/>
        <v>349.9</v>
      </c>
      <c r="N92" s="60">
        <f t="shared" si="33"/>
        <v>388.5</v>
      </c>
      <c r="O92" s="60">
        <f t="shared" si="33"/>
        <v>538.19999999999993</v>
      </c>
      <c r="P92" s="60">
        <f t="shared" si="33"/>
        <v>628.20000000000005</v>
      </c>
      <c r="Q92" s="60">
        <f t="shared" si="33"/>
        <v>645.4</v>
      </c>
      <c r="R92" s="60">
        <f t="shared" si="33"/>
        <v>617</v>
      </c>
      <c r="S92" s="60">
        <f t="shared" si="33"/>
        <v>644.4</v>
      </c>
      <c r="T92" s="60">
        <f t="shared" si="33"/>
        <v>642.6</v>
      </c>
      <c r="U92" s="60">
        <f t="shared" si="33"/>
        <v>622.5</v>
      </c>
      <c r="V92" s="60">
        <f t="shared" si="33"/>
        <v>549.1</v>
      </c>
      <c r="W92" s="60">
        <f t="shared" si="33"/>
        <v>574.70000000000005</v>
      </c>
      <c r="X92" s="60">
        <f t="shared" si="33"/>
        <v>422</v>
      </c>
      <c r="Y92" s="60">
        <f>SUMIF(Y81:Y91,"&gt;0")</f>
        <v>372</v>
      </c>
      <c r="Z92" s="60">
        <f>SUMIF(Z81:Z91,"&gt;0")</f>
        <v>344.5</v>
      </c>
      <c r="AA92" s="60">
        <f t="shared" si="33"/>
        <v>371.1</v>
      </c>
      <c r="AB92" s="60">
        <f t="shared" ref="AB92:AC92" si="34">SUMIF(AB81:AB91,"&gt;0")</f>
        <v>374</v>
      </c>
      <c r="AC92" s="60">
        <f t="shared" si="34"/>
        <v>421</v>
      </c>
      <c r="AD92" s="60">
        <f t="shared" ref="AD92:AE92" si="35">SUMIF(AD81:AD91,"&gt;0")</f>
        <v>484</v>
      </c>
      <c r="AE92" s="60">
        <f t="shared" si="35"/>
        <v>541</v>
      </c>
      <c r="AF92" s="60">
        <f t="shared" ref="AF92" si="36">SUMIF(AF81:AF91,"&gt;0")</f>
        <v>539</v>
      </c>
      <c r="AG92" s="88">
        <f>SUM(AG81:AG91)</f>
        <v>0</v>
      </c>
      <c r="AH92" s="47">
        <f t="shared" si="29"/>
        <v>645.4</v>
      </c>
      <c r="AI92" s="48">
        <f t="shared" si="30"/>
        <v>344.5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29"/>
        <v>0</v>
      </c>
      <c r="AI93" s="48">
        <f t="shared" si="30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29"/>
        <v>0</v>
      </c>
      <c r="AI94" s="48">
        <f t="shared" si="30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29"/>
        <v>0</v>
      </c>
      <c r="AI95" s="48">
        <f t="shared" si="30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29"/>
        <v>0</v>
      </c>
      <c r="AI96" s="48">
        <f t="shared" si="30"/>
        <v>0</v>
      </c>
    </row>
    <row r="97" spans="1:37" ht="15.75" thickBot="1" x14ac:dyDescent="0.3">
      <c r="A97" s="74" t="s">
        <v>99</v>
      </c>
      <c r="B97" s="95">
        <f t="shared" ref="B97:C97" si="37">B58+B62+B80+B76+B92+B96</f>
        <v>1183.0899999999999</v>
      </c>
      <c r="C97" s="95">
        <f t="shared" si="37"/>
        <v>1172.69</v>
      </c>
      <c r="D97" s="95">
        <f t="shared" ref="D97" si="38">D58+D62+D80+D76+D92+D96</f>
        <v>1160.19</v>
      </c>
      <c r="E97" s="95">
        <f t="shared" ref="E97:AG97" si="39">E58+E62+E80+E76+E92+E96</f>
        <v>1147.99</v>
      </c>
      <c r="F97" s="95">
        <f t="shared" si="39"/>
        <v>1179.49</v>
      </c>
      <c r="G97" s="95">
        <f t="shared" si="39"/>
        <v>1269.29</v>
      </c>
      <c r="H97" s="95">
        <f t="shared" si="39"/>
        <v>1295.52</v>
      </c>
      <c r="I97" s="95">
        <f t="shared" si="39"/>
        <v>1385.89</v>
      </c>
      <c r="J97" s="95">
        <f t="shared" si="39"/>
        <v>1508.49</v>
      </c>
      <c r="K97" s="95">
        <f t="shared" si="39"/>
        <v>1428.29</v>
      </c>
      <c r="L97" s="95">
        <f t="shared" si="39"/>
        <v>1339.99</v>
      </c>
      <c r="M97" s="95">
        <f t="shared" si="39"/>
        <v>1355.5900000000001</v>
      </c>
      <c r="N97" s="95">
        <f t="shared" si="39"/>
        <v>1265.8900000000001</v>
      </c>
      <c r="O97" s="95">
        <f t="shared" si="39"/>
        <v>1344.19</v>
      </c>
      <c r="P97" s="95">
        <f t="shared" si="39"/>
        <v>1485.0900000000001</v>
      </c>
      <c r="Q97" s="95">
        <f t="shared" si="39"/>
        <v>1510.19</v>
      </c>
      <c r="R97" s="95">
        <f t="shared" si="39"/>
        <v>1442.79</v>
      </c>
      <c r="S97" s="95">
        <f t="shared" si="39"/>
        <v>1455.19</v>
      </c>
      <c r="T97" s="95">
        <f t="shared" si="39"/>
        <v>1489.5900000000001</v>
      </c>
      <c r="U97" s="95">
        <f t="shared" si="39"/>
        <v>1459.79</v>
      </c>
      <c r="V97" s="95">
        <f t="shared" si="39"/>
        <v>1356.29</v>
      </c>
      <c r="W97" s="95">
        <f t="shared" si="39"/>
        <v>1309.79</v>
      </c>
      <c r="X97" s="95">
        <f t="shared" si="39"/>
        <v>1406.5900000000001</v>
      </c>
      <c r="Y97" s="95">
        <f>Y58+Y62+Y80+Y76+Y92+Y96</f>
        <v>1542.65</v>
      </c>
      <c r="Z97" s="95">
        <f>Z58+Z62+Z80+Z76+Z92+Z96</f>
        <v>1501.25</v>
      </c>
      <c r="AA97" s="95">
        <f t="shared" si="39"/>
        <v>1525.8899999999999</v>
      </c>
      <c r="AB97" s="95">
        <f t="shared" ref="AB97:AC97" si="40">AB58+AB62+AB80+AB76+AB92+AB96</f>
        <v>1353.79</v>
      </c>
      <c r="AC97" s="95">
        <f t="shared" si="40"/>
        <v>1294.79</v>
      </c>
      <c r="AD97" s="95">
        <f t="shared" ref="AD97:AE97" si="41">AD58+AD62+AD80+AD76+AD92+AD96</f>
        <v>1288.79</v>
      </c>
      <c r="AE97" s="95">
        <f t="shared" si="41"/>
        <v>1315.79</v>
      </c>
      <c r="AF97" s="95">
        <f t="shared" ref="AF97" si="42">AF58+AF62+AF80+AF76+AF92+AF96</f>
        <v>1265.79</v>
      </c>
      <c r="AG97" s="61">
        <f t="shared" si="39"/>
        <v>2231.81</v>
      </c>
      <c r="AH97" s="47">
        <f t="shared" si="29"/>
        <v>1542.65</v>
      </c>
      <c r="AI97" s="48">
        <f t="shared" si="30"/>
        <v>1147.99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250</v>
      </c>
      <c r="L98" s="97">
        <v>280</v>
      </c>
      <c r="M98" s="97">
        <v>280</v>
      </c>
      <c r="N98" s="97">
        <v>250</v>
      </c>
      <c r="O98" s="97">
        <v>150</v>
      </c>
      <c r="P98" s="97">
        <v>100</v>
      </c>
      <c r="Q98" s="97"/>
      <c r="R98" s="97"/>
      <c r="S98" s="97"/>
      <c r="T98" s="97"/>
      <c r="U98" s="97"/>
      <c r="V98" s="97">
        <v>250</v>
      </c>
      <c r="W98" s="97">
        <v>250</v>
      </c>
      <c r="X98" s="97">
        <v>280</v>
      </c>
      <c r="Y98" s="97">
        <v>280</v>
      </c>
      <c r="Z98" s="97">
        <v>280</v>
      </c>
      <c r="AA98" s="97">
        <v>250</v>
      </c>
      <c r="AB98" s="97">
        <v>250</v>
      </c>
      <c r="AC98" s="97">
        <v>200</v>
      </c>
      <c r="AD98" s="97">
        <v>0</v>
      </c>
      <c r="AE98" s="97">
        <v>0</v>
      </c>
      <c r="AF98" s="97">
        <v>0</v>
      </c>
      <c r="AG98" s="88"/>
      <c r="AH98" s="47">
        <f t="shared" si="29"/>
        <v>280</v>
      </c>
      <c r="AI98" s="48">
        <f t="shared" si="30"/>
        <v>0</v>
      </c>
    </row>
    <row r="99" spans="1:37" ht="15.75" thickBot="1" x14ac:dyDescent="0.3">
      <c r="A99" s="74" t="s">
        <v>101</v>
      </c>
      <c r="B99" s="95">
        <f t="shared" ref="B99:C99" si="43">B97+B98</f>
        <v>1183.0899999999999</v>
      </c>
      <c r="C99" s="95">
        <f t="shared" si="43"/>
        <v>1172.69</v>
      </c>
      <c r="D99" s="95">
        <f t="shared" ref="D99" si="44">D97+D98</f>
        <v>1160.19</v>
      </c>
      <c r="E99" s="95">
        <f t="shared" ref="E99:AA99" si="45">E97+E98</f>
        <v>1147.99</v>
      </c>
      <c r="F99" s="95">
        <f t="shared" si="45"/>
        <v>1179.49</v>
      </c>
      <c r="G99" s="95">
        <f t="shared" si="45"/>
        <v>1269.29</v>
      </c>
      <c r="H99" s="95">
        <f t="shared" si="45"/>
        <v>1295.52</v>
      </c>
      <c r="I99" s="95">
        <f t="shared" si="45"/>
        <v>1385.89</v>
      </c>
      <c r="J99" s="95">
        <f t="shared" si="45"/>
        <v>1508.49</v>
      </c>
      <c r="K99" s="95">
        <f t="shared" si="45"/>
        <v>1678.29</v>
      </c>
      <c r="L99" s="95">
        <f t="shared" si="45"/>
        <v>1619.99</v>
      </c>
      <c r="M99" s="95">
        <f t="shared" si="45"/>
        <v>1635.5900000000001</v>
      </c>
      <c r="N99" s="95">
        <f t="shared" si="45"/>
        <v>1515.89</v>
      </c>
      <c r="O99" s="95">
        <f t="shared" si="45"/>
        <v>1494.19</v>
      </c>
      <c r="P99" s="95">
        <f t="shared" si="45"/>
        <v>1585.0900000000001</v>
      </c>
      <c r="Q99" s="95">
        <f t="shared" si="45"/>
        <v>1510.19</v>
      </c>
      <c r="R99" s="95">
        <f t="shared" si="45"/>
        <v>1442.79</v>
      </c>
      <c r="S99" s="95">
        <f t="shared" si="45"/>
        <v>1455.19</v>
      </c>
      <c r="T99" s="95">
        <f t="shared" si="45"/>
        <v>1489.5900000000001</v>
      </c>
      <c r="U99" s="95">
        <f t="shared" si="45"/>
        <v>1459.79</v>
      </c>
      <c r="V99" s="95">
        <f t="shared" si="45"/>
        <v>1606.29</v>
      </c>
      <c r="W99" s="95">
        <f t="shared" si="45"/>
        <v>1559.79</v>
      </c>
      <c r="X99" s="95">
        <f t="shared" si="45"/>
        <v>1686.5900000000001</v>
      </c>
      <c r="Y99" s="95">
        <f>Y97+Y98</f>
        <v>1822.65</v>
      </c>
      <c r="Z99" s="95">
        <f>Z97+Z98</f>
        <v>1781.25</v>
      </c>
      <c r="AA99" s="95">
        <f t="shared" si="45"/>
        <v>1775.8899999999999</v>
      </c>
      <c r="AB99" s="95">
        <f t="shared" ref="AB99:AC99" si="46">AB97+AB98</f>
        <v>1603.79</v>
      </c>
      <c r="AC99" s="95">
        <f t="shared" si="46"/>
        <v>1494.79</v>
      </c>
      <c r="AD99" s="95">
        <f t="shared" ref="AD99:AE99" si="47">AD97+AD98</f>
        <v>1288.79</v>
      </c>
      <c r="AE99" s="95">
        <f t="shared" si="47"/>
        <v>1315.79</v>
      </c>
      <c r="AF99" s="95">
        <f t="shared" ref="AF99" si="48">AF97+AF98</f>
        <v>1265.79</v>
      </c>
      <c r="AG99" s="88">
        <f>AG96+AG92+AG80+AG76+AG58+AG98</f>
        <v>1693.71</v>
      </c>
      <c r="AH99" s="47">
        <f t="shared" si="29"/>
        <v>1822.65</v>
      </c>
      <c r="AI99" s="48">
        <f t="shared" si="30"/>
        <v>1147.99</v>
      </c>
    </row>
    <row r="100" spans="1:37" ht="15.75" thickBot="1" x14ac:dyDescent="0.3">
      <c r="A100" s="74" t="s">
        <v>102</v>
      </c>
      <c r="B100" s="95">
        <f t="shared" ref="B100:C100" si="49">B99-(B107)</f>
        <v>1183.0899999999999</v>
      </c>
      <c r="C100" s="95">
        <f t="shared" si="49"/>
        <v>1172.69</v>
      </c>
      <c r="D100" s="95">
        <f t="shared" ref="D100" si="50">D99-(D107)</f>
        <v>1160.19</v>
      </c>
      <c r="E100" s="95">
        <f t="shared" ref="E100:M100" si="51">E99-(E107)</f>
        <v>1147.99</v>
      </c>
      <c r="F100" s="95">
        <f t="shared" si="51"/>
        <v>1179.49</v>
      </c>
      <c r="G100" s="95">
        <f t="shared" si="51"/>
        <v>1269.29</v>
      </c>
      <c r="H100" s="95">
        <f t="shared" si="51"/>
        <v>1295.52</v>
      </c>
      <c r="I100" s="95">
        <f t="shared" si="51"/>
        <v>1385.89</v>
      </c>
      <c r="J100" s="95">
        <f t="shared" si="51"/>
        <v>1508.49</v>
      </c>
      <c r="K100" s="95">
        <f t="shared" si="51"/>
        <v>1678.29</v>
      </c>
      <c r="L100" s="95">
        <f t="shared" si="51"/>
        <v>1619.99</v>
      </c>
      <c r="M100" s="95">
        <f t="shared" si="51"/>
        <v>1635.5900000000001</v>
      </c>
      <c r="N100" s="95">
        <f>N99-(N107)</f>
        <v>1515.89</v>
      </c>
      <c r="O100" s="95">
        <f t="shared" ref="O100:AA100" si="52">O99-(O107)</f>
        <v>1494.19</v>
      </c>
      <c r="P100" s="95">
        <f t="shared" si="52"/>
        <v>1585.0900000000001</v>
      </c>
      <c r="Q100" s="95">
        <f t="shared" si="52"/>
        <v>1510.19</v>
      </c>
      <c r="R100" s="95">
        <f t="shared" si="52"/>
        <v>1442.79</v>
      </c>
      <c r="S100" s="95">
        <f t="shared" si="52"/>
        <v>1455.19</v>
      </c>
      <c r="T100" s="95">
        <f t="shared" si="52"/>
        <v>1489.5900000000001</v>
      </c>
      <c r="U100" s="95">
        <f t="shared" si="52"/>
        <v>1459.79</v>
      </c>
      <c r="V100" s="95">
        <f t="shared" si="52"/>
        <v>1606.29</v>
      </c>
      <c r="W100" s="95">
        <f t="shared" si="52"/>
        <v>1559.79</v>
      </c>
      <c r="X100" s="95">
        <f t="shared" si="52"/>
        <v>1686.5900000000001</v>
      </c>
      <c r="Y100" s="95">
        <f t="shared" si="52"/>
        <v>1822.65</v>
      </c>
      <c r="Z100" s="95">
        <f t="shared" si="52"/>
        <v>1781.25</v>
      </c>
      <c r="AA100" s="95">
        <f t="shared" si="52"/>
        <v>1775.8899999999999</v>
      </c>
      <c r="AB100" s="95">
        <f t="shared" ref="AB100:AC100" si="53">AB99-(AB107)</f>
        <v>1603.79</v>
      </c>
      <c r="AC100" s="95">
        <f t="shared" si="53"/>
        <v>1494.79</v>
      </c>
      <c r="AD100" s="95">
        <f t="shared" ref="AD100:AE100" si="54">AD99-(AD107)</f>
        <v>1288.79</v>
      </c>
      <c r="AE100" s="95">
        <f t="shared" si="54"/>
        <v>1315.79</v>
      </c>
      <c r="AF100" s="95">
        <f t="shared" ref="AF100" si="55">AF99-(AF107)</f>
        <v>1265.79</v>
      </c>
      <c r="AG100" s="88"/>
      <c r="AH100" s="47">
        <f t="shared" si="29"/>
        <v>1822.65</v>
      </c>
      <c r="AI100" s="48">
        <f t="shared" si="30"/>
        <v>1147.99</v>
      </c>
    </row>
    <row r="101" spans="1:37" x14ac:dyDescent="0.25">
      <c r="A101" s="44" t="s">
        <v>84</v>
      </c>
      <c r="B101" s="76">
        <f t="shared" ref="B101:C101" si="56">IF(B84&lt;0,B84*-1,0)</f>
        <v>0</v>
      </c>
      <c r="C101" s="76">
        <f t="shared" si="56"/>
        <v>0</v>
      </c>
      <c r="D101" s="76">
        <f t="shared" ref="D101" si="57">IF(D84&lt;0,D84*-1,0)</f>
        <v>0</v>
      </c>
      <c r="E101" s="76">
        <f t="shared" ref="E101:AA101" si="58">IF(E84&lt;0,E84*-1,0)</f>
        <v>0</v>
      </c>
      <c r="F101" s="76">
        <f t="shared" si="58"/>
        <v>0</v>
      </c>
      <c r="G101" s="76">
        <f t="shared" si="58"/>
        <v>0</v>
      </c>
      <c r="H101" s="76">
        <f t="shared" si="58"/>
        <v>0</v>
      </c>
      <c r="I101" s="76">
        <f t="shared" si="58"/>
        <v>0</v>
      </c>
      <c r="J101" s="76">
        <f t="shared" si="58"/>
        <v>0</v>
      </c>
      <c r="K101" s="76">
        <f t="shared" si="58"/>
        <v>0</v>
      </c>
      <c r="L101" s="76">
        <f t="shared" si="58"/>
        <v>0</v>
      </c>
      <c r="M101" s="76">
        <f t="shared" si="58"/>
        <v>0</v>
      </c>
      <c r="N101" s="76">
        <f t="shared" si="58"/>
        <v>0</v>
      </c>
      <c r="O101" s="76">
        <f t="shared" si="58"/>
        <v>0</v>
      </c>
      <c r="P101" s="76">
        <f t="shared" si="58"/>
        <v>0</v>
      </c>
      <c r="Q101" s="76">
        <f t="shared" si="58"/>
        <v>0</v>
      </c>
      <c r="R101" s="76">
        <f t="shared" si="58"/>
        <v>0</v>
      </c>
      <c r="S101" s="76">
        <f t="shared" si="58"/>
        <v>0</v>
      </c>
      <c r="T101" s="76">
        <f t="shared" si="58"/>
        <v>0</v>
      </c>
      <c r="U101" s="76">
        <f t="shared" si="58"/>
        <v>0</v>
      </c>
      <c r="V101" s="76">
        <f t="shared" si="58"/>
        <v>0</v>
      </c>
      <c r="W101" s="76">
        <f t="shared" si="58"/>
        <v>0</v>
      </c>
      <c r="X101" s="76">
        <f t="shared" si="58"/>
        <v>0</v>
      </c>
      <c r="Y101" s="76">
        <f t="shared" si="58"/>
        <v>0</v>
      </c>
      <c r="Z101" s="76">
        <f t="shared" si="58"/>
        <v>0</v>
      </c>
      <c r="AA101" s="76">
        <f t="shared" si="58"/>
        <v>0</v>
      </c>
      <c r="AB101" s="76">
        <f t="shared" ref="AB101:AC101" si="59">IF(AB84&lt;0,AB84*-1,0)</f>
        <v>0</v>
      </c>
      <c r="AC101" s="76">
        <f t="shared" si="59"/>
        <v>0</v>
      </c>
      <c r="AD101" s="76">
        <f t="shared" ref="AD101:AE101" si="60">IF(AD84&lt;0,AD84*-1,0)</f>
        <v>0</v>
      </c>
      <c r="AE101" s="76">
        <f t="shared" si="60"/>
        <v>0</v>
      </c>
      <c r="AF101" s="76">
        <f t="shared" ref="AF101" si="61">IF(AF84&lt;0,AF84*-1,0)</f>
        <v>0</v>
      </c>
      <c r="AG101" s="52"/>
      <c r="AH101" s="47">
        <f t="shared" si="29"/>
        <v>0</v>
      </c>
      <c r="AI101" s="48">
        <f t="shared" si="30"/>
        <v>0</v>
      </c>
    </row>
    <row r="102" spans="1:37" x14ac:dyDescent="0.25">
      <c r="A102" s="54" t="s">
        <v>82</v>
      </c>
      <c r="B102" s="76">
        <f t="shared" ref="B102:C102" si="62">IF(B82&lt;0,B82*-1,0)</f>
        <v>0</v>
      </c>
      <c r="C102" s="76">
        <f t="shared" si="62"/>
        <v>0</v>
      </c>
      <c r="D102" s="76">
        <f t="shared" ref="D102" si="63">IF(D82&lt;0,D82*-1,0)</f>
        <v>0</v>
      </c>
      <c r="E102" s="76">
        <f t="shared" ref="E102:AA102" si="64">IF(E82&lt;0,E82*-1,0)</f>
        <v>0</v>
      </c>
      <c r="F102" s="76">
        <f t="shared" si="64"/>
        <v>0</v>
      </c>
      <c r="G102" s="76">
        <f t="shared" si="64"/>
        <v>0</v>
      </c>
      <c r="H102" s="76">
        <f t="shared" si="64"/>
        <v>0</v>
      </c>
      <c r="I102" s="76">
        <f t="shared" si="64"/>
        <v>0</v>
      </c>
      <c r="J102" s="76">
        <f t="shared" si="64"/>
        <v>0</v>
      </c>
      <c r="K102" s="76">
        <f t="shared" si="64"/>
        <v>0</v>
      </c>
      <c r="L102" s="76">
        <f t="shared" si="64"/>
        <v>0</v>
      </c>
      <c r="M102" s="76">
        <f t="shared" si="64"/>
        <v>0</v>
      </c>
      <c r="N102" s="76">
        <f t="shared" si="64"/>
        <v>0</v>
      </c>
      <c r="O102" s="76">
        <f t="shared" si="64"/>
        <v>0</v>
      </c>
      <c r="P102" s="76">
        <f t="shared" si="64"/>
        <v>0</v>
      </c>
      <c r="Q102" s="76">
        <f t="shared" si="64"/>
        <v>0</v>
      </c>
      <c r="R102" s="76">
        <f t="shared" si="64"/>
        <v>0</v>
      </c>
      <c r="S102" s="76">
        <f t="shared" si="64"/>
        <v>0</v>
      </c>
      <c r="T102" s="76">
        <f t="shared" si="64"/>
        <v>0</v>
      </c>
      <c r="U102" s="76">
        <f t="shared" si="64"/>
        <v>0</v>
      </c>
      <c r="V102" s="76">
        <f t="shared" si="64"/>
        <v>0</v>
      </c>
      <c r="W102" s="76">
        <f t="shared" si="64"/>
        <v>0</v>
      </c>
      <c r="X102" s="76">
        <f t="shared" si="64"/>
        <v>0</v>
      </c>
      <c r="Y102" s="76">
        <f t="shared" si="64"/>
        <v>0</v>
      </c>
      <c r="Z102" s="76">
        <f t="shared" si="64"/>
        <v>0</v>
      </c>
      <c r="AA102" s="76">
        <f t="shared" si="64"/>
        <v>0</v>
      </c>
      <c r="AB102" s="76">
        <f t="shared" ref="AB102:AC102" si="65">IF(AB82&lt;0,AB82*-1,0)</f>
        <v>0</v>
      </c>
      <c r="AC102" s="76">
        <f t="shared" si="65"/>
        <v>0</v>
      </c>
      <c r="AD102" s="76">
        <f t="shared" ref="AD102:AE102" si="66">IF(AD82&lt;0,AD82*-1,0)</f>
        <v>0</v>
      </c>
      <c r="AE102" s="76">
        <f t="shared" si="66"/>
        <v>0</v>
      </c>
      <c r="AF102" s="76">
        <f t="shared" ref="AF102" si="67">IF(AF82&lt;0,AF82*-1,0)</f>
        <v>0</v>
      </c>
      <c r="AG102" s="55"/>
      <c r="AH102" s="47">
        <f t="shared" si="29"/>
        <v>0</v>
      </c>
      <c r="AI102" s="48">
        <f t="shared" si="30"/>
        <v>0</v>
      </c>
    </row>
    <row r="103" spans="1:37" x14ac:dyDescent="0.25">
      <c r="A103" s="84" t="s">
        <v>103</v>
      </c>
      <c r="B103" s="76">
        <f t="shared" ref="B103:C103" si="68">IF(B85&lt;0,B85*-1,0)</f>
        <v>0</v>
      </c>
      <c r="C103" s="76">
        <f t="shared" si="68"/>
        <v>0</v>
      </c>
      <c r="D103" s="76">
        <f t="shared" ref="D103" si="69">IF(D85&lt;0,D85*-1,0)</f>
        <v>0</v>
      </c>
      <c r="E103" s="76">
        <f t="shared" ref="E103:AA103" si="70">IF(E85&lt;0,E85*-1,0)</f>
        <v>0</v>
      </c>
      <c r="F103" s="76">
        <f t="shared" si="70"/>
        <v>0</v>
      </c>
      <c r="G103" s="76">
        <f t="shared" si="70"/>
        <v>0</v>
      </c>
      <c r="H103" s="76">
        <f t="shared" si="70"/>
        <v>0</v>
      </c>
      <c r="I103" s="76">
        <f t="shared" si="70"/>
        <v>0</v>
      </c>
      <c r="J103" s="76">
        <f t="shared" si="70"/>
        <v>0</v>
      </c>
      <c r="K103" s="76">
        <f t="shared" si="70"/>
        <v>0</v>
      </c>
      <c r="L103" s="76">
        <f t="shared" si="70"/>
        <v>0</v>
      </c>
      <c r="M103" s="76">
        <f t="shared" si="70"/>
        <v>0</v>
      </c>
      <c r="N103" s="76">
        <f t="shared" si="70"/>
        <v>0</v>
      </c>
      <c r="O103" s="76">
        <f t="shared" si="70"/>
        <v>0</v>
      </c>
      <c r="P103" s="76">
        <f t="shared" si="70"/>
        <v>0</v>
      </c>
      <c r="Q103" s="76">
        <f t="shared" si="70"/>
        <v>0</v>
      </c>
      <c r="R103" s="76">
        <f t="shared" si="70"/>
        <v>0</v>
      </c>
      <c r="S103" s="76">
        <f t="shared" si="70"/>
        <v>0</v>
      </c>
      <c r="T103" s="76">
        <f t="shared" si="70"/>
        <v>0</v>
      </c>
      <c r="U103" s="76">
        <f t="shared" si="70"/>
        <v>0</v>
      </c>
      <c r="V103" s="76">
        <f t="shared" si="70"/>
        <v>0</v>
      </c>
      <c r="W103" s="76">
        <f t="shared" si="70"/>
        <v>0</v>
      </c>
      <c r="X103" s="76">
        <f t="shared" si="70"/>
        <v>0</v>
      </c>
      <c r="Y103" s="76">
        <f t="shared" si="70"/>
        <v>0</v>
      </c>
      <c r="Z103" s="76">
        <f t="shared" si="70"/>
        <v>0</v>
      </c>
      <c r="AA103" s="76">
        <f t="shared" si="70"/>
        <v>0</v>
      </c>
      <c r="AB103" s="76">
        <f t="shared" ref="AB103:AC103" si="71">IF(AB85&lt;0,AB85*-1,0)</f>
        <v>0</v>
      </c>
      <c r="AC103" s="76">
        <f t="shared" si="71"/>
        <v>0</v>
      </c>
      <c r="AD103" s="76">
        <f t="shared" ref="AD103:AE103" si="72">IF(AD85&lt;0,AD85*-1,0)</f>
        <v>0</v>
      </c>
      <c r="AE103" s="76">
        <f t="shared" si="72"/>
        <v>0</v>
      </c>
      <c r="AF103" s="76">
        <f t="shared" ref="AF103" si="73">IF(AF85&lt;0,AF85*-1,0)</f>
        <v>0</v>
      </c>
      <c r="AG103" s="98"/>
      <c r="AH103" s="47">
        <f t="shared" si="29"/>
        <v>0</v>
      </c>
      <c r="AI103" s="48">
        <f t="shared" si="30"/>
        <v>0</v>
      </c>
    </row>
    <row r="104" spans="1:37" x14ac:dyDescent="0.25">
      <c r="A104" s="84" t="s">
        <v>104</v>
      </c>
      <c r="B104" s="76">
        <f t="shared" ref="B104:C104" si="74">IF(B83&lt;0,B83*-1,0)</f>
        <v>0</v>
      </c>
      <c r="C104" s="76">
        <f t="shared" si="74"/>
        <v>0</v>
      </c>
      <c r="D104" s="76">
        <f t="shared" ref="D104" si="75">IF(D83&lt;0,D83*-1,0)</f>
        <v>0</v>
      </c>
      <c r="E104" s="76">
        <f t="shared" ref="E104:AA104" si="76">IF(E83&lt;0,E83*-1,0)</f>
        <v>0</v>
      </c>
      <c r="F104" s="76">
        <f t="shared" si="76"/>
        <v>0</v>
      </c>
      <c r="G104" s="76">
        <f t="shared" si="76"/>
        <v>0</v>
      </c>
      <c r="H104" s="76">
        <f t="shared" si="76"/>
        <v>0</v>
      </c>
      <c r="I104" s="76">
        <f t="shared" si="76"/>
        <v>0</v>
      </c>
      <c r="J104" s="76">
        <f t="shared" si="76"/>
        <v>0</v>
      </c>
      <c r="K104" s="76">
        <f t="shared" si="76"/>
        <v>0</v>
      </c>
      <c r="L104" s="76">
        <f t="shared" si="76"/>
        <v>0</v>
      </c>
      <c r="M104" s="76">
        <f t="shared" si="76"/>
        <v>0</v>
      </c>
      <c r="N104" s="76">
        <f t="shared" si="76"/>
        <v>0</v>
      </c>
      <c r="O104" s="76">
        <f t="shared" si="76"/>
        <v>0</v>
      </c>
      <c r="P104" s="76">
        <f t="shared" si="76"/>
        <v>0</v>
      </c>
      <c r="Q104" s="76">
        <f t="shared" si="76"/>
        <v>0</v>
      </c>
      <c r="R104" s="76">
        <f t="shared" si="76"/>
        <v>0</v>
      </c>
      <c r="S104" s="76">
        <f t="shared" si="76"/>
        <v>0</v>
      </c>
      <c r="T104" s="76">
        <f t="shared" si="76"/>
        <v>0</v>
      </c>
      <c r="U104" s="76">
        <f t="shared" si="76"/>
        <v>0</v>
      </c>
      <c r="V104" s="76">
        <f t="shared" si="76"/>
        <v>0</v>
      </c>
      <c r="W104" s="76">
        <f t="shared" si="76"/>
        <v>0</v>
      </c>
      <c r="X104" s="76">
        <f t="shared" si="76"/>
        <v>0</v>
      </c>
      <c r="Y104" s="76">
        <f t="shared" si="76"/>
        <v>0</v>
      </c>
      <c r="Z104" s="76">
        <f t="shared" si="76"/>
        <v>0</v>
      </c>
      <c r="AA104" s="76">
        <f t="shared" si="76"/>
        <v>0</v>
      </c>
      <c r="AB104" s="76">
        <f t="shared" ref="AB104:AC104" si="77">IF(AB83&lt;0,AB83*-1,0)</f>
        <v>0</v>
      </c>
      <c r="AC104" s="76">
        <f t="shared" si="77"/>
        <v>0</v>
      </c>
      <c r="AD104" s="76">
        <f t="shared" ref="AD104:AE104" si="78">IF(AD83&lt;0,AD83*-1,0)</f>
        <v>0</v>
      </c>
      <c r="AE104" s="76">
        <f t="shared" si="78"/>
        <v>0</v>
      </c>
      <c r="AF104" s="76">
        <f t="shared" ref="AF104" si="79">IF(AF83&lt;0,AF83*-1,0)</f>
        <v>0</v>
      </c>
      <c r="AG104" s="98"/>
      <c r="AH104" s="47">
        <f t="shared" si="29"/>
        <v>0</v>
      </c>
      <c r="AI104" s="48">
        <f t="shared" si="30"/>
        <v>0</v>
      </c>
    </row>
    <row r="105" spans="1:37" x14ac:dyDescent="0.25">
      <c r="A105" s="84" t="s">
        <v>81</v>
      </c>
      <c r="B105" s="76">
        <f t="shared" ref="B105:C105" si="80">IF(B81&lt;0,B81*-1,0)</f>
        <v>0</v>
      </c>
      <c r="C105" s="76">
        <f t="shared" si="80"/>
        <v>0</v>
      </c>
      <c r="D105" s="76">
        <f t="shared" ref="D105" si="81">IF(D81&lt;0,D81*-1,0)</f>
        <v>0</v>
      </c>
      <c r="E105" s="76">
        <f t="shared" ref="E105:AA105" si="82">IF(E81&lt;0,E81*-1,0)</f>
        <v>0</v>
      </c>
      <c r="F105" s="76">
        <f t="shared" si="82"/>
        <v>0</v>
      </c>
      <c r="G105" s="76">
        <f t="shared" si="82"/>
        <v>0</v>
      </c>
      <c r="H105" s="76">
        <f t="shared" si="82"/>
        <v>0</v>
      </c>
      <c r="I105" s="76">
        <f t="shared" si="82"/>
        <v>0</v>
      </c>
      <c r="J105" s="76">
        <f t="shared" si="82"/>
        <v>0</v>
      </c>
      <c r="K105" s="76">
        <f t="shared" si="82"/>
        <v>0</v>
      </c>
      <c r="L105" s="76">
        <f t="shared" si="82"/>
        <v>0</v>
      </c>
      <c r="M105" s="76">
        <f t="shared" si="82"/>
        <v>0</v>
      </c>
      <c r="N105" s="76">
        <f t="shared" si="82"/>
        <v>0</v>
      </c>
      <c r="O105" s="76">
        <f t="shared" si="82"/>
        <v>0</v>
      </c>
      <c r="P105" s="76">
        <f t="shared" si="82"/>
        <v>0</v>
      </c>
      <c r="Q105" s="76">
        <f t="shared" si="82"/>
        <v>0</v>
      </c>
      <c r="R105" s="76">
        <f t="shared" si="82"/>
        <v>0</v>
      </c>
      <c r="S105" s="76">
        <f t="shared" si="82"/>
        <v>0</v>
      </c>
      <c r="T105" s="76">
        <f t="shared" si="82"/>
        <v>0</v>
      </c>
      <c r="U105" s="76">
        <f t="shared" si="82"/>
        <v>0</v>
      </c>
      <c r="V105" s="76">
        <f t="shared" si="82"/>
        <v>0</v>
      </c>
      <c r="W105" s="76">
        <f t="shared" si="82"/>
        <v>0</v>
      </c>
      <c r="X105" s="76">
        <f t="shared" si="82"/>
        <v>0</v>
      </c>
      <c r="Y105" s="76">
        <f t="shared" si="82"/>
        <v>0</v>
      </c>
      <c r="Z105" s="76">
        <f t="shared" si="82"/>
        <v>0</v>
      </c>
      <c r="AA105" s="76">
        <f t="shared" si="82"/>
        <v>0</v>
      </c>
      <c r="AB105" s="76">
        <f t="shared" ref="AB105:AC105" si="83">IF(AB81&lt;0,AB81*-1,0)</f>
        <v>0</v>
      </c>
      <c r="AC105" s="76">
        <f t="shared" si="83"/>
        <v>0</v>
      </c>
      <c r="AD105" s="76">
        <f t="shared" ref="AD105:AE105" si="84">IF(AD81&lt;0,AD81*-1,0)</f>
        <v>0</v>
      </c>
      <c r="AE105" s="76">
        <f t="shared" si="84"/>
        <v>0</v>
      </c>
      <c r="AF105" s="76">
        <f t="shared" ref="AF105" si="85">IF(AF81&lt;0,AF81*-1,0)</f>
        <v>0</v>
      </c>
      <c r="AG105" s="98"/>
      <c r="AH105" s="47">
        <f t="shared" si="29"/>
        <v>0</v>
      </c>
      <c r="AI105" s="48">
        <f t="shared" si="30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29"/>
        <v>0</v>
      </c>
      <c r="AI106" s="48">
        <f t="shared" si="30"/>
        <v>0</v>
      </c>
    </row>
    <row r="107" spans="1:37" ht="15.75" thickBot="1" x14ac:dyDescent="0.3">
      <c r="A107" s="99" t="s">
        <v>106</v>
      </c>
      <c r="B107" s="60">
        <f t="shared" ref="B107:C107" si="86">SUM(B101:B106)</f>
        <v>0</v>
      </c>
      <c r="C107" s="60">
        <f t="shared" si="86"/>
        <v>0</v>
      </c>
      <c r="D107" s="60">
        <f t="shared" ref="D107" si="87">SUM(D101:D106)</f>
        <v>0</v>
      </c>
      <c r="E107" s="60">
        <f t="shared" ref="E107:AA107" si="88">SUM(E101:E106)</f>
        <v>0</v>
      </c>
      <c r="F107" s="60">
        <f t="shared" si="88"/>
        <v>0</v>
      </c>
      <c r="G107" s="60">
        <f t="shared" si="88"/>
        <v>0</v>
      </c>
      <c r="H107" s="60">
        <f t="shared" si="88"/>
        <v>0</v>
      </c>
      <c r="I107" s="60">
        <f t="shared" si="88"/>
        <v>0</v>
      </c>
      <c r="J107" s="60">
        <f t="shared" si="88"/>
        <v>0</v>
      </c>
      <c r="K107" s="60">
        <f t="shared" si="88"/>
        <v>0</v>
      </c>
      <c r="L107" s="60">
        <f t="shared" si="88"/>
        <v>0</v>
      </c>
      <c r="M107" s="60">
        <f t="shared" si="88"/>
        <v>0</v>
      </c>
      <c r="N107" s="60">
        <f t="shared" si="88"/>
        <v>0</v>
      </c>
      <c r="O107" s="60">
        <f t="shared" si="88"/>
        <v>0</v>
      </c>
      <c r="P107" s="60">
        <f t="shared" si="88"/>
        <v>0</v>
      </c>
      <c r="Q107" s="60">
        <f t="shared" si="88"/>
        <v>0</v>
      </c>
      <c r="R107" s="60">
        <f t="shared" si="88"/>
        <v>0</v>
      </c>
      <c r="S107" s="60">
        <f t="shared" si="88"/>
        <v>0</v>
      </c>
      <c r="T107" s="60">
        <f t="shared" si="88"/>
        <v>0</v>
      </c>
      <c r="U107" s="60">
        <f t="shared" si="88"/>
        <v>0</v>
      </c>
      <c r="V107" s="60">
        <f t="shared" si="88"/>
        <v>0</v>
      </c>
      <c r="W107" s="60">
        <f t="shared" si="88"/>
        <v>0</v>
      </c>
      <c r="X107" s="60">
        <f t="shared" si="88"/>
        <v>0</v>
      </c>
      <c r="Y107" s="60">
        <f t="shared" si="88"/>
        <v>0</v>
      </c>
      <c r="Z107" s="60">
        <f t="shared" si="88"/>
        <v>0</v>
      </c>
      <c r="AA107" s="60">
        <f t="shared" si="88"/>
        <v>0</v>
      </c>
      <c r="AB107" s="60">
        <f t="shared" ref="AB107:AC107" si="89">SUM(AB101:AB106)</f>
        <v>0</v>
      </c>
      <c r="AC107" s="60">
        <f t="shared" si="89"/>
        <v>0</v>
      </c>
      <c r="AD107" s="60">
        <f t="shared" ref="AD107:AE107" si="90">SUM(AD101:AD106)</f>
        <v>0</v>
      </c>
      <c r="AE107" s="60">
        <f t="shared" si="90"/>
        <v>0</v>
      </c>
      <c r="AF107" s="60">
        <f t="shared" ref="AF107" si="91">SUM(AF101:AF106)</f>
        <v>0</v>
      </c>
      <c r="AG107" s="88"/>
      <c r="AH107" s="47">
        <f t="shared" si="29"/>
        <v>0</v>
      </c>
      <c r="AI107" s="48">
        <f t="shared" si="30"/>
        <v>0</v>
      </c>
      <c r="AK107" s="50"/>
    </row>
    <row r="108" spans="1:37" ht="15.75" thickBot="1" x14ac:dyDescent="0.3">
      <c r="A108" s="74" t="s">
        <v>107</v>
      </c>
      <c r="B108" s="60">
        <f t="shared" ref="B108:C108" si="92">B92-B107</f>
        <v>572.5</v>
      </c>
      <c r="C108" s="60">
        <f t="shared" si="92"/>
        <v>562.09999999999991</v>
      </c>
      <c r="D108" s="60">
        <f t="shared" ref="D108" si="93">D92-D107</f>
        <v>551.29999999999995</v>
      </c>
      <c r="E108" s="60">
        <f t="shared" ref="E108:AA108" si="94">E92-E107</f>
        <v>540.9</v>
      </c>
      <c r="F108" s="60">
        <f t="shared" si="94"/>
        <v>572.79999999999995</v>
      </c>
      <c r="G108" s="60">
        <f t="shared" si="94"/>
        <v>599</v>
      </c>
      <c r="H108" s="60">
        <f t="shared" si="94"/>
        <v>602</v>
      </c>
      <c r="I108" s="60">
        <f t="shared" si="94"/>
        <v>586</v>
      </c>
      <c r="J108" s="60">
        <f t="shared" si="94"/>
        <v>555</v>
      </c>
      <c r="K108" s="60">
        <f t="shared" si="94"/>
        <v>475.8</v>
      </c>
      <c r="L108" s="60">
        <f t="shared" si="94"/>
        <v>358.8</v>
      </c>
      <c r="M108" s="60">
        <f t="shared" si="94"/>
        <v>349.9</v>
      </c>
      <c r="N108" s="60">
        <f t="shared" si="94"/>
        <v>388.5</v>
      </c>
      <c r="O108" s="60">
        <f t="shared" si="94"/>
        <v>538.19999999999993</v>
      </c>
      <c r="P108" s="60">
        <f t="shared" si="94"/>
        <v>628.20000000000005</v>
      </c>
      <c r="Q108" s="60">
        <f t="shared" si="94"/>
        <v>645.4</v>
      </c>
      <c r="R108" s="60">
        <f t="shared" si="94"/>
        <v>617</v>
      </c>
      <c r="S108" s="60">
        <f t="shared" si="94"/>
        <v>644.4</v>
      </c>
      <c r="T108" s="60">
        <f t="shared" si="94"/>
        <v>642.6</v>
      </c>
      <c r="U108" s="60">
        <f t="shared" si="94"/>
        <v>622.5</v>
      </c>
      <c r="V108" s="60">
        <f t="shared" si="94"/>
        <v>549.1</v>
      </c>
      <c r="W108" s="60">
        <f t="shared" si="94"/>
        <v>574.70000000000005</v>
      </c>
      <c r="X108" s="60">
        <f t="shared" si="94"/>
        <v>422</v>
      </c>
      <c r="Y108" s="60">
        <f>Y92-Y107</f>
        <v>372</v>
      </c>
      <c r="Z108" s="60">
        <f>Z92-Z107</f>
        <v>344.5</v>
      </c>
      <c r="AA108" s="60">
        <f t="shared" si="94"/>
        <v>371.1</v>
      </c>
      <c r="AB108" s="60">
        <f t="shared" ref="AB108:AC108" si="95">AB92-AB107</f>
        <v>374</v>
      </c>
      <c r="AC108" s="60">
        <f t="shared" si="95"/>
        <v>421</v>
      </c>
      <c r="AD108" s="60">
        <f t="shared" ref="AD108:AE108" si="96">AD92-AD107</f>
        <v>484</v>
      </c>
      <c r="AE108" s="60">
        <f t="shared" si="96"/>
        <v>541</v>
      </c>
      <c r="AF108" s="60">
        <f t="shared" ref="AF108" si="97">AF92-AF107</f>
        <v>539</v>
      </c>
      <c r="AG108" s="88"/>
      <c r="AH108" s="47">
        <f t="shared" si="29"/>
        <v>645.4</v>
      </c>
      <c r="AI108" s="48">
        <f t="shared" si="30"/>
        <v>344.5</v>
      </c>
    </row>
    <row r="109" spans="1:37" x14ac:dyDescent="0.25">
      <c r="A109" s="100" t="s">
        <v>108</v>
      </c>
      <c r="B109" s="101">
        <v>49.97</v>
      </c>
      <c r="C109" s="101">
        <v>50</v>
      </c>
      <c r="D109" s="101">
        <v>49.97</v>
      </c>
      <c r="E109" s="101">
        <v>50.075000000000003</v>
      </c>
      <c r="F109" s="101">
        <v>49.985999999999997</v>
      </c>
      <c r="G109" s="101">
        <v>49.936</v>
      </c>
      <c r="H109" s="101">
        <v>49.97</v>
      </c>
      <c r="I109" s="101">
        <v>50.045999999999999</v>
      </c>
      <c r="J109" s="101">
        <v>49.965000000000003</v>
      </c>
      <c r="K109" s="101">
        <v>50.072000000000003</v>
      </c>
      <c r="L109" s="101">
        <v>49.813000000000002</v>
      </c>
      <c r="M109" s="101">
        <v>50.037999999999997</v>
      </c>
      <c r="N109" s="101">
        <v>49.985999999999997</v>
      </c>
      <c r="O109" s="101">
        <v>49.973999999999997</v>
      </c>
      <c r="P109" s="101">
        <v>49.959000000000003</v>
      </c>
      <c r="Q109" s="101">
        <v>49.854999999999997</v>
      </c>
      <c r="R109" s="101">
        <v>49.832000000000001</v>
      </c>
      <c r="S109" s="101">
        <v>50.026000000000003</v>
      </c>
      <c r="T109" s="101">
        <v>49.941000000000003</v>
      </c>
      <c r="U109" s="101">
        <v>49.914999999999999</v>
      </c>
      <c r="V109" s="101">
        <v>49.963999999999999</v>
      </c>
      <c r="W109" s="101">
        <v>50.027000000000001</v>
      </c>
      <c r="X109" s="101">
        <v>49.884999999999998</v>
      </c>
      <c r="Y109" s="101">
        <v>49.844999999999999</v>
      </c>
      <c r="Z109" s="101">
        <v>49.627000000000002</v>
      </c>
      <c r="AA109" s="101">
        <v>49.923000000000002</v>
      </c>
      <c r="AB109" s="101">
        <v>50.1</v>
      </c>
      <c r="AC109" s="101">
        <v>50.04</v>
      </c>
      <c r="AD109" s="101">
        <v>50.01</v>
      </c>
      <c r="AE109" s="101">
        <v>50.01</v>
      </c>
      <c r="AF109" s="101">
        <v>49.95</v>
      </c>
      <c r="AG109" s="102"/>
      <c r="AH109" s="47">
        <f t="shared" si="29"/>
        <v>50.1</v>
      </c>
      <c r="AI109" s="48">
        <f t="shared" si="30"/>
        <v>49.627000000000002</v>
      </c>
    </row>
    <row r="110" spans="1:37" x14ac:dyDescent="0.25">
      <c r="A110" s="103" t="s">
        <v>109</v>
      </c>
      <c r="B110" s="65">
        <v>129.69999999999999</v>
      </c>
      <c r="C110" s="65">
        <v>127.8</v>
      </c>
      <c r="D110" s="65">
        <v>129.4</v>
      </c>
      <c r="E110" s="65">
        <v>128.69999999999999</v>
      </c>
      <c r="F110" s="65">
        <v>127.7</v>
      </c>
      <c r="G110" s="65">
        <v>127.9</v>
      </c>
      <c r="H110" s="65">
        <v>127.3</v>
      </c>
      <c r="I110" s="65">
        <v>126.8</v>
      </c>
      <c r="J110" s="65">
        <v>127.5</v>
      </c>
      <c r="K110" s="65">
        <v>128.5</v>
      </c>
      <c r="L110" s="65">
        <v>126.5</v>
      </c>
      <c r="M110" s="65">
        <v>127</v>
      </c>
      <c r="N110" s="65">
        <v>126.3</v>
      </c>
      <c r="O110" s="65">
        <v>126.8</v>
      </c>
      <c r="P110" s="65">
        <v>123.6</v>
      </c>
      <c r="Q110" s="65">
        <v>124.6</v>
      </c>
      <c r="R110" s="65">
        <v>125.8</v>
      </c>
      <c r="S110" s="65">
        <v>124.2</v>
      </c>
      <c r="T110" s="65">
        <v>124.4</v>
      </c>
      <c r="U110" s="65">
        <v>124.1</v>
      </c>
      <c r="V110" s="65">
        <v>128.5</v>
      </c>
      <c r="W110" s="65">
        <v>126.8</v>
      </c>
      <c r="X110" s="65">
        <v>125.4</v>
      </c>
      <c r="Y110" s="65">
        <v>126.4</v>
      </c>
      <c r="Z110" s="65">
        <v>127.2</v>
      </c>
      <c r="AA110" s="65">
        <v>127.9</v>
      </c>
      <c r="AB110" s="65">
        <v>130</v>
      </c>
      <c r="AC110" s="65">
        <v>130</v>
      </c>
      <c r="AD110" s="65">
        <v>130</v>
      </c>
      <c r="AE110" s="65">
        <v>128</v>
      </c>
      <c r="AF110" s="65">
        <v>128</v>
      </c>
      <c r="AG110" s="104"/>
      <c r="AH110" s="47">
        <f t="shared" si="29"/>
        <v>130</v>
      </c>
      <c r="AI110" s="48">
        <f t="shared" si="30"/>
        <v>123.6</v>
      </c>
    </row>
    <row r="111" spans="1:37" x14ac:dyDescent="0.25">
      <c r="A111" s="103" t="s">
        <v>110</v>
      </c>
      <c r="B111" s="65">
        <v>133.1</v>
      </c>
      <c r="C111" s="65">
        <v>132.1</v>
      </c>
      <c r="D111" s="65">
        <v>132.69999999999999</v>
      </c>
      <c r="E111" s="65">
        <v>132.30000000000001</v>
      </c>
      <c r="F111" s="65">
        <v>131.69999999999999</v>
      </c>
      <c r="G111" s="65">
        <v>131.4</v>
      </c>
      <c r="H111" s="65">
        <v>130.80000000000001</v>
      </c>
      <c r="I111" s="65">
        <v>130.1</v>
      </c>
      <c r="J111" s="65">
        <v>129.9</v>
      </c>
      <c r="K111" s="65">
        <v>130</v>
      </c>
      <c r="L111" s="65">
        <v>127.7</v>
      </c>
      <c r="M111" s="65">
        <v>127.7</v>
      </c>
      <c r="N111" s="65">
        <v>128</v>
      </c>
      <c r="O111" s="65">
        <v>128.1</v>
      </c>
      <c r="P111" s="65">
        <v>125.7</v>
      </c>
      <c r="Q111" s="65">
        <v>126.6</v>
      </c>
      <c r="R111" s="65">
        <v>128.19999999999999</v>
      </c>
      <c r="S111" s="65">
        <v>126.6</v>
      </c>
      <c r="T111" s="65">
        <v>126.5</v>
      </c>
      <c r="U111" s="65">
        <v>126.4</v>
      </c>
      <c r="V111" s="65">
        <v>129.9</v>
      </c>
      <c r="W111" s="65">
        <v>128.5</v>
      </c>
      <c r="X111" s="65">
        <v>126.9</v>
      </c>
      <c r="Y111" s="65">
        <v>127.2</v>
      </c>
      <c r="Z111" s="65">
        <v>128</v>
      </c>
      <c r="AA111" s="65">
        <v>129</v>
      </c>
      <c r="AB111" s="65">
        <v>131</v>
      </c>
      <c r="AC111" s="65">
        <v>131.4</v>
      </c>
      <c r="AD111" s="65">
        <v>131.4</v>
      </c>
      <c r="AE111" s="65">
        <v>131</v>
      </c>
      <c r="AF111" s="65">
        <v>131</v>
      </c>
      <c r="AG111" s="104"/>
      <c r="AH111" s="47">
        <f t="shared" si="29"/>
        <v>133.1</v>
      </c>
      <c r="AI111" s="48">
        <f t="shared" si="30"/>
        <v>125.7</v>
      </c>
    </row>
    <row r="112" spans="1:37" x14ac:dyDescent="0.25">
      <c r="A112" s="103" t="s">
        <v>111</v>
      </c>
      <c r="B112" s="65">
        <v>131.30000000000001</v>
      </c>
      <c r="C112" s="65">
        <v>129.1</v>
      </c>
      <c r="D112" s="65">
        <v>131.5</v>
      </c>
      <c r="E112" s="65">
        <v>131.6</v>
      </c>
      <c r="F112" s="65">
        <v>130.19999999999999</v>
      </c>
      <c r="G112" s="65">
        <v>127.1</v>
      </c>
      <c r="H112" s="65">
        <v>128</v>
      </c>
      <c r="I112" s="65">
        <v>127.4</v>
      </c>
      <c r="J112" s="65">
        <v>125.9</v>
      </c>
      <c r="K112" s="65">
        <v>129.69999999999999</v>
      </c>
      <c r="L112" s="65">
        <v>129.69999999999999</v>
      </c>
      <c r="M112" s="65">
        <v>128.80000000000001</v>
      </c>
      <c r="N112" s="65">
        <v>130.9</v>
      </c>
      <c r="O112" s="65">
        <v>128.4</v>
      </c>
      <c r="P112" s="65">
        <v>120.6</v>
      </c>
      <c r="Q112" s="65">
        <v>127</v>
      </c>
      <c r="R112" s="65">
        <v>127.5</v>
      </c>
      <c r="S112" s="65">
        <v>124.2</v>
      </c>
      <c r="T112" s="65">
        <v>128.4</v>
      </c>
      <c r="U112" s="65">
        <v>127.8</v>
      </c>
      <c r="V112" s="65">
        <v>129.9</v>
      </c>
      <c r="W112" s="65">
        <v>127</v>
      </c>
      <c r="X112" s="65">
        <v>1278</v>
      </c>
      <c r="Y112" s="65">
        <v>130.19999999999999</v>
      </c>
      <c r="Z112" s="65">
        <v>131.6</v>
      </c>
      <c r="AA112" s="65">
        <v>131</v>
      </c>
      <c r="AB112" s="65">
        <v>133</v>
      </c>
      <c r="AC112" s="65">
        <v>132</v>
      </c>
      <c r="AD112" s="65">
        <v>132</v>
      </c>
      <c r="AE112" s="65">
        <v>129</v>
      </c>
      <c r="AF112" s="65">
        <v>129</v>
      </c>
      <c r="AG112" s="104"/>
      <c r="AH112" s="47">
        <f t="shared" si="29"/>
        <v>1278</v>
      </c>
      <c r="AI112" s="48">
        <f t="shared" si="30"/>
        <v>120.6</v>
      </c>
    </row>
    <row r="113" spans="1:35" x14ac:dyDescent="0.25">
      <c r="A113" s="105" t="s">
        <v>112</v>
      </c>
      <c r="B113" s="65">
        <v>133.1</v>
      </c>
      <c r="C113" s="65">
        <v>131.19999999999999</v>
      </c>
      <c r="D113" s="65">
        <v>133.1</v>
      </c>
      <c r="E113" s="65">
        <v>133.30000000000001</v>
      </c>
      <c r="F113" s="65">
        <v>131.80000000000001</v>
      </c>
      <c r="G113" s="65">
        <v>130.80000000000001</v>
      </c>
      <c r="H113" s="65">
        <v>131.80000000000001</v>
      </c>
      <c r="I113" s="65">
        <v>129.1</v>
      </c>
      <c r="J113" s="65">
        <v>128.80000000000001</v>
      </c>
      <c r="K113" s="65">
        <v>130.6</v>
      </c>
      <c r="L113" s="65">
        <v>129.5</v>
      </c>
      <c r="M113" s="65">
        <v>128.6</v>
      </c>
      <c r="N113" s="65">
        <v>131.9</v>
      </c>
      <c r="O113" s="65">
        <v>130</v>
      </c>
      <c r="P113" s="65">
        <v>123.4</v>
      </c>
      <c r="Q113" s="65">
        <v>130</v>
      </c>
      <c r="R113" s="65">
        <v>131.1</v>
      </c>
      <c r="S113" s="65">
        <v>128.9</v>
      </c>
      <c r="T113" s="65">
        <v>130.6</v>
      </c>
      <c r="U113" s="65">
        <v>129.19999999999999</v>
      </c>
      <c r="V113" s="65">
        <v>131.5</v>
      </c>
      <c r="W113" s="65">
        <v>128.1</v>
      </c>
      <c r="X113" s="65">
        <v>126.1</v>
      </c>
      <c r="Y113" s="65">
        <v>129.4</v>
      </c>
      <c r="Z113" s="65">
        <v>131.4</v>
      </c>
      <c r="AA113" s="65">
        <v>132.80000000000001</v>
      </c>
      <c r="AB113" s="65">
        <v>133</v>
      </c>
      <c r="AC113" s="65">
        <v>132.5</v>
      </c>
      <c r="AD113" s="65">
        <v>132</v>
      </c>
      <c r="AE113" s="65">
        <v>130</v>
      </c>
      <c r="AF113" s="65">
        <v>131</v>
      </c>
      <c r="AG113" s="104"/>
      <c r="AH113" s="47">
        <f t="shared" si="29"/>
        <v>133.30000000000001</v>
      </c>
      <c r="AI113" s="48">
        <f t="shared" si="30"/>
        <v>123.4</v>
      </c>
    </row>
    <row r="114" spans="1:35" x14ac:dyDescent="0.25">
      <c r="A114" s="105" t="s">
        <v>113</v>
      </c>
      <c r="B114" s="106">
        <v>131.4</v>
      </c>
      <c r="C114" s="106">
        <v>130.6</v>
      </c>
      <c r="D114" s="106">
        <v>132.30000000000001</v>
      </c>
      <c r="E114" s="106">
        <v>131.5</v>
      </c>
      <c r="F114" s="106">
        <v>130.6</v>
      </c>
      <c r="G114" s="106">
        <v>132</v>
      </c>
      <c r="H114" s="106">
        <v>131.9</v>
      </c>
      <c r="I114" s="106">
        <v>134</v>
      </c>
      <c r="J114" s="106">
        <v>134.30000000000001</v>
      </c>
      <c r="K114" s="106">
        <v>135.5</v>
      </c>
      <c r="L114" s="106">
        <v>135.5</v>
      </c>
      <c r="M114" s="106">
        <v>135.6</v>
      </c>
      <c r="N114" s="106">
        <v>134.69999999999999</v>
      </c>
      <c r="O114" s="106">
        <v>134.69999999999999</v>
      </c>
      <c r="P114" s="106">
        <v>131.19999999999999</v>
      </c>
      <c r="Q114" s="106">
        <v>131.6</v>
      </c>
      <c r="R114" s="106">
        <v>132.6</v>
      </c>
      <c r="S114" s="106">
        <v>131.6</v>
      </c>
      <c r="T114" s="106">
        <v>130.5</v>
      </c>
      <c r="U114" s="106">
        <v>130.6</v>
      </c>
      <c r="V114" s="106">
        <v>134.69999999999999</v>
      </c>
      <c r="W114" s="106">
        <v>134.30000000000001</v>
      </c>
      <c r="X114" s="106">
        <v>133.19999999999999</v>
      </c>
      <c r="Y114" s="106">
        <v>135.30000000000001</v>
      </c>
      <c r="Z114" s="106">
        <v>136.4</v>
      </c>
      <c r="AA114" s="106">
        <v>136.19999999999999</v>
      </c>
      <c r="AB114" s="106">
        <v>137</v>
      </c>
      <c r="AC114" s="106">
        <v>137</v>
      </c>
      <c r="AD114" s="106">
        <v>137</v>
      </c>
      <c r="AE114" s="106">
        <v>134</v>
      </c>
      <c r="AF114" s="106">
        <v>134</v>
      </c>
      <c r="AG114" s="107"/>
      <c r="AH114" s="47">
        <f t="shared" si="29"/>
        <v>137</v>
      </c>
      <c r="AI114" s="48">
        <f t="shared" si="30"/>
        <v>130.5</v>
      </c>
    </row>
    <row r="115" spans="1:35" x14ac:dyDescent="0.25">
      <c r="A115" s="103" t="s">
        <v>114</v>
      </c>
      <c r="B115" s="65">
        <v>133</v>
      </c>
      <c r="C115" s="65">
        <v>133.80000000000001</v>
      </c>
      <c r="D115" s="65">
        <v>130.69999999999999</v>
      </c>
      <c r="E115" s="65">
        <v>132.80000000000001</v>
      </c>
      <c r="F115" s="65">
        <v>136.1</v>
      </c>
      <c r="G115" s="65">
        <v>131.6</v>
      </c>
      <c r="H115" s="65">
        <v>131.5</v>
      </c>
      <c r="I115" s="65">
        <v>125.9</v>
      </c>
      <c r="J115" s="65">
        <v>127.1</v>
      </c>
      <c r="K115" s="65">
        <v>133.1</v>
      </c>
      <c r="L115" s="65">
        <v>129</v>
      </c>
      <c r="M115" s="65">
        <v>131.80000000000001</v>
      </c>
      <c r="N115" s="65">
        <v>130.19999999999999</v>
      </c>
      <c r="O115" s="65">
        <v>133.80000000000001</v>
      </c>
      <c r="P115" s="65">
        <v>133.6</v>
      </c>
      <c r="Q115" s="65">
        <v>130.1</v>
      </c>
      <c r="R115" s="65">
        <v>136.4</v>
      </c>
      <c r="S115" s="65">
        <v>135.30000000000001</v>
      </c>
      <c r="T115" s="65">
        <v>135.80000000000001</v>
      </c>
      <c r="U115" s="65">
        <v>133</v>
      </c>
      <c r="V115" s="65">
        <v>133.6</v>
      </c>
      <c r="W115" s="65">
        <v>130.6</v>
      </c>
      <c r="X115" s="65">
        <v>132.9</v>
      </c>
      <c r="Y115" s="65">
        <v>129</v>
      </c>
      <c r="Z115" s="65">
        <v>135.5</v>
      </c>
      <c r="AA115" s="65">
        <v>135.69999999999999</v>
      </c>
      <c r="AB115" s="65">
        <v>136</v>
      </c>
      <c r="AC115" s="65">
        <v>133.6</v>
      </c>
      <c r="AD115" s="65">
        <v>135</v>
      </c>
      <c r="AE115" s="65">
        <v>130</v>
      </c>
      <c r="AF115" s="65">
        <v>130</v>
      </c>
      <c r="AG115" s="104"/>
      <c r="AH115" s="47">
        <f t="shared" si="29"/>
        <v>136.4</v>
      </c>
      <c r="AI115" s="48">
        <f t="shared" si="30"/>
        <v>125.9</v>
      </c>
    </row>
    <row r="116" spans="1:35" ht="15.75" thickBot="1" x14ac:dyDescent="0.3">
      <c r="A116" s="103" t="s">
        <v>115</v>
      </c>
      <c r="B116" s="92">
        <v>67.099999999999994</v>
      </c>
      <c r="C116" s="92">
        <v>66.5</v>
      </c>
      <c r="D116" s="92">
        <v>66.900000000000006</v>
      </c>
      <c r="E116" s="92">
        <v>66.7</v>
      </c>
      <c r="F116" s="92">
        <v>66.5</v>
      </c>
      <c r="G116" s="92">
        <v>66.2</v>
      </c>
      <c r="H116" s="92">
        <v>66</v>
      </c>
      <c r="I116" s="92">
        <v>65.7</v>
      </c>
      <c r="J116" s="92">
        <v>65</v>
      </c>
      <c r="K116" s="92">
        <v>65.3</v>
      </c>
      <c r="L116" s="92">
        <v>63.8</v>
      </c>
      <c r="M116" s="92">
        <v>63.9</v>
      </c>
      <c r="N116" s="92">
        <v>64</v>
      </c>
      <c r="O116" s="92">
        <v>63.9</v>
      </c>
      <c r="P116" s="92">
        <v>62.5</v>
      </c>
      <c r="Q116" s="92">
        <v>63.1</v>
      </c>
      <c r="R116" s="92">
        <v>64</v>
      </c>
      <c r="S116" s="92">
        <v>63.3</v>
      </c>
      <c r="T116" s="92">
        <v>63.4</v>
      </c>
      <c r="U116" s="92">
        <v>63</v>
      </c>
      <c r="V116" s="92">
        <v>65.099999999999994</v>
      </c>
      <c r="W116" s="92">
        <v>64.2</v>
      </c>
      <c r="X116" s="92">
        <v>63.4</v>
      </c>
      <c r="Y116" s="92">
        <v>63.8</v>
      </c>
      <c r="Z116" s="92">
        <v>64.099999999999994</v>
      </c>
      <c r="AA116" s="92">
        <v>64.8</v>
      </c>
      <c r="AB116" s="92">
        <v>65.8</v>
      </c>
      <c r="AC116" s="92">
        <v>65.8</v>
      </c>
      <c r="AD116" s="92">
        <v>65.8</v>
      </c>
      <c r="AE116" s="92">
        <v>65.8</v>
      </c>
      <c r="AF116" s="92">
        <v>66</v>
      </c>
      <c r="AG116" s="108"/>
      <c r="AH116" s="47">
        <f t="shared" si="29"/>
        <v>67.099999999999994</v>
      </c>
      <c r="AI116" s="48">
        <f t="shared" si="30"/>
        <v>62.5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29"/>
        <v>0</v>
      </c>
      <c r="AI117" s="48">
        <f t="shared" si="30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140.22</v>
      </c>
      <c r="C118" s="111">
        <f>SUM(C22,C28,C31:C32,C66,C68:C69,C71,C73,C119:C123,C155,C161,C167,C176,C178,C190,C197,C200:C201,C208,C210,C212,C216:C218,C220:C222,C227,C233:C234,C236:C238,C246,C251)</f>
        <v>135.86000000000001</v>
      </c>
      <c r="D118" s="111">
        <f t="shared" ref="D118:O118" si="98">SUM(D22,D28,D31:D32,D66,D68:D69,D71,D73,D119:D123,D155,D161,D167,D176,D178,D190,D197,D200:D201,D208,D210,D212,D216:D218,D220:D222,D227,D233:D234,D236:D238,D246,D251)</f>
        <v>127.74000000000001</v>
      </c>
      <c r="E118" s="111">
        <f t="shared" si="98"/>
        <v>131.11599999999999</v>
      </c>
      <c r="F118" s="111">
        <f t="shared" si="98"/>
        <v>146.19999999999999</v>
      </c>
      <c r="G118" s="111">
        <f t="shared" si="98"/>
        <v>190.60000000000002</v>
      </c>
      <c r="H118" s="111">
        <f t="shared" si="98"/>
        <v>194.62</v>
      </c>
      <c r="I118" s="111">
        <f t="shared" si="98"/>
        <v>261.3</v>
      </c>
      <c r="J118" s="111">
        <f t="shared" si="98"/>
        <v>302.60000000000002</v>
      </c>
      <c r="K118" s="111">
        <f t="shared" si="98"/>
        <v>274.06</v>
      </c>
      <c r="L118" s="111">
        <f t="shared" si="98"/>
        <v>375.52000000000004</v>
      </c>
      <c r="M118" s="111">
        <f t="shared" si="98"/>
        <v>378.81200000000001</v>
      </c>
      <c r="N118" s="111">
        <f t="shared" si="98"/>
        <v>353.21899999999999</v>
      </c>
      <c r="O118" s="111">
        <f t="shared" si="98"/>
        <v>357.971</v>
      </c>
      <c r="P118" s="111">
        <v>42</v>
      </c>
      <c r="Q118" s="111">
        <f t="shared" ref="Q118:AA118" si="99">SUM(Q22,Q28,Q31:Q32,Q66,Q68:Q69,Q71,Q73,Q119:Q123,Q155,Q161,Q167,Q176,Q178,Q190,Q197,Q200:Q201,Q208,Q210,Q212,Q216:Q218,Q220:Q222,Q227,Q233:Q234,Q236:Q238,Q246,Q251)</f>
        <v>338.613</v>
      </c>
      <c r="R118" s="111">
        <f t="shared" si="99"/>
        <v>299.84100000000001</v>
      </c>
      <c r="S118" s="111">
        <f t="shared" si="99"/>
        <v>298.94799999999998</v>
      </c>
      <c r="T118" s="111">
        <f t="shared" si="99"/>
        <v>305.64</v>
      </c>
      <c r="U118" s="111">
        <f t="shared" si="99"/>
        <v>287.04000000000002</v>
      </c>
      <c r="V118" s="111">
        <f t="shared" si="99"/>
        <v>311.50399999999996</v>
      </c>
      <c r="W118" s="111">
        <f t="shared" si="99"/>
        <v>314.34399999999999</v>
      </c>
      <c r="X118" s="111">
        <f t="shared" si="99"/>
        <v>345.74</v>
      </c>
      <c r="Y118" s="111">
        <f t="shared" ref="Y118:Z118" si="100">SUM(Y20,Y26,Y37:Y38,Y66,Y68:Y69,Y71,Y73,Y119:Y123,Y148,Y154,Y160,Y169,Y171,Y183,Y190,Y193:Y194,Y201,Y203,Y205,Y209:Y211,Y213:Y215,Y220,Y226:Y227,Y229:Y231,Y239,Y244)</f>
        <v>422.6</v>
      </c>
      <c r="Z118" s="111">
        <f t="shared" si="100"/>
        <v>425.5</v>
      </c>
      <c r="AA118" s="111">
        <f t="shared" si="99"/>
        <v>401.54</v>
      </c>
      <c r="AB118" s="111">
        <f t="shared" ref="AB118:AC118" si="101">SUM(AB22,AB28,AB31:AB32,AB66,AB68:AB69,AB71,AB73,AB119:AB123,AB155,AB161,AB167,AB176,AB178,AB190,AB197,AB200:AB201,AB208,AB210,AB212,AB216:AB218,AB220:AB222,AB227,AB233:AB234,AB236:AB238,AB246,AB251)</f>
        <v>371.84</v>
      </c>
      <c r="AC118" s="111">
        <f t="shared" si="101"/>
        <v>341.14</v>
      </c>
      <c r="AD118" s="111">
        <f t="shared" ref="AD118:AE118" si="102">SUM(AD22,AD28,AD31:AD32,AD66,AD68:AD69,AD71,AD73,AD119:AD123,AD155,AD161,AD167,AD176,AD178,AD190,AD197,AD200:AD201,AD208,AD210,AD212,AD216:AD218,AD220:AD222,AD227,AD233:AD234,AD236:AD238,AD246,AD251)</f>
        <v>295.33999999999997</v>
      </c>
      <c r="AE118" s="111">
        <f t="shared" si="102"/>
        <v>223.83999999999997</v>
      </c>
      <c r="AF118" s="111">
        <f t="shared" ref="AF118" si="103">SUM(AF22,AF28,AF31:AF32,AF66,AF68:AF69,AF71,AF73,AF119:AF123,AF155,AF161,AF167,AF176,AF178,AF190,AF197,AF200:AF201,AF208,AF210,AF212,AF216:AF218,AF220:AF222,AF227,AF233:AF234,AF236:AF238,AF246,AF251)</f>
        <v>183.83999999999997</v>
      </c>
      <c r="AG118" s="112"/>
      <c r="AH118" s="47">
        <f t="shared" si="29"/>
        <v>425.5</v>
      </c>
      <c r="AI118" s="48">
        <f t="shared" si="30"/>
        <v>42</v>
      </c>
    </row>
    <row r="119" spans="1:35" x14ac:dyDescent="0.25">
      <c r="A119" s="172" t="s">
        <v>118</v>
      </c>
      <c r="B119" s="113">
        <v>-18.3</v>
      </c>
      <c r="C119" s="113">
        <v>-19</v>
      </c>
      <c r="D119" s="113">
        <v>-19.2</v>
      </c>
      <c r="E119" s="113">
        <v>-20</v>
      </c>
      <c r="F119" s="113">
        <v>-20</v>
      </c>
      <c r="G119" s="113">
        <v>-5.5</v>
      </c>
      <c r="H119" s="113">
        <v>-5.0999999999999996</v>
      </c>
      <c r="I119" s="113">
        <v>15.5</v>
      </c>
      <c r="J119" s="113">
        <v>40.6</v>
      </c>
      <c r="K119" s="113">
        <v>37.200000000000003</v>
      </c>
      <c r="L119" s="113">
        <v>36.200000000000003</v>
      </c>
      <c r="M119" s="113">
        <v>36.799999999999997</v>
      </c>
      <c r="N119" s="113">
        <v>36.4</v>
      </c>
      <c r="O119" s="113">
        <v>38.4</v>
      </c>
      <c r="P119" s="113">
        <v>34.799999999999997</v>
      </c>
      <c r="Q119" s="113">
        <v>33.9</v>
      </c>
      <c r="R119" s="113">
        <v>32.5</v>
      </c>
      <c r="S119" s="113">
        <v>27.3</v>
      </c>
      <c r="T119" s="113">
        <v>23</v>
      </c>
      <c r="U119" s="113">
        <v>16.100000000000001</v>
      </c>
      <c r="V119" s="113">
        <v>20.7</v>
      </c>
      <c r="W119" s="113">
        <v>11.4</v>
      </c>
      <c r="X119" s="113">
        <v>21.7</v>
      </c>
      <c r="Y119" s="113">
        <v>43.3</v>
      </c>
      <c r="Z119" s="113">
        <v>40.5</v>
      </c>
      <c r="AA119" s="113">
        <v>38.4</v>
      </c>
      <c r="AB119" s="113">
        <v>39</v>
      </c>
      <c r="AC119" s="113">
        <v>34.5</v>
      </c>
      <c r="AD119" s="113">
        <v>35</v>
      </c>
      <c r="AE119" s="113">
        <v>32</v>
      </c>
      <c r="AF119" s="113">
        <v>18</v>
      </c>
      <c r="AG119" s="114">
        <v>75</v>
      </c>
      <c r="AH119" s="47">
        <f t="shared" si="29"/>
        <v>43.3</v>
      </c>
      <c r="AI119" s="48">
        <f t="shared" si="30"/>
        <v>-20</v>
      </c>
    </row>
    <row r="120" spans="1:35" x14ac:dyDescent="0.25">
      <c r="A120" s="173" t="s">
        <v>119</v>
      </c>
      <c r="B120" s="115">
        <v>-28.9</v>
      </c>
      <c r="C120" s="115">
        <v>-30.9</v>
      </c>
      <c r="D120" s="115">
        <v>-29.9</v>
      </c>
      <c r="E120" s="115">
        <v>-32</v>
      </c>
      <c r="F120" s="115">
        <v>-32</v>
      </c>
      <c r="G120" s="115">
        <v>-15.1</v>
      </c>
      <c r="H120" s="115">
        <v>-14.6</v>
      </c>
      <c r="I120" s="115">
        <v>13.3</v>
      </c>
      <c r="J120" s="115">
        <v>48.9</v>
      </c>
      <c r="K120" s="115">
        <v>51</v>
      </c>
      <c r="L120" s="115">
        <v>48.1</v>
      </c>
      <c r="M120" s="115">
        <v>49.5</v>
      </c>
      <c r="N120" s="115">
        <v>48</v>
      </c>
      <c r="O120" s="115">
        <v>52.2</v>
      </c>
      <c r="P120" s="115">
        <v>43.2</v>
      </c>
      <c r="Q120" s="115">
        <v>40.200000000000003</v>
      </c>
      <c r="R120" s="115">
        <v>38.200000000000003</v>
      </c>
      <c r="S120" s="115">
        <v>29.7</v>
      </c>
      <c r="T120" s="115">
        <v>24.5</v>
      </c>
      <c r="U120" s="115">
        <v>19</v>
      </c>
      <c r="V120" s="115">
        <v>27.3</v>
      </c>
      <c r="W120" s="115">
        <v>13.5</v>
      </c>
      <c r="X120" s="115">
        <v>30.7</v>
      </c>
      <c r="Y120" s="115">
        <v>59.6</v>
      </c>
      <c r="Z120" s="115">
        <v>55.4</v>
      </c>
      <c r="AA120" s="115">
        <v>52</v>
      </c>
      <c r="AB120" s="115">
        <v>53</v>
      </c>
      <c r="AC120" s="115">
        <v>46.8</v>
      </c>
      <c r="AD120" s="115">
        <v>45</v>
      </c>
      <c r="AE120" s="115">
        <v>39</v>
      </c>
      <c r="AF120" s="115">
        <v>20</v>
      </c>
      <c r="AG120" s="114">
        <v>240</v>
      </c>
      <c r="AH120" s="47">
        <f t="shared" si="29"/>
        <v>59.6</v>
      </c>
      <c r="AI120" s="48">
        <f t="shared" si="30"/>
        <v>-32</v>
      </c>
    </row>
    <row r="121" spans="1:35" x14ac:dyDescent="0.25">
      <c r="A121" s="173" t="s">
        <v>120</v>
      </c>
      <c r="B121" s="115">
        <f>-3.6-4.7</f>
        <v>-8.3000000000000007</v>
      </c>
      <c r="C121" s="115">
        <f>-6.2-7.4</f>
        <v>-13.600000000000001</v>
      </c>
      <c r="D121" s="115">
        <f>-7.6-9.1</f>
        <v>-16.7</v>
      </c>
      <c r="E121" s="115">
        <f>-6.4-7.8</f>
        <v>-14.2</v>
      </c>
      <c r="F121" s="115">
        <f>-5-6.2</f>
        <v>-11.2</v>
      </c>
      <c r="G121" s="115">
        <f>-1.7-2.1</f>
        <v>-3.8</v>
      </c>
      <c r="H121" s="115">
        <f>-1.4-2</f>
        <v>-3.4</v>
      </c>
      <c r="I121" s="115">
        <v>7.2</v>
      </c>
      <c r="J121" s="115">
        <v>10.3</v>
      </c>
      <c r="K121" s="115">
        <f>-13-15</f>
        <v>-28</v>
      </c>
      <c r="L121" s="115">
        <f>19+22.7</f>
        <v>41.7</v>
      </c>
      <c r="M121" s="115">
        <v>43.3</v>
      </c>
      <c r="N121" s="115">
        <v>31</v>
      </c>
      <c r="O121" s="115">
        <v>35</v>
      </c>
      <c r="P121" s="115">
        <v>23</v>
      </c>
      <c r="Q121" s="115">
        <v>15.8</v>
      </c>
      <c r="R121" s="115">
        <v>6</v>
      </c>
      <c r="S121" s="115">
        <v>6.2</v>
      </c>
      <c r="T121" s="115">
        <v>12.5</v>
      </c>
      <c r="U121" s="115">
        <v>13</v>
      </c>
      <c r="V121" s="115">
        <v>27.9</v>
      </c>
      <c r="W121" s="115">
        <v>35.6</v>
      </c>
      <c r="X121" s="115">
        <v>33</v>
      </c>
      <c r="Y121" s="115">
        <v>44</v>
      </c>
      <c r="Z121" s="115">
        <v>45</v>
      </c>
      <c r="AA121" s="115">
        <v>40</v>
      </c>
      <c r="AB121" s="115">
        <v>36</v>
      </c>
      <c r="AC121" s="115">
        <v>28</v>
      </c>
      <c r="AD121" s="115">
        <v>20</v>
      </c>
      <c r="AE121" s="115">
        <v>-22</v>
      </c>
      <c r="AF121" s="115">
        <v>-31</v>
      </c>
      <c r="AG121" s="114">
        <v>240</v>
      </c>
      <c r="AH121" s="47">
        <f t="shared" si="29"/>
        <v>45</v>
      </c>
      <c r="AI121" s="48">
        <f t="shared" si="30"/>
        <v>-31</v>
      </c>
    </row>
    <row r="122" spans="1:35" ht="15.75" thickBot="1" x14ac:dyDescent="0.3">
      <c r="A122" s="173" t="s">
        <v>121</v>
      </c>
      <c r="B122" s="115">
        <v>-4.8</v>
      </c>
      <c r="C122" s="115">
        <v>-8.9</v>
      </c>
      <c r="D122" s="115">
        <v>-10</v>
      </c>
      <c r="E122" s="115">
        <v>-7.9</v>
      </c>
      <c r="F122" s="115">
        <v>-9.1</v>
      </c>
      <c r="G122" s="115">
        <v>-1.7</v>
      </c>
      <c r="H122" s="115">
        <v>-3.9</v>
      </c>
      <c r="I122" s="115">
        <v>6.6</v>
      </c>
      <c r="J122" s="115">
        <v>8.6999999999999993</v>
      </c>
      <c r="K122" s="115">
        <v>20.6</v>
      </c>
      <c r="L122" s="115">
        <v>24.2</v>
      </c>
      <c r="M122" s="115">
        <v>24</v>
      </c>
      <c r="N122" s="115">
        <v>20.8</v>
      </c>
      <c r="O122" s="115">
        <v>22.7</v>
      </c>
      <c r="P122" s="115">
        <v>7.7</v>
      </c>
      <c r="Q122" s="115">
        <v>6.1</v>
      </c>
      <c r="R122" s="115">
        <v>2.5</v>
      </c>
      <c r="S122" s="115">
        <v>1.8</v>
      </c>
      <c r="T122" s="115">
        <v>7.2</v>
      </c>
      <c r="U122" s="115">
        <v>10.199999999999999</v>
      </c>
      <c r="V122" s="115">
        <v>20.2</v>
      </c>
      <c r="W122" s="115">
        <v>19.100000000000001</v>
      </c>
      <c r="X122" s="115">
        <v>21.3</v>
      </c>
      <c r="Y122" s="115">
        <v>26</v>
      </c>
      <c r="Z122" s="115">
        <v>26.9</v>
      </c>
      <c r="AA122" s="115">
        <v>26.3</v>
      </c>
      <c r="AB122" s="115">
        <v>24</v>
      </c>
      <c r="AC122" s="115">
        <v>22</v>
      </c>
      <c r="AD122" s="115">
        <v>5.5</v>
      </c>
      <c r="AE122" s="115">
        <v>0</v>
      </c>
      <c r="AF122" s="115">
        <v>-3</v>
      </c>
      <c r="AG122" s="114">
        <v>60</v>
      </c>
      <c r="AH122" s="47">
        <f t="shared" si="29"/>
        <v>26.9</v>
      </c>
      <c r="AI122" s="48">
        <f t="shared" si="30"/>
        <v>-10</v>
      </c>
    </row>
    <row r="123" spans="1:35" x14ac:dyDescent="0.25">
      <c r="A123" s="172" t="s">
        <v>259</v>
      </c>
      <c r="B123" s="117">
        <f>69.3*1.6</f>
        <v>110.88</v>
      </c>
      <c r="C123" s="117">
        <f>74.2*1.6</f>
        <v>118.72000000000001</v>
      </c>
      <c r="D123" s="117">
        <f>71*1.6</f>
        <v>113.60000000000001</v>
      </c>
      <c r="E123" s="117">
        <f>70.9*1.64</f>
        <v>116.276</v>
      </c>
      <c r="F123" s="117">
        <f>79*1.64</f>
        <v>129.56</v>
      </c>
      <c r="G123" s="117">
        <f>79*1.64</f>
        <v>129.56</v>
      </c>
      <c r="H123" s="117">
        <f>82*1.64</f>
        <v>134.47999999999999</v>
      </c>
      <c r="I123" s="117">
        <f>79*1.64</f>
        <v>129.56</v>
      </c>
      <c r="J123" s="117">
        <f>64*1.64</f>
        <v>104.96</v>
      </c>
      <c r="K123" s="117">
        <f>63*1.64</f>
        <v>103.32</v>
      </c>
      <c r="L123" s="117">
        <f>82*1.64</f>
        <v>134.47999999999999</v>
      </c>
      <c r="M123" s="117">
        <f>81.6*1.67</f>
        <v>136.27199999999999</v>
      </c>
      <c r="N123" s="117">
        <f>73.7*1.67</f>
        <v>123.07899999999999</v>
      </c>
      <c r="O123" s="117">
        <f>69.3*1.67</f>
        <v>115.73099999999999</v>
      </c>
      <c r="P123" s="117">
        <f>83.7*1.67</f>
        <v>139.779</v>
      </c>
      <c r="Q123" s="117">
        <f>81.9*1.67</f>
        <v>136.773</v>
      </c>
      <c r="R123" s="117">
        <f>70.3*1.67</f>
        <v>117.401</v>
      </c>
      <c r="S123" s="117">
        <f>1.64*79.7</f>
        <v>130.708</v>
      </c>
      <c r="T123" s="117">
        <v>140</v>
      </c>
      <c r="U123" s="117">
        <v>135</v>
      </c>
      <c r="V123" s="117">
        <f>1.64*75.1</f>
        <v>123.16399999999999</v>
      </c>
      <c r="W123" s="117">
        <f>1.64*88.6</f>
        <v>145.30399999999997</v>
      </c>
      <c r="X123" s="117">
        <v>150</v>
      </c>
      <c r="Y123" s="117">
        <v>152</v>
      </c>
      <c r="Z123" s="117">
        <v>160</v>
      </c>
      <c r="AA123" s="117">
        <v>155</v>
      </c>
      <c r="AB123" s="117">
        <v>130</v>
      </c>
      <c r="AC123" s="117">
        <v>120</v>
      </c>
      <c r="AD123" s="117">
        <v>100</v>
      </c>
      <c r="AE123" s="117">
        <v>85</v>
      </c>
      <c r="AF123" s="117">
        <v>90</v>
      </c>
      <c r="AG123" s="118">
        <v>120</v>
      </c>
      <c r="AH123" s="47">
        <f t="shared" si="29"/>
        <v>160</v>
      </c>
      <c r="AI123" s="48">
        <f t="shared" si="30"/>
        <v>85</v>
      </c>
    </row>
    <row r="124" spans="1:35" x14ac:dyDescent="0.25">
      <c r="A124" s="173" t="s">
        <v>258</v>
      </c>
      <c r="B124" s="117">
        <v>82</v>
      </c>
      <c r="C124" s="117">
        <v>86.4</v>
      </c>
      <c r="D124" s="117">
        <v>82.9</v>
      </c>
      <c r="E124" s="117">
        <v>84.1</v>
      </c>
      <c r="F124" s="117">
        <v>88.1</v>
      </c>
      <c r="G124" s="117">
        <v>90</v>
      </c>
      <c r="H124" s="117">
        <v>92</v>
      </c>
      <c r="I124" s="117">
        <v>88.3</v>
      </c>
      <c r="J124" s="117">
        <v>74.3</v>
      </c>
      <c r="K124" s="117">
        <v>76.099999999999994</v>
      </c>
      <c r="L124" s="117">
        <v>91</v>
      </c>
      <c r="M124" s="117">
        <v>90.4</v>
      </c>
      <c r="N124" s="117">
        <v>84.9</v>
      </c>
      <c r="O124" s="117">
        <v>81.2</v>
      </c>
      <c r="P124" s="117">
        <v>92.2</v>
      </c>
      <c r="Q124" s="117">
        <v>89.8</v>
      </c>
      <c r="R124" s="117">
        <v>81.2</v>
      </c>
      <c r="S124" s="117">
        <v>88.7</v>
      </c>
      <c r="T124" s="117">
        <v>93.5</v>
      </c>
      <c r="U124" s="117">
        <v>98.4</v>
      </c>
      <c r="V124" s="117">
        <v>83.5</v>
      </c>
      <c r="W124" s="117">
        <v>94.7</v>
      </c>
      <c r="X124" s="117">
        <v>102</v>
      </c>
      <c r="Y124" s="117">
        <v>98.7</v>
      </c>
      <c r="Z124" s="117">
        <v>100</v>
      </c>
      <c r="AA124" s="117">
        <v>97</v>
      </c>
      <c r="AB124" s="117">
        <v>86</v>
      </c>
      <c r="AC124" s="117">
        <v>83</v>
      </c>
      <c r="AD124" s="117">
        <v>81</v>
      </c>
      <c r="AE124" s="117">
        <v>75</v>
      </c>
      <c r="AF124" s="117">
        <v>72</v>
      </c>
      <c r="AG124" s="118"/>
      <c r="AH124" s="47"/>
      <c r="AI124" s="48"/>
    </row>
    <row r="125" spans="1:35" x14ac:dyDescent="0.25">
      <c r="A125" s="173" t="s">
        <v>255</v>
      </c>
      <c r="B125" s="117">
        <v>66.3</v>
      </c>
      <c r="C125" s="117">
        <v>74.5</v>
      </c>
      <c r="D125" s="117">
        <v>73.7</v>
      </c>
      <c r="E125" s="117">
        <v>78</v>
      </c>
      <c r="F125" s="117">
        <v>78</v>
      </c>
      <c r="G125" s="117">
        <v>62.1</v>
      </c>
      <c r="H125" s="117">
        <v>62.2</v>
      </c>
      <c r="I125" s="117">
        <v>27.6</v>
      </c>
      <c r="J125" s="117">
        <v>-16.3</v>
      </c>
      <c r="K125" s="117">
        <v>-36.6</v>
      </c>
      <c r="L125" s="117">
        <v>-31.2</v>
      </c>
      <c r="M125" s="117">
        <v>-31</v>
      </c>
      <c r="N125" s="117">
        <v>30.4</v>
      </c>
      <c r="O125" s="117">
        <v>-27.3</v>
      </c>
      <c r="P125" s="117">
        <v>5.5</v>
      </c>
      <c r="Q125" s="117">
        <v>11.4</v>
      </c>
      <c r="R125" s="117">
        <v>15.1</v>
      </c>
      <c r="S125" s="117">
        <v>25.7</v>
      </c>
      <c r="T125" s="117">
        <v>31.9</v>
      </c>
      <c r="U125" s="117">
        <v>34</v>
      </c>
      <c r="V125" s="117">
        <v>1.4</v>
      </c>
      <c r="W125" s="117">
        <v>13.2</v>
      </c>
      <c r="X125" s="117">
        <v>5</v>
      </c>
      <c r="Y125" s="117">
        <v>-33</v>
      </c>
      <c r="Z125" s="117">
        <v>-30</v>
      </c>
      <c r="AA125" s="117">
        <v>-27</v>
      </c>
      <c r="AB125" s="117">
        <v>-29</v>
      </c>
      <c r="AC125" s="117">
        <v>-20</v>
      </c>
      <c r="AD125" s="117">
        <v>-13</v>
      </c>
      <c r="AE125" s="117">
        <v>16</v>
      </c>
      <c r="AF125" s="117">
        <v>41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81.400000000000006</v>
      </c>
      <c r="C126" s="117">
        <v>84.6</v>
      </c>
      <c r="D126" s="117">
        <v>78.900000000000006</v>
      </c>
      <c r="E126" s="117">
        <v>82.5</v>
      </c>
      <c r="F126" s="117">
        <v>87</v>
      </c>
      <c r="G126" s="117">
        <v>90.5</v>
      </c>
      <c r="H126" s="117">
        <v>92.5</v>
      </c>
      <c r="I126" s="117">
        <v>83.9</v>
      </c>
      <c r="J126" s="117">
        <v>57.4</v>
      </c>
      <c r="K126" s="117">
        <v>59.1</v>
      </c>
      <c r="L126" s="117">
        <v>67.7</v>
      </c>
      <c r="M126" s="117">
        <v>71</v>
      </c>
      <c r="N126" s="117">
        <v>62.5</v>
      </c>
      <c r="O126" s="117">
        <v>85.6</v>
      </c>
      <c r="P126" s="117">
        <v>79</v>
      </c>
      <c r="Q126" s="117">
        <v>79</v>
      </c>
      <c r="R126" s="117">
        <v>72.8</v>
      </c>
      <c r="S126" s="117">
        <v>75</v>
      </c>
      <c r="T126" s="117">
        <v>85.3</v>
      </c>
      <c r="U126" s="117">
        <v>94</v>
      </c>
      <c r="V126" s="117">
        <v>72.540000000000006</v>
      </c>
      <c r="W126" s="117">
        <v>90</v>
      </c>
      <c r="X126" s="117">
        <v>93</v>
      </c>
      <c r="Y126" s="117">
        <v>98</v>
      </c>
      <c r="Z126" s="117">
        <v>84.7</v>
      </c>
      <c r="AA126" s="117">
        <v>80</v>
      </c>
      <c r="AB126" s="117">
        <v>76</v>
      </c>
      <c r="AC126" s="117">
        <v>72</v>
      </c>
      <c r="AD126" s="117">
        <v>77</v>
      </c>
      <c r="AE126" s="117">
        <v>84</v>
      </c>
      <c r="AF126" s="117">
        <v>84</v>
      </c>
      <c r="AG126" s="114"/>
      <c r="AH126" s="47">
        <f t="shared" si="29"/>
        <v>98</v>
      </c>
      <c r="AI126" s="48">
        <f t="shared" si="30"/>
        <v>57.4</v>
      </c>
    </row>
    <row r="127" spans="1:35" x14ac:dyDescent="0.25">
      <c r="A127" s="172" t="s">
        <v>587</v>
      </c>
      <c r="B127" s="117">
        <v>28</v>
      </c>
      <c r="C127" s="117">
        <v>28.4</v>
      </c>
      <c r="D127" s="117">
        <v>27.2</v>
      </c>
      <c r="E127" s="117">
        <v>28.2</v>
      </c>
      <c r="F127" s="117">
        <v>27.6</v>
      </c>
      <c r="G127" s="117">
        <v>25</v>
      </c>
      <c r="H127" s="117">
        <v>24.7</v>
      </c>
      <c r="I127" s="117">
        <v>12.9</v>
      </c>
      <c r="J127" s="117">
        <v>-5.9</v>
      </c>
      <c r="K127" s="117">
        <v>-7.8</v>
      </c>
      <c r="L127" s="117">
        <v>-6.7</v>
      </c>
      <c r="M127" s="117">
        <v>-6.5</v>
      </c>
      <c r="N127" s="117">
        <v>-6.3</v>
      </c>
      <c r="O127" s="117">
        <v>-4.7</v>
      </c>
      <c r="P127" s="117">
        <v>2.8</v>
      </c>
      <c r="Q127" s="117">
        <v>0</v>
      </c>
      <c r="R127" s="117">
        <v>1.2</v>
      </c>
      <c r="S127" s="117">
        <v>0</v>
      </c>
      <c r="T127" s="117">
        <v>6.2</v>
      </c>
      <c r="U127" s="117">
        <v>8.3000000000000007</v>
      </c>
      <c r="V127" s="117">
        <v>0</v>
      </c>
      <c r="W127" s="117">
        <v>2.1</v>
      </c>
      <c r="X127" s="117">
        <v>-3.4</v>
      </c>
      <c r="Y127" s="117">
        <v>-8.1999999999999993</v>
      </c>
      <c r="Z127" s="117">
        <v>-4.7</v>
      </c>
      <c r="AA127" s="117">
        <v>-3.6</v>
      </c>
      <c r="AB127" s="117">
        <v>-4</v>
      </c>
      <c r="AC127" s="117">
        <v>0</v>
      </c>
      <c r="AD127" s="117">
        <v>2</v>
      </c>
      <c r="AE127" s="117">
        <v>0</v>
      </c>
      <c r="AF127" s="117">
        <v>9</v>
      </c>
      <c r="AG127" s="114"/>
      <c r="AH127" s="47">
        <f t="shared" si="29"/>
        <v>28.4</v>
      </c>
      <c r="AI127" s="48">
        <f t="shared" si="30"/>
        <v>-8.1999999999999993</v>
      </c>
    </row>
    <row r="128" spans="1:35" x14ac:dyDescent="0.25">
      <c r="A128" s="173" t="s">
        <v>123</v>
      </c>
      <c r="B128" s="106">
        <v>-4.4000000000000004</v>
      </c>
      <c r="C128" s="106">
        <v>-3</v>
      </c>
      <c r="D128" s="106">
        <v>-3.8</v>
      </c>
      <c r="E128" s="106">
        <v>-4</v>
      </c>
      <c r="F128" s="106">
        <v>-3.6</v>
      </c>
      <c r="G128" s="106">
        <v>-8.9</v>
      </c>
      <c r="H128" s="106">
        <v>-9.6</v>
      </c>
      <c r="I128" s="106">
        <v>-20.100000000000001</v>
      </c>
      <c r="J128" s="106">
        <v>-29.4</v>
      </c>
      <c r="K128" s="106">
        <v>-37.1</v>
      </c>
      <c r="L128" s="106">
        <v>-42.5</v>
      </c>
      <c r="M128" s="106">
        <v>-40.9</v>
      </c>
      <c r="N128" s="106">
        <v>-24.2</v>
      </c>
      <c r="O128" s="106">
        <v>-25.5</v>
      </c>
      <c r="P128" s="106">
        <v>-24.3</v>
      </c>
      <c r="Q128" s="106">
        <v>-15.9</v>
      </c>
      <c r="R128" s="106">
        <v>-15.7</v>
      </c>
      <c r="S128" s="106">
        <v>-21.8</v>
      </c>
      <c r="T128" s="106">
        <v>-17.5</v>
      </c>
      <c r="U128" s="106">
        <v>-19</v>
      </c>
      <c r="V128" s="106">
        <v>-26.6</v>
      </c>
      <c r="W128" s="106">
        <v>-36.6</v>
      </c>
      <c r="X128" s="106">
        <v>-47</v>
      </c>
      <c r="Y128" s="106">
        <v>-51</v>
      </c>
      <c r="Z128" s="106">
        <v>-45</v>
      </c>
      <c r="AA128" s="106">
        <v>-38</v>
      </c>
      <c r="AB128" s="106">
        <v>-32</v>
      </c>
      <c r="AC128" s="106">
        <v>-23</v>
      </c>
      <c r="AD128" s="106">
        <v>-22</v>
      </c>
      <c r="AE128" s="106">
        <v>-14</v>
      </c>
      <c r="AF128" s="106">
        <v>-8</v>
      </c>
      <c r="AG128" s="114"/>
      <c r="AH128" s="47">
        <f t="shared" si="29"/>
        <v>-3</v>
      </c>
      <c r="AI128" s="48">
        <f t="shared" si="30"/>
        <v>-51</v>
      </c>
    </row>
    <row r="129" spans="1:37" x14ac:dyDescent="0.25">
      <c r="A129" s="173" t="s">
        <v>260</v>
      </c>
      <c r="B129" s="106">
        <v>9.9</v>
      </c>
      <c r="C129" s="106">
        <v>20.5</v>
      </c>
      <c r="D129" s="106">
        <v>22</v>
      </c>
      <c r="E129" s="106">
        <v>22.3</v>
      </c>
      <c r="F129" s="106">
        <v>22.3</v>
      </c>
      <c r="G129" s="106">
        <v>23.9</v>
      </c>
      <c r="H129" s="106">
        <v>23.8</v>
      </c>
      <c r="I129" s="106">
        <v>23.1</v>
      </c>
      <c r="J129" s="106">
        <v>23.2</v>
      </c>
      <c r="K129" s="106">
        <v>11.6</v>
      </c>
      <c r="L129" s="106">
        <v>11.9</v>
      </c>
      <c r="M129" s="106">
        <v>12.4</v>
      </c>
      <c r="N129" s="106">
        <v>11.3</v>
      </c>
      <c r="O129" s="106">
        <v>11.8</v>
      </c>
      <c r="P129" s="106">
        <v>14.3</v>
      </c>
      <c r="Q129" s="106">
        <v>19.3</v>
      </c>
      <c r="R129" s="106">
        <v>25.3</v>
      </c>
      <c r="S129" s="106">
        <v>26.9</v>
      </c>
      <c r="T129" s="106">
        <v>26.2</v>
      </c>
      <c r="U129" s="106">
        <v>27</v>
      </c>
      <c r="V129" s="106">
        <v>10.9</v>
      </c>
      <c r="W129" s="106">
        <v>10.8</v>
      </c>
      <c r="X129" s="106">
        <v>10.9</v>
      </c>
      <c r="Y129" s="106">
        <v>12.3</v>
      </c>
      <c r="Z129" s="106">
        <v>12.1</v>
      </c>
      <c r="AA129" s="106">
        <v>11.1</v>
      </c>
      <c r="AB129" s="106">
        <v>10.5</v>
      </c>
      <c r="AC129" s="106">
        <v>10</v>
      </c>
      <c r="AD129" s="106">
        <v>9</v>
      </c>
      <c r="AE129" s="106">
        <v>20</v>
      </c>
      <c r="AF129" s="106">
        <v>22</v>
      </c>
      <c r="AG129" s="114"/>
      <c r="AH129" s="47">
        <f t="shared" si="29"/>
        <v>27</v>
      </c>
      <c r="AI129" s="48">
        <f t="shared" si="30"/>
        <v>9</v>
      </c>
    </row>
    <row r="130" spans="1:37" ht="15.75" thickBot="1" x14ac:dyDescent="0.3">
      <c r="A130" s="173" t="s">
        <v>257</v>
      </c>
      <c r="B130" s="106">
        <v>84.2</v>
      </c>
      <c r="C130" s="106">
        <v>86.2</v>
      </c>
      <c r="D130" s="106">
        <v>85.5</v>
      </c>
      <c r="E130" s="106">
        <v>86.1</v>
      </c>
      <c r="F130" s="106">
        <v>83.2</v>
      </c>
      <c r="G130" s="106">
        <v>94.7</v>
      </c>
      <c r="H130" s="106">
        <v>95</v>
      </c>
      <c r="I130" s="106">
        <v>97.3</v>
      </c>
      <c r="J130" s="106">
        <v>102.6</v>
      </c>
      <c r="K130" s="106">
        <v>93.4</v>
      </c>
      <c r="L130" s="106">
        <v>79.900000000000006</v>
      </c>
      <c r="M130" s="106">
        <v>83</v>
      </c>
      <c r="N130" s="106">
        <v>68.7</v>
      </c>
      <c r="O130" s="106">
        <v>90.3</v>
      </c>
      <c r="P130" s="106">
        <v>114.1</v>
      </c>
      <c r="Q130" s="106">
        <v>115.6</v>
      </c>
      <c r="R130" s="106">
        <v>110.1</v>
      </c>
      <c r="S130" s="106">
        <v>112.5</v>
      </c>
      <c r="T130" s="106">
        <v>113.2</v>
      </c>
      <c r="U130" s="106">
        <v>111</v>
      </c>
      <c r="V130" s="106">
        <v>89.2</v>
      </c>
      <c r="W130" s="106">
        <v>99.1</v>
      </c>
      <c r="X130" s="106">
        <v>104</v>
      </c>
      <c r="Y130" s="106">
        <v>105</v>
      </c>
      <c r="Z130" s="106">
        <v>94</v>
      </c>
      <c r="AA130" s="106">
        <v>84</v>
      </c>
      <c r="AB130" s="106">
        <v>79</v>
      </c>
      <c r="AC130" s="106">
        <v>84</v>
      </c>
      <c r="AD130" s="106">
        <v>81</v>
      </c>
      <c r="AE130" s="106">
        <v>97</v>
      </c>
      <c r="AF130" s="106">
        <v>91</v>
      </c>
      <c r="AG130" s="114"/>
      <c r="AH130" s="47">
        <f t="shared" si="29"/>
        <v>115.6</v>
      </c>
      <c r="AI130" s="48">
        <f t="shared" si="30"/>
        <v>68.7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1984.55</v>
      </c>
      <c r="C132" s="147">
        <v>1984.78</v>
      </c>
      <c r="D132" s="147">
        <v>1985</v>
      </c>
      <c r="E132" s="147">
        <v>1985.22</v>
      </c>
      <c r="F132" s="147">
        <v>1985.45</v>
      </c>
      <c r="G132" s="147">
        <v>1985.65</v>
      </c>
      <c r="H132" s="147"/>
      <c r="I132" s="147">
        <v>1985.85</v>
      </c>
      <c r="J132" s="147"/>
      <c r="K132" s="147">
        <v>1985.85</v>
      </c>
      <c r="L132" s="147"/>
      <c r="M132" s="147">
        <v>1985.65</v>
      </c>
      <c r="N132" s="147">
        <v>1985.28</v>
      </c>
      <c r="O132" s="147">
        <v>1985.25</v>
      </c>
      <c r="P132" s="147">
        <v>1985.35</v>
      </c>
      <c r="Q132" s="147">
        <v>1985.32</v>
      </c>
      <c r="R132" s="147">
        <v>1985.38</v>
      </c>
      <c r="S132" s="147">
        <v>1985.45</v>
      </c>
      <c r="T132" s="147">
        <v>1985.52</v>
      </c>
      <c r="U132" s="147">
        <v>1985.5</v>
      </c>
      <c r="V132" s="147">
        <v>1985.4</v>
      </c>
      <c r="W132" s="147">
        <v>1985.45</v>
      </c>
      <c r="X132" s="147">
        <v>1985.45</v>
      </c>
      <c r="Y132" s="147"/>
      <c r="Z132" s="147">
        <v>1984.94</v>
      </c>
      <c r="AA132" s="147"/>
      <c r="AB132" s="147">
        <v>1984.5</v>
      </c>
      <c r="AC132" s="147"/>
      <c r="AD132" s="147">
        <v>1984.42</v>
      </c>
      <c r="AE132" s="147">
        <v>1984.5</v>
      </c>
      <c r="AF132" s="148"/>
      <c r="AG132" s="149"/>
      <c r="AH132" s="47"/>
      <c r="AI132" s="48"/>
    </row>
    <row r="133" spans="1:37" x14ac:dyDescent="0.25">
      <c r="A133" s="185" t="s">
        <v>238</v>
      </c>
      <c r="B133" s="150">
        <v>521.59</v>
      </c>
      <c r="C133" s="150">
        <v>521.94000000000005</v>
      </c>
      <c r="D133" s="150">
        <v>522.26</v>
      </c>
      <c r="E133" s="150">
        <v>522.55999999999995</v>
      </c>
      <c r="F133" s="150">
        <v>522.84</v>
      </c>
      <c r="G133" s="150">
        <v>523.14</v>
      </c>
      <c r="H133" s="150"/>
      <c r="I133" s="150">
        <v>523.22</v>
      </c>
      <c r="J133" s="150"/>
      <c r="K133" s="150">
        <v>522.9</v>
      </c>
      <c r="L133" s="150"/>
      <c r="M133" s="150">
        <v>522.70000000000005</v>
      </c>
      <c r="N133" s="150">
        <v>522.59</v>
      </c>
      <c r="O133" s="150">
        <v>522.54</v>
      </c>
      <c r="P133" s="150">
        <v>522.5</v>
      </c>
      <c r="Q133" s="150">
        <v>522.41999999999996</v>
      </c>
      <c r="R133" s="150">
        <v>522.36</v>
      </c>
      <c r="S133" s="150">
        <v>522.32000000000005</v>
      </c>
      <c r="T133" s="150">
        <v>522.29</v>
      </c>
      <c r="U133" s="150">
        <v>522.29</v>
      </c>
      <c r="V133" s="150">
        <v>522.15</v>
      </c>
      <c r="W133" s="150"/>
      <c r="X133" s="150">
        <v>522.05999999999995</v>
      </c>
      <c r="Y133" s="150"/>
      <c r="Z133" s="150">
        <v>521.69000000000005</v>
      </c>
      <c r="AA133" s="150">
        <v>521.35</v>
      </c>
      <c r="AB133" s="150">
        <v>521.35</v>
      </c>
      <c r="AC133" s="150"/>
      <c r="AD133" s="150">
        <v>521.22500000000002</v>
      </c>
      <c r="AE133" s="150">
        <v>521.16999999999996</v>
      </c>
      <c r="AF133" s="151">
        <v>521.21</v>
      </c>
      <c r="AG133" s="149"/>
      <c r="AH133" s="47"/>
      <c r="AI133" s="48"/>
    </row>
    <row r="134" spans="1:37" x14ac:dyDescent="0.25">
      <c r="A134" s="185" t="s">
        <v>239</v>
      </c>
      <c r="B134" s="150">
        <v>623.45000000000005</v>
      </c>
      <c r="C134" s="150">
        <v>623.88</v>
      </c>
      <c r="D134" s="150">
        <v>624.19000000000005</v>
      </c>
      <c r="E134" s="150">
        <v>624.58000000000004</v>
      </c>
      <c r="F134" s="150">
        <v>624.79</v>
      </c>
      <c r="G134" s="150">
        <v>625.16</v>
      </c>
      <c r="H134" s="150"/>
      <c r="I134" s="150">
        <v>625.36</v>
      </c>
      <c r="J134" s="150"/>
      <c r="K134" s="150">
        <v>625.03</v>
      </c>
      <c r="L134" s="150"/>
      <c r="M134" s="150">
        <v>624.9</v>
      </c>
      <c r="N134" s="150">
        <v>624.73</v>
      </c>
      <c r="O134" s="150">
        <v>624.54999999999995</v>
      </c>
      <c r="P134" s="150">
        <v>624.4</v>
      </c>
      <c r="Q134" s="150">
        <v>624.11</v>
      </c>
      <c r="R134" s="150">
        <v>623.92999999999995</v>
      </c>
      <c r="S134" s="150">
        <v>623.87</v>
      </c>
      <c r="T134" s="150">
        <v>623.85</v>
      </c>
      <c r="U134" s="150">
        <v>623.84</v>
      </c>
      <c r="V134" s="150">
        <v>623.84</v>
      </c>
      <c r="W134" s="150"/>
      <c r="X134" s="150">
        <v>623.91999999999996</v>
      </c>
      <c r="Y134" s="150"/>
      <c r="Z134" s="150">
        <v>623.57000000000005</v>
      </c>
      <c r="AA134" s="150"/>
      <c r="AB134" s="150">
        <v>623.1</v>
      </c>
      <c r="AC134" s="150"/>
      <c r="AD134" s="150">
        <v>622.86</v>
      </c>
      <c r="AE134" s="150"/>
      <c r="AF134" s="151">
        <v>622.24</v>
      </c>
      <c r="AG134" s="149"/>
      <c r="AH134" s="47"/>
      <c r="AI134" s="48"/>
    </row>
    <row r="135" spans="1:37" x14ac:dyDescent="0.25">
      <c r="A135" s="185" t="s">
        <v>240</v>
      </c>
      <c r="B135" s="150">
        <v>336.36</v>
      </c>
      <c r="C135" s="150">
        <v>336.8</v>
      </c>
      <c r="D135" s="150">
        <v>337.09</v>
      </c>
      <c r="E135" s="150">
        <v>337.25</v>
      </c>
      <c r="F135" s="150">
        <v>337.53</v>
      </c>
      <c r="G135" s="150">
        <v>337.61</v>
      </c>
      <c r="H135" s="150"/>
      <c r="I135" s="150">
        <v>337.45</v>
      </c>
      <c r="J135" s="150"/>
      <c r="K135" s="150">
        <v>337.17</v>
      </c>
      <c r="L135" s="150"/>
      <c r="M135" s="150">
        <v>336.81</v>
      </c>
      <c r="N135" s="150">
        <v>336.51</v>
      </c>
      <c r="O135" s="150">
        <v>336.19</v>
      </c>
      <c r="P135" s="150">
        <v>335.8</v>
      </c>
      <c r="Q135" s="150">
        <v>335.46</v>
      </c>
      <c r="R135" s="150">
        <v>335.14</v>
      </c>
      <c r="S135" s="150">
        <v>335.14</v>
      </c>
      <c r="T135" s="150">
        <v>335.12</v>
      </c>
      <c r="U135" s="150">
        <v>335.21</v>
      </c>
      <c r="V135" s="150">
        <v>335.43</v>
      </c>
      <c r="W135" s="150"/>
      <c r="X135" s="150">
        <v>335.81</v>
      </c>
      <c r="Y135" s="150"/>
      <c r="Z135" s="150">
        <v>335.89</v>
      </c>
      <c r="AA135" s="150"/>
      <c r="AB135" s="150">
        <v>335.73</v>
      </c>
      <c r="AC135" s="150"/>
      <c r="AD135" s="150">
        <v>335.57</v>
      </c>
      <c r="AE135" s="150"/>
      <c r="AF135" s="151">
        <v>335.3</v>
      </c>
      <c r="AG135" s="149"/>
      <c r="AH135" s="47"/>
      <c r="AI135" s="48"/>
    </row>
    <row r="136" spans="1:37" x14ac:dyDescent="0.25">
      <c r="A136" s="185" t="s">
        <v>384</v>
      </c>
      <c r="B136" s="150">
        <v>884</v>
      </c>
      <c r="C136" s="150">
        <v>884.8</v>
      </c>
      <c r="D136" s="150">
        <v>885.3</v>
      </c>
      <c r="E136" s="150">
        <v>885.9</v>
      </c>
      <c r="F136" s="150">
        <v>886.4</v>
      </c>
      <c r="G136" s="150">
        <v>886.9</v>
      </c>
      <c r="H136" s="150"/>
      <c r="I136" s="150">
        <v>886.9</v>
      </c>
      <c r="J136" s="150"/>
      <c r="K136" s="150">
        <v>886.8</v>
      </c>
      <c r="L136" s="150"/>
      <c r="M136" s="150">
        <v>886.8</v>
      </c>
      <c r="N136" s="150">
        <v>886.7</v>
      </c>
      <c r="O136" s="150">
        <v>886.6</v>
      </c>
      <c r="P136" s="150">
        <v>886.6</v>
      </c>
      <c r="Q136" s="150">
        <v>886.6</v>
      </c>
      <c r="R136" s="150">
        <v>886.4</v>
      </c>
      <c r="S136" s="150">
        <v>886.4</v>
      </c>
      <c r="T136" s="150">
        <v>886.3</v>
      </c>
      <c r="U136" s="150">
        <v>886.3</v>
      </c>
      <c r="V136" s="150"/>
      <c r="W136" s="150"/>
      <c r="X136" s="150">
        <v>885.9</v>
      </c>
      <c r="Y136" s="150"/>
      <c r="Z136" s="150">
        <v>885.3</v>
      </c>
      <c r="AA136" s="150"/>
      <c r="AB136" s="150">
        <v>884.5</v>
      </c>
      <c r="AC136" s="150"/>
      <c r="AD136" s="150">
        <v>884.1</v>
      </c>
      <c r="AE136" s="150"/>
      <c r="AF136" s="151"/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1519.17</v>
      </c>
      <c r="N137" s="152"/>
      <c r="O137" s="152"/>
      <c r="P137" s="152"/>
      <c r="Q137" s="152"/>
      <c r="R137" s="152">
        <v>1519.18</v>
      </c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04">SUM(B139:B243)</f>
        <v>0</v>
      </c>
      <c r="C244" s="134">
        <f t="shared" si="104"/>
        <v>0</v>
      </c>
      <c r="D244" s="134">
        <f t="shared" si="104"/>
        <v>0</v>
      </c>
      <c r="E244" s="134">
        <f t="shared" si="104"/>
        <v>0</v>
      </c>
      <c r="F244" s="134">
        <f t="shared" si="104"/>
        <v>0</v>
      </c>
      <c r="G244" s="134">
        <f t="shared" si="104"/>
        <v>0</v>
      </c>
      <c r="H244" s="134">
        <f t="shared" si="104"/>
        <v>0</v>
      </c>
      <c r="I244" s="134">
        <f t="shared" si="104"/>
        <v>0</v>
      </c>
      <c r="J244" s="134">
        <f t="shared" si="104"/>
        <v>0</v>
      </c>
      <c r="K244" s="134">
        <f t="shared" si="104"/>
        <v>0</v>
      </c>
      <c r="L244" s="134">
        <f t="shared" si="104"/>
        <v>0</v>
      </c>
      <c r="M244" s="134">
        <f t="shared" si="104"/>
        <v>0</v>
      </c>
      <c r="N244" s="134">
        <f t="shared" si="104"/>
        <v>0</v>
      </c>
      <c r="O244" s="134">
        <f t="shared" si="104"/>
        <v>0</v>
      </c>
      <c r="P244" s="134">
        <f t="shared" si="104"/>
        <v>0</v>
      </c>
      <c r="Q244" s="134">
        <f t="shared" si="104"/>
        <v>0</v>
      </c>
      <c r="R244" s="134">
        <f t="shared" si="104"/>
        <v>0</v>
      </c>
      <c r="S244" s="134">
        <f t="shared" si="104"/>
        <v>0</v>
      </c>
      <c r="T244" s="134">
        <f t="shared" si="104"/>
        <v>0</v>
      </c>
      <c r="U244" s="134">
        <f t="shared" si="104"/>
        <v>0</v>
      </c>
      <c r="V244" s="134">
        <f t="shared" si="104"/>
        <v>0</v>
      </c>
      <c r="W244" s="134">
        <f t="shared" si="104"/>
        <v>0</v>
      </c>
      <c r="X244" s="134">
        <f t="shared" si="104"/>
        <v>0</v>
      </c>
      <c r="Y244" s="134">
        <f t="shared" si="104"/>
        <v>0</v>
      </c>
      <c r="Z244" s="134">
        <f t="shared" si="104"/>
        <v>0</v>
      </c>
      <c r="AA244" s="134">
        <f t="shared" si="104"/>
        <v>0</v>
      </c>
      <c r="AB244" s="134">
        <f t="shared" si="104"/>
        <v>0</v>
      </c>
      <c r="AC244" s="134">
        <f t="shared" si="104"/>
        <v>0</v>
      </c>
      <c r="AD244" s="134">
        <f t="shared" si="104"/>
        <v>0</v>
      </c>
      <c r="AE244" s="134">
        <f t="shared" si="104"/>
        <v>0</v>
      </c>
      <c r="AF244" s="135">
        <f t="shared" si="104"/>
        <v>0</v>
      </c>
      <c r="AG244" s="136">
        <f t="shared" si="10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05">AF246</f>
        <v>0.3</v>
      </c>
      <c r="C246" s="138">
        <v>0.3</v>
      </c>
      <c r="D246" s="138">
        <f t="shared" ref="D246:S251" si="106">C246</f>
        <v>0.3</v>
      </c>
      <c r="E246" s="138">
        <f t="shared" si="106"/>
        <v>0.3</v>
      </c>
      <c r="F246" s="138">
        <f t="shared" si="106"/>
        <v>0.3</v>
      </c>
      <c r="G246" s="138">
        <f t="shared" si="106"/>
        <v>0.3</v>
      </c>
      <c r="H246" s="138">
        <f t="shared" si="106"/>
        <v>0.3</v>
      </c>
      <c r="I246" s="138">
        <f t="shared" si="106"/>
        <v>0.3</v>
      </c>
      <c r="J246" s="138">
        <f t="shared" si="106"/>
        <v>0.3</v>
      </c>
      <c r="K246" s="138">
        <f t="shared" si="106"/>
        <v>0.3</v>
      </c>
      <c r="L246" s="138">
        <f t="shared" si="106"/>
        <v>0.3</v>
      </c>
      <c r="M246" s="138">
        <f t="shared" si="106"/>
        <v>0.3</v>
      </c>
      <c r="N246" s="138">
        <f t="shared" si="106"/>
        <v>0.3</v>
      </c>
      <c r="O246" s="138">
        <f t="shared" si="106"/>
        <v>0.3</v>
      </c>
      <c r="P246" s="138">
        <f t="shared" si="106"/>
        <v>0.3</v>
      </c>
      <c r="Q246" s="138">
        <f t="shared" si="106"/>
        <v>0.3</v>
      </c>
      <c r="R246" s="138">
        <f t="shared" si="106"/>
        <v>0.3</v>
      </c>
      <c r="S246" s="138">
        <f t="shared" si="106"/>
        <v>0.3</v>
      </c>
      <c r="T246" s="138">
        <f t="shared" ref="T246:AF251" si="107">S246</f>
        <v>0.3</v>
      </c>
      <c r="U246" s="138">
        <f t="shared" si="107"/>
        <v>0.3</v>
      </c>
      <c r="V246" s="138">
        <f t="shared" si="107"/>
        <v>0.3</v>
      </c>
      <c r="W246" s="138">
        <f t="shared" si="107"/>
        <v>0.3</v>
      </c>
      <c r="X246" s="138">
        <f t="shared" si="107"/>
        <v>0.3</v>
      </c>
      <c r="Y246" s="138">
        <f t="shared" si="107"/>
        <v>0.3</v>
      </c>
      <c r="Z246" s="138">
        <f t="shared" si="107"/>
        <v>0.3</v>
      </c>
      <c r="AA246" s="138">
        <f t="shared" si="107"/>
        <v>0.3</v>
      </c>
      <c r="AB246" s="138">
        <f t="shared" si="107"/>
        <v>0.3</v>
      </c>
      <c r="AC246" s="138">
        <f t="shared" si="107"/>
        <v>0.3</v>
      </c>
      <c r="AD246" s="138">
        <f t="shared" si="107"/>
        <v>0.3</v>
      </c>
      <c r="AE246" s="138">
        <f t="shared" si="107"/>
        <v>0.3</v>
      </c>
      <c r="AF246" s="138">
        <f t="shared" si="107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05"/>
        <v>0.4</v>
      </c>
      <c r="C247" s="126">
        <v>0.4</v>
      </c>
      <c r="D247" s="126">
        <f t="shared" si="106"/>
        <v>0.4</v>
      </c>
      <c r="E247" s="126">
        <f t="shared" si="106"/>
        <v>0.4</v>
      </c>
      <c r="F247" s="126">
        <f t="shared" si="106"/>
        <v>0.4</v>
      </c>
      <c r="G247" s="126">
        <f t="shared" si="106"/>
        <v>0.4</v>
      </c>
      <c r="H247" s="126">
        <f t="shared" si="106"/>
        <v>0.4</v>
      </c>
      <c r="I247" s="126">
        <f t="shared" si="106"/>
        <v>0.4</v>
      </c>
      <c r="J247" s="126">
        <f t="shared" si="106"/>
        <v>0.4</v>
      </c>
      <c r="K247" s="126">
        <f t="shared" si="106"/>
        <v>0.4</v>
      </c>
      <c r="L247" s="126">
        <f t="shared" si="106"/>
        <v>0.4</v>
      </c>
      <c r="M247" s="126">
        <f t="shared" si="106"/>
        <v>0.4</v>
      </c>
      <c r="N247" s="126">
        <f t="shared" si="106"/>
        <v>0.4</v>
      </c>
      <c r="O247" s="126">
        <f t="shared" si="106"/>
        <v>0.4</v>
      </c>
      <c r="P247" s="126">
        <f t="shared" si="106"/>
        <v>0.4</v>
      </c>
      <c r="Q247" s="126">
        <f t="shared" si="106"/>
        <v>0.4</v>
      </c>
      <c r="R247" s="126">
        <f t="shared" si="106"/>
        <v>0.4</v>
      </c>
      <c r="S247" s="126">
        <f t="shared" si="106"/>
        <v>0.4</v>
      </c>
      <c r="T247" s="126">
        <f t="shared" si="107"/>
        <v>0.4</v>
      </c>
      <c r="U247" s="126">
        <f t="shared" si="107"/>
        <v>0.4</v>
      </c>
      <c r="V247" s="126">
        <f t="shared" si="107"/>
        <v>0.4</v>
      </c>
      <c r="W247" s="126">
        <f t="shared" si="107"/>
        <v>0.4</v>
      </c>
      <c r="X247" s="126">
        <f t="shared" si="107"/>
        <v>0.4</v>
      </c>
      <c r="Y247" s="126">
        <f t="shared" si="107"/>
        <v>0.4</v>
      </c>
      <c r="Z247" s="126">
        <f t="shared" si="107"/>
        <v>0.4</v>
      </c>
      <c r="AA247" s="126">
        <f t="shared" si="107"/>
        <v>0.4</v>
      </c>
      <c r="AB247" s="126">
        <f t="shared" si="107"/>
        <v>0.4</v>
      </c>
      <c r="AC247" s="126">
        <f t="shared" si="107"/>
        <v>0.4</v>
      </c>
      <c r="AD247" s="126">
        <f t="shared" si="107"/>
        <v>0.4</v>
      </c>
      <c r="AE247" s="126">
        <f t="shared" si="107"/>
        <v>0.4</v>
      </c>
      <c r="AF247" s="126">
        <f t="shared" si="107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05"/>
        <v>1.5</v>
      </c>
      <c r="C248" s="126">
        <v>1.5</v>
      </c>
      <c r="D248" s="126">
        <f t="shared" si="106"/>
        <v>1.5</v>
      </c>
      <c r="E248" s="126">
        <f t="shared" si="106"/>
        <v>1.5</v>
      </c>
      <c r="F248" s="126">
        <f t="shared" si="106"/>
        <v>1.5</v>
      </c>
      <c r="G248" s="126">
        <f t="shared" si="106"/>
        <v>1.5</v>
      </c>
      <c r="H248" s="126">
        <f t="shared" si="106"/>
        <v>1.5</v>
      </c>
      <c r="I248" s="126">
        <f t="shared" si="106"/>
        <v>1.5</v>
      </c>
      <c r="J248" s="126">
        <f t="shared" si="106"/>
        <v>1.5</v>
      </c>
      <c r="K248" s="126">
        <f t="shared" si="106"/>
        <v>1.5</v>
      </c>
      <c r="L248" s="126">
        <f t="shared" si="106"/>
        <v>1.5</v>
      </c>
      <c r="M248" s="126">
        <f t="shared" si="106"/>
        <v>1.5</v>
      </c>
      <c r="N248" s="126">
        <f t="shared" si="106"/>
        <v>1.5</v>
      </c>
      <c r="O248" s="126">
        <f t="shared" si="106"/>
        <v>1.5</v>
      </c>
      <c r="P248" s="126">
        <f t="shared" si="106"/>
        <v>1.5</v>
      </c>
      <c r="Q248" s="126">
        <f t="shared" si="106"/>
        <v>1.5</v>
      </c>
      <c r="R248" s="126">
        <f t="shared" si="106"/>
        <v>1.5</v>
      </c>
      <c r="S248" s="126">
        <f t="shared" si="106"/>
        <v>1.5</v>
      </c>
      <c r="T248" s="126">
        <f t="shared" si="107"/>
        <v>1.5</v>
      </c>
      <c r="U248" s="126">
        <f t="shared" si="107"/>
        <v>1.5</v>
      </c>
      <c r="V248" s="126">
        <f t="shared" si="107"/>
        <v>1.5</v>
      </c>
      <c r="W248" s="126">
        <f t="shared" si="107"/>
        <v>1.5</v>
      </c>
      <c r="X248" s="126">
        <f t="shared" si="107"/>
        <v>1.5</v>
      </c>
      <c r="Y248" s="126">
        <f t="shared" si="107"/>
        <v>1.5</v>
      </c>
      <c r="Z248" s="126">
        <f t="shared" si="107"/>
        <v>1.5</v>
      </c>
      <c r="AA248" s="126">
        <f t="shared" si="107"/>
        <v>1.5</v>
      </c>
      <c r="AB248" s="126">
        <f t="shared" si="107"/>
        <v>1.5</v>
      </c>
      <c r="AC248" s="126">
        <f t="shared" si="107"/>
        <v>1.5</v>
      </c>
      <c r="AD248" s="126">
        <f t="shared" si="107"/>
        <v>1.5</v>
      </c>
      <c r="AE248" s="126">
        <f t="shared" si="107"/>
        <v>1.5</v>
      </c>
      <c r="AF248" s="126">
        <f t="shared" si="107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05"/>
        <v>0.3</v>
      </c>
      <c r="C249" s="126">
        <v>0.3</v>
      </c>
      <c r="D249" s="126">
        <f t="shared" si="106"/>
        <v>0.3</v>
      </c>
      <c r="E249" s="126">
        <f t="shared" si="106"/>
        <v>0.3</v>
      </c>
      <c r="F249" s="126">
        <f t="shared" si="106"/>
        <v>0.3</v>
      </c>
      <c r="G249" s="126">
        <f t="shared" si="106"/>
        <v>0.3</v>
      </c>
      <c r="H249" s="126">
        <f t="shared" si="106"/>
        <v>0.3</v>
      </c>
      <c r="I249" s="126">
        <f t="shared" si="106"/>
        <v>0.3</v>
      </c>
      <c r="J249" s="126">
        <f t="shared" si="106"/>
        <v>0.3</v>
      </c>
      <c r="K249" s="126">
        <f t="shared" si="106"/>
        <v>0.3</v>
      </c>
      <c r="L249" s="126">
        <f t="shared" si="106"/>
        <v>0.3</v>
      </c>
      <c r="M249" s="126">
        <f t="shared" si="106"/>
        <v>0.3</v>
      </c>
      <c r="N249" s="126">
        <f t="shared" si="106"/>
        <v>0.3</v>
      </c>
      <c r="O249" s="126">
        <f t="shared" si="106"/>
        <v>0.3</v>
      </c>
      <c r="P249" s="126">
        <f t="shared" si="106"/>
        <v>0.3</v>
      </c>
      <c r="Q249" s="126">
        <f t="shared" si="106"/>
        <v>0.3</v>
      </c>
      <c r="R249" s="126">
        <f t="shared" si="106"/>
        <v>0.3</v>
      </c>
      <c r="S249" s="126">
        <f t="shared" si="106"/>
        <v>0.3</v>
      </c>
      <c r="T249" s="126">
        <f t="shared" si="107"/>
        <v>0.3</v>
      </c>
      <c r="U249" s="126">
        <f t="shared" si="107"/>
        <v>0.3</v>
      </c>
      <c r="V249" s="126">
        <f t="shared" si="107"/>
        <v>0.3</v>
      </c>
      <c r="W249" s="126">
        <f t="shared" si="107"/>
        <v>0.3</v>
      </c>
      <c r="X249" s="126">
        <f t="shared" si="107"/>
        <v>0.3</v>
      </c>
      <c r="Y249" s="126">
        <f t="shared" si="107"/>
        <v>0.3</v>
      </c>
      <c r="Z249" s="126">
        <f t="shared" si="107"/>
        <v>0.3</v>
      </c>
      <c r="AA249" s="126">
        <f t="shared" si="107"/>
        <v>0.3</v>
      </c>
      <c r="AB249" s="126">
        <f t="shared" si="107"/>
        <v>0.3</v>
      </c>
      <c r="AC249" s="126">
        <f t="shared" si="107"/>
        <v>0.3</v>
      </c>
      <c r="AD249" s="126">
        <f t="shared" si="107"/>
        <v>0.3</v>
      </c>
      <c r="AE249" s="126">
        <f t="shared" si="107"/>
        <v>0.3</v>
      </c>
      <c r="AF249" s="126">
        <f t="shared" si="107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05"/>
        <v>0.4</v>
      </c>
      <c r="C250" s="126">
        <v>0.4</v>
      </c>
      <c r="D250" s="126">
        <f t="shared" si="106"/>
        <v>0.4</v>
      </c>
      <c r="E250" s="126">
        <f t="shared" si="106"/>
        <v>0.4</v>
      </c>
      <c r="F250" s="126">
        <f t="shared" si="106"/>
        <v>0.4</v>
      </c>
      <c r="G250" s="126">
        <f t="shared" si="106"/>
        <v>0.4</v>
      </c>
      <c r="H250" s="126">
        <f t="shared" si="106"/>
        <v>0.4</v>
      </c>
      <c r="I250" s="126">
        <f t="shared" si="106"/>
        <v>0.4</v>
      </c>
      <c r="J250" s="126">
        <f t="shared" si="106"/>
        <v>0.4</v>
      </c>
      <c r="K250" s="126">
        <f t="shared" si="106"/>
        <v>0.4</v>
      </c>
      <c r="L250" s="126">
        <f t="shared" si="106"/>
        <v>0.4</v>
      </c>
      <c r="M250" s="126">
        <f t="shared" si="106"/>
        <v>0.4</v>
      </c>
      <c r="N250" s="126">
        <f t="shared" si="106"/>
        <v>0.4</v>
      </c>
      <c r="O250" s="126">
        <f t="shared" si="106"/>
        <v>0.4</v>
      </c>
      <c r="P250" s="126">
        <f t="shared" si="106"/>
        <v>0.4</v>
      </c>
      <c r="Q250" s="126">
        <f t="shared" si="106"/>
        <v>0.4</v>
      </c>
      <c r="R250" s="126">
        <f t="shared" si="106"/>
        <v>0.4</v>
      </c>
      <c r="S250" s="126">
        <f t="shared" si="106"/>
        <v>0.4</v>
      </c>
      <c r="T250" s="126">
        <f t="shared" si="107"/>
        <v>0.4</v>
      </c>
      <c r="U250" s="126">
        <f t="shared" si="107"/>
        <v>0.4</v>
      </c>
      <c r="V250" s="126">
        <f t="shared" si="107"/>
        <v>0.4</v>
      </c>
      <c r="W250" s="126">
        <f t="shared" si="107"/>
        <v>0.4</v>
      </c>
      <c r="X250" s="126">
        <f t="shared" si="107"/>
        <v>0.4</v>
      </c>
      <c r="Y250" s="126">
        <f t="shared" si="107"/>
        <v>0.4</v>
      </c>
      <c r="Z250" s="126">
        <f t="shared" si="107"/>
        <v>0.4</v>
      </c>
      <c r="AA250" s="126">
        <f t="shared" si="107"/>
        <v>0.4</v>
      </c>
      <c r="AB250" s="126">
        <f t="shared" si="107"/>
        <v>0.4</v>
      </c>
      <c r="AC250" s="126">
        <f t="shared" si="107"/>
        <v>0.4</v>
      </c>
      <c r="AD250" s="126">
        <f t="shared" si="107"/>
        <v>0.4</v>
      </c>
      <c r="AE250" s="126">
        <f t="shared" si="107"/>
        <v>0.4</v>
      </c>
      <c r="AF250" s="126">
        <f t="shared" si="107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05"/>
        <v>0.64</v>
      </c>
      <c r="C251" s="130">
        <v>0.64</v>
      </c>
      <c r="D251" s="130">
        <f t="shared" si="106"/>
        <v>0.64</v>
      </c>
      <c r="E251" s="130">
        <f t="shared" si="106"/>
        <v>0.64</v>
      </c>
      <c r="F251" s="130">
        <f t="shared" si="106"/>
        <v>0.64</v>
      </c>
      <c r="G251" s="130">
        <f t="shared" si="106"/>
        <v>0.64</v>
      </c>
      <c r="H251" s="130">
        <f t="shared" si="106"/>
        <v>0.64</v>
      </c>
      <c r="I251" s="130">
        <f t="shared" si="106"/>
        <v>0.64</v>
      </c>
      <c r="J251" s="130">
        <f t="shared" si="106"/>
        <v>0.64</v>
      </c>
      <c r="K251" s="130">
        <f t="shared" si="106"/>
        <v>0.64</v>
      </c>
      <c r="L251" s="130">
        <f t="shared" si="106"/>
        <v>0.64</v>
      </c>
      <c r="M251" s="130">
        <f t="shared" si="106"/>
        <v>0.64</v>
      </c>
      <c r="N251" s="130">
        <f t="shared" si="106"/>
        <v>0.64</v>
      </c>
      <c r="O251" s="130">
        <f t="shared" si="106"/>
        <v>0.64</v>
      </c>
      <c r="P251" s="130">
        <f t="shared" si="106"/>
        <v>0.64</v>
      </c>
      <c r="Q251" s="130">
        <f t="shared" si="106"/>
        <v>0.64</v>
      </c>
      <c r="R251" s="130">
        <f t="shared" si="106"/>
        <v>0.64</v>
      </c>
      <c r="S251" s="130">
        <f t="shared" si="106"/>
        <v>0.64</v>
      </c>
      <c r="T251" s="130">
        <f t="shared" si="107"/>
        <v>0.64</v>
      </c>
      <c r="U251" s="130">
        <f t="shared" si="107"/>
        <v>0.64</v>
      </c>
      <c r="V251" s="130">
        <f t="shared" si="107"/>
        <v>0.64</v>
      </c>
      <c r="W251" s="130">
        <f t="shared" si="107"/>
        <v>0.64</v>
      </c>
      <c r="X251" s="130">
        <f t="shared" si="107"/>
        <v>0.64</v>
      </c>
      <c r="Y251" s="130">
        <f t="shared" si="107"/>
        <v>0.64</v>
      </c>
      <c r="Z251" s="130">
        <f t="shared" si="107"/>
        <v>0.64</v>
      </c>
      <c r="AA251" s="130">
        <f t="shared" si="107"/>
        <v>0.64</v>
      </c>
      <c r="AB251" s="130">
        <f t="shared" si="107"/>
        <v>0.64</v>
      </c>
      <c r="AC251" s="130">
        <f t="shared" si="107"/>
        <v>0.64</v>
      </c>
      <c r="AD251" s="130">
        <f t="shared" si="107"/>
        <v>0.64</v>
      </c>
      <c r="AE251" s="130">
        <f t="shared" si="107"/>
        <v>0.64</v>
      </c>
      <c r="AF251" s="130">
        <f t="shared" si="107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08">SUM(B246:B251)</f>
        <v>3.54</v>
      </c>
      <c r="C252" s="134">
        <f t="shared" si="108"/>
        <v>3.54</v>
      </c>
      <c r="D252" s="134">
        <f t="shared" si="108"/>
        <v>3.54</v>
      </c>
      <c r="E252" s="134">
        <f t="shared" si="108"/>
        <v>3.54</v>
      </c>
      <c r="F252" s="134">
        <f t="shared" si="108"/>
        <v>3.54</v>
      </c>
      <c r="G252" s="134">
        <f t="shared" si="108"/>
        <v>3.54</v>
      </c>
      <c r="H252" s="134">
        <f t="shared" si="108"/>
        <v>3.54</v>
      </c>
      <c r="I252" s="134">
        <f t="shared" si="108"/>
        <v>3.54</v>
      </c>
      <c r="J252" s="134">
        <f t="shared" si="108"/>
        <v>3.54</v>
      </c>
      <c r="K252" s="134">
        <f t="shared" si="108"/>
        <v>3.54</v>
      </c>
      <c r="L252" s="134">
        <f t="shared" si="108"/>
        <v>3.54</v>
      </c>
      <c r="M252" s="134">
        <f t="shared" si="108"/>
        <v>3.54</v>
      </c>
      <c r="N252" s="134">
        <f t="shared" si="108"/>
        <v>3.54</v>
      </c>
      <c r="O252" s="134">
        <f t="shared" si="108"/>
        <v>3.54</v>
      </c>
      <c r="P252" s="134">
        <f t="shared" si="108"/>
        <v>3.54</v>
      </c>
      <c r="Q252" s="134">
        <f t="shared" si="108"/>
        <v>3.54</v>
      </c>
      <c r="R252" s="134">
        <f t="shared" si="108"/>
        <v>3.54</v>
      </c>
      <c r="S252" s="134">
        <f t="shared" si="108"/>
        <v>3.54</v>
      </c>
      <c r="T252" s="134">
        <f t="shared" si="108"/>
        <v>3.54</v>
      </c>
      <c r="U252" s="134">
        <f t="shared" si="108"/>
        <v>3.54</v>
      </c>
      <c r="V252" s="134">
        <f t="shared" si="108"/>
        <v>3.54</v>
      </c>
      <c r="W252" s="134">
        <f t="shared" si="108"/>
        <v>3.54</v>
      </c>
      <c r="X252" s="134">
        <f t="shared" si="108"/>
        <v>3.54</v>
      </c>
      <c r="Y252" s="134">
        <f t="shared" si="108"/>
        <v>3.54</v>
      </c>
      <c r="Z252" s="134">
        <f t="shared" si="108"/>
        <v>3.54</v>
      </c>
      <c r="AA252" s="134">
        <f t="shared" si="108"/>
        <v>3.54</v>
      </c>
      <c r="AB252" s="134">
        <f t="shared" si="108"/>
        <v>3.54</v>
      </c>
      <c r="AC252" s="134">
        <f t="shared" si="108"/>
        <v>3.54</v>
      </c>
      <c r="AD252" s="134">
        <f t="shared" si="108"/>
        <v>3.54</v>
      </c>
      <c r="AE252" s="134">
        <f t="shared" si="108"/>
        <v>3.54</v>
      </c>
      <c r="AF252" s="134">
        <f t="shared" si="108"/>
        <v>3.54</v>
      </c>
      <c r="AG252" s="143">
        <f t="shared" si="10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1678.29</v>
      </c>
      <c r="C256" s="156">
        <f>INDEX(G9:N9,1,MATCH(MAX(G99:N99),G99:N99,0))</f>
        <v>0.29166666666666669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8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2080/10/8)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2080/10/8)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109">B99</f>
        <v>1183.0899999999999</v>
      </c>
      <c r="U261" s="165">
        <f t="shared" si="109"/>
        <v>1172.69</v>
      </c>
      <c r="V261" s="165">
        <f t="shared" si="109"/>
        <v>1160.19</v>
      </c>
      <c r="W261" s="165">
        <f t="shared" si="109"/>
        <v>1147.99</v>
      </c>
      <c r="X261" s="165">
        <f t="shared" si="109"/>
        <v>1179.49</v>
      </c>
      <c r="Y261" s="165">
        <f t="shared" si="109"/>
        <v>1269.29</v>
      </c>
      <c r="Z261" s="165">
        <f t="shared" si="109"/>
        <v>1295.52</v>
      </c>
      <c r="AA261" s="165">
        <f t="shared" si="109"/>
        <v>1385.89</v>
      </c>
      <c r="AB261" s="165">
        <f t="shared" si="109"/>
        <v>1508.49</v>
      </c>
      <c r="AC261" s="165">
        <f t="shared" si="109"/>
        <v>1678.29</v>
      </c>
      <c r="AD261" s="165">
        <f t="shared" si="109"/>
        <v>1619.99</v>
      </c>
      <c r="AE261" s="165">
        <f t="shared" si="109"/>
        <v>1635.5900000000001</v>
      </c>
      <c r="AF261" s="165">
        <f t="shared" si="109"/>
        <v>1515.89</v>
      </c>
      <c r="AG261" s="165">
        <f t="shared" si="109"/>
        <v>1494.19</v>
      </c>
      <c r="AH261" s="165">
        <f t="shared" si="109"/>
        <v>1585.0900000000001</v>
      </c>
      <c r="AI261" s="165">
        <f t="shared" si="109"/>
        <v>1510.19</v>
      </c>
      <c r="AJ261" s="165">
        <f t="shared" si="109"/>
        <v>1442.79</v>
      </c>
      <c r="AK261" s="165">
        <f t="shared" si="109"/>
        <v>1455.19</v>
      </c>
      <c r="AL261" s="165">
        <f t="shared" si="109"/>
        <v>1489.5900000000001</v>
      </c>
      <c r="AM261" s="165">
        <f t="shared" si="109"/>
        <v>1459.79</v>
      </c>
      <c r="AN261" s="165">
        <f t="shared" si="109"/>
        <v>1606.29</v>
      </c>
      <c r="AO261" s="165">
        <f t="shared" si="109"/>
        <v>1559.79</v>
      </c>
      <c r="AP261" s="165">
        <f t="shared" si="109"/>
        <v>1686.5900000000001</v>
      </c>
      <c r="AQ261" s="165">
        <f t="shared" si="109"/>
        <v>1822.65</v>
      </c>
      <c r="AR261" s="165">
        <f t="shared" si="109"/>
        <v>1781.25</v>
      </c>
      <c r="AS261" s="165">
        <f t="shared" si="109"/>
        <v>1775.8899999999999</v>
      </c>
      <c r="AT261" s="165">
        <f t="shared" si="109"/>
        <v>1603.79</v>
      </c>
      <c r="AU261" s="165">
        <f t="shared" si="109"/>
        <v>1494.79</v>
      </c>
      <c r="AV261" s="165">
        <f t="shared" si="109"/>
        <v>1288.79</v>
      </c>
      <c r="AW261" s="165">
        <f t="shared" si="109"/>
        <v>1315.79</v>
      </c>
      <c r="AX261" s="165">
        <f t="shared" si="109"/>
        <v>1265.79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10">C251</f>
        <v>0.64</v>
      </c>
      <c r="C282" s="168">
        <f t="shared" si="110"/>
        <v>0.64</v>
      </c>
      <c r="D282" s="168">
        <f t="shared" si="110"/>
        <v>0.64</v>
      </c>
      <c r="E282" s="168">
        <f t="shared" si="110"/>
        <v>0.64</v>
      </c>
      <c r="F282" s="168">
        <f t="shared" si="110"/>
        <v>0.64</v>
      </c>
      <c r="G282" s="168">
        <f t="shared" si="110"/>
        <v>0.64</v>
      </c>
      <c r="H282" s="168">
        <f t="shared" si="110"/>
        <v>0.64</v>
      </c>
      <c r="I282" s="168">
        <f t="shared" si="110"/>
        <v>0.64</v>
      </c>
      <c r="J282" s="168">
        <f t="shared" si="110"/>
        <v>0.64</v>
      </c>
      <c r="K282" s="168">
        <f t="shared" si="110"/>
        <v>0.64</v>
      </c>
      <c r="L282" s="168">
        <f t="shared" si="110"/>
        <v>0.64</v>
      </c>
      <c r="M282" s="168">
        <f t="shared" si="110"/>
        <v>0.64</v>
      </c>
      <c r="N282" s="168">
        <f t="shared" si="110"/>
        <v>0.64</v>
      </c>
      <c r="O282" s="168">
        <f t="shared" si="110"/>
        <v>0.64</v>
      </c>
      <c r="P282" s="168">
        <f t="shared" si="110"/>
        <v>0.64</v>
      </c>
      <c r="Q282" s="168">
        <f t="shared" si="110"/>
        <v>0.64</v>
      </c>
      <c r="R282" s="168">
        <f t="shared" si="110"/>
        <v>0.64</v>
      </c>
      <c r="S282" s="168">
        <f t="shared" si="110"/>
        <v>0.64</v>
      </c>
      <c r="T282" s="168">
        <f t="shared" si="110"/>
        <v>0.64</v>
      </c>
      <c r="U282" s="168">
        <f t="shared" si="110"/>
        <v>0.64</v>
      </c>
      <c r="V282" s="168">
        <f t="shared" si="110"/>
        <v>0.64</v>
      </c>
      <c r="W282" s="168">
        <f t="shared" si="110"/>
        <v>0.64</v>
      </c>
      <c r="X282" s="168">
        <f t="shared" si="110"/>
        <v>0.64</v>
      </c>
      <c r="Y282" s="168">
        <f t="shared" si="110"/>
        <v>0.64</v>
      </c>
      <c r="Z282" s="168">
        <f t="shared" si="110"/>
        <v>0.64</v>
      </c>
      <c r="AA282" s="168">
        <f t="shared" si="110"/>
        <v>0.64</v>
      </c>
      <c r="AB282" s="168">
        <f t="shared" si="110"/>
        <v>0.64</v>
      </c>
      <c r="AC282" s="168">
        <f t="shared" si="110"/>
        <v>0.64</v>
      </c>
      <c r="AD282" s="168">
        <f t="shared" si="110"/>
        <v>0.64</v>
      </c>
      <c r="AE282" s="168">
        <f t="shared" si="110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851" priority="123">
      <formula>$AH11=0</formula>
    </cfRule>
  </conditionalFormatting>
  <conditionalFormatting sqref="A132:A253">
    <cfRule type="expression" dxfId="3850" priority="128">
      <formula>$AH132=0</formula>
    </cfRule>
  </conditionalFormatting>
  <conditionalFormatting sqref="B8 M8 S8 AB8">
    <cfRule type="expression" dxfId="3849" priority="238">
      <formula>C$9&lt;8/24</formula>
    </cfRule>
    <cfRule type="expression" dxfId="3848" priority="237">
      <formula>AND(C$9&gt;=8/24,C$9&lt;14/24)</formula>
    </cfRule>
    <cfRule type="expression" dxfId="3847" priority="236">
      <formula>AND(C$9&gt;=14/24,C$9&lt;20/24)</formula>
    </cfRule>
  </conditionalFormatting>
  <conditionalFormatting sqref="B11:D18 E12:J18 K13:V18">
    <cfRule type="expression" dxfId="3846" priority="23">
      <formula>B11&gt;$AG11</formula>
    </cfRule>
  </conditionalFormatting>
  <conditionalFormatting sqref="B11:D52 E12:J52 K13:V52 W20:X52">
    <cfRule type="expression" dxfId="3845" priority="24">
      <formula>B$9&gt;=20/24</formula>
    </cfRule>
    <cfRule type="expression" dxfId="3844" priority="25">
      <formula>AND(B$9&gt;=14/24,B$9&lt;20/24)</formula>
    </cfRule>
    <cfRule type="expression" dxfId="3843" priority="26">
      <formula>AND(B$9&gt;=8/24,B$9&lt;14/24)</formula>
    </cfRule>
    <cfRule type="expression" dxfId="3842" priority="27">
      <formula>B$9&lt;8/24</formula>
    </cfRule>
  </conditionalFormatting>
  <conditionalFormatting sqref="B57:D57">
    <cfRule type="expression" dxfId="3841" priority="61">
      <formula>B$9&lt;8/24</formula>
    </cfRule>
  </conditionalFormatting>
  <conditionalFormatting sqref="B59:D61">
    <cfRule type="expression" dxfId="3840" priority="41">
      <formula>AND(B$9&gt;=8/24,B$9&lt;14/24)</formula>
    </cfRule>
    <cfRule type="expression" dxfId="3839" priority="42">
      <formula>B$9&lt;8/24</formula>
    </cfRule>
    <cfRule type="expression" dxfId="3838" priority="39">
      <formula>B$9&gt;=20/24</formula>
    </cfRule>
    <cfRule type="expression" dxfId="3837" priority="40">
      <formula>AND(B$9&gt;=14/24,B$9&lt;20/24)</formula>
    </cfRule>
  </conditionalFormatting>
  <conditionalFormatting sqref="B62:D68">
    <cfRule type="expression" dxfId="3836" priority="51">
      <formula>AND(B$9&gt;=8/24,B$9&lt;14/24)</formula>
    </cfRule>
    <cfRule type="expression" dxfId="3835" priority="52">
      <formula>B$9&lt;8/24</formula>
    </cfRule>
    <cfRule type="expression" dxfId="3834" priority="50">
      <formula>AND(B$9&gt;=14/24,B$9&lt;20/24)</formula>
    </cfRule>
    <cfRule type="expression" dxfId="3833" priority="49">
      <formula>B$9&gt;=20/24</formula>
    </cfRule>
  </conditionalFormatting>
  <conditionalFormatting sqref="B71:L74">
    <cfRule type="expression" dxfId="3832" priority="21">
      <formula>AND(B$9&gt;=8/24,B$9&lt;14/24)</formula>
    </cfRule>
    <cfRule type="expression" dxfId="3831" priority="19">
      <formula>B$9&gt;=20/24</formula>
    </cfRule>
    <cfRule type="expression" dxfId="3830" priority="20">
      <formula>AND(B$9&gt;=14/24,B$9&lt;20/24)</formula>
    </cfRule>
    <cfRule type="expression" dxfId="3829" priority="22">
      <formula>B$9&lt;8/24</formula>
    </cfRule>
  </conditionalFormatting>
  <conditionalFormatting sqref="B19:V54 W20:X54">
    <cfRule type="expression" dxfId="3828" priority="13">
      <formula>B19&gt;$AG19</formula>
    </cfRule>
  </conditionalFormatting>
  <conditionalFormatting sqref="B53:X54">
    <cfRule type="expression" dxfId="3827" priority="12">
      <formula>B$9&lt;8/24</formula>
    </cfRule>
  </conditionalFormatting>
  <conditionalFormatting sqref="B55:X55">
    <cfRule type="expression" dxfId="3826" priority="33">
      <formula>B55&gt;$AG55</formula>
    </cfRule>
  </conditionalFormatting>
  <conditionalFormatting sqref="B55:X56">
    <cfRule type="expression" dxfId="3825" priority="32">
      <formula>B$9&lt;8/24</formula>
    </cfRule>
  </conditionalFormatting>
  <conditionalFormatting sqref="B9:AF10 E11:L11 V11:W11 M11:U12 X11:X19 Y11:AF52 K12:L12 V12 W12:W19">
    <cfRule type="expression" dxfId="3824" priority="151">
      <formula>B$9&lt;8/24</formula>
    </cfRule>
    <cfRule type="expression" dxfId="3823" priority="149">
      <formula>AND(B$9&gt;=14/24,B$9&lt;20/24)</formula>
    </cfRule>
    <cfRule type="expression" dxfId="3822" priority="150">
      <formula>AND(B$9&gt;=8/24,B$9&lt;14/24)</formula>
    </cfRule>
  </conditionalFormatting>
  <conditionalFormatting sqref="B53:AF54">
    <cfRule type="expression" dxfId="3821" priority="9">
      <formula>B$9&gt;=20/24</formula>
    </cfRule>
    <cfRule type="expression" dxfId="3820" priority="10">
      <formula>AND(B$9&gt;=14/24,B$9&lt;20/24)</formula>
    </cfRule>
    <cfRule type="expression" dxfId="3819" priority="11">
      <formula>AND(B$9&gt;=8/24,B$9&lt;14/24)</formula>
    </cfRule>
  </conditionalFormatting>
  <conditionalFormatting sqref="B63:AF74">
    <cfRule type="expression" dxfId="3818" priority="18">
      <formula>B63&gt;$AG63</formula>
    </cfRule>
  </conditionalFormatting>
  <conditionalFormatting sqref="B69:AF74">
    <cfRule type="expression" dxfId="3817" priority="54">
      <formula>AND(B$9&gt;=14/24,B$9&lt;20/24)</formula>
    </cfRule>
    <cfRule type="expression" dxfId="3816" priority="56">
      <formula>B$9&lt;8/24</formula>
    </cfRule>
    <cfRule type="expression" dxfId="3815" priority="55">
      <formula>AND(B$9&gt;=8/24,B$9&lt;14/24)</formula>
    </cfRule>
    <cfRule type="expression" dxfId="3814" priority="53">
      <formula>B$9&gt;=20/24</formula>
    </cfRule>
  </conditionalFormatting>
  <conditionalFormatting sqref="B77:AF79">
    <cfRule type="expression" dxfId="3813" priority="44">
      <formula>B$9&gt;=20/24</formula>
    </cfRule>
    <cfRule type="expression" dxfId="3812" priority="45">
      <formula>AND(B$9&gt;=14/24,B$9&lt;20/24)</formula>
    </cfRule>
    <cfRule type="expression" dxfId="3811" priority="46">
      <formula>AND(B$9&gt;=8/24,B$9&lt;14/24)</formula>
    </cfRule>
    <cfRule type="expression" dxfId="3810" priority="47">
      <formula>B$9&lt;8/24</formula>
    </cfRule>
    <cfRule type="expression" dxfId="3809" priority="43">
      <formula>B77&gt;$AG77</formula>
    </cfRule>
  </conditionalFormatting>
  <conditionalFormatting sqref="B81:AF99">
    <cfRule type="expression" dxfId="3808" priority="17">
      <formula>B$9&lt;8/24</formula>
    </cfRule>
    <cfRule type="expression" dxfId="3807" priority="14">
      <formula>B$9&gt;=20/24</formula>
    </cfRule>
    <cfRule type="expression" dxfId="3806" priority="15">
      <formula>AND(B$9&gt;=14/24,B$9&lt;20/24)</formula>
    </cfRule>
    <cfRule type="expression" dxfId="3805" priority="16">
      <formula>AND(B$9&gt;=8/24,B$9&lt;14/24)</formula>
    </cfRule>
  </conditionalFormatting>
  <conditionalFormatting sqref="B101:AF117">
    <cfRule type="expression" dxfId="3804" priority="5">
      <formula>B$9&gt;=20/24</formula>
    </cfRule>
    <cfRule type="expression" dxfId="3803" priority="6">
      <formula>AND(B$9&gt;=14/24,B$9&lt;20/24)</formula>
    </cfRule>
    <cfRule type="expression" dxfId="3802" priority="7">
      <formula>AND(B$9&gt;=8/24,B$9&lt;14/24)</formula>
    </cfRule>
    <cfRule type="expression" dxfId="3801" priority="8">
      <formula>B$9&lt;8/24</formula>
    </cfRule>
  </conditionalFormatting>
  <conditionalFormatting sqref="B119:AF137">
    <cfRule type="expression" dxfId="3800" priority="3">
      <formula>AND(B$9&gt;=8/24,B$9&lt;14/24)</formula>
    </cfRule>
    <cfRule type="expression" dxfId="3799" priority="4">
      <formula>B$9&lt;8/24</formula>
    </cfRule>
    <cfRule type="expression" dxfId="3798" priority="2">
      <formula>AND(B$9&gt;=14/24,B$9&lt;20/24)</formula>
    </cfRule>
    <cfRule type="expression" dxfId="3797" priority="1">
      <formula>B$9&gt;=20/24</formula>
    </cfRule>
  </conditionalFormatting>
  <conditionalFormatting sqref="B244:AF244 B246:B252 D246:AF252 U260:AF260">
    <cfRule type="expression" dxfId="3796" priority="231">
      <formula>AND(B$9&gt;=8/24,B$9&lt;14/24)</formula>
    </cfRule>
    <cfRule type="expression" dxfId="3795" priority="232">
      <formula>B$9&lt;8/24</formula>
    </cfRule>
    <cfRule type="expression" dxfId="3794" priority="230">
      <formula>AND(B$9&gt;=14/24,B$9&lt;20/24)</formula>
    </cfRule>
    <cfRule type="expression" dxfId="3793" priority="229">
      <formula>B$9&gt;=20/24</formula>
    </cfRule>
  </conditionalFormatting>
  <conditionalFormatting sqref="B62:AG62">
    <cfRule type="expression" dxfId="3792" priority="48">
      <formula>B62&gt;$AG62</formula>
    </cfRule>
  </conditionalFormatting>
  <conditionalFormatting sqref="B75:AG76 B80:AG80">
    <cfRule type="expression" dxfId="3791" priority="34">
      <formula>B75&gt;$AG75</formula>
    </cfRule>
  </conditionalFormatting>
  <conditionalFormatting sqref="B80:AG80">
    <cfRule type="expression" dxfId="3790" priority="35">
      <formula>B$9&gt;=20/24</formula>
    </cfRule>
    <cfRule type="expression" dxfId="3789" priority="38">
      <formula>B$9&lt;8/24</formula>
    </cfRule>
    <cfRule type="expression" dxfId="3788" priority="36">
      <formula>AND(B$9&gt;=14/24,B$9&lt;20/24)</formula>
    </cfRule>
    <cfRule type="expression" dxfId="3787" priority="37">
      <formula>AND(B$9&gt;=8/24,B$9&lt;14/24)</formula>
    </cfRule>
  </conditionalFormatting>
  <conditionalFormatting sqref="E63:I67 J64:J67 K67">
    <cfRule type="expression" dxfId="3786" priority="145">
      <formula>AND(E$9&gt;=8/24,E$9&lt;14/24)</formula>
    </cfRule>
    <cfRule type="expression" dxfId="3785" priority="146">
      <formula>E$9&lt;8/24</formula>
    </cfRule>
    <cfRule type="expression" dxfId="3784" priority="143">
      <formula>E$9&gt;=20/24</formula>
    </cfRule>
    <cfRule type="expression" dxfId="3783" priority="144">
      <formula>AND(E$9&gt;=14/24,E$9&lt;20/24)</formula>
    </cfRule>
  </conditionalFormatting>
  <conditionalFormatting sqref="E68:K68">
    <cfRule type="expression" dxfId="3782" priority="57">
      <formula>E$9&gt;=20/24</formula>
    </cfRule>
    <cfRule type="expression" dxfId="3781" priority="58">
      <formula>AND(E$9&gt;=14/24,E$9&lt;20/24)</formula>
    </cfRule>
    <cfRule type="expression" dxfId="3780" priority="59">
      <formula>AND(E$9&gt;=8/24,E$9&lt;14/24)</formula>
    </cfRule>
    <cfRule type="expression" dxfId="3779" priority="60">
      <formula>E$9&lt;8/24</formula>
    </cfRule>
  </conditionalFormatting>
  <conditionalFormatting sqref="E11:L11 V11:W11 M11:U12 X11:X19 Y11:AF52 K12:L12 V12 W12:W19 B9:AF10">
    <cfRule type="expression" dxfId="3778" priority="148">
      <formula>B$9&gt;=20/24</formula>
    </cfRule>
  </conditionalFormatting>
  <conditionalFormatting sqref="E11:L11 V11:W11 M11:U12 X11:X19 Y11:AF52 K12:L12 V12 W12:W19">
    <cfRule type="expression" dxfId="3777" priority="147">
      <formula>E11&gt;$AG11</formula>
    </cfRule>
  </conditionalFormatting>
  <conditionalFormatting sqref="E55:X56 B55:D57">
    <cfRule type="expression" dxfId="3776" priority="31">
      <formula>AND(B$9&gt;=8/24,B$9&lt;14/24)</formula>
    </cfRule>
    <cfRule type="expression" dxfId="3775" priority="30">
      <formula>AND(B$9&gt;=14/24,B$9&lt;20/24)</formula>
    </cfRule>
    <cfRule type="expression" dxfId="3774" priority="29">
      <formula>B$9&gt;=20/24</formula>
    </cfRule>
  </conditionalFormatting>
  <conditionalFormatting sqref="E56:X56 B56:D61">
    <cfRule type="expression" dxfId="3773" priority="28">
      <formula>B56&gt;$AG56</formula>
    </cfRule>
  </conditionalFormatting>
  <conditionalFormatting sqref="E57:X57">
    <cfRule type="expression" dxfId="3772" priority="156">
      <formula>E$9&lt;8/24</formula>
    </cfRule>
  </conditionalFormatting>
  <conditionalFormatting sqref="E59:AF61">
    <cfRule type="expression" dxfId="3771" priority="166">
      <formula>E$9&lt;8/24</formula>
    </cfRule>
    <cfRule type="expression" dxfId="3770" priority="163">
      <formula>E$9&gt;=20/24</formula>
    </cfRule>
    <cfRule type="expression" dxfId="3769" priority="164">
      <formula>AND(E$9&gt;=14/24,E$9&lt;20/24)</formula>
    </cfRule>
    <cfRule type="expression" dxfId="3768" priority="165">
      <formula>AND(E$9&gt;=8/24,E$9&lt;14/24)</formula>
    </cfRule>
  </conditionalFormatting>
  <conditionalFormatting sqref="E62:AG62">
    <cfRule type="expression" dxfId="3767" priority="176">
      <formula>E$9&lt;8/24</formula>
    </cfRule>
    <cfRule type="expression" dxfId="3766" priority="175">
      <formula>AND(E$9&gt;=8/24,E$9&lt;14/24)</formula>
    </cfRule>
    <cfRule type="expression" dxfId="3765" priority="173">
      <formula>E$9&gt;=20/24</formula>
    </cfRule>
    <cfRule type="expression" dxfId="3764" priority="174">
      <formula>AND(E$9&gt;=14/24,E$9&lt;20/24)</formula>
    </cfRule>
  </conditionalFormatting>
  <conditionalFormatting sqref="F63:L65">
    <cfRule type="expression" dxfId="3763" priority="210">
      <formula>F$9&gt;=20/24</formula>
    </cfRule>
    <cfRule type="expression" dxfId="3762" priority="213">
      <formula>F$9&lt;8/24</formula>
    </cfRule>
    <cfRule type="expression" dxfId="3761" priority="211">
      <formula>AND(F$9&gt;=14/24,F$9&lt;20/24)</formula>
    </cfRule>
    <cfRule type="expression" dxfId="3760" priority="212">
      <formula>AND(F$9&gt;=8/24,F$9&lt;14/24)</formula>
    </cfRule>
  </conditionalFormatting>
  <conditionalFormatting sqref="L68:V68">
    <cfRule type="expression" dxfId="3759" priority="190">
      <formula>L$9&lt;8/24</formula>
    </cfRule>
    <cfRule type="expression" dxfId="3758" priority="187">
      <formula>L$9&gt;=20/24</formula>
    </cfRule>
    <cfRule type="expression" dxfId="3757" priority="188">
      <formula>AND(L$9&gt;=14/24,L$9&lt;20/24)</formula>
    </cfRule>
    <cfRule type="expression" dxfId="3756" priority="189">
      <formula>AND(L$9&gt;=8/24,L$9&lt;14/24)</formula>
    </cfRule>
  </conditionalFormatting>
  <conditionalFormatting sqref="M63:V67">
    <cfRule type="expression" dxfId="3755" priority="216">
      <formula>AND(M$9&gt;=8/24,M$9&lt;14/24)</formula>
    </cfRule>
    <cfRule type="expression" dxfId="3754" priority="217">
      <formula>M$9&lt;8/24</formula>
    </cfRule>
    <cfRule type="expression" dxfId="3753" priority="214">
      <formula>M$9&gt;=20/24</formula>
    </cfRule>
    <cfRule type="expression" dxfId="3752" priority="215">
      <formula>AND(M$9&gt;=14/24,M$9&lt;20/24)</formula>
    </cfRule>
  </conditionalFormatting>
  <conditionalFormatting sqref="O3:P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751" priority="235">
      <formula>C$9&gt;=20/24</formula>
    </cfRule>
  </conditionalFormatting>
  <conditionalFormatting sqref="S8">
    <cfRule type="expression" dxfId="3750" priority="223">
      <formula>AND(U$9&gt;=14/24,U$9&lt;20/24)</formula>
    </cfRule>
    <cfRule type="expression" dxfId="3749" priority="224">
      <formula>AND(U$9&gt;=8/24,U$9&lt;14/24)</formula>
    </cfRule>
    <cfRule type="expression" dxfId="3748" priority="225">
      <formula>U$9&lt;8/24</formula>
    </cfRule>
    <cfRule type="expression" dxfId="3747" priority="222">
      <formula>U$9&gt;=20/24</formula>
    </cfRule>
  </conditionalFormatting>
  <conditionalFormatting sqref="T260">
    <cfRule type="expression" dxfId="3746" priority="247">
      <formula>AX$9&gt;=20/24</formula>
    </cfRule>
    <cfRule type="expression" dxfId="3745" priority="248">
      <formula>AND(AX$9&gt;=14/24,AX$9&lt;20/24)</formula>
    </cfRule>
    <cfRule type="expression" dxfId="3744" priority="249">
      <formula>AND(AX$9&gt;=8/24,AX$9&lt;14/24)</formula>
    </cfRule>
    <cfRule type="expression" dxfId="3743" priority="250">
      <formula>AX$9&lt;8/24</formula>
    </cfRule>
  </conditionalFormatting>
  <conditionalFormatting sqref="T63:AF68">
    <cfRule type="expression" dxfId="3742" priority="181">
      <formula>T$9&gt;=20/24</formula>
    </cfRule>
    <cfRule type="expression" dxfId="3741" priority="182">
      <formula>AND(T$9&gt;=14/24,T$9&lt;20/24)</formula>
    </cfRule>
    <cfRule type="expression" dxfId="3740" priority="183">
      <formula>AND(T$9&gt;=8/24,T$9&lt;14/24)</formula>
    </cfRule>
    <cfRule type="expression" dxfId="3739" priority="184">
      <formula>T$9&lt;8/24</formula>
    </cfRule>
  </conditionalFormatting>
  <conditionalFormatting sqref="V3 AB3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Y56:Z57 AA56:AF61 W57:X57 E57:V61 W58:Z61">
    <cfRule type="expression" dxfId="3738" priority="152">
      <formula>E56&gt;$AG56</formula>
    </cfRule>
  </conditionalFormatting>
  <conditionalFormatting sqref="Y53:AF55">
    <cfRule type="expression" dxfId="3737" priority="186">
      <formula>Y53&gt;$AG53</formula>
    </cfRule>
  </conditionalFormatting>
  <conditionalFormatting sqref="Y53:AF57">
    <cfRule type="expression" dxfId="3736" priority="185">
      <formula>Y$9&lt;8/24</formula>
    </cfRule>
  </conditionalFormatting>
  <conditionalFormatting sqref="Y55:AF57 E57:X57">
    <cfRule type="expression" dxfId="3735" priority="154">
      <formula>AND(E$9&gt;=14/24,E$9&lt;20/24)</formula>
    </cfRule>
    <cfRule type="expression" dxfId="3734" priority="155">
      <formula>AND(E$9&gt;=8/24,E$9&lt;14/24)</formula>
    </cfRule>
    <cfRule type="expression" dxfId="3733" priority="153">
      <formula>E$9&gt;=20/24</formula>
    </cfRule>
  </conditionalFormatting>
  <conditionalFormatting sqref="AB8">
    <cfRule type="expression" dxfId="3732" priority="221">
      <formula>AD$9&lt;8/24</formula>
    </cfRule>
    <cfRule type="expression" dxfId="3731" priority="220">
      <formula>AND(AD$9&gt;=8/24,AD$9&lt;14/24)</formula>
    </cfRule>
    <cfRule type="expression" dxfId="3730" priority="219">
      <formula>AND(AD$9&gt;=14/24,AD$9&lt;20/24)</formula>
    </cfRule>
    <cfRule type="expression" dxfId="3729" priority="218">
      <formula>AD$9&gt;=20/24</formula>
    </cfRule>
  </conditionalFormatting>
  <conditionalFormatting sqref="AG58">
    <cfRule type="expression" dxfId="3728" priority="205">
      <formula>AG58&gt;$AG58</formula>
    </cfRule>
  </conditionalFormatting>
  <conditionalFormatting sqref="AG97">
    <cfRule type="expression" dxfId="3727" priority="209">
      <formula>AG$9&lt;8/24</formula>
    </cfRule>
    <cfRule type="expression" dxfId="3726" priority="206">
      <formula>AG$9&gt;=20/24</formula>
    </cfRule>
    <cfRule type="expression" dxfId="3725" priority="207">
      <formula>AND(AG$9&gt;=14/24,AG$9&lt;20/24)</formula>
    </cfRule>
    <cfRule type="expression" dxfId="3724" priority="208">
      <formula>AND(AG$9&gt;=8/24,AG$9&lt;14/24)</formula>
    </cfRule>
  </conditionalFormatting>
  <conditionalFormatting sqref="AG260">
    <cfRule type="expression" dxfId="3723" priority="239">
      <formula>B$9&gt;=20/24</formula>
    </cfRule>
    <cfRule type="expression" dxfId="3722" priority="240">
      <formula>AND(B$9&gt;=14/24,B$9&lt;20/24)</formula>
    </cfRule>
    <cfRule type="expression" dxfId="3721" priority="241">
      <formula>AND(B$9&gt;=8/24,B$9&lt;14/24)</formula>
    </cfRule>
    <cfRule type="expression" dxfId="3720" priority="242">
      <formula>B$9&lt;8/24</formula>
    </cfRule>
  </conditionalFormatting>
  <conditionalFormatting sqref="AH260:AX260">
    <cfRule type="expression" dxfId="3719" priority="243">
      <formula>AG$9&gt;=20/24</formula>
    </cfRule>
    <cfRule type="expression" dxfId="3718" priority="244">
      <formula>AND(AG$9&gt;=14/24,AG$9&lt;20/24)</formula>
    </cfRule>
    <cfRule type="expression" dxfId="3717" priority="245">
      <formula>AND(AG$9&gt;=8/24,AG$9&lt;14/24)</formula>
    </cfRule>
    <cfRule type="expression" dxfId="3716" priority="246">
      <formula>AG$9&lt;8/24</formula>
    </cfRule>
  </conditionalFormatting>
  <conditionalFormatting sqref="AL4:AL6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715" priority="252">
      <formula>AJ$9&gt;=20/24</formula>
    </cfRule>
    <cfRule type="expression" dxfId="3714" priority="253">
      <formula>AND(AJ$9&gt;=14/24,AJ$9&lt;20/24)</formula>
    </cfRule>
    <cfRule type="expression" dxfId="3713" priority="254">
      <formula>AND(AJ$9&gt;=8/24,AJ$9&lt;14/24)</formula>
    </cfRule>
    <cfRule type="expression" dxfId="3712" priority="255">
      <formula>AJ$9&lt;8/24</formula>
    </cfRule>
  </conditionalFormatting>
  <conditionalFormatting sqref="AL88:AN88 AL94:AN94">
    <cfRule type="expression" dxfId="3711" priority="201">
      <formula>AL$9&lt;8/24</formula>
    </cfRule>
    <cfRule type="expression" dxfId="3710" priority="200">
      <formula>AND(AL$9&gt;=8/24,AL$9&lt;14/24)</formula>
    </cfRule>
    <cfRule type="expression" dxfId="3709" priority="199">
      <formula>AND(AL$9&gt;=14/24,AL$9&lt;20/24)</formula>
    </cfRule>
    <cfRule type="expression" dxfId="3708" priority="198">
      <formula>AL$9&gt;=20/24</formula>
    </cfRule>
  </conditionalFormatting>
  <conditionalFormatting sqref="AN89:AN92">
    <cfRule type="expression" dxfId="3707" priority="197">
      <formula>AN$9&lt;8/24</formula>
    </cfRule>
    <cfRule type="expression" dxfId="3706" priority="196">
      <formula>AND(AN$9&gt;=8/24,AN$9&lt;14/24)</formula>
    </cfRule>
    <cfRule type="expression" dxfId="3705" priority="195">
      <formula>AND(AN$9&gt;=14/24,AN$9&lt;20/24)</formula>
    </cfRule>
    <cfRule type="expression" dxfId="3704" priority="194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DE19-7029-4F20-82A5-926C6EEA6594}">
  <dimension ref="A1:CJ293"/>
  <sheetViews>
    <sheetView zoomScaleNormal="100" workbookViewId="0">
      <pane xSplit="1" ySplit="10" topLeftCell="B61" activePane="bottomRight" state="frozen"/>
      <selection activeCell="Z63" sqref="Z63"/>
      <selection pane="topRight" activeCell="Z63" sqref="Z63"/>
      <selection pane="bottomLeft" activeCell="Z63" sqref="Z63"/>
      <selection pane="bottomRight" activeCell="AK126" sqref="AK12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2080/10/9</v>
      </c>
      <c r="C4" s="272"/>
      <c r="D4" s="272"/>
      <c r="E4" s="273" t="str">
        <f ca="1">"2080/"&amp;"10/"&amp;INT(MID(CELL("filename",G6),FIND("]",CELL("filename",G6))+1,200))</f>
        <v>2080/10/9</v>
      </c>
      <c r="F4" s="273"/>
      <c r="G4" s="273"/>
      <c r="H4" s="273" t="str">
        <f ca="1">TEXT(E4,"dddd")</f>
        <v>Wednesday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601</v>
      </c>
      <c r="C5" s="30">
        <f t="shared" si="0"/>
        <v>573.9</v>
      </c>
      <c r="D5" s="30">
        <f t="shared" si="0"/>
        <v>560.70000000000005</v>
      </c>
      <c r="E5" s="30">
        <f t="shared" si="0"/>
        <v>542.1</v>
      </c>
      <c r="F5" s="30">
        <f t="shared" si="0"/>
        <v>542.1</v>
      </c>
      <c r="G5" s="30">
        <f t="shared" si="0"/>
        <v>481.8</v>
      </c>
      <c r="H5" s="30">
        <f t="shared" si="0"/>
        <v>463.79999999999995</v>
      </c>
      <c r="I5" s="30">
        <f t="shared" si="0"/>
        <v>514</v>
      </c>
      <c r="J5" s="30">
        <f t="shared" si="0"/>
        <v>514</v>
      </c>
      <c r="K5" s="30">
        <f t="shared" si="0"/>
        <v>287</v>
      </c>
      <c r="L5" s="30">
        <f t="shared" si="0"/>
        <v>274.79999999999995</v>
      </c>
      <c r="M5" s="30">
        <f t="shared" si="0"/>
        <v>421</v>
      </c>
      <c r="N5" s="30">
        <f t="shared" si="0"/>
        <v>425.3</v>
      </c>
      <c r="O5" s="30">
        <f t="shared" si="0"/>
        <v>522</v>
      </c>
      <c r="P5" s="30">
        <f t="shared" si="0"/>
        <v>560.19999999999993</v>
      </c>
      <c r="Q5" s="30">
        <f t="shared" si="0"/>
        <v>617</v>
      </c>
      <c r="R5" s="30">
        <f t="shared" si="0"/>
        <v>664.99999999999989</v>
      </c>
      <c r="S5" s="30">
        <f t="shared" si="0"/>
        <v>660.2</v>
      </c>
      <c r="T5" s="30">
        <f t="shared" si="0"/>
        <v>616.1</v>
      </c>
      <c r="U5" s="30">
        <f t="shared" si="0"/>
        <v>560.9</v>
      </c>
      <c r="V5" s="30">
        <f t="shared" si="0"/>
        <v>540</v>
      </c>
      <c r="W5" s="30">
        <f t="shared" si="0"/>
        <v>505.2</v>
      </c>
      <c r="X5" s="30">
        <f t="shared" si="0"/>
        <v>393.4</v>
      </c>
      <c r="Y5" s="30">
        <f t="shared" si="0"/>
        <v>325.60000000000002</v>
      </c>
      <c r="Z5" s="30">
        <f t="shared" si="0"/>
        <v>413.5</v>
      </c>
      <c r="AA5" s="30">
        <f t="shared" si="0"/>
        <v>478.2</v>
      </c>
      <c r="AB5" s="30">
        <f t="shared" si="0"/>
        <v>465</v>
      </c>
      <c r="AC5" s="30">
        <f t="shared" si="0"/>
        <v>581</v>
      </c>
      <c r="AD5" s="30">
        <f t="shared" si="0"/>
        <v>637</v>
      </c>
      <c r="AE5" s="30">
        <f t="shared" si="0"/>
        <v>594</v>
      </c>
      <c r="AF5" s="30">
        <f>B92</f>
        <v>551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1658MW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Load=1144</v>
      </c>
      <c r="B7" s="35">
        <f>B100</f>
        <v>1234.49</v>
      </c>
      <c r="C7" s="35">
        <f t="shared" ref="C7:AF7" si="1">C100</f>
        <v>1207.8899999999999</v>
      </c>
      <c r="D7" s="35">
        <f t="shared" si="1"/>
        <v>1178.29</v>
      </c>
      <c r="E7" s="35">
        <f t="shared" si="1"/>
        <v>1165.29</v>
      </c>
      <c r="F7" s="35">
        <f t="shared" si="1"/>
        <v>1143.79</v>
      </c>
      <c r="G7" s="35">
        <f t="shared" si="1"/>
        <v>1143.79</v>
      </c>
      <c r="H7" s="35">
        <f t="shared" si="1"/>
        <v>1216.49</v>
      </c>
      <c r="I7" s="35">
        <f t="shared" si="1"/>
        <v>1281.69</v>
      </c>
      <c r="J7" s="35">
        <f t="shared" si="1"/>
        <v>1429.99</v>
      </c>
      <c r="K7" s="35">
        <f t="shared" si="1"/>
        <v>1528.99</v>
      </c>
      <c r="L7" s="35">
        <f t="shared" si="1"/>
        <v>1340.19</v>
      </c>
      <c r="M7" s="35">
        <f t="shared" si="1"/>
        <v>1622.29</v>
      </c>
      <c r="N7" s="35">
        <f t="shared" si="1"/>
        <v>1658.49</v>
      </c>
      <c r="O7" s="35">
        <f t="shared" si="1"/>
        <v>1525.09</v>
      </c>
      <c r="P7" s="35">
        <f t="shared" si="1"/>
        <v>1584.79</v>
      </c>
      <c r="Q7" s="35">
        <f t="shared" si="1"/>
        <v>1508.4899999999998</v>
      </c>
      <c r="R7" s="35">
        <f t="shared" si="1"/>
        <v>1463.29</v>
      </c>
      <c r="S7" s="35">
        <f t="shared" si="1"/>
        <v>1479.4899999999998</v>
      </c>
      <c r="T7" s="35">
        <f t="shared" si="1"/>
        <v>1509.59</v>
      </c>
      <c r="U7" s="35">
        <f t="shared" si="1"/>
        <v>1458.19</v>
      </c>
      <c r="V7" s="35">
        <f t="shared" si="1"/>
        <v>1255.69</v>
      </c>
      <c r="W7" s="35">
        <f t="shared" si="1"/>
        <v>1291.49</v>
      </c>
      <c r="X7" s="35">
        <f t="shared" si="1"/>
        <v>1590.3899999999999</v>
      </c>
      <c r="Y7" s="35">
        <f t="shared" si="1"/>
        <v>1757.3899999999999</v>
      </c>
      <c r="Z7" s="35">
        <f t="shared" si="1"/>
        <v>1614.19</v>
      </c>
      <c r="AA7" s="35">
        <f t="shared" si="1"/>
        <v>1586.89</v>
      </c>
      <c r="AB7" s="35">
        <f t="shared" si="1"/>
        <v>1616.0900000000001</v>
      </c>
      <c r="AC7" s="35">
        <f t="shared" si="1"/>
        <v>1552.89</v>
      </c>
      <c r="AD7" s="35">
        <f t="shared" si="1"/>
        <v>1568.89</v>
      </c>
      <c r="AE7" s="35">
        <f t="shared" si="1"/>
        <v>1279.8900000000001</v>
      </c>
      <c r="AF7" s="35">
        <f t="shared" si="1"/>
        <v>1209.69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</v>
      </c>
      <c r="C11" s="45">
        <v>28.5</v>
      </c>
      <c r="D11" s="45">
        <v>28.4</v>
      </c>
      <c r="E11" s="45">
        <v>28.4</v>
      </c>
      <c r="F11" s="45">
        <v>28.4</v>
      </c>
      <c r="G11" s="45">
        <v>28.4</v>
      </c>
      <c r="H11" s="45">
        <v>28.4</v>
      </c>
      <c r="I11" s="45">
        <v>27.8</v>
      </c>
      <c r="J11" s="45">
        <v>27.8</v>
      </c>
      <c r="K11" s="45">
        <v>27.8</v>
      </c>
      <c r="L11" s="45">
        <v>27.8</v>
      </c>
      <c r="M11" s="45">
        <v>27.8</v>
      </c>
      <c r="N11" s="45">
        <v>27.8</v>
      </c>
      <c r="O11" s="45">
        <v>27.8</v>
      </c>
      <c r="P11" s="45">
        <v>27.8</v>
      </c>
      <c r="Q11" s="45">
        <v>27.8</v>
      </c>
      <c r="R11" s="45">
        <v>27.8</v>
      </c>
      <c r="S11" s="45">
        <v>27.8</v>
      </c>
      <c r="T11" s="45">
        <v>27.8</v>
      </c>
      <c r="U11" s="45">
        <v>27.8</v>
      </c>
      <c r="V11" s="45">
        <v>27.8</v>
      </c>
      <c r="W11" s="45">
        <v>27.8</v>
      </c>
      <c r="X11" s="45">
        <v>27.8</v>
      </c>
      <c r="Y11" s="45">
        <v>27.8</v>
      </c>
      <c r="Z11" s="45">
        <v>27.8</v>
      </c>
      <c r="AA11" s="45">
        <v>27.8</v>
      </c>
      <c r="AB11" s="45">
        <v>27.8</v>
      </c>
      <c r="AC11" s="45">
        <v>27.8</v>
      </c>
      <c r="AD11" s="45">
        <v>27.8</v>
      </c>
      <c r="AE11" s="45">
        <v>27.8</v>
      </c>
      <c r="AF11" s="45">
        <v>27.8</v>
      </c>
      <c r="AG11" s="46">
        <v>86</v>
      </c>
      <c r="AH11" s="47">
        <f t="shared" ref="AH11:AH84" si="2">MAX(B11:AF11)</f>
        <v>28.5</v>
      </c>
      <c r="AI11" s="48">
        <f t="shared" ref="AI11:AI8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10</v>
      </c>
      <c r="C12" s="45">
        <v>10</v>
      </c>
      <c r="D12" s="45">
        <v>10</v>
      </c>
      <c r="E12" s="45">
        <v>10</v>
      </c>
      <c r="F12" s="45">
        <v>10</v>
      </c>
      <c r="G12" s="45">
        <v>10</v>
      </c>
      <c r="H12" s="45">
        <v>10</v>
      </c>
      <c r="I12" s="45">
        <v>10</v>
      </c>
      <c r="J12" s="45">
        <v>10</v>
      </c>
      <c r="K12" s="45">
        <v>10</v>
      </c>
      <c r="L12" s="45">
        <v>10</v>
      </c>
      <c r="M12" s="45">
        <v>7.8</v>
      </c>
      <c r="N12" s="45">
        <v>7.8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10</v>
      </c>
      <c r="AI12" s="48">
        <f t="shared" si="3"/>
        <v>7.8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11</v>
      </c>
      <c r="C13" s="45">
        <v>11</v>
      </c>
      <c r="D13" s="45">
        <v>11</v>
      </c>
      <c r="E13" s="45">
        <v>11</v>
      </c>
      <c r="F13" s="45">
        <v>11</v>
      </c>
      <c r="G13" s="45">
        <v>11</v>
      </c>
      <c r="H13" s="45">
        <v>11</v>
      </c>
      <c r="I13" s="45">
        <v>11</v>
      </c>
      <c r="J13" s="45">
        <v>11</v>
      </c>
      <c r="K13" s="45">
        <v>11</v>
      </c>
      <c r="L13" s="45">
        <v>11</v>
      </c>
      <c r="M13" s="45">
        <v>11</v>
      </c>
      <c r="N13" s="45">
        <v>11</v>
      </c>
      <c r="O13" s="45">
        <v>11</v>
      </c>
      <c r="P13" s="45">
        <v>11</v>
      </c>
      <c r="Q13" s="45">
        <v>11</v>
      </c>
      <c r="R13" s="45">
        <v>11</v>
      </c>
      <c r="S13" s="45">
        <v>11</v>
      </c>
      <c r="T13" s="45">
        <v>11</v>
      </c>
      <c r="U13" s="45">
        <v>11</v>
      </c>
      <c r="V13" s="45">
        <v>11</v>
      </c>
      <c r="W13" s="45">
        <v>11</v>
      </c>
      <c r="X13" s="45">
        <v>11</v>
      </c>
      <c r="Y13" s="45">
        <v>11</v>
      </c>
      <c r="Z13" s="45">
        <v>11</v>
      </c>
      <c r="AA13" s="45">
        <v>11</v>
      </c>
      <c r="AB13" s="45">
        <v>11</v>
      </c>
      <c r="AC13" s="45">
        <v>11</v>
      </c>
      <c r="AD13" s="45">
        <v>11</v>
      </c>
      <c r="AE13" s="45">
        <v>11</v>
      </c>
      <c r="AF13" s="45">
        <v>11</v>
      </c>
      <c r="AG13" s="49">
        <v>54</v>
      </c>
      <c r="AH13" s="47">
        <f t="shared" si="2"/>
        <v>11</v>
      </c>
      <c r="AI13" s="48">
        <f t="shared" si="3"/>
        <v>11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21</v>
      </c>
      <c r="B14" s="45">
        <v>13.2</v>
      </c>
      <c r="C14" s="45">
        <v>16.3</v>
      </c>
      <c r="D14" s="45">
        <v>16.3</v>
      </c>
      <c r="E14" s="45">
        <v>16.3</v>
      </c>
      <c r="F14" s="45">
        <v>16.3</v>
      </c>
      <c r="G14" s="45">
        <v>16.3</v>
      </c>
      <c r="H14" s="45">
        <v>16.3</v>
      </c>
      <c r="I14" s="45">
        <v>14.3</v>
      </c>
      <c r="J14" s="45">
        <v>14.3</v>
      </c>
      <c r="K14" s="45">
        <v>14.3</v>
      </c>
      <c r="L14" s="45">
        <v>14.3</v>
      </c>
      <c r="M14" s="45">
        <v>14.3</v>
      </c>
      <c r="N14" s="45">
        <v>14.3</v>
      </c>
      <c r="O14" s="45">
        <v>0</v>
      </c>
      <c r="P14" s="45">
        <v>13</v>
      </c>
      <c r="Q14" s="45">
        <v>13</v>
      </c>
      <c r="R14" s="45">
        <v>13</v>
      </c>
      <c r="S14" s="45">
        <v>13</v>
      </c>
      <c r="T14" s="45">
        <v>13</v>
      </c>
      <c r="U14" s="45">
        <v>13</v>
      </c>
      <c r="V14" s="45">
        <v>13</v>
      </c>
      <c r="W14" s="45">
        <v>13</v>
      </c>
      <c r="X14" s="45">
        <v>13</v>
      </c>
      <c r="Y14" s="45">
        <v>13</v>
      </c>
      <c r="Z14" s="45">
        <v>13</v>
      </c>
      <c r="AA14" s="45">
        <v>13</v>
      </c>
      <c r="AB14" s="45">
        <v>13</v>
      </c>
      <c r="AC14" s="45">
        <v>13</v>
      </c>
      <c r="AD14" s="45">
        <v>13</v>
      </c>
      <c r="AE14" s="45">
        <v>13</v>
      </c>
      <c r="AF14" s="45">
        <v>13</v>
      </c>
      <c r="AG14" s="46">
        <v>52.4</v>
      </c>
      <c r="AH14" s="47">
        <f t="shared" si="2"/>
        <v>16.3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22</v>
      </c>
      <c r="B15" s="45">
        <v>29.7</v>
      </c>
      <c r="C15" s="45">
        <v>28.8</v>
      </c>
      <c r="D15" s="45">
        <v>28.8</v>
      </c>
      <c r="E15" s="45">
        <v>28.8</v>
      </c>
      <c r="F15" s="45">
        <v>28.8</v>
      </c>
      <c r="G15" s="45">
        <v>28.8</v>
      </c>
      <c r="H15" s="45">
        <v>28.8</v>
      </c>
      <c r="I15" s="45">
        <v>28.8</v>
      </c>
      <c r="J15" s="45">
        <v>28.8</v>
      </c>
      <c r="K15" s="45">
        <v>28.8</v>
      </c>
      <c r="L15" s="45">
        <v>28.8</v>
      </c>
      <c r="M15" s="45">
        <v>28.8</v>
      </c>
      <c r="N15" s="45">
        <v>28.8</v>
      </c>
      <c r="O15" s="45">
        <v>28.8</v>
      </c>
      <c r="P15" s="45">
        <v>28.8</v>
      </c>
      <c r="Q15" s="45">
        <v>28.8</v>
      </c>
      <c r="R15" s="45">
        <v>28.8</v>
      </c>
      <c r="S15" s="45">
        <v>28.8</v>
      </c>
      <c r="T15" s="45">
        <v>28.8</v>
      </c>
      <c r="U15" s="45">
        <v>28.8</v>
      </c>
      <c r="V15" s="45">
        <v>28.8</v>
      </c>
      <c r="W15" s="45">
        <v>28.8</v>
      </c>
      <c r="X15" s="45">
        <v>28.8</v>
      </c>
      <c r="Y15" s="45">
        <v>28.8</v>
      </c>
      <c r="Z15" s="45">
        <v>28.8</v>
      </c>
      <c r="AA15" s="45">
        <v>28.8</v>
      </c>
      <c r="AB15" s="45">
        <v>28.8</v>
      </c>
      <c r="AC15" s="45">
        <v>28.8</v>
      </c>
      <c r="AD15" s="45">
        <v>28.8</v>
      </c>
      <c r="AE15" s="45">
        <v>28.8</v>
      </c>
      <c r="AF15" s="45">
        <v>28.8</v>
      </c>
      <c r="AG15" s="49">
        <v>50</v>
      </c>
      <c r="AH15" s="47">
        <f t="shared" si="2"/>
        <v>29.7</v>
      </c>
      <c r="AI15" s="48">
        <f t="shared" si="3"/>
        <v>28.8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16.899999999999999</v>
      </c>
      <c r="C16" s="45">
        <v>16.899999999999999</v>
      </c>
      <c r="D16" s="45">
        <v>16.899999999999999</v>
      </c>
      <c r="E16" s="45">
        <v>16.899999999999999</v>
      </c>
      <c r="F16" s="45">
        <v>16.899999999999999</v>
      </c>
      <c r="G16" s="45">
        <v>16.899999999999999</v>
      </c>
      <c r="H16" s="45">
        <v>16.899999999999999</v>
      </c>
      <c r="I16" s="45">
        <v>16.899999999999999</v>
      </c>
      <c r="J16" s="45">
        <v>16.899999999999999</v>
      </c>
      <c r="K16" s="45">
        <v>16.899999999999999</v>
      </c>
      <c r="L16" s="45">
        <v>16.899999999999999</v>
      </c>
      <c r="M16" s="45">
        <v>16.899999999999999</v>
      </c>
      <c r="N16" s="45">
        <v>16.899999999999999</v>
      </c>
      <c r="O16" s="45">
        <v>16.899999999999999</v>
      </c>
      <c r="P16" s="45">
        <v>16.899999999999999</v>
      </c>
      <c r="Q16" s="45">
        <v>16.899999999999999</v>
      </c>
      <c r="R16" s="45">
        <v>16.899999999999999</v>
      </c>
      <c r="S16" s="45">
        <v>16.899999999999999</v>
      </c>
      <c r="T16" s="45">
        <v>16.899999999999999</v>
      </c>
      <c r="U16" s="45">
        <v>16.899999999999999</v>
      </c>
      <c r="V16" s="45">
        <v>16.899999999999999</v>
      </c>
      <c r="W16" s="45">
        <v>16.899999999999999</v>
      </c>
      <c r="X16" s="45">
        <v>16.899999999999999</v>
      </c>
      <c r="Y16" s="45">
        <v>16.899999999999999</v>
      </c>
      <c r="Z16" s="45">
        <v>16.899999999999999</v>
      </c>
      <c r="AA16" s="45">
        <v>16.899999999999999</v>
      </c>
      <c r="AB16" s="45">
        <v>16.899999999999999</v>
      </c>
      <c r="AC16" s="45">
        <v>16.899999999999999</v>
      </c>
      <c r="AD16" s="45">
        <v>16.899999999999999</v>
      </c>
      <c r="AE16" s="45">
        <v>16.899999999999999</v>
      </c>
      <c r="AF16" s="45">
        <v>16.899999999999999</v>
      </c>
      <c r="AG16" s="49">
        <v>45</v>
      </c>
      <c r="AH16" s="47">
        <f t="shared" si="2"/>
        <v>16.899999999999999</v>
      </c>
      <c r="AI16" s="48">
        <f t="shared" si="3"/>
        <v>16.899999999999999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8</v>
      </c>
      <c r="AI18" s="48">
        <f t="shared" si="3"/>
        <v>7.5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12.2</v>
      </c>
      <c r="C19" s="45">
        <v>12.2</v>
      </c>
      <c r="D19" s="45">
        <v>12.2</v>
      </c>
      <c r="E19" s="45">
        <v>12.2</v>
      </c>
      <c r="F19" s="45">
        <v>12.2</v>
      </c>
      <c r="G19" s="45">
        <v>12.2</v>
      </c>
      <c r="H19" s="45">
        <v>12.2</v>
      </c>
      <c r="I19" s="45">
        <v>12.2</v>
      </c>
      <c r="J19" s="45">
        <v>12.2</v>
      </c>
      <c r="K19" s="45">
        <v>12.2</v>
      </c>
      <c r="L19" s="45">
        <v>12.2</v>
      </c>
      <c r="M19" s="45">
        <v>12.2</v>
      </c>
      <c r="N19" s="45">
        <v>12.2</v>
      </c>
      <c r="O19" s="45">
        <v>13.2</v>
      </c>
      <c r="P19" s="45">
        <v>13.2</v>
      </c>
      <c r="Q19" s="45">
        <v>13.2</v>
      </c>
      <c r="R19" s="45">
        <v>13.2</v>
      </c>
      <c r="S19" s="45">
        <v>13.2</v>
      </c>
      <c r="T19" s="45">
        <v>13.2</v>
      </c>
      <c r="U19" s="45">
        <v>13.2</v>
      </c>
      <c r="V19" s="45">
        <v>13.2</v>
      </c>
      <c r="W19" s="45">
        <v>13.2</v>
      </c>
      <c r="X19" s="45">
        <v>13.2</v>
      </c>
      <c r="Y19" s="45">
        <v>13.2</v>
      </c>
      <c r="Z19" s="45">
        <v>13.2</v>
      </c>
      <c r="AA19" s="45">
        <v>13.2</v>
      </c>
      <c r="AB19" s="45">
        <v>13.2</v>
      </c>
      <c r="AC19" s="45">
        <v>13.2</v>
      </c>
      <c r="AD19" s="45">
        <v>13.2</v>
      </c>
      <c r="AE19" s="45">
        <v>13.2</v>
      </c>
      <c r="AF19" s="45">
        <v>13.2</v>
      </c>
      <c r="AG19" s="49">
        <v>38.46</v>
      </c>
      <c r="AH19" s="47">
        <f t="shared" si="2"/>
        <v>13.2</v>
      </c>
      <c r="AI19" s="48">
        <f t="shared" si="3"/>
        <v>12.2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8.8000000000000007</v>
      </c>
      <c r="C22" s="45">
        <v>7.8</v>
      </c>
      <c r="D22" s="45">
        <v>7.8</v>
      </c>
      <c r="E22" s="45">
        <v>7.8</v>
      </c>
      <c r="F22" s="45">
        <v>7.5</v>
      </c>
      <c r="G22" s="45">
        <v>7.5</v>
      </c>
      <c r="H22" s="45">
        <v>7.5</v>
      </c>
      <c r="I22" s="45">
        <v>7.3</v>
      </c>
      <c r="J22" s="45">
        <v>7.3</v>
      </c>
      <c r="K22" s="45">
        <v>7.3</v>
      </c>
      <c r="L22" s="45">
        <v>7.3</v>
      </c>
      <c r="M22" s="45">
        <v>7.3</v>
      </c>
      <c r="N22" s="45">
        <v>7.3</v>
      </c>
      <c r="O22" s="45">
        <v>7.3</v>
      </c>
      <c r="P22" s="45">
        <v>7.3</v>
      </c>
      <c r="Q22" s="45">
        <v>7.3</v>
      </c>
      <c r="R22" s="45">
        <v>7.3</v>
      </c>
      <c r="S22" s="45">
        <v>7.3</v>
      </c>
      <c r="T22" s="45">
        <v>7.3</v>
      </c>
      <c r="U22" s="45">
        <v>7.3</v>
      </c>
      <c r="V22" s="45">
        <v>7.3</v>
      </c>
      <c r="W22" s="45">
        <v>7.3</v>
      </c>
      <c r="X22" s="45">
        <v>7.3</v>
      </c>
      <c r="Y22" s="45">
        <v>7.3</v>
      </c>
      <c r="Z22" s="45">
        <v>7.3</v>
      </c>
      <c r="AA22" s="45">
        <v>7.3</v>
      </c>
      <c r="AB22" s="45">
        <v>7.3</v>
      </c>
      <c r="AC22" s="45">
        <v>7.3</v>
      </c>
      <c r="AD22" s="45">
        <v>7.3</v>
      </c>
      <c r="AE22" s="45">
        <v>7.3</v>
      </c>
      <c r="AF22" s="45">
        <v>7.3</v>
      </c>
      <c r="AG22" s="52">
        <v>30</v>
      </c>
      <c r="AH22" s="47">
        <f t="shared" si="2"/>
        <v>8.8000000000000007</v>
      </c>
      <c r="AI22" s="48">
        <f t="shared" si="3"/>
        <v>7.3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6.2</v>
      </c>
      <c r="P23" s="45">
        <v>6.2</v>
      </c>
      <c r="Q23" s="45">
        <v>6.2</v>
      </c>
      <c r="R23" s="45">
        <v>6.2</v>
      </c>
      <c r="S23" s="45">
        <v>6.2</v>
      </c>
      <c r="T23" s="45">
        <v>6.2</v>
      </c>
      <c r="U23" s="45">
        <v>6.2</v>
      </c>
      <c r="V23" s="45">
        <v>6.2</v>
      </c>
      <c r="W23" s="45">
        <v>6.2</v>
      </c>
      <c r="X23" s="45">
        <v>6.2</v>
      </c>
      <c r="Y23" s="45">
        <v>6.2</v>
      </c>
      <c r="Z23" s="45">
        <v>6.2</v>
      </c>
      <c r="AA23" s="45">
        <v>6.2</v>
      </c>
      <c r="AB23" s="45">
        <v>6.2</v>
      </c>
      <c r="AC23" s="45">
        <v>6.2</v>
      </c>
      <c r="AD23" s="45">
        <v>6.2</v>
      </c>
      <c r="AE23" s="45">
        <v>6.2</v>
      </c>
      <c r="AF23" s="45">
        <v>6.2</v>
      </c>
      <c r="AG23" s="49">
        <v>24.2</v>
      </c>
      <c r="AH23" s="47">
        <f t="shared" si="2"/>
        <v>9</v>
      </c>
      <c r="AI23" s="48">
        <f t="shared" si="3"/>
        <v>6.2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9</v>
      </c>
      <c r="C24" s="45">
        <v>9</v>
      </c>
      <c r="D24" s="45">
        <v>9</v>
      </c>
      <c r="E24" s="45">
        <v>9</v>
      </c>
      <c r="F24" s="45">
        <v>9</v>
      </c>
      <c r="G24" s="45">
        <v>9</v>
      </c>
      <c r="H24" s="45">
        <v>9</v>
      </c>
      <c r="I24" s="45">
        <v>9</v>
      </c>
      <c r="J24" s="45">
        <v>9</v>
      </c>
      <c r="K24" s="45">
        <v>9</v>
      </c>
      <c r="L24" s="45">
        <v>9</v>
      </c>
      <c r="M24" s="45">
        <v>7.5</v>
      </c>
      <c r="N24" s="45">
        <v>7.5</v>
      </c>
      <c r="O24" s="45">
        <v>7.5</v>
      </c>
      <c r="P24" s="45">
        <v>7.5</v>
      </c>
      <c r="Q24" s="45">
        <v>7.5</v>
      </c>
      <c r="R24" s="45">
        <v>7.5</v>
      </c>
      <c r="S24" s="45">
        <v>7.5</v>
      </c>
      <c r="T24" s="45">
        <v>7.5</v>
      </c>
      <c r="U24" s="45">
        <v>7.5</v>
      </c>
      <c r="V24" s="45">
        <v>7.5</v>
      </c>
      <c r="W24" s="45">
        <v>7.5</v>
      </c>
      <c r="X24" s="45">
        <v>7.5</v>
      </c>
      <c r="Y24" s="45">
        <v>7.5</v>
      </c>
      <c r="Z24" s="45">
        <v>7.5</v>
      </c>
      <c r="AA24" s="45">
        <v>7.5</v>
      </c>
      <c r="AB24" s="45">
        <v>7.5</v>
      </c>
      <c r="AC24" s="45">
        <v>7.5</v>
      </c>
      <c r="AD24" s="45">
        <v>7.5</v>
      </c>
      <c r="AE24" s="45">
        <v>7.5</v>
      </c>
      <c r="AF24" s="45">
        <v>7.5</v>
      </c>
      <c r="AG24" s="49">
        <v>28</v>
      </c>
      <c r="AH24" s="47">
        <f t="shared" si="2"/>
        <v>9</v>
      </c>
      <c r="AI24" s="48">
        <f t="shared" si="3"/>
        <v>7.5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7.3</v>
      </c>
      <c r="C25" s="45">
        <v>7.4</v>
      </c>
      <c r="D25" s="45">
        <v>7.4</v>
      </c>
      <c r="E25" s="45">
        <v>7.4</v>
      </c>
      <c r="F25" s="45">
        <v>6</v>
      </c>
      <c r="G25" s="45">
        <v>6</v>
      </c>
      <c r="H25" s="45">
        <v>6</v>
      </c>
      <c r="I25" s="45">
        <v>6</v>
      </c>
      <c r="J25" s="45">
        <v>6</v>
      </c>
      <c r="K25" s="45">
        <v>6</v>
      </c>
      <c r="L25" s="45">
        <v>6</v>
      </c>
      <c r="M25" s="45">
        <v>6</v>
      </c>
      <c r="N25" s="45">
        <v>6</v>
      </c>
      <c r="O25" s="45">
        <v>6</v>
      </c>
      <c r="P25" s="45">
        <v>6</v>
      </c>
      <c r="Q25" s="45">
        <v>6</v>
      </c>
      <c r="R25" s="45">
        <v>6</v>
      </c>
      <c r="S25" s="45">
        <v>6</v>
      </c>
      <c r="T25" s="45">
        <v>6</v>
      </c>
      <c r="U25" s="45">
        <v>6</v>
      </c>
      <c r="V25" s="45">
        <v>6</v>
      </c>
      <c r="W25" s="45">
        <v>6</v>
      </c>
      <c r="X25" s="45">
        <v>6</v>
      </c>
      <c r="Y25" s="45">
        <v>6</v>
      </c>
      <c r="Z25" s="45">
        <v>6</v>
      </c>
      <c r="AA25" s="45">
        <v>6</v>
      </c>
      <c r="AB25" s="45">
        <v>6</v>
      </c>
      <c r="AC25" s="45">
        <v>6</v>
      </c>
      <c r="AD25" s="45">
        <v>6</v>
      </c>
      <c r="AE25" s="45">
        <v>6</v>
      </c>
      <c r="AF25" s="45">
        <v>6</v>
      </c>
      <c r="AG25" s="52">
        <v>30</v>
      </c>
      <c r="AH25" s="47">
        <f t="shared" si="2"/>
        <v>7.4</v>
      </c>
      <c r="AI25" s="48">
        <f t="shared" si="3"/>
        <v>6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8.4</v>
      </c>
      <c r="C26" s="45">
        <v>8.1999999999999993</v>
      </c>
      <c r="D26" s="45">
        <v>8.1999999999999993</v>
      </c>
      <c r="E26" s="45">
        <v>8.1999999999999993</v>
      </c>
      <c r="F26" s="45">
        <v>8.1999999999999993</v>
      </c>
      <c r="G26" s="45">
        <v>8.1999999999999993</v>
      </c>
      <c r="H26" s="45">
        <v>8.1999999999999993</v>
      </c>
      <c r="I26" s="45">
        <v>8.1999999999999993</v>
      </c>
      <c r="J26" s="45">
        <v>8.1999999999999993</v>
      </c>
      <c r="K26" s="45">
        <v>8.1999999999999993</v>
      </c>
      <c r="L26" s="45">
        <v>8.1999999999999993</v>
      </c>
      <c r="M26" s="45">
        <v>8.1999999999999993</v>
      </c>
      <c r="N26" s="45">
        <v>8.1999999999999993</v>
      </c>
      <c r="O26" s="45">
        <v>8.1999999999999993</v>
      </c>
      <c r="P26" s="45">
        <v>8.1999999999999993</v>
      </c>
      <c r="Q26" s="45">
        <v>8.1999999999999993</v>
      </c>
      <c r="R26" s="45">
        <v>8.1999999999999993</v>
      </c>
      <c r="S26" s="45">
        <v>8.1999999999999993</v>
      </c>
      <c r="T26" s="45">
        <v>8.1999999999999993</v>
      </c>
      <c r="U26" s="45">
        <v>8.1999999999999993</v>
      </c>
      <c r="V26" s="45">
        <v>8.1999999999999993</v>
      </c>
      <c r="W26" s="45">
        <v>8.1999999999999993</v>
      </c>
      <c r="X26" s="45">
        <v>8.1999999999999993</v>
      </c>
      <c r="Y26" s="45">
        <v>8.1999999999999993</v>
      </c>
      <c r="Z26" s="45">
        <v>8.1999999999999993</v>
      </c>
      <c r="AA26" s="45">
        <v>8.1999999999999993</v>
      </c>
      <c r="AB26" s="45">
        <v>8.1999999999999993</v>
      </c>
      <c r="AC26" s="45">
        <v>8.1999999999999993</v>
      </c>
      <c r="AD26" s="45">
        <v>8.1999999999999993</v>
      </c>
      <c r="AE26" s="45">
        <v>8.1999999999999993</v>
      </c>
      <c r="AF26" s="45">
        <v>8.1999999999999993</v>
      </c>
      <c r="AG26" s="49">
        <v>25</v>
      </c>
      <c r="AH26" s="47">
        <f t="shared" si="2"/>
        <v>8.4</v>
      </c>
      <c r="AI26" s="48">
        <f t="shared" si="3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7.5</v>
      </c>
      <c r="C29" s="45">
        <v>7.5</v>
      </c>
      <c r="D29" s="45">
        <v>7.5</v>
      </c>
      <c r="E29" s="45">
        <v>7.5</v>
      </c>
      <c r="F29" s="45">
        <v>7.5</v>
      </c>
      <c r="G29" s="45">
        <v>7.5</v>
      </c>
      <c r="H29" s="45">
        <v>7.5</v>
      </c>
      <c r="I29" s="45">
        <v>7.5</v>
      </c>
      <c r="J29" s="45">
        <v>7.5</v>
      </c>
      <c r="K29" s="45">
        <v>7.5</v>
      </c>
      <c r="L29" s="45">
        <v>7.5</v>
      </c>
      <c r="M29" s="45">
        <v>7.5</v>
      </c>
      <c r="N29" s="45">
        <v>7.5</v>
      </c>
      <c r="O29" s="45">
        <v>7.5</v>
      </c>
      <c r="P29" s="45">
        <v>7.5</v>
      </c>
      <c r="Q29" s="45">
        <v>7.5</v>
      </c>
      <c r="R29" s="45">
        <v>7.5</v>
      </c>
      <c r="S29" s="45">
        <v>7.5</v>
      </c>
      <c r="T29" s="45">
        <v>7.5</v>
      </c>
      <c r="U29" s="45">
        <v>7.5</v>
      </c>
      <c r="V29" s="45">
        <v>7.5</v>
      </c>
      <c r="W29" s="45">
        <v>7.5</v>
      </c>
      <c r="X29" s="45">
        <v>7.5</v>
      </c>
      <c r="Y29" s="45">
        <v>7.5</v>
      </c>
      <c r="Z29" s="45">
        <v>7.5</v>
      </c>
      <c r="AA29" s="45">
        <v>7.5</v>
      </c>
      <c r="AB29" s="45">
        <v>7.5</v>
      </c>
      <c r="AC29" s="45">
        <v>7.5</v>
      </c>
      <c r="AD29" s="45">
        <v>7.5</v>
      </c>
      <c r="AE29" s="45">
        <v>7.5</v>
      </c>
      <c r="AF29" s="45">
        <v>7.5</v>
      </c>
      <c r="AG29" s="49">
        <v>25</v>
      </c>
      <c r="AH29" s="47">
        <f t="shared" si="2"/>
        <v>7.5</v>
      </c>
      <c r="AI29" s="48">
        <f t="shared" si="3"/>
        <v>7.5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7.3</v>
      </c>
      <c r="C30" s="45">
        <v>7.2</v>
      </c>
      <c r="D30" s="45">
        <v>7.1</v>
      </c>
      <c r="E30" s="45">
        <v>7.1</v>
      </c>
      <c r="F30" s="45">
        <v>7.3</v>
      </c>
      <c r="G30" s="45">
        <v>7.3</v>
      </c>
      <c r="H30" s="45">
        <v>7.3</v>
      </c>
      <c r="I30" s="45">
        <v>7.3</v>
      </c>
      <c r="J30" s="45">
        <v>7.3</v>
      </c>
      <c r="K30" s="45">
        <v>7.3</v>
      </c>
      <c r="L30" s="45">
        <v>7.3</v>
      </c>
      <c r="M30" s="45">
        <v>7.3</v>
      </c>
      <c r="N30" s="45">
        <v>7.3</v>
      </c>
      <c r="O30" s="45">
        <v>7.3</v>
      </c>
      <c r="P30" s="45">
        <v>7.3</v>
      </c>
      <c r="Q30" s="45">
        <v>7.3</v>
      </c>
      <c r="R30" s="45">
        <v>7.3</v>
      </c>
      <c r="S30" s="45">
        <v>7.3</v>
      </c>
      <c r="T30" s="45">
        <v>7.3</v>
      </c>
      <c r="U30" s="45">
        <v>7.3</v>
      </c>
      <c r="V30" s="45">
        <v>7.3</v>
      </c>
      <c r="W30" s="45">
        <v>7.3</v>
      </c>
      <c r="X30" s="45">
        <v>7.3</v>
      </c>
      <c r="Y30" s="45">
        <v>7.3</v>
      </c>
      <c r="Z30" s="45">
        <v>7.3</v>
      </c>
      <c r="AA30" s="45">
        <v>7.3</v>
      </c>
      <c r="AB30" s="45">
        <v>7.3</v>
      </c>
      <c r="AC30" s="45">
        <v>7.3</v>
      </c>
      <c r="AD30" s="45">
        <v>7.3</v>
      </c>
      <c r="AE30" s="45">
        <v>7.3</v>
      </c>
      <c r="AF30" s="45">
        <v>7.3</v>
      </c>
      <c r="AG30" s="49">
        <v>23.5</v>
      </c>
      <c r="AH30" s="47">
        <f t="shared" si="2"/>
        <v>7.3</v>
      </c>
      <c r="AI30" s="48">
        <f t="shared" si="3"/>
        <v>7.1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22.2</v>
      </c>
      <c r="AH31" s="47">
        <f t="shared" si="2"/>
        <v>0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11.9</v>
      </c>
      <c r="C34" s="45">
        <v>11.4</v>
      </c>
      <c r="D34" s="45">
        <v>11.3</v>
      </c>
      <c r="E34" s="45">
        <v>11.3</v>
      </c>
      <c r="F34" s="45">
        <v>9.8000000000000007</v>
      </c>
      <c r="G34" s="45">
        <v>9.8000000000000007</v>
      </c>
      <c r="H34" s="45">
        <v>9.8000000000000007</v>
      </c>
      <c r="I34" s="45">
        <v>9.8000000000000007</v>
      </c>
      <c r="J34" s="45">
        <v>9.8000000000000007</v>
      </c>
      <c r="K34" s="45">
        <v>9.8000000000000007</v>
      </c>
      <c r="L34" s="45">
        <v>9.8000000000000007</v>
      </c>
      <c r="M34" s="45">
        <v>9.8000000000000007</v>
      </c>
      <c r="N34" s="45">
        <v>9.8000000000000007</v>
      </c>
      <c r="O34" s="45">
        <v>9.8000000000000007</v>
      </c>
      <c r="P34" s="45">
        <v>9.8000000000000007</v>
      </c>
      <c r="Q34" s="45">
        <v>9.8000000000000007</v>
      </c>
      <c r="R34" s="45">
        <v>9.8000000000000007</v>
      </c>
      <c r="S34" s="45">
        <v>9.8000000000000007</v>
      </c>
      <c r="T34" s="45">
        <v>9.8000000000000007</v>
      </c>
      <c r="U34" s="45">
        <v>9.8000000000000007</v>
      </c>
      <c r="V34" s="45">
        <v>9.8000000000000007</v>
      </c>
      <c r="W34" s="45">
        <v>9.8000000000000007</v>
      </c>
      <c r="X34" s="45">
        <v>9.8000000000000007</v>
      </c>
      <c r="Y34" s="45">
        <v>9.8000000000000007</v>
      </c>
      <c r="Z34" s="45">
        <v>9.8000000000000007</v>
      </c>
      <c r="AA34" s="45">
        <v>9.8000000000000007</v>
      </c>
      <c r="AB34" s="45">
        <v>9.8000000000000007</v>
      </c>
      <c r="AC34" s="45">
        <v>9.8000000000000007</v>
      </c>
      <c r="AD34" s="45">
        <v>9.8000000000000007</v>
      </c>
      <c r="AE34" s="45">
        <v>9.8000000000000007</v>
      </c>
      <c r="AF34" s="45">
        <v>9.8000000000000007</v>
      </c>
      <c r="AG34" s="49">
        <v>22</v>
      </c>
      <c r="AH34" s="47">
        <f t="shared" si="2"/>
        <v>11.9</v>
      </c>
      <c r="AI34" s="48">
        <f t="shared" si="3"/>
        <v>9.8000000000000007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24.7</v>
      </c>
      <c r="C57" s="57">
        <f>7+16.2</f>
        <v>23.2</v>
      </c>
      <c r="D57" s="57">
        <f>7.1+16.8</f>
        <v>23.9</v>
      </c>
      <c r="E57" s="57">
        <f>7.1+16.7</f>
        <v>23.799999999999997</v>
      </c>
      <c r="F57" s="57">
        <f>7.2+17.2</f>
        <v>24.4</v>
      </c>
      <c r="G57" s="57">
        <f t="shared" ref="G57" si="4">7.2+17.2</f>
        <v>24.4</v>
      </c>
      <c r="H57" s="57">
        <f>6.8+16</f>
        <v>22.8</v>
      </c>
      <c r="I57" s="57">
        <f>6.8+16</f>
        <v>22.8</v>
      </c>
      <c r="J57" s="57">
        <f>6.8+16</f>
        <v>22.8</v>
      </c>
      <c r="K57" s="57">
        <f>6.8+16</f>
        <v>22.8</v>
      </c>
      <c r="L57" s="57">
        <f t="shared" ref="L57:Z57" si="5">6.8+16</f>
        <v>22.8</v>
      </c>
      <c r="M57" s="57">
        <f t="shared" si="5"/>
        <v>22.8</v>
      </c>
      <c r="N57" s="57">
        <f t="shared" si="5"/>
        <v>22.8</v>
      </c>
      <c r="O57" s="57">
        <f t="shared" si="5"/>
        <v>22.8</v>
      </c>
      <c r="P57" s="57">
        <f t="shared" si="5"/>
        <v>22.8</v>
      </c>
      <c r="Q57" s="57">
        <f t="shared" si="5"/>
        <v>22.8</v>
      </c>
      <c r="R57" s="57">
        <f t="shared" si="5"/>
        <v>22.8</v>
      </c>
      <c r="S57" s="57">
        <f t="shared" si="5"/>
        <v>22.8</v>
      </c>
      <c r="T57" s="57">
        <f t="shared" si="5"/>
        <v>22.8</v>
      </c>
      <c r="U57" s="57">
        <f t="shared" si="5"/>
        <v>22.8</v>
      </c>
      <c r="V57" s="57">
        <f t="shared" si="5"/>
        <v>22.8</v>
      </c>
      <c r="W57" s="57">
        <f t="shared" si="5"/>
        <v>22.8</v>
      </c>
      <c r="X57" s="57">
        <f t="shared" si="5"/>
        <v>22.8</v>
      </c>
      <c r="Y57" s="57">
        <f t="shared" si="5"/>
        <v>22.8</v>
      </c>
      <c r="Z57" s="57">
        <f t="shared" si="5"/>
        <v>22.8</v>
      </c>
      <c r="AA57" s="57">
        <f t="shared" ref="AA57:AF57" si="6">5.7+13.9</f>
        <v>19.600000000000001</v>
      </c>
      <c r="AB57" s="57">
        <f t="shared" si="6"/>
        <v>19.600000000000001</v>
      </c>
      <c r="AC57" s="57">
        <f t="shared" si="6"/>
        <v>19.600000000000001</v>
      </c>
      <c r="AD57" s="57">
        <f t="shared" si="6"/>
        <v>19.600000000000001</v>
      </c>
      <c r="AE57" s="57">
        <f t="shared" si="6"/>
        <v>19.600000000000001</v>
      </c>
      <c r="AF57" s="57">
        <f t="shared" si="6"/>
        <v>19.600000000000001</v>
      </c>
      <c r="AG57" s="55">
        <v>240</v>
      </c>
      <c r="AH57" s="47">
        <f t="shared" si="2"/>
        <v>24.7</v>
      </c>
      <c r="AI57" s="48">
        <f t="shared" si="3"/>
        <v>19.600000000000001</v>
      </c>
      <c r="AK57" s="50"/>
    </row>
    <row r="58" spans="1:88" ht="15.75" thickBot="1" x14ac:dyDescent="0.3">
      <c r="A58" s="59" t="s">
        <v>58</v>
      </c>
      <c r="B58" s="60">
        <f>SUM(B11:B56)</f>
        <v>483.95000000000005</v>
      </c>
      <c r="C58" s="60">
        <f>SUM(C11:C56)</f>
        <v>487.95</v>
      </c>
      <c r="D58" s="60">
        <f>SUM(D11:D56)</f>
        <v>487.65</v>
      </c>
      <c r="E58" s="60">
        <f>SUM(E11:E56)</f>
        <v>487.65</v>
      </c>
      <c r="F58" s="60">
        <f t="shared" ref="F58:AF58" si="7">SUM(F11:F56)</f>
        <v>484.65000000000003</v>
      </c>
      <c r="G58" s="60">
        <f t="shared" ref="G58:H58" si="8">SUM(G11:G56)</f>
        <v>484.65000000000003</v>
      </c>
      <c r="H58" s="60">
        <f t="shared" si="8"/>
        <v>484.65000000000003</v>
      </c>
      <c r="I58" s="60">
        <f t="shared" ref="I58:J58" si="9">SUM(I11:I56)</f>
        <v>481.84999999999997</v>
      </c>
      <c r="J58" s="60">
        <f t="shared" si="9"/>
        <v>481.84999999999997</v>
      </c>
      <c r="K58" s="60">
        <f t="shared" ref="K58:N58" si="10">SUM(K11:K56)</f>
        <v>481.84999999999997</v>
      </c>
      <c r="L58" s="60">
        <f t="shared" si="10"/>
        <v>481.84999999999997</v>
      </c>
      <c r="M58" s="60">
        <f t="shared" si="10"/>
        <v>478.15000000000003</v>
      </c>
      <c r="N58" s="60">
        <f t="shared" si="10"/>
        <v>478.15000000000003</v>
      </c>
      <c r="O58" s="60">
        <f t="shared" ref="O58:P58" si="11">SUM(O11:O56)</f>
        <v>461.75</v>
      </c>
      <c r="P58" s="60">
        <f t="shared" si="11"/>
        <v>474.75</v>
      </c>
      <c r="Q58" s="60">
        <f t="shared" si="7"/>
        <v>474.75</v>
      </c>
      <c r="R58" s="60">
        <f t="shared" si="7"/>
        <v>474.75</v>
      </c>
      <c r="S58" s="60">
        <f t="shared" ref="S58:T58" si="12">SUM(S11:S56)</f>
        <v>474.75</v>
      </c>
      <c r="T58" s="60">
        <f t="shared" si="12"/>
        <v>474.75</v>
      </c>
      <c r="U58" s="60">
        <f t="shared" ref="U58:V58" si="13">SUM(U11:U56)</f>
        <v>474.75</v>
      </c>
      <c r="V58" s="60">
        <f t="shared" si="13"/>
        <v>474.75</v>
      </c>
      <c r="W58" s="60">
        <f t="shared" ref="W58:X58" si="14">SUM(W11:W56)</f>
        <v>474.75</v>
      </c>
      <c r="X58" s="60">
        <f t="shared" si="14"/>
        <v>474.75</v>
      </c>
      <c r="Y58" s="60">
        <f t="shared" ref="Y58:Z58" si="15">SUM(Y11:Y56)</f>
        <v>474.75</v>
      </c>
      <c r="Z58" s="60">
        <f t="shared" si="15"/>
        <v>474.75</v>
      </c>
      <c r="AA58" s="60">
        <f t="shared" si="7"/>
        <v>474.75</v>
      </c>
      <c r="AB58" s="60">
        <f t="shared" si="7"/>
        <v>474.75</v>
      </c>
      <c r="AC58" s="60">
        <f t="shared" si="7"/>
        <v>474.75</v>
      </c>
      <c r="AD58" s="60">
        <f t="shared" si="7"/>
        <v>474.75</v>
      </c>
      <c r="AE58" s="60">
        <f t="shared" si="7"/>
        <v>474.75</v>
      </c>
      <c r="AF58" s="60">
        <f t="shared" si="7"/>
        <v>474.75</v>
      </c>
      <c r="AG58" s="61">
        <f>SUM(AG14:AG56)</f>
        <v>1042.4000000000001</v>
      </c>
      <c r="AH58" s="47">
        <f t="shared" si="2"/>
        <v>487.95</v>
      </c>
      <c r="AI58" s="48">
        <f t="shared" si="3"/>
        <v>461.75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30</v>
      </c>
      <c r="J59" s="45">
        <v>125</v>
      </c>
      <c r="K59" s="45">
        <v>225</v>
      </c>
      <c r="L59" s="45">
        <v>225</v>
      </c>
      <c r="M59" s="45">
        <v>270</v>
      </c>
      <c r="N59" s="63">
        <v>240</v>
      </c>
      <c r="O59" s="63">
        <v>150</v>
      </c>
      <c r="P59" s="63">
        <v>100</v>
      </c>
      <c r="Q59" s="63">
        <v>100</v>
      </c>
      <c r="R59" s="63">
        <v>40</v>
      </c>
      <c r="S59" s="63">
        <v>20</v>
      </c>
      <c r="T59" s="63">
        <v>70</v>
      </c>
      <c r="U59" s="63">
        <v>70</v>
      </c>
      <c r="V59" s="63">
        <v>70</v>
      </c>
      <c r="W59" s="63">
        <v>70</v>
      </c>
      <c r="X59" s="63">
        <v>70</v>
      </c>
      <c r="Y59" s="63">
        <v>270</v>
      </c>
      <c r="Z59" s="63">
        <v>220</v>
      </c>
      <c r="AA59" s="45">
        <v>180</v>
      </c>
      <c r="AB59" s="45">
        <v>170</v>
      </c>
      <c r="AC59" s="45">
        <v>140</v>
      </c>
      <c r="AD59" s="45">
        <v>80</v>
      </c>
      <c r="AE59" s="45">
        <v>20</v>
      </c>
      <c r="AF59" s="45">
        <v>0</v>
      </c>
      <c r="AG59" s="52">
        <v>456</v>
      </c>
      <c r="AH59" s="47">
        <f t="shared" si="2"/>
        <v>270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27</v>
      </c>
      <c r="AI60" s="48">
        <f t="shared" si="3"/>
        <v>27</v>
      </c>
      <c r="AK60" s="50"/>
    </row>
    <row r="61" spans="1:88" ht="15.75" thickBot="1" x14ac:dyDescent="0.3">
      <c r="A61" s="66" t="s">
        <v>61</v>
      </c>
      <c r="B61" s="67">
        <v>12.4</v>
      </c>
      <c r="C61" s="67">
        <v>8.1999999999999993</v>
      </c>
      <c r="D61" s="67">
        <v>8.1999999999999993</v>
      </c>
      <c r="E61" s="67">
        <v>8.1999999999999993</v>
      </c>
      <c r="F61" s="67">
        <v>8.1999999999999993</v>
      </c>
      <c r="G61" s="67">
        <v>8.1999999999999993</v>
      </c>
      <c r="H61" s="67">
        <v>8.1999999999999993</v>
      </c>
      <c r="I61" s="67">
        <v>8.1999999999999993</v>
      </c>
      <c r="J61" s="67">
        <v>8.1999999999999993</v>
      </c>
      <c r="K61" s="67">
        <v>8.1999999999999993</v>
      </c>
      <c r="L61" s="67">
        <v>8.1999999999999993</v>
      </c>
      <c r="M61" s="67">
        <v>8.1999999999999993</v>
      </c>
      <c r="N61" s="67">
        <v>8.1999999999999993</v>
      </c>
      <c r="O61" s="67">
        <v>8.3000000000000007</v>
      </c>
      <c r="P61" s="67">
        <v>8.3000000000000007</v>
      </c>
      <c r="Q61" s="67">
        <v>8.3000000000000007</v>
      </c>
      <c r="R61" s="67">
        <v>8.3000000000000007</v>
      </c>
      <c r="S61" s="67">
        <v>8.3000000000000007</v>
      </c>
      <c r="T61" s="67">
        <v>8.3000000000000007</v>
      </c>
      <c r="U61" s="67">
        <v>8.3000000000000007</v>
      </c>
      <c r="V61" s="67">
        <v>8.3000000000000007</v>
      </c>
      <c r="W61" s="67">
        <v>8.3000000000000007</v>
      </c>
      <c r="X61" s="67">
        <v>8.3000000000000007</v>
      </c>
      <c r="Y61" s="67">
        <v>8.3000000000000007</v>
      </c>
      <c r="Z61" s="67">
        <v>8.3000000000000007</v>
      </c>
      <c r="AA61" s="67">
        <v>15.2</v>
      </c>
      <c r="AB61" s="67">
        <v>15.2</v>
      </c>
      <c r="AC61" s="67">
        <v>15.2</v>
      </c>
      <c r="AD61" s="67">
        <v>15.2</v>
      </c>
      <c r="AE61" s="67">
        <v>15.2</v>
      </c>
      <c r="AF61" s="67">
        <v>8</v>
      </c>
      <c r="AG61" s="68">
        <v>22.1</v>
      </c>
      <c r="AH61" s="47">
        <f t="shared" si="2"/>
        <v>15.2</v>
      </c>
      <c r="AI61" s="48">
        <f t="shared" si="3"/>
        <v>8</v>
      </c>
      <c r="AK61" s="50"/>
    </row>
    <row r="62" spans="1:88" ht="15.75" thickBot="1" x14ac:dyDescent="0.3">
      <c r="A62" s="69" t="s">
        <v>62</v>
      </c>
      <c r="B62" s="60">
        <f>SUM(B59:B61)</f>
        <v>39.4</v>
      </c>
      <c r="C62" s="60">
        <f>SUM(C59:C61)</f>
        <v>35.200000000000003</v>
      </c>
      <c r="D62" s="60">
        <f>SUM(D59:D61)</f>
        <v>35.200000000000003</v>
      </c>
      <c r="E62" s="60">
        <f>SUM(E59:E61)</f>
        <v>35.200000000000003</v>
      </c>
      <c r="F62" s="60">
        <f t="shared" ref="F62:AG62" si="16">SUM(F59:F61)</f>
        <v>35.200000000000003</v>
      </c>
      <c r="G62" s="60">
        <f t="shared" ref="G62:H62" si="17">SUM(G59:G61)</f>
        <v>35.200000000000003</v>
      </c>
      <c r="H62" s="60">
        <f t="shared" si="17"/>
        <v>35.200000000000003</v>
      </c>
      <c r="I62" s="60">
        <f t="shared" si="16"/>
        <v>65.2</v>
      </c>
      <c r="J62" s="60">
        <f t="shared" ref="J62:K62" si="18">SUM(J59:J61)</f>
        <v>160.19999999999999</v>
      </c>
      <c r="K62" s="60">
        <f t="shared" si="18"/>
        <v>260.2</v>
      </c>
      <c r="L62" s="60">
        <f t="shared" ref="L62:M62" si="19">SUM(L59:L61)</f>
        <v>260.2</v>
      </c>
      <c r="M62" s="60">
        <f t="shared" si="19"/>
        <v>305.2</v>
      </c>
      <c r="N62" s="60">
        <f t="shared" si="16"/>
        <v>275.2</v>
      </c>
      <c r="O62" s="60">
        <f t="shared" ref="O62:P62" si="20">SUM(O59:O61)</f>
        <v>185.3</v>
      </c>
      <c r="P62" s="60">
        <f t="shared" si="20"/>
        <v>135.30000000000001</v>
      </c>
      <c r="Q62" s="60">
        <f t="shared" si="16"/>
        <v>135.30000000000001</v>
      </c>
      <c r="R62" s="60">
        <f t="shared" si="16"/>
        <v>75.3</v>
      </c>
      <c r="S62" s="60">
        <f t="shared" ref="S62:T62" si="21">SUM(S59:S61)</f>
        <v>55.3</v>
      </c>
      <c r="T62" s="60">
        <f t="shared" si="21"/>
        <v>105.3</v>
      </c>
      <c r="U62" s="60">
        <f t="shared" ref="U62:V62" si="22">SUM(U59:U61)</f>
        <v>105.3</v>
      </c>
      <c r="V62" s="60">
        <f t="shared" si="22"/>
        <v>105.3</v>
      </c>
      <c r="W62" s="60">
        <f t="shared" ref="W62:X62" si="23">SUM(W59:W61)</f>
        <v>105.3</v>
      </c>
      <c r="X62" s="60">
        <f t="shared" si="23"/>
        <v>105.3</v>
      </c>
      <c r="Y62" s="60">
        <f t="shared" ref="Y62:Z62" si="24">SUM(Y59:Y61)</f>
        <v>305.3</v>
      </c>
      <c r="Z62" s="60">
        <f t="shared" si="24"/>
        <v>255.3</v>
      </c>
      <c r="AA62" s="60">
        <f t="shared" si="16"/>
        <v>222.2</v>
      </c>
      <c r="AB62" s="60">
        <f t="shared" si="16"/>
        <v>212.2</v>
      </c>
      <c r="AC62" s="60">
        <f t="shared" si="16"/>
        <v>182.2</v>
      </c>
      <c r="AD62" s="60">
        <f t="shared" si="16"/>
        <v>122.2</v>
      </c>
      <c r="AE62" s="60">
        <f t="shared" si="16"/>
        <v>62.2</v>
      </c>
      <c r="AF62" s="60">
        <f t="shared" si="16"/>
        <v>35</v>
      </c>
      <c r="AG62" s="61">
        <f t="shared" si="16"/>
        <v>538.1</v>
      </c>
      <c r="AH62" s="47">
        <f t="shared" si="2"/>
        <v>305.3</v>
      </c>
      <c r="AI62" s="48">
        <f t="shared" si="3"/>
        <v>35</v>
      </c>
      <c r="AK62" s="50"/>
    </row>
    <row r="63" spans="1:88" x14ac:dyDescent="0.25">
      <c r="A63" s="44" t="s">
        <v>63</v>
      </c>
      <c r="B63" s="45">
        <v>30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60</v>
      </c>
      <c r="I63" s="45">
        <v>97.9</v>
      </c>
      <c r="J63" s="45">
        <v>102</v>
      </c>
      <c r="K63" s="45">
        <v>102</v>
      </c>
      <c r="L63" s="45">
        <v>121</v>
      </c>
      <c r="M63" s="45">
        <v>121</v>
      </c>
      <c r="N63" s="45">
        <v>71</v>
      </c>
      <c r="O63" s="45">
        <v>62.3</v>
      </c>
      <c r="P63" s="45">
        <v>62.3</v>
      </c>
      <c r="Q63" s="45">
        <v>126</v>
      </c>
      <c r="R63" s="45">
        <v>123.8</v>
      </c>
      <c r="S63" s="45">
        <v>99.2</v>
      </c>
      <c r="T63" s="45">
        <v>95</v>
      </c>
      <c r="U63" s="45">
        <v>88.5</v>
      </c>
      <c r="V63" s="45">
        <v>0</v>
      </c>
      <c r="W63" s="45">
        <v>32.9</v>
      </c>
      <c r="X63" s="45">
        <v>61.6</v>
      </c>
      <c r="Y63" s="45">
        <v>89.1</v>
      </c>
      <c r="Z63" s="45">
        <v>101.4</v>
      </c>
      <c r="AA63" s="45">
        <v>61.3</v>
      </c>
      <c r="AB63" s="45">
        <v>55</v>
      </c>
      <c r="AC63" s="45">
        <v>44</v>
      </c>
      <c r="AD63" s="45">
        <v>30</v>
      </c>
      <c r="AE63" s="45">
        <v>0</v>
      </c>
      <c r="AF63" s="45">
        <v>0</v>
      </c>
      <c r="AG63" s="52">
        <v>144</v>
      </c>
      <c r="AH63" s="47">
        <f t="shared" si="2"/>
        <v>126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23</v>
      </c>
      <c r="I64" s="65">
        <v>35</v>
      </c>
      <c r="J64" s="65">
        <v>35</v>
      </c>
      <c r="K64" s="65">
        <v>35</v>
      </c>
      <c r="L64" s="65">
        <v>45</v>
      </c>
      <c r="M64" s="65">
        <v>45</v>
      </c>
      <c r="N64" s="65">
        <v>35</v>
      </c>
      <c r="O64" s="65">
        <v>25</v>
      </c>
      <c r="P64" s="65">
        <v>25</v>
      </c>
      <c r="Q64" s="65">
        <v>70</v>
      </c>
      <c r="R64" s="65">
        <v>35</v>
      </c>
      <c r="S64" s="65">
        <v>25</v>
      </c>
      <c r="T64" s="65">
        <v>35</v>
      </c>
      <c r="U64" s="65">
        <v>35</v>
      </c>
      <c r="V64" s="65">
        <v>0</v>
      </c>
      <c r="W64" s="65">
        <v>25</v>
      </c>
      <c r="X64" s="65">
        <v>50</v>
      </c>
      <c r="Y64" s="65">
        <v>60</v>
      </c>
      <c r="Z64" s="65">
        <v>60</v>
      </c>
      <c r="AA64" s="45">
        <v>45</v>
      </c>
      <c r="AB64" s="45">
        <v>35</v>
      </c>
      <c r="AC64" s="45">
        <v>35</v>
      </c>
      <c r="AD64" s="45">
        <v>25</v>
      </c>
      <c r="AE64" s="45">
        <v>0</v>
      </c>
      <c r="AF64" s="45">
        <v>0</v>
      </c>
      <c r="AG64" s="55">
        <v>70</v>
      </c>
      <c r="AH64" s="47">
        <f t="shared" si="2"/>
        <v>70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36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40</v>
      </c>
      <c r="I65" s="65">
        <v>46.1</v>
      </c>
      <c r="J65" s="65">
        <v>46.1</v>
      </c>
      <c r="K65" s="65">
        <v>46.1</v>
      </c>
      <c r="L65" s="65">
        <v>57</v>
      </c>
      <c r="M65" s="65">
        <v>57</v>
      </c>
      <c r="N65" s="65">
        <v>47</v>
      </c>
      <c r="O65" s="65">
        <v>34.200000000000003</v>
      </c>
      <c r="P65" s="65">
        <v>34.200000000000003</v>
      </c>
      <c r="Q65" s="65">
        <v>46</v>
      </c>
      <c r="R65" s="65">
        <v>33.200000000000003</v>
      </c>
      <c r="S65" s="65">
        <v>46.5</v>
      </c>
      <c r="T65" s="65">
        <v>46.4</v>
      </c>
      <c r="U65" s="65">
        <v>46.4</v>
      </c>
      <c r="V65" s="65">
        <v>35.1</v>
      </c>
      <c r="W65" s="65">
        <v>35.1</v>
      </c>
      <c r="X65" s="65">
        <v>35.1</v>
      </c>
      <c r="Y65" s="65">
        <v>66.400000000000006</v>
      </c>
      <c r="Z65" s="65">
        <v>68.7</v>
      </c>
      <c r="AA65" s="45">
        <v>50.2</v>
      </c>
      <c r="AB65" s="45">
        <v>36</v>
      </c>
      <c r="AC65" s="45">
        <v>32</v>
      </c>
      <c r="AD65" s="45">
        <v>16</v>
      </c>
      <c r="AE65" s="45">
        <v>16</v>
      </c>
      <c r="AF65" s="45">
        <v>16</v>
      </c>
      <c r="AG65" s="55">
        <v>69</v>
      </c>
      <c r="AH65" s="47">
        <f t="shared" si="2"/>
        <v>68.7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40</v>
      </c>
      <c r="C66" s="65">
        <v>40</v>
      </c>
      <c r="D66" s="65">
        <v>38</v>
      </c>
      <c r="E66" s="65">
        <v>38</v>
      </c>
      <c r="F66" s="65">
        <v>38</v>
      </c>
      <c r="G66" s="65">
        <v>38</v>
      </c>
      <c r="H66" s="65">
        <v>38</v>
      </c>
      <c r="I66" s="65">
        <v>38</v>
      </c>
      <c r="J66" s="65">
        <v>38</v>
      </c>
      <c r="K66" s="65">
        <v>38</v>
      </c>
      <c r="L66" s="65">
        <v>37.299999999999997</v>
      </c>
      <c r="M66" s="65">
        <v>37.299999999999997</v>
      </c>
      <c r="N66" s="65">
        <v>37.299999999999997</v>
      </c>
      <c r="O66" s="65">
        <v>39.1</v>
      </c>
      <c r="P66" s="65">
        <v>39.1</v>
      </c>
      <c r="Q66" s="65">
        <v>39.1</v>
      </c>
      <c r="R66" s="65">
        <v>39.1</v>
      </c>
      <c r="S66" s="65">
        <v>36.299999999999997</v>
      </c>
      <c r="T66" s="65">
        <v>36.299999999999997</v>
      </c>
      <c r="U66" s="65">
        <v>36.299999999999997</v>
      </c>
      <c r="V66" s="65">
        <v>36.299999999999997</v>
      </c>
      <c r="W66" s="65">
        <v>36.299999999999997</v>
      </c>
      <c r="X66" s="65">
        <v>36.299999999999997</v>
      </c>
      <c r="Y66" s="65">
        <v>36.299999999999997</v>
      </c>
      <c r="Z66" s="65">
        <v>36.299999999999997</v>
      </c>
      <c r="AA66" s="45">
        <v>37.799999999999997</v>
      </c>
      <c r="AB66" s="45">
        <v>37.799999999999997</v>
      </c>
      <c r="AC66" s="45">
        <v>37.799999999999997</v>
      </c>
      <c r="AD66" s="45">
        <v>37.799999999999997</v>
      </c>
      <c r="AE66" s="45">
        <v>37.799999999999997</v>
      </c>
      <c r="AF66" s="45">
        <v>37.799999999999997</v>
      </c>
      <c r="AG66" s="55">
        <v>60</v>
      </c>
      <c r="AH66" s="47">
        <f t="shared" si="2"/>
        <v>40</v>
      </c>
      <c r="AI66" s="48">
        <f t="shared" si="3"/>
        <v>36.299999999999997</v>
      </c>
      <c r="AK66" s="50"/>
    </row>
    <row r="67" spans="1:41" x14ac:dyDescent="0.25">
      <c r="A67" s="54" t="s">
        <v>67</v>
      </c>
      <c r="B67" s="65">
        <v>10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65">
        <v>10</v>
      </c>
      <c r="L67" s="65">
        <v>10</v>
      </c>
      <c r="M67" s="65">
        <v>10</v>
      </c>
      <c r="N67" s="65">
        <v>0</v>
      </c>
      <c r="O67" s="65">
        <v>0</v>
      </c>
      <c r="P67" s="65">
        <v>0</v>
      </c>
      <c r="Q67" s="65">
        <v>15</v>
      </c>
      <c r="R67" s="65">
        <v>23</v>
      </c>
      <c r="S67" s="65">
        <v>27</v>
      </c>
      <c r="T67" s="65">
        <v>10</v>
      </c>
      <c r="U67" s="65">
        <v>10</v>
      </c>
      <c r="V67" s="65">
        <v>0</v>
      </c>
      <c r="W67" s="65">
        <v>0</v>
      </c>
      <c r="X67" s="65">
        <v>0</v>
      </c>
      <c r="Y67" s="65">
        <v>10</v>
      </c>
      <c r="Z67" s="65">
        <v>10</v>
      </c>
      <c r="AA67" s="45">
        <v>10</v>
      </c>
      <c r="AB67" s="45">
        <v>15</v>
      </c>
      <c r="AC67" s="45">
        <v>10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"/>
        <v>27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8.3000000000000007</v>
      </c>
      <c r="T68" s="45">
        <v>4.5</v>
      </c>
      <c r="U68" s="45">
        <v>3.7</v>
      </c>
      <c r="V68" s="45">
        <v>1.2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8.3000000000000007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9.8000000000000007</v>
      </c>
      <c r="C71" s="65">
        <v>11.5</v>
      </c>
      <c r="D71" s="65">
        <v>11.3</v>
      </c>
      <c r="E71" s="65">
        <v>11.3</v>
      </c>
      <c r="F71" s="65">
        <v>11.6</v>
      </c>
      <c r="G71" s="65">
        <v>11.6</v>
      </c>
      <c r="H71" s="65">
        <v>11.6</v>
      </c>
      <c r="I71" s="65">
        <v>11.6</v>
      </c>
      <c r="J71" s="65">
        <v>11.6</v>
      </c>
      <c r="K71" s="65">
        <v>11.6</v>
      </c>
      <c r="L71" s="65">
        <v>11.6</v>
      </c>
      <c r="M71" s="65">
        <v>11.6</v>
      </c>
      <c r="N71" s="65">
        <v>11.6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11.6</v>
      </c>
      <c r="AI71" s="48">
        <f t="shared" si="3"/>
        <v>9.8000000000000007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5.3</v>
      </c>
      <c r="C72" s="65">
        <v>3.2</v>
      </c>
      <c r="D72" s="65">
        <v>3.2</v>
      </c>
      <c r="E72" s="65">
        <v>3.4</v>
      </c>
      <c r="F72" s="65">
        <v>3.2</v>
      </c>
      <c r="G72" s="65">
        <v>3.2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3.2</v>
      </c>
      <c r="Y72" s="65">
        <v>3.2</v>
      </c>
      <c r="Z72" s="65">
        <v>3.2</v>
      </c>
      <c r="AA72" s="65">
        <v>3.2</v>
      </c>
      <c r="AB72" s="65">
        <v>3.2</v>
      </c>
      <c r="AC72" s="65">
        <v>3.2</v>
      </c>
      <c r="AD72" s="65">
        <v>3.2</v>
      </c>
      <c r="AE72" s="65">
        <v>3.2</v>
      </c>
      <c r="AF72" s="65">
        <v>3.2</v>
      </c>
      <c r="AG72" s="55">
        <v>14</v>
      </c>
      <c r="AH72" s="47">
        <f t="shared" si="2"/>
        <v>5.3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25">SUM(B63:B75)</f>
        <v>160.14000000000001</v>
      </c>
      <c r="C76" s="60">
        <f t="shared" si="25"/>
        <v>83.740000000000009</v>
      </c>
      <c r="D76" s="60">
        <f t="shared" ref="D76" si="26">SUM(D63:D75)</f>
        <v>81.540000000000006</v>
      </c>
      <c r="E76" s="60">
        <f t="shared" ref="E76:AG76" si="27">SUM(E63:E75)</f>
        <v>81.740000000000009</v>
      </c>
      <c r="F76" s="60">
        <f t="shared" si="27"/>
        <v>81.84</v>
      </c>
      <c r="G76" s="60">
        <f t="shared" ref="G76:H76" si="28">SUM(G63:G75)</f>
        <v>81.84</v>
      </c>
      <c r="H76" s="60">
        <f t="shared" si="28"/>
        <v>214.83999999999997</v>
      </c>
      <c r="I76" s="60">
        <f t="shared" si="27"/>
        <v>270.84000000000003</v>
      </c>
      <c r="J76" s="60">
        <f t="shared" ref="J76:K76" si="29">SUM(J63:J75)</f>
        <v>274.94</v>
      </c>
      <c r="K76" s="60">
        <f t="shared" si="29"/>
        <v>274.94</v>
      </c>
      <c r="L76" s="60">
        <f t="shared" ref="L76:N76" si="30">SUM(L63:L75)</f>
        <v>314.14000000000004</v>
      </c>
      <c r="M76" s="60">
        <f t="shared" si="30"/>
        <v>314.14000000000004</v>
      </c>
      <c r="N76" s="60">
        <f t="shared" si="30"/>
        <v>234.14</v>
      </c>
      <c r="O76" s="60">
        <f t="shared" si="27"/>
        <v>202.73999999999998</v>
      </c>
      <c r="P76" s="60">
        <f t="shared" si="27"/>
        <v>202.73999999999998</v>
      </c>
      <c r="Q76" s="60">
        <f t="shared" si="27"/>
        <v>338.24</v>
      </c>
      <c r="R76" s="60">
        <f t="shared" si="27"/>
        <v>296.24</v>
      </c>
      <c r="S76" s="60">
        <f t="shared" ref="S76:T76" si="31">SUM(S63:S75)</f>
        <v>284.44</v>
      </c>
      <c r="T76" s="60">
        <f t="shared" si="31"/>
        <v>269.33999999999997</v>
      </c>
      <c r="U76" s="60">
        <f t="shared" ref="U76:V76" si="32">SUM(U63:U75)</f>
        <v>262.04000000000002</v>
      </c>
      <c r="V76" s="60">
        <f t="shared" si="32"/>
        <v>114.74000000000002</v>
      </c>
      <c r="W76" s="60">
        <f t="shared" ref="W76:X76" si="33">SUM(W63:W75)</f>
        <v>171.44</v>
      </c>
      <c r="X76" s="60">
        <f t="shared" si="33"/>
        <v>225.14</v>
      </c>
      <c r="Y76" s="60">
        <f t="shared" ref="Y76:Z76" si="34">SUM(Y63:Y75)</f>
        <v>303.94</v>
      </c>
      <c r="Z76" s="60">
        <f t="shared" si="34"/>
        <v>318.54000000000002</v>
      </c>
      <c r="AA76" s="60">
        <f t="shared" si="27"/>
        <v>246.44</v>
      </c>
      <c r="AB76" s="60">
        <f t="shared" si="27"/>
        <v>220.94</v>
      </c>
      <c r="AC76" s="60">
        <f t="shared" si="27"/>
        <v>200.94</v>
      </c>
      <c r="AD76" s="60">
        <f t="shared" si="27"/>
        <v>160.94</v>
      </c>
      <c r="AE76" s="60">
        <f t="shared" si="27"/>
        <v>105.94000000000001</v>
      </c>
      <c r="AF76" s="60">
        <f t="shared" si="27"/>
        <v>105.94000000000001</v>
      </c>
      <c r="AG76" s="61">
        <f t="shared" si="27"/>
        <v>489.91</v>
      </c>
      <c r="AH76" s="47">
        <f t="shared" si="2"/>
        <v>338.24</v>
      </c>
      <c r="AI76" s="48">
        <f t="shared" si="3"/>
        <v>81.540000000000006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>
        <v>0</v>
      </c>
      <c r="G79" s="67">
        <v>0</v>
      </c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67">
        <v>0</v>
      </c>
      <c r="Z79" s="67">
        <v>0</v>
      </c>
      <c r="AA79" s="67">
        <v>0</v>
      </c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35">B77+B78+B79</f>
        <v>0</v>
      </c>
      <c r="C80" s="60">
        <f t="shared" si="35"/>
        <v>0</v>
      </c>
      <c r="D80" s="60">
        <f t="shared" ref="D80" si="36">D77+D78+D79</f>
        <v>0</v>
      </c>
      <c r="E80" s="60">
        <f t="shared" ref="E80:AF80" si="37">E77+E78+E79</f>
        <v>0</v>
      </c>
      <c r="F80" s="60">
        <f t="shared" si="37"/>
        <v>0</v>
      </c>
      <c r="G80" s="60">
        <f t="shared" ref="G80:H80" si="38">G77+G78+G79</f>
        <v>0</v>
      </c>
      <c r="H80" s="60">
        <f t="shared" si="38"/>
        <v>0</v>
      </c>
      <c r="I80" s="60">
        <f t="shared" si="37"/>
        <v>0</v>
      </c>
      <c r="J80" s="60">
        <f t="shared" ref="J80:K80" si="39">J77+J78+J79</f>
        <v>0</v>
      </c>
      <c r="K80" s="60">
        <f t="shared" si="39"/>
        <v>0</v>
      </c>
      <c r="L80" s="60">
        <f t="shared" ref="L80:N80" si="40">L77+L78+L79</f>
        <v>0</v>
      </c>
      <c r="M80" s="60">
        <f t="shared" si="40"/>
        <v>0</v>
      </c>
      <c r="N80" s="60">
        <f t="shared" si="40"/>
        <v>0</v>
      </c>
      <c r="O80" s="60">
        <f t="shared" si="37"/>
        <v>0</v>
      </c>
      <c r="P80" s="60">
        <f t="shared" si="37"/>
        <v>0</v>
      </c>
      <c r="Q80" s="60">
        <f t="shared" si="37"/>
        <v>0</v>
      </c>
      <c r="R80" s="60">
        <f t="shared" si="37"/>
        <v>0</v>
      </c>
      <c r="S80" s="60">
        <f t="shared" ref="S80:T80" si="41">S77+S78+S79</f>
        <v>0</v>
      </c>
      <c r="T80" s="60">
        <f t="shared" si="41"/>
        <v>0</v>
      </c>
      <c r="U80" s="60">
        <f t="shared" ref="U80:V80" si="42">U77+U78+U79</f>
        <v>0</v>
      </c>
      <c r="V80" s="60">
        <f t="shared" si="42"/>
        <v>0</v>
      </c>
      <c r="W80" s="60">
        <f t="shared" ref="W80:X80" si="43">W77+W78+W79</f>
        <v>0</v>
      </c>
      <c r="X80" s="60">
        <f t="shared" si="43"/>
        <v>0</v>
      </c>
      <c r="Y80" s="60">
        <f t="shared" ref="Y80:Z80" si="44">Y77+Y78+Y79</f>
        <v>0</v>
      </c>
      <c r="Z80" s="60">
        <f t="shared" si="44"/>
        <v>0</v>
      </c>
      <c r="AA80" s="60">
        <f t="shared" si="37"/>
        <v>0</v>
      </c>
      <c r="AB80" s="60">
        <f t="shared" si="37"/>
        <v>0</v>
      </c>
      <c r="AC80" s="60">
        <f t="shared" si="37"/>
        <v>0</v>
      </c>
      <c r="AD80" s="60">
        <f t="shared" si="37"/>
        <v>0</v>
      </c>
      <c r="AE80" s="60">
        <f t="shared" si="37"/>
        <v>0</v>
      </c>
      <c r="AF80" s="60">
        <f t="shared" si="37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69</v>
      </c>
      <c r="C81" s="45">
        <v>77</v>
      </c>
      <c r="D81" s="45">
        <v>61</v>
      </c>
      <c r="E81" s="45">
        <v>65.400000000000006</v>
      </c>
      <c r="F81" s="45">
        <v>66.599999999999994</v>
      </c>
      <c r="G81" s="45">
        <v>66.599999999999994</v>
      </c>
      <c r="H81" s="45">
        <v>65.8</v>
      </c>
      <c r="I81" s="45">
        <v>65.400000000000006</v>
      </c>
      <c r="J81" s="45">
        <v>65.400000000000006</v>
      </c>
      <c r="K81" s="45">
        <v>65.400000000000006</v>
      </c>
      <c r="L81" s="45">
        <v>56</v>
      </c>
      <c r="M81" s="45">
        <v>54.2</v>
      </c>
      <c r="N81" s="45">
        <v>62.3</v>
      </c>
      <c r="O81" s="45">
        <v>61.8</v>
      </c>
      <c r="P81" s="45">
        <v>56.9</v>
      </c>
      <c r="Q81" s="45">
        <v>61.4</v>
      </c>
      <c r="R81" s="45">
        <v>67</v>
      </c>
      <c r="S81" s="45">
        <v>64.8</v>
      </c>
      <c r="T81" s="45">
        <v>68.2</v>
      </c>
      <c r="U81" s="45">
        <v>61</v>
      </c>
      <c r="V81" s="45">
        <v>53.1</v>
      </c>
      <c r="W81" s="45">
        <v>69.599999999999994</v>
      </c>
      <c r="X81" s="45">
        <v>52.9</v>
      </c>
      <c r="Y81" s="45">
        <v>66.3</v>
      </c>
      <c r="Z81" s="45">
        <v>45.4</v>
      </c>
      <c r="AA81" s="45">
        <v>67.400000000000006</v>
      </c>
      <c r="AB81" s="45">
        <v>67.2</v>
      </c>
      <c r="AC81" s="45">
        <v>62</v>
      </c>
      <c r="AD81" s="45">
        <v>60</v>
      </c>
      <c r="AE81" s="45">
        <v>73</v>
      </c>
      <c r="AF81" s="45">
        <v>55</v>
      </c>
      <c r="AG81" s="52"/>
      <c r="AH81" s="47">
        <f t="shared" si="2"/>
        <v>77</v>
      </c>
      <c r="AI81" s="48">
        <f t="shared" si="3"/>
        <v>45.4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412</v>
      </c>
      <c r="C83" s="65">
        <v>420</v>
      </c>
      <c r="D83" s="65">
        <v>400.9</v>
      </c>
      <c r="E83" s="65">
        <v>380.3</v>
      </c>
      <c r="F83" s="65">
        <v>386.5</v>
      </c>
      <c r="G83" s="65">
        <v>386.5</v>
      </c>
      <c r="H83" s="65">
        <v>411</v>
      </c>
      <c r="I83" s="65">
        <v>393.4</v>
      </c>
      <c r="J83" s="65">
        <v>375</v>
      </c>
      <c r="K83" s="65">
        <v>375</v>
      </c>
      <c r="L83" s="65">
        <v>160</v>
      </c>
      <c r="M83" s="65">
        <v>151</v>
      </c>
      <c r="N83" s="65">
        <v>291</v>
      </c>
      <c r="O83" s="65">
        <v>296</v>
      </c>
      <c r="P83" s="65">
        <v>394</v>
      </c>
      <c r="Q83" s="65">
        <v>414</v>
      </c>
      <c r="R83" s="65">
        <v>431</v>
      </c>
      <c r="S83" s="65">
        <v>471.4</v>
      </c>
      <c r="T83" s="65">
        <v>463.1</v>
      </c>
      <c r="U83" s="65">
        <v>442.9</v>
      </c>
      <c r="V83" s="65">
        <v>408.7</v>
      </c>
      <c r="W83" s="65">
        <v>384.7</v>
      </c>
      <c r="X83" s="65">
        <v>381.1</v>
      </c>
      <c r="Y83" s="65">
        <v>241.2</v>
      </c>
      <c r="Z83" s="65">
        <v>192.9</v>
      </c>
      <c r="AA83" s="65">
        <v>247</v>
      </c>
      <c r="AB83" s="65">
        <v>256</v>
      </c>
      <c r="AC83" s="65">
        <v>250</v>
      </c>
      <c r="AD83" s="65">
        <v>340</v>
      </c>
      <c r="AE83" s="65">
        <v>385</v>
      </c>
      <c r="AF83" s="65">
        <v>408</v>
      </c>
      <c r="AG83" s="75"/>
      <c r="AH83" s="47">
        <f t="shared" si="2"/>
        <v>471.4</v>
      </c>
      <c r="AI83" s="48">
        <f t="shared" si="3"/>
        <v>151</v>
      </c>
      <c r="AK83" s="50"/>
    </row>
    <row r="84" spans="1:40" x14ac:dyDescent="0.25">
      <c r="A84" s="54" t="s">
        <v>84</v>
      </c>
      <c r="B84" s="65"/>
      <c r="C84" s="65"/>
      <c r="D84" s="65">
        <v>5</v>
      </c>
      <c r="E84" s="65">
        <v>5</v>
      </c>
      <c r="F84" s="65">
        <v>5</v>
      </c>
      <c r="G84" s="65">
        <v>5</v>
      </c>
      <c r="H84" s="65">
        <v>5</v>
      </c>
      <c r="I84" s="65">
        <v>5</v>
      </c>
      <c r="J84" s="65">
        <v>5</v>
      </c>
      <c r="K84" s="65">
        <v>5</v>
      </c>
      <c r="L84" s="65">
        <v>5</v>
      </c>
      <c r="M84" s="65">
        <v>6.2</v>
      </c>
      <c r="N84" s="65">
        <v>6.5</v>
      </c>
      <c r="O84" s="65">
        <v>6.1</v>
      </c>
      <c r="P84" s="76">
        <v>5</v>
      </c>
      <c r="Q84" s="76">
        <v>5</v>
      </c>
      <c r="R84" s="76">
        <v>50</v>
      </c>
      <c r="S84" s="76">
        <v>52</v>
      </c>
      <c r="T84" s="76">
        <v>53</v>
      </c>
      <c r="U84" s="76">
        <v>48</v>
      </c>
      <c r="V84" s="76">
        <v>48</v>
      </c>
      <c r="W84" s="76">
        <v>26.6</v>
      </c>
      <c r="X84" s="76">
        <v>10</v>
      </c>
      <c r="Y84" s="76">
        <v>14.8</v>
      </c>
      <c r="Z84" s="76">
        <v>14.8</v>
      </c>
      <c r="AA84" s="76">
        <v>23.8</v>
      </c>
      <c r="AB84" s="76">
        <v>80</v>
      </c>
      <c r="AC84" s="76">
        <v>80</v>
      </c>
      <c r="AD84" s="65">
        <v>100</v>
      </c>
      <c r="AE84" s="76">
        <v>100</v>
      </c>
      <c r="AF84" s="76">
        <v>57</v>
      </c>
      <c r="AG84" s="75"/>
      <c r="AH84" s="47">
        <f t="shared" si="2"/>
        <v>100</v>
      </c>
      <c r="AI84" s="48">
        <f t="shared" si="3"/>
        <v>5</v>
      </c>
      <c r="AK84" s="50"/>
    </row>
    <row r="85" spans="1:40" x14ac:dyDescent="0.25">
      <c r="A85" s="54" t="s">
        <v>85</v>
      </c>
      <c r="B85" s="45">
        <v>0</v>
      </c>
      <c r="C85" s="45">
        <v>104</v>
      </c>
      <c r="D85" s="45">
        <v>107</v>
      </c>
      <c r="E85" s="45">
        <v>110</v>
      </c>
      <c r="F85" s="45">
        <v>84</v>
      </c>
      <c r="G85" s="45">
        <v>84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ref="AH85:AH130" si="45">MAX(B85:AF85)</f>
        <v>110</v>
      </c>
      <c r="AI85" s="48">
        <f t="shared" ref="AI85:AI130" si="46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>
        <v>4</v>
      </c>
      <c r="AB86" s="77">
        <v>4</v>
      </c>
      <c r="AC86" s="77">
        <v>4</v>
      </c>
      <c r="AD86" s="77">
        <v>4</v>
      </c>
      <c r="AE86" s="77">
        <v>4</v>
      </c>
      <c r="AF86" s="77">
        <v>4</v>
      </c>
      <c r="AG86" s="75"/>
      <c r="AH86" s="47">
        <f t="shared" si="45"/>
        <v>4</v>
      </c>
      <c r="AI86" s="48">
        <f t="shared" si="46"/>
        <v>4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5"/>
        <v>0</v>
      </c>
      <c r="AI87" s="48">
        <f t="shared" si="46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5"/>
        <v>0</v>
      </c>
      <c r="AI88" s="48">
        <f t="shared" si="46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5"/>
        <v>0</v>
      </c>
      <c r="AI89" s="48">
        <f t="shared" si="46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5"/>
        <v>0</v>
      </c>
      <c r="AI90" s="48">
        <f t="shared" si="46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70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/>
      <c r="J91" s="77">
        <v>68.599999999999994</v>
      </c>
      <c r="K91" s="77">
        <v>68.599999999999994</v>
      </c>
      <c r="L91" s="77">
        <v>66</v>
      </c>
      <c r="M91" s="77">
        <v>63.4</v>
      </c>
      <c r="N91" s="77">
        <v>61.2</v>
      </c>
      <c r="O91" s="77">
        <v>61.4</v>
      </c>
      <c r="P91" s="77">
        <v>66.099999999999994</v>
      </c>
      <c r="Q91" s="77">
        <v>79.8</v>
      </c>
      <c r="R91" s="77">
        <v>69</v>
      </c>
      <c r="S91" s="77">
        <v>76.8</v>
      </c>
      <c r="T91" s="77">
        <v>75.900000000000006</v>
      </c>
      <c r="U91" s="77">
        <v>64.2</v>
      </c>
      <c r="V91" s="77">
        <v>51.1</v>
      </c>
      <c r="W91" s="77">
        <v>59.1</v>
      </c>
      <c r="X91" s="77">
        <v>61.2</v>
      </c>
      <c r="Y91" s="77">
        <v>71.099999999999994</v>
      </c>
      <c r="Z91" s="77">
        <v>72.5</v>
      </c>
      <c r="AA91" s="77">
        <v>71.3</v>
      </c>
      <c r="AB91" s="77">
        <v>71</v>
      </c>
      <c r="AC91" s="77">
        <v>69</v>
      </c>
      <c r="AD91" s="77">
        <v>77</v>
      </c>
      <c r="AE91" s="77">
        <v>75</v>
      </c>
      <c r="AF91" s="77">
        <v>70</v>
      </c>
      <c r="AG91" s="85"/>
      <c r="AH91" s="47">
        <f t="shared" si="45"/>
        <v>79.8</v>
      </c>
      <c r="AI91" s="48">
        <f t="shared" si="46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47">SUMIF(B81:B91,"&gt;0")</f>
        <v>551</v>
      </c>
      <c r="C92" s="60">
        <f t="shared" si="47"/>
        <v>601</v>
      </c>
      <c r="D92" s="60">
        <f t="shared" ref="D92" si="48">SUMIF(D81:D91,"&gt;0")</f>
        <v>573.9</v>
      </c>
      <c r="E92" s="60">
        <f t="shared" ref="E92:AF92" si="49">SUMIF(E81:E91,"&gt;0")</f>
        <v>560.70000000000005</v>
      </c>
      <c r="F92" s="60">
        <f t="shared" si="49"/>
        <v>542.1</v>
      </c>
      <c r="G92" s="60">
        <f t="shared" ref="G92:H92" si="50">SUMIF(G81:G91,"&gt;0")</f>
        <v>542.1</v>
      </c>
      <c r="H92" s="60">
        <f t="shared" si="50"/>
        <v>481.8</v>
      </c>
      <c r="I92" s="60">
        <f t="shared" si="49"/>
        <v>463.79999999999995</v>
      </c>
      <c r="J92" s="60">
        <f t="shared" ref="J92:K92" si="51">SUMIF(J81:J91,"&gt;0")</f>
        <v>514</v>
      </c>
      <c r="K92" s="60">
        <f t="shared" si="51"/>
        <v>514</v>
      </c>
      <c r="L92" s="60">
        <f t="shared" ref="L92:N92" si="52">SUMIF(L81:L91,"&gt;0")</f>
        <v>287</v>
      </c>
      <c r="M92" s="60">
        <f t="shared" si="52"/>
        <v>274.79999999999995</v>
      </c>
      <c r="N92" s="60">
        <f t="shared" si="52"/>
        <v>421</v>
      </c>
      <c r="O92" s="60">
        <f t="shared" si="49"/>
        <v>425.3</v>
      </c>
      <c r="P92" s="60">
        <f t="shared" si="49"/>
        <v>522</v>
      </c>
      <c r="Q92" s="60">
        <f t="shared" si="49"/>
        <v>560.19999999999993</v>
      </c>
      <c r="R92" s="60">
        <f t="shared" si="49"/>
        <v>617</v>
      </c>
      <c r="S92" s="60">
        <f t="shared" ref="S92:T92" si="53">SUMIF(S81:S91,"&gt;0")</f>
        <v>664.99999999999989</v>
      </c>
      <c r="T92" s="60">
        <f t="shared" si="53"/>
        <v>660.2</v>
      </c>
      <c r="U92" s="60">
        <f t="shared" ref="U92:V92" si="54">SUMIF(U81:U91,"&gt;0")</f>
        <v>616.1</v>
      </c>
      <c r="V92" s="60">
        <f t="shared" si="54"/>
        <v>560.9</v>
      </c>
      <c r="W92" s="60">
        <f t="shared" ref="W92:X92" si="55">SUMIF(W81:W91,"&gt;0")</f>
        <v>540</v>
      </c>
      <c r="X92" s="60">
        <f t="shared" si="55"/>
        <v>505.2</v>
      </c>
      <c r="Y92" s="60">
        <f t="shared" ref="Y92:Z92" si="56">SUMIF(Y81:Y91,"&gt;0")</f>
        <v>393.4</v>
      </c>
      <c r="Z92" s="60">
        <f t="shared" si="56"/>
        <v>325.60000000000002</v>
      </c>
      <c r="AA92" s="60">
        <f t="shared" si="49"/>
        <v>413.5</v>
      </c>
      <c r="AB92" s="60">
        <f t="shared" si="49"/>
        <v>478.2</v>
      </c>
      <c r="AC92" s="60">
        <f t="shared" si="49"/>
        <v>465</v>
      </c>
      <c r="AD92" s="60">
        <f t="shared" si="49"/>
        <v>581</v>
      </c>
      <c r="AE92" s="60">
        <f t="shared" si="49"/>
        <v>637</v>
      </c>
      <c r="AF92" s="60">
        <f t="shared" si="49"/>
        <v>594</v>
      </c>
      <c r="AG92" s="88">
        <f>SUM(AG81:AG91)</f>
        <v>0</v>
      </c>
      <c r="AH92" s="47">
        <f t="shared" si="45"/>
        <v>664.99999999999989</v>
      </c>
      <c r="AI92" s="48">
        <f t="shared" si="46"/>
        <v>274.79999999999995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/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5"/>
        <v>0</v>
      </c>
      <c r="AI93" s="48">
        <f t="shared" si="46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/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5"/>
        <v>0</v>
      </c>
      <c r="AI94" s="48">
        <f t="shared" si="46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/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5"/>
        <v>0</v>
      </c>
      <c r="AI95" s="48">
        <f t="shared" si="46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5"/>
        <v>0</v>
      </c>
      <c r="AI96" s="48">
        <f t="shared" si="46"/>
        <v>0</v>
      </c>
    </row>
    <row r="97" spans="1:37" ht="15.75" thickBot="1" x14ac:dyDescent="0.3">
      <c r="A97" s="74" t="s">
        <v>99</v>
      </c>
      <c r="B97" s="95">
        <f t="shared" ref="B97:C97" si="57">B58+B62+B80+B76+B92+B96</f>
        <v>1234.49</v>
      </c>
      <c r="C97" s="95">
        <f t="shared" si="57"/>
        <v>1207.8899999999999</v>
      </c>
      <c r="D97" s="95">
        <f t="shared" ref="D97" si="58">D58+D62+D80+D76+D92+D96</f>
        <v>1178.29</v>
      </c>
      <c r="E97" s="95">
        <f t="shared" ref="E97:AG97" si="59">E58+E62+E80+E76+E92+E96</f>
        <v>1165.29</v>
      </c>
      <c r="F97" s="95">
        <f t="shared" si="59"/>
        <v>1143.79</v>
      </c>
      <c r="G97" s="95">
        <f t="shared" ref="G97:H97" si="60">G58+G62+G80+G76+G92+G96</f>
        <v>1143.79</v>
      </c>
      <c r="H97" s="95">
        <f t="shared" si="60"/>
        <v>1216.49</v>
      </c>
      <c r="I97" s="95">
        <f t="shared" si="59"/>
        <v>1281.69</v>
      </c>
      <c r="J97" s="95">
        <f t="shared" ref="J97:K97" si="61">J58+J62+J80+J76+J92+J96</f>
        <v>1430.99</v>
      </c>
      <c r="K97" s="95">
        <f t="shared" si="61"/>
        <v>1530.99</v>
      </c>
      <c r="L97" s="95">
        <f t="shared" ref="L97:M97" si="62">L58+L62+L80+L76+L92+L96</f>
        <v>1343.19</v>
      </c>
      <c r="M97" s="95">
        <f t="shared" si="62"/>
        <v>1372.29</v>
      </c>
      <c r="N97" s="95">
        <f t="shared" si="59"/>
        <v>1408.49</v>
      </c>
      <c r="O97" s="95">
        <f t="shared" si="59"/>
        <v>1275.0899999999999</v>
      </c>
      <c r="P97" s="95">
        <f t="shared" si="59"/>
        <v>1334.79</v>
      </c>
      <c r="Q97" s="95">
        <f t="shared" si="59"/>
        <v>1508.4899999999998</v>
      </c>
      <c r="R97" s="95">
        <f t="shared" si="59"/>
        <v>1463.29</v>
      </c>
      <c r="S97" s="95">
        <f t="shared" ref="S97:T97" si="63">S58+S62+S80+S76+S92+S96</f>
        <v>1479.4899999999998</v>
      </c>
      <c r="T97" s="95">
        <f t="shared" si="63"/>
        <v>1509.59</v>
      </c>
      <c r="U97" s="95">
        <f t="shared" ref="U97:V97" si="64">U58+U62+U80+U76+U92+U96</f>
        <v>1458.19</v>
      </c>
      <c r="V97" s="95">
        <f t="shared" si="64"/>
        <v>1255.69</v>
      </c>
      <c r="W97" s="95">
        <f t="shared" ref="W97:X97" si="65">W58+W62+W80+W76+W92+W96</f>
        <v>1291.49</v>
      </c>
      <c r="X97" s="95">
        <f t="shared" si="65"/>
        <v>1310.3899999999999</v>
      </c>
      <c r="Y97" s="95">
        <f t="shared" ref="Y97:Z97" si="66">Y58+Y62+Y80+Y76+Y92+Y96</f>
        <v>1477.3899999999999</v>
      </c>
      <c r="Z97" s="95">
        <f t="shared" si="66"/>
        <v>1374.19</v>
      </c>
      <c r="AA97" s="95">
        <f t="shared" si="59"/>
        <v>1356.89</v>
      </c>
      <c r="AB97" s="95">
        <f t="shared" si="59"/>
        <v>1386.0900000000001</v>
      </c>
      <c r="AC97" s="95">
        <f t="shared" si="59"/>
        <v>1322.89</v>
      </c>
      <c r="AD97" s="95">
        <f t="shared" si="59"/>
        <v>1338.89</v>
      </c>
      <c r="AE97" s="95">
        <f t="shared" si="59"/>
        <v>1279.8900000000001</v>
      </c>
      <c r="AF97" s="95">
        <f t="shared" si="59"/>
        <v>1209.69</v>
      </c>
      <c r="AG97" s="61">
        <f t="shared" si="59"/>
        <v>2231.81</v>
      </c>
      <c r="AH97" s="47">
        <f t="shared" si="45"/>
        <v>1530.99</v>
      </c>
      <c r="AI97" s="48">
        <f t="shared" si="46"/>
        <v>1143.79</v>
      </c>
    </row>
    <row r="98" spans="1:37" ht="15.75" thickBot="1" x14ac:dyDescent="0.3">
      <c r="A98" s="96" t="s">
        <v>100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/>
      <c r="L98" s="97"/>
      <c r="M98" s="97">
        <v>250</v>
      </c>
      <c r="N98" s="97">
        <v>250</v>
      </c>
      <c r="O98" s="97">
        <v>250</v>
      </c>
      <c r="P98" s="97">
        <v>250</v>
      </c>
      <c r="Q98" s="97"/>
      <c r="R98" s="97"/>
      <c r="S98" s="97"/>
      <c r="T98" s="97"/>
      <c r="U98" s="97"/>
      <c r="V98" s="97"/>
      <c r="W98" s="97"/>
      <c r="X98" s="97">
        <v>280</v>
      </c>
      <c r="Y98" s="97">
        <v>280</v>
      </c>
      <c r="Z98" s="97">
        <v>240</v>
      </c>
      <c r="AA98" s="97">
        <v>230</v>
      </c>
      <c r="AB98" s="97">
        <v>230</v>
      </c>
      <c r="AC98" s="97">
        <v>230</v>
      </c>
      <c r="AD98" s="97">
        <v>230</v>
      </c>
      <c r="AE98" s="97"/>
      <c r="AF98" s="97"/>
      <c r="AG98" s="88"/>
      <c r="AH98" s="47">
        <f t="shared" si="45"/>
        <v>280</v>
      </c>
      <c r="AI98" s="48">
        <f t="shared" si="46"/>
        <v>0</v>
      </c>
    </row>
    <row r="99" spans="1:37" ht="15.75" thickBot="1" x14ac:dyDescent="0.3">
      <c r="A99" s="74" t="s">
        <v>101</v>
      </c>
      <c r="B99" s="95">
        <f t="shared" ref="B99:C99" si="67">B97+B98</f>
        <v>1234.49</v>
      </c>
      <c r="C99" s="95">
        <f t="shared" si="67"/>
        <v>1207.8899999999999</v>
      </c>
      <c r="D99" s="95">
        <f t="shared" ref="D99" si="68">D97+D98</f>
        <v>1178.29</v>
      </c>
      <c r="E99" s="95">
        <f t="shared" ref="E99:AF99" si="69">E97+E98</f>
        <v>1165.29</v>
      </c>
      <c r="F99" s="95">
        <f t="shared" si="69"/>
        <v>1143.79</v>
      </c>
      <c r="G99" s="95">
        <f t="shared" ref="G99:H99" si="70">G97+G98</f>
        <v>1143.79</v>
      </c>
      <c r="H99" s="95">
        <f t="shared" si="70"/>
        <v>1216.49</v>
      </c>
      <c r="I99" s="95">
        <f t="shared" si="69"/>
        <v>1281.69</v>
      </c>
      <c r="J99" s="95">
        <f t="shared" ref="J99:K99" si="71">J97+J98</f>
        <v>1430.99</v>
      </c>
      <c r="K99" s="95">
        <f t="shared" si="71"/>
        <v>1530.99</v>
      </c>
      <c r="L99" s="95">
        <f t="shared" ref="L99:M99" si="72">L97+L98</f>
        <v>1343.19</v>
      </c>
      <c r="M99" s="95">
        <f t="shared" si="72"/>
        <v>1622.29</v>
      </c>
      <c r="N99" s="95">
        <f t="shared" si="69"/>
        <v>1658.49</v>
      </c>
      <c r="O99" s="95">
        <f t="shared" si="69"/>
        <v>1525.09</v>
      </c>
      <c r="P99" s="95">
        <f t="shared" si="69"/>
        <v>1584.79</v>
      </c>
      <c r="Q99" s="95">
        <f t="shared" si="69"/>
        <v>1508.4899999999998</v>
      </c>
      <c r="R99" s="95">
        <f t="shared" si="69"/>
        <v>1463.29</v>
      </c>
      <c r="S99" s="95">
        <f t="shared" ref="S99:T99" si="73">S97+S98</f>
        <v>1479.4899999999998</v>
      </c>
      <c r="T99" s="95">
        <f t="shared" si="73"/>
        <v>1509.59</v>
      </c>
      <c r="U99" s="95">
        <f t="shared" ref="U99:V99" si="74">U97+U98</f>
        <v>1458.19</v>
      </c>
      <c r="V99" s="95">
        <f t="shared" si="74"/>
        <v>1255.69</v>
      </c>
      <c r="W99" s="95">
        <f t="shared" ref="W99:X99" si="75">W97+W98</f>
        <v>1291.49</v>
      </c>
      <c r="X99" s="95">
        <f t="shared" si="75"/>
        <v>1590.3899999999999</v>
      </c>
      <c r="Y99" s="95">
        <f t="shared" ref="Y99:Z99" si="76">Y97+Y98</f>
        <v>1757.3899999999999</v>
      </c>
      <c r="Z99" s="95">
        <f t="shared" si="76"/>
        <v>1614.19</v>
      </c>
      <c r="AA99" s="95">
        <f t="shared" si="69"/>
        <v>1586.89</v>
      </c>
      <c r="AB99" s="95">
        <f t="shared" si="69"/>
        <v>1616.0900000000001</v>
      </c>
      <c r="AC99" s="95">
        <f t="shared" si="69"/>
        <v>1552.89</v>
      </c>
      <c r="AD99" s="95">
        <f t="shared" si="69"/>
        <v>1568.89</v>
      </c>
      <c r="AE99" s="95">
        <f t="shared" si="69"/>
        <v>1279.8900000000001</v>
      </c>
      <c r="AF99" s="95">
        <f t="shared" si="69"/>
        <v>1209.69</v>
      </c>
      <c r="AG99" s="88">
        <f>AG96+AG92+AG80+AG76+AG58+AG98</f>
        <v>1693.71</v>
      </c>
      <c r="AH99" s="47">
        <f t="shared" si="45"/>
        <v>1757.3899999999999</v>
      </c>
      <c r="AI99" s="48">
        <f t="shared" si="46"/>
        <v>1143.79</v>
      </c>
    </row>
    <row r="100" spans="1:37" ht="15.75" thickBot="1" x14ac:dyDescent="0.3">
      <c r="A100" s="74" t="s">
        <v>102</v>
      </c>
      <c r="B100" s="95">
        <f t="shared" ref="B100:C100" si="77">B99-(B107)</f>
        <v>1234.49</v>
      </c>
      <c r="C100" s="95">
        <f t="shared" si="77"/>
        <v>1207.8899999999999</v>
      </c>
      <c r="D100" s="95">
        <f t="shared" ref="D100" si="78">D99-(D107)</f>
        <v>1178.29</v>
      </c>
      <c r="E100" s="95">
        <f t="shared" ref="E100:I100" si="79">E99-(E107)</f>
        <v>1165.29</v>
      </c>
      <c r="F100" s="95">
        <f t="shared" si="79"/>
        <v>1143.79</v>
      </c>
      <c r="G100" s="95">
        <f t="shared" ref="G100:H100" si="80">G99-(G107)</f>
        <v>1143.79</v>
      </c>
      <c r="H100" s="95">
        <f t="shared" si="80"/>
        <v>1216.49</v>
      </c>
      <c r="I100" s="95">
        <f t="shared" si="79"/>
        <v>1281.69</v>
      </c>
      <c r="J100" s="95">
        <f t="shared" ref="J100:K100" si="81">J99-(J107)</f>
        <v>1429.99</v>
      </c>
      <c r="K100" s="95">
        <f t="shared" si="81"/>
        <v>1528.99</v>
      </c>
      <c r="L100" s="95">
        <f t="shared" ref="L100:M100" si="82">L99-(L107)</f>
        <v>1340.19</v>
      </c>
      <c r="M100" s="95">
        <f t="shared" si="82"/>
        <v>1622.29</v>
      </c>
      <c r="N100" s="95">
        <f>N99-(N107)</f>
        <v>1658.49</v>
      </c>
      <c r="O100" s="95">
        <f t="shared" ref="O100:AF100" si="83">O99-(O107)</f>
        <v>1525.09</v>
      </c>
      <c r="P100" s="95">
        <f t="shared" si="83"/>
        <v>1584.79</v>
      </c>
      <c r="Q100" s="95">
        <f t="shared" si="83"/>
        <v>1508.4899999999998</v>
      </c>
      <c r="R100" s="95">
        <f t="shared" si="83"/>
        <v>1463.29</v>
      </c>
      <c r="S100" s="95">
        <f t="shared" ref="S100:T100" si="84">S99-(S107)</f>
        <v>1479.4899999999998</v>
      </c>
      <c r="T100" s="95">
        <f t="shared" si="84"/>
        <v>1509.59</v>
      </c>
      <c r="U100" s="95">
        <f t="shared" ref="U100:V100" si="85">U99-(U107)</f>
        <v>1458.19</v>
      </c>
      <c r="V100" s="95">
        <f t="shared" si="85"/>
        <v>1255.69</v>
      </c>
      <c r="W100" s="95">
        <f t="shared" ref="W100:X100" si="86">W99-(W107)</f>
        <v>1291.49</v>
      </c>
      <c r="X100" s="95">
        <f t="shared" si="86"/>
        <v>1590.3899999999999</v>
      </c>
      <c r="Y100" s="95">
        <f t="shared" ref="Y100:Z100" si="87">Y99-(Y107)</f>
        <v>1757.3899999999999</v>
      </c>
      <c r="Z100" s="95">
        <f t="shared" si="87"/>
        <v>1614.19</v>
      </c>
      <c r="AA100" s="95">
        <f t="shared" si="83"/>
        <v>1586.89</v>
      </c>
      <c r="AB100" s="95">
        <f t="shared" si="83"/>
        <v>1616.0900000000001</v>
      </c>
      <c r="AC100" s="95">
        <f t="shared" si="83"/>
        <v>1552.89</v>
      </c>
      <c r="AD100" s="95">
        <f t="shared" si="83"/>
        <v>1568.89</v>
      </c>
      <c r="AE100" s="95">
        <f t="shared" si="83"/>
        <v>1279.8900000000001</v>
      </c>
      <c r="AF100" s="95">
        <f t="shared" si="83"/>
        <v>1209.69</v>
      </c>
      <c r="AG100" s="88"/>
      <c r="AH100" s="47">
        <f t="shared" si="45"/>
        <v>1757.3899999999999</v>
      </c>
      <c r="AI100" s="48">
        <f t="shared" si="46"/>
        <v>1143.79</v>
      </c>
    </row>
    <row r="101" spans="1:37" x14ac:dyDescent="0.25">
      <c r="A101" s="44" t="s">
        <v>84</v>
      </c>
      <c r="B101" s="76">
        <f t="shared" ref="B101:C101" si="88">IF(B84&lt;0,B84*-1,0)</f>
        <v>0</v>
      </c>
      <c r="C101" s="76">
        <f t="shared" si="88"/>
        <v>0</v>
      </c>
      <c r="D101" s="76">
        <f t="shared" ref="D101" si="89">IF(D84&lt;0,D84*-1,0)</f>
        <v>0</v>
      </c>
      <c r="E101" s="76">
        <f t="shared" ref="E101:AF101" si="90">IF(E84&lt;0,E84*-1,0)</f>
        <v>0</v>
      </c>
      <c r="F101" s="76">
        <f t="shared" si="90"/>
        <v>0</v>
      </c>
      <c r="G101" s="76">
        <f t="shared" ref="G101:H101" si="91">IF(G84&lt;0,G84*-1,0)</f>
        <v>0</v>
      </c>
      <c r="H101" s="76">
        <f t="shared" si="91"/>
        <v>0</v>
      </c>
      <c r="I101" s="76">
        <f t="shared" si="90"/>
        <v>0</v>
      </c>
      <c r="J101" s="76">
        <f t="shared" ref="J101:K101" si="92">IF(J84&lt;0,J84*-1,0)</f>
        <v>0</v>
      </c>
      <c r="K101" s="76">
        <f t="shared" si="92"/>
        <v>0</v>
      </c>
      <c r="L101" s="76">
        <f t="shared" ref="L101" si="93">IF(L84&lt;0,L84*-1,0)</f>
        <v>0</v>
      </c>
      <c r="M101" s="76"/>
      <c r="N101" s="76">
        <f t="shared" si="90"/>
        <v>0</v>
      </c>
      <c r="O101" s="76">
        <f t="shared" si="90"/>
        <v>0</v>
      </c>
      <c r="P101" s="76">
        <f t="shared" si="90"/>
        <v>0</v>
      </c>
      <c r="Q101" s="76">
        <f t="shared" si="90"/>
        <v>0</v>
      </c>
      <c r="R101" s="76">
        <f t="shared" si="90"/>
        <v>0</v>
      </c>
      <c r="S101" s="76">
        <f t="shared" ref="S101:T101" si="94">IF(S84&lt;0,S84*-1,0)</f>
        <v>0</v>
      </c>
      <c r="T101" s="76">
        <f t="shared" si="94"/>
        <v>0</v>
      </c>
      <c r="U101" s="76">
        <f t="shared" ref="U101:V101" si="95">IF(U84&lt;0,U84*-1,0)</f>
        <v>0</v>
      </c>
      <c r="V101" s="76">
        <f t="shared" si="95"/>
        <v>0</v>
      </c>
      <c r="W101" s="76">
        <f t="shared" ref="W101:X101" si="96">IF(W84&lt;0,W84*-1,0)</f>
        <v>0</v>
      </c>
      <c r="X101" s="76">
        <f t="shared" si="96"/>
        <v>0</v>
      </c>
      <c r="Y101" s="76">
        <f t="shared" ref="Y101:Z101" si="97">IF(Y84&lt;0,Y84*-1,0)</f>
        <v>0</v>
      </c>
      <c r="Z101" s="76">
        <f t="shared" si="97"/>
        <v>0</v>
      </c>
      <c r="AA101" s="76">
        <f t="shared" si="90"/>
        <v>0</v>
      </c>
      <c r="AB101" s="76">
        <f t="shared" si="90"/>
        <v>0</v>
      </c>
      <c r="AC101" s="76">
        <f t="shared" si="90"/>
        <v>0</v>
      </c>
      <c r="AD101" s="76">
        <f t="shared" si="90"/>
        <v>0</v>
      </c>
      <c r="AE101" s="76">
        <f t="shared" si="90"/>
        <v>0</v>
      </c>
      <c r="AF101" s="76">
        <f t="shared" si="90"/>
        <v>0</v>
      </c>
      <c r="AG101" s="52"/>
      <c r="AH101" s="47">
        <f t="shared" si="45"/>
        <v>0</v>
      </c>
      <c r="AI101" s="48">
        <f t="shared" si="46"/>
        <v>0</v>
      </c>
    </row>
    <row r="102" spans="1:37" x14ac:dyDescent="0.25">
      <c r="A102" s="54" t="s">
        <v>82</v>
      </c>
      <c r="B102" s="76">
        <f t="shared" ref="B102:C102" si="98">IF(B82&lt;0,B82*-1,0)</f>
        <v>0</v>
      </c>
      <c r="C102" s="76">
        <f t="shared" si="98"/>
        <v>0</v>
      </c>
      <c r="D102" s="76">
        <f t="shared" ref="D102" si="99">IF(D82&lt;0,D82*-1,0)</f>
        <v>0</v>
      </c>
      <c r="E102" s="76">
        <f t="shared" ref="E102:AF102" si="100">IF(E82&lt;0,E82*-1,0)</f>
        <v>0</v>
      </c>
      <c r="F102" s="76">
        <f t="shared" si="100"/>
        <v>0</v>
      </c>
      <c r="G102" s="76">
        <f t="shared" ref="G102:H102" si="101">IF(G82&lt;0,G82*-1,0)</f>
        <v>0</v>
      </c>
      <c r="H102" s="76">
        <f t="shared" si="101"/>
        <v>0</v>
      </c>
      <c r="I102" s="76">
        <f t="shared" si="100"/>
        <v>0</v>
      </c>
      <c r="J102" s="76">
        <f t="shared" ref="J102:K102" si="102">IF(J82&lt;0,J82*-1,0)</f>
        <v>0</v>
      </c>
      <c r="K102" s="76">
        <f t="shared" si="102"/>
        <v>0</v>
      </c>
      <c r="L102" s="76">
        <f t="shared" ref="L102" si="103">IF(L82&lt;0,L82*-1,0)</f>
        <v>0</v>
      </c>
      <c r="M102" s="76"/>
      <c r="N102" s="76">
        <f t="shared" si="100"/>
        <v>0</v>
      </c>
      <c r="O102" s="76">
        <f t="shared" si="100"/>
        <v>0</v>
      </c>
      <c r="P102" s="76">
        <f t="shared" si="100"/>
        <v>0</v>
      </c>
      <c r="Q102" s="76">
        <f t="shared" si="100"/>
        <v>0</v>
      </c>
      <c r="R102" s="76">
        <f t="shared" si="100"/>
        <v>0</v>
      </c>
      <c r="S102" s="76">
        <f t="shared" ref="S102:T102" si="104">IF(S82&lt;0,S82*-1,0)</f>
        <v>0</v>
      </c>
      <c r="T102" s="76">
        <f t="shared" si="104"/>
        <v>0</v>
      </c>
      <c r="U102" s="76">
        <f t="shared" ref="U102:V102" si="105">IF(U82&lt;0,U82*-1,0)</f>
        <v>0</v>
      </c>
      <c r="V102" s="76">
        <f t="shared" si="105"/>
        <v>0</v>
      </c>
      <c r="W102" s="76">
        <f t="shared" ref="W102:X102" si="106">IF(W82&lt;0,W82*-1,0)</f>
        <v>0</v>
      </c>
      <c r="X102" s="76">
        <f t="shared" si="106"/>
        <v>0</v>
      </c>
      <c r="Y102" s="76">
        <f t="shared" ref="Y102:Z102" si="107">IF(Y82&lt;0,Y82*-1,0)</f>
        <v>0</v>
      </c>
      <c r="Z102" s="76">
        <f t="shared" si="107"/>
        <v>0</v>
      </c>
      <c r="AA102" s="76">
        <f t="shared" si="100"/>
        <v>0</v>
      </c>
      <c r="AB102" s="76">
        <f t="shared" si="100"/>
        <v>0</v>
      </c>
      <c r="AC102" s="76">
        <f t="shared" si="100"/>
        <v>0</v>
      </c>
      <c r="AD102" s="76">
        <f t="shared" si="100"/>
        <v>0</v>
      </c>
      <c r="AE102" s="76">
        <f t="shared" si="100"/>
        <v>0</v>
      </c>
      <c r="AF102" s="76">
        <f t="shared" si="100"/>
        <v>0</v>
      </c>
      <c r="AG102" s="55"/>
      <c r="AH102" s="47">
        <f t="shared" si="45"/>
        <v>0</v>
      </c>
      <c r="AI102" s="48">
        <f t="shared" si="46"/>
        <v>0</v>
      </c>
    </row>
    <row r="103" spans="1:37" x14ac:dyDescent="0.25">
      <c r="A103" s="84" t="s">
        <v>103</v>
      </c>
      <c r="B103" s="76">
        <f t="shared" ref="B103:C103" si="108">IF(B85&lt;0,B85*-1,0)</f>
        <v>0</v>
      </c>
      <c r="C103" s="76">
        <f t="shared" si="108"/>
        <v>0</v>
      </c>
      <c r="D103" s="76">
        <f t="shared" ref="D103" si="109">IF(D85&lt;0,D85*-1,0)</f>
        <v>0</v>
      </c>
      <c r="E103" s="76">
        <f t="shared" ref="E103:AF103" si="110">IF(E85&lt;0,E85*-1,0)</f>
        <v>0</v>
      </c>
      <c r="F103" s="76">
        <f t="shared" si="110"/>
        <v>0</v>
      </c>
      <c r="G103" s="76">
        <f t="shared" ref="G103:H103" si="111">IF(G85&lt;0,G85*-1,0)</f>
        <v>0</v>
      </c>
      <c r="H103" s="76">
        <f t="shared" si="111"/>
        <v>0</v>
      </c>
      <c r="I103" s="76">
        <f t="shared" si="110"/>
        <v>0</v>
      </c>
      <c r="J103" s="76">
        <f t="shared" ref="J103:K103" si="112">IF(J85&lt;0,J85*-1,0)</f>
        <v>0</v>
      </c>
      <c r="K103" s="76">
        <f t="shared" si="112"/>
        <v>0</v>
      </c>
      <c r="L103" s="76">
        <f t="shared" ref="L103" si="113">IF(L85&lt;0,L85*-1,0)</f>
        <v>0</v>
      </c>
      <c r="M103" s="76"/>
      <c r="N103" s="76">
        <f t="shared" si="110"/>
        <v>0</v>
      </c>
      <c r="O103" s="76">
        <f t="shared" si="110"/>
        <v>0</v>
      </c>
      <c r="P103" s="76">
        <f t="shared" si="110"/>
        <v>0</v>
      </c>
      <c r="Q103" s="76">
        <f t="shared" si="110"/>
        <v>0</v>
      </c>
      <c r="R103" s="76">
        <f t="shared" si="110"/>
        <v>0</v>
      </c>
      <c r="S103" s="76">
        <f t="shared" ref="S103:T103" si="114">IF(S85&lt;0,S85*-1,0)</f>
        <v>0</v>
      </c>
      <c r="T103" s="76">
        <f t="shared" si="114"/>
        <v>0</v>
      </c>
      <c r="U103" s="76">
        <f t="shared" ref="U103:V103" si="115">IF(U85&lt;0,U85*-1,0)</f>
        <v>0</v>
      </c>
      <c r="V103" s="76">
        <f t="shared" si="115"/>
        <v>0</v>
      </c>
      <c r="W103" s="76">
        <f t="shared" ref="W103:X103" si="116">IF(W85&lt;0,W85*-1,0)</f>
        <v>0</v>
      </c>
      <c r="X103" s="76">
        <f t="shared" si="116"/>
        <v>0</v>
      </c>
      <c r="Y103" s="76">
        <f t="shared" ref="Y103:Z103" si="117">IF(Y85&lt;0,Y85*-1,0)</f>
        <v>0</v>
      </c>
      <c r="Z103" s="76">
        <f t="shared" si="117"/>
        <v>0</v>
      </c>
      <c r="AA103" s="76">
        <f t="shared" si="110"/>
        <v>0</v>
      </c>
      <c r="AB103" s="76">
        <f t="shared" si="110"/>
        <v>0</v>
      </c>
      <c r="AC103" s="76">
        <f t="shared" si="110"/>
        <v>0</v>
      </c>
      <c r="AD103" s="76">
        <f t="shared" si="110"/>
        <v>0</v>
      </c>
      <c r="AE103" s="76">
        <f t="shared" si="110"/>
        <v>0</v>
      </c>
      <c r="AF103" s="76">
        <f t="shared" si="110"/>
        <v>0</v>
      </c>
      <c r="AG103" s="98"/>
      <c r="AH103" s="47">
        <f t="shared" si="45"/>
        <v>0</v>
      </c>
      <c r="AI103" s="48">
        <f t="shared" si="46"/>
        <v>0</v>
      </c>
    </row>
    <row r="104" spans="1:37" x14ac:dyDescent="0.25">
      <c r="A104" s="84" t="s">
        <v>104</v>
      </c>
      <c r="B104" s="76">
        <f t="shared" ref="B104:C104" si="118">IF(B83&lt;0,B83*-1,0)</f>
        <v>0</v>
      </c>
      <c r="C104" s="76">
        <f t="shared" si="118"/>
        <v>0</v>
      </c>
      <c r="D104" s="76">
        <f t="shared" ref="D104" si="119">IF(D83&lt;0,D83*-1,0)</f>
        <v>0</v>
      </c>
      <c r="E104" s="76">
        <f t="shared" ref="E104:AF104" si="120">IF(E83&lt;0,E83*-1,0)</f>
        <v>0</v>
      </c>
      <c r="F104" s="76">
        <f t="shared" si="120"/>
        <v>0</v>
      </c>
      <c r="G104" s="76">
        <f t="shared" ref="G104:H104" si="121">IF(G83&lt;0,G83*-1,0)</f>
        <v>0</v>
      </c>
      <c r="H104" s="76">
        <f t="shared" si="121"/>
        <v>0</v>
      </c>
      <c r="I104" s="76">
        <f t="shared" si="120"/>
        <v>0</v>
      </c>
      <c r="J104" s="76">
        <f t="shared" ref="J104:K104" si="122">IF(J83&lt;0,J83*-1,0)</f>
        <v>0</v>
      </c>
      <c r="K104" s="76">
        <f t="shared" si="122"/>
        <v>0</v>
      </c>
      <c r="L104" s="76">
        <f t="shared" ref="L104" si="123">IF(L83&lt;0,L83*-1,0)</f>
        <v>0</v>
      </c>
      <c r="M104" s="76"/>
      <c r="N104" s="76">
        <f t="shared" si="120"/>
        <v>0</v>
      </c>
      <c r="O104" s="76">
        <f t="shared" si="120"/>
        <v>0</v>
      </c>
      <c r="P104" s="76">
        <f t="shared" si="120"/>
        <v>0</v>
      </c>
      <c r="Q104" s="76">
        <f t="shared" si="120"/>
        <v>0</v>
      </c>
      <c r="R104" s="76">
        <f t="shared" si="120"/>
        <v>0</v>
      </c>
      <c r="S104" s="76">
        <f t="shared" ref="S104:T104" si="124">IF(S83&lt;0,S83*-1,0)</f>
        <v>0</v>
      </c>
      <c r="T104" s="76">
        <f t="shared" si="124"/>
        <v>0</v>
      </c>
      <c r="U104" s="76">
        <f t="shared" ref="U104:V104" si="125">IF(U83&lt;0,U83*-1,0)</f>
        <v>0</v>
      </c>
      <c r="V104" s="76">
        <f t="shared" si="125"/>
        <v>0</v>
      </c>
      <c r="W104" s="76">
        <f t="shared" ref="W104:X104" si="126">IF(W83&lt;0,W83*-1,0)</f>
        <v>0</v>
      </c>
      <c r="X104" s="76">
        <f t="shared" si="126"/>
        <v>0</v>
      </c>
      <c r="Y104" s="76">
        <f t="shared" ref="Y104:Z104" si="127">IF(Y83&lt;0,Y83*-1,0)</f>
        <v>0</v>
      </c>
      <c r="Z104" s="76">
        <f t="shared" si="127"/>
        <v>0</v>
      </c>
      <c r="AA104" s="76">
        <f t="shared" si="120"/>
        <v>0</v>
      </c>
      <c r="AB104" s="76">
        <f t="shared" si="120"/>
        <v>0</v>
      </c>
      <c r="AC104" s="76">
        <f t="shared" si="120"/>
        <v>0</v>
      </c>
      <c r="AD104" s="76">
        <f t="shared" si="120"/>
        <v>0</v>
      </c>
      <c r="AE104" s="76">
        <f t="shared" si="120"/>
        <v>0</v>
      </c>
      <c r="AF104" s="76">
        <f t="shared" si="120"/>
        <v>0</v>
      </c>
      <c r="AG104" s="98"/>
      <c r="AH104" s="47">
        <f t="shared" si="45"/>
        <v>0</v>
      </c>
      <c r="AI104" s="48">
        <f t="shared" si="46"/>
        <v>0</v>
      </c>
    </row>
    <row r="105" spans="1:37" x14ac:dyDescent="0.25">
      <c r="A105" s="84" t="s">
        <v>81</v>
      </c>
      <c r="B105" s="76">
        <f t="shared" ref="B105:C105" si="128">IF(B81&lt;0,B81*-1,0)</f>
        <v>0</v>
      </c>
      <c r="C105" s="76">
        <f t="shared" si="128"/>
        <v>0</v>
      </c>
      <c r="D105" s="76">
        <f t="shared" ref="D105" si="129">IF(D81&lt;0,D81*-1,0)</f>
        <v>0</v>
      </c>
      <c r="E105" s="76">
        <f t="shared" ref="E105:AF105" si="130">IF(E81&lt;0,E81*-1,0)</f>
        <v>0</v>
      </c>
      <c r="F105" s="76">
        <f t="shared" si="130"/>
        <v>0</v>
      </c>
      <c r="G105" s="76">
        <f t="shared" ref="G105:H105" si="131">IF(G81&lt;0,G81*-1,0)</f>
        <v>0</v>
      </c>
      <c r="H105" s="76">
        <f t="shared" si="131"/>
        <v>0</v>
      </c>
      <c r="I105" s="76">
        <f t="shared" si="130"/>
        <v>0</v>
      </c>
      <c r="J105" s="76">
        <f t="shared" ref="J105:K105" si="132">IF(J81&lt;0,J81*-1,0)</f>
        <v>0</v>
      </c>
      <c r="K105" s="76">
        <f t="shared" si="132"/>
        <v>0</v>
      </c>
      <c r="L105" s="76">
        <f t="shared" ref="L105" si="133">IF(L81&lt;0,L81*-1,0)</f>
        <v>0</v>
      </c>
      <c r="M105" s="76"/>
      <c r="N105" s="76">
        <f t="shared" si="130"/>
        <v>0</v>
      </c>
      <c r="O105" s="76">
        <f t="shared" si="130"/>
        <v>0</v>
      </c>
      <c r="P105" s="76">
        <f t="shared" si="130"/>
        <v>0</v>
      </c>
      <c r="Q105" s="76">
        <f t="shared" si="130"/>
        <v>0</v>
      </c>
      <c r="R105" s="76">
        <f t="shared" si="130"/>
        <v>0</v>
      </c>
      <c r="S105" s="76">
        <f t="shared" ref="S105:T105" si="134">IF(S81&lt;0,S81*-1,0)</f>
        <v>0</v>
      </c>
      <c r="T105" s="76">
        <f t="shared" si="134"/>
        <v>0</v>
      </c>
      <c r="U105" s="76">
        <f t="shared" ref="U105:V105" si="135">IF(U81&lt;0,U81*-1,0)</f>
        <v>0</v>
      </c>
      <c r="V105" s="76">
        <f t="shared" si="135"/>
        <v>0</v>
      </c>
      <c r="W105" s="76">
        <f t="shared" ref="W105:X105" si="136">IF(W81&lt;0,W81*-1,0)</f>
        <v>0</v>
      </c>
      <c r="X105" s="76">
        <f t="shared" si="136"/>
        <v>0</v>
      </c>
      <c r="Y105" s="76">
        <f t="shared" ref="Y105:Z105" si="137">IF(Y81&lt;0,Y81*-1,0)</f>
        <v>0</v>
      </c>
      <c r="Z105" s="76">
        <f t="shared" si="137"/>
        <v>0</v>
      </c>
      <c r="AA105" s="76">
        <f t="shared" si="130"/>
        <v>0</v>
      </c>
      <c r="AB105" s="76">
        <f t="shared" si="130"/>
        <v>0</v>
      </c>
      <c r="AC105" s="76">
        <f t="shared" si="130"/>
        <v>0</v>
      </c>
      <c r="AD105" s="76">
        <f t="shared" si="130"/>
        <v>0</v>
      </c>
      <c r="AE105" s="76">
        <f t="shared" si="130"/>
        <v>0</v>
      </c>
      <c r="AF105" s="76">
        <f t="shared" si="130"/>
        <v>0</v>
      </c>
      <c r="AG105" s="98"/>
      <c r="AH105" s="47">
        <f t="shared" si="45"/>
        <v>0</v>
      </c>
      <c r="AI105" s="48">
        <f t="shared" si="46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1</v>
      </c>
      <c r="K106" s="94">
        <v>2</v>
      </c>
      <c r="L106" s="94">
        <v>3</v>
      </c>
      <c r="M106" s="94"/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5"/>
        <v>3</v>
      </c>
      <c r="AI106" s="48">
        <f t="shared" si="46"/>
        <v>0</v>
      </c>
    </row>
    <row r="107" spans="1:37" ht="15.75" thickBot="1" x14ac:dyDescent="0.3">
      <c r="A107" s="99" t="s">
        <v>106</v>
      </c>
      <c r="B107" s="60">
        <f t="shared" ref="B107:C107" si="138">SUM(B101:B106)</f>
        <v>0</v>
      </c>
      <c r="C107" s="60">
        <f t="shared" si="138"/>
        <v>0</v>
      </c>
      <c r="D107" s="60">
        <v>0</v>
      </c>
      <c r="E107" s="60">
        <f t="shared" ref="E107:AF107" si="139">SUM(E101:E106)</f>
        <v>0</v>
      </c>
      <c r="F107" s="60">
        <f t="shared" si="139"/>
        <v>0</v>
      </c>
      <c r="G107" s="60">
        <f t="shared" ref="G107:H107" si="140">SUM(G101:G106)</f>
        <v>0</v>
      </c>
      <c r="H107" s="60">
        <f t="shared" si="140"/>
        <v>0</v>
      </c>
      <c r="I107" s="60">
        <f t="shared" si="139"/>
        <v>0</v>
      </c>
      <c r="J107" s="60">
        <f t="shared" ref="J107:K107" si="141">SUM(J101:J106)</f>
        <v>1</v>
      </c>
      <c r="K107" s="60">
        <f t="shared" si="141"/>
        <v>2</v>
      </c>
      <c r="L107" s="60">
        <f t="shared" ref="L107" si="142">SUM(L101:L106)</f>
        <v>3</v>
      </c>
      <c r="M107" s="60"/>
      <c r="N107" s="60">
        <f t="shared" si="139"/>
        <v>0</v>
      </c>
      <c r="O107" s="60">
        <f t="shared" si="139"/>
        <v>0</v>
      </c>
      <c r="P107" s="60">
        <f t="shared" si="139"/>
        <v>0</v>
      </c>
      <c r="Q107" s="60">
        <f t="shared" si="139"/>
        <v>0</v>
      </c>
      <c r="R107" s="60">
        <f t="shared" si="139"/>
        <v>0</v>
      </c>
      <c r="S107" s="60">
        <f t="shared" ref="S107:T107" si="143">SUM(S101:S106)</f>
        <v>0</v>
      </c>
      <c r="T107" s="60">
        <f t="shared" si="143"/>
        <v>0</v>
      </c>
      <c r="U107" s="60">
        <f t="shared" ref="U107:V107" si="144">SUM(U101:U106)</f>
        <v>0</v>
      </c>
      <c r="V107" s="60">
        <f t="shared" si="144"/>
        <v>0</v>
      </c>
      <c r="W107" s="60">
        <f t="shared" ref="W107:X107" si="145">SUM(W101:W106)</f>
        <v>0</v>
      </c>
      <c r="X107" s="60">
        <f t="shared" si="145"/>
        <v>0</v>
      </c>
      <c r="Y107" s="60">
        <f t="shared" ref="Y107:Z107" si="146">SUM(Y101:Y106)</f>
        <v>0</v>
      </c>
      <c r="Z107" s="60">
        <f t="shared" si="146"/>
        <v>0</v>
      </c>
      <c r="AA107" s="60">
        <f t="shared" si="139"/>
        <v>0</v>
      </c>
      <c r="AB107" s="60">
        <f t="shared" si="139"/>
        <v>0</v>
      </c>
      <c r="AC107" s="60">
        <f t="shared" si="139"/>
        <v>0</v>
      </c>
      <c r="AD107" s="60">
        <f t="shared" si="139"/>
        <v>0</v>
      </c>
      <c r="AE107" s="60">
        <f t="shared" si="139"/>
        <v>0</v>
      </c>
      <c r="AF107" s="60">
        <f t="shared" si="139"/>
        <v>0</v>
      </c>
      <c r="AG107" s="88"/>
      <c r="AH107" s="47">
        <f t="shared" si="45"/>
        <v>3</v>
      </c>
      <c r="AI107" s="48">
        <f t="shared" si="46"/>
        <v>0</v>
      </c>
      <c r="AK107" s="50"/>
    </row>
    <row r="108" spans="1:37" ht="15.75" thickBot="1" x14ac:dyDescent="0.3">
      <c r="A108" s="74" t="s">
        <v>107</v>
      </c>
      <c r="B108" s="60">
        <f t="shared" ref="B108:C108" si="147">B92-B107</f>
        <v>551</v>
      </c>
      <c r="C108" s="60">
        <f t="shared" si="147"/>
        <v>601</v>
      </c>
      <c r="D108" s="60">
        <f t="shared" ref="D108" si="148">D92-D107</f>
        <v>573.9</v>
      </c>
      <c r="E108" s="60">
        <f t="shared" ref="E108:AF108" si="149">E92-E107</f>
        <v>560.70000000000005</v>
      </c>
      <c r="F108" s="60">
        <f t="shared" si="149"/>
        <v>542.1</v>
      </c>
      <c r="G108" s="60">
        <f t="shared" ref="G108:H108" si="150">G92-G107</f>
        <v>542.1</v>
      </c>
      <c r="H108" s="60">
        <f t="shared" si="150"/>
        <v>481.8</v>
      </c>
      <c r="I108" s="60">
        <f t="shared" si="149"/>
        <v>463.79999999999995</v>
      </c>
      <c r="J108" s="60">
        <f t="shared" ref="J108:K108" si="151">J92-J107</f>
        <v>513</v>
      </c>
      <c r="K108" s="60">
        <f t="shared" si="151"/>
        <v>512</v>
      </c>
      <c r="L108" s="60">
        <f t="shared" ref="L108:M108" si="152">L92-L107</f>
        <v>284</v>
      </c>
      <c r="M108" s="60">
        <f t="shared" si="152"/>
        <v>274.79999999999995</v>
      </c>
      <c r="N108" s="60">
        <f t="shared" si="149"/>
        <v>421</v>
      </c>
      <c r="O108" s="60">
        <f t="shared" si="149"/>
        <v>425.3</v>
      </c>
      <c r="P108" s="60">
        <f t="shared" si="149"/>
        <v>522</v>
      </c>
      <c r="Q108" s="60">
        <f t="shared" si="149"/>
        <v>560.19999999999993</v>
      </c>
      <c r="R108" s="60">
        <f t="shared" si="149"/>
        <v>617</v>
      </c>
      <c r="S108" s="60">
        <f t="shared" ref="S108:T108" si="153">S92-S107</f>
        <v>664.99999999999989</v>
      </c>
      <c r="T108" s="60">
        <f t="shared" si="153"/>
        <v>660.2</v>
      </c>
      <c r="U108" s="60">
        <f t="shared" ref="U108:V108" si="154">U92-U107</f>
        <v>616.1</v>
      </c>
      <c r="V108" s="60">
        <f t="shared" si="154"/>
        <v>560.9</v>
      </c>
      <c r="W108" s="60">
        <f t="shared" ref="W108:X108" si="155">W92-W107</f>
        <v>540</v>
      </c>
      <c r="X108" s="60">
        <f t="shared" si="155"/>
        <v>505.2</v>
      </c>
      <c r="Y108" s="60">
        <f t="shared" ref="Y108:Z108" si="156">Y92-Y107</f>
        <v>393.4</v>
      </c>
      <c r="Z108" s="60">
        <f t="shared" si="156"/>
        <v>325.60000000000002</v>
      </c>
      <c r="AA108" s="60">
        <f t="shared" si="149"/>
        <v>413.5</v>
      </c>
      <c r="AB108" s="60">
        <f t="shared" si="149"/>
        <v>478.2</v>
      </c>
      <c r="AC108" s="60">
        <f t="shared" si="149"/>
        <v>465</v>
      </c>
      <c r="AD108" s="60">
        <f t="shared" si="149"/>
        <v>581</v>
      </c>
      <c r="AE108" s="60">
        <f t="shared" si="149"/>
        <v>637</v>
      </c>
      <c r="AF108" s="60">
        <f t="shared" si="149"/>
        <v>594</v>
      </c>
      <c r="AG108" s="88"/>
      <c r="AH108" s="47">
        <f t="shared" si="45"/>
        <v>664.99999999999989</v>
      </c>
      <c r="AI108" s="48">
        <f t="shared" si="46"/>
        <v>274.79999999999995</v>
      </c>
    </row>
    <row r="109" spans="1:37" x14ac:dyDescent="0.25">
      <c r="A109" s="100" t="s">
        <v>108</v>
      </c>
      <c r="B109" s="101">
        <v>49.95</v>
      </c>
      <c r="C109" s="101">
        <v>49.99</v>
      </c>
      <c r="D109" s="101">
        <v>49.99</v>
      </c>
      <c r="E109" s="101">
        <v>49.97</v>
      </c>
      <c r="F109" s="101">
        <v>50.02</v>
      </c>
      <c r="G109" s="101">
        <v>50.02</v>
      </c>
      <c r="H109" s="101">
        <v>49.95</v>
      </c>
      <c r="I109" s="101">
        <v>49.99</v>
      </c>
      <c r="J109" s="101">
        <v>49.89</v>
      </c>
      <c r="K109" s="101">
        <v>49.89</v>
      </c>
      <c r="L109" s="101">
        <v>49.98</v>
      </c>
      <c r="M109" s="101">
        <v>50.023000000000003</v>
      </c>
      <c r="N109" s="101">
        <v>50.088999999999999</v>
      </c>
      <c r="O109" s="101">
        <v>49.951000000000001</v>
      </c>
      <c r="P109" s="101">
        <v>49.939</v>
      </c>
      <c r="Q109" s="101">
        <v>49.965000000000003</v>
      </c>
      <c r="R109" s="101">
        <v>50.176000000000002</v>
      </c>
      <c r="S109" s="101">
        <v>49.98</v>
      </c>
      <c r="T109" s="101">
        <v>49.88</v>
      </c>
      <c r="U109" s="101">
        <v>50.04</v>
      </c>
      <c r="V109" s="101">
        <v>50</v>
      </c>
      <c r="W109" s="101">
        <v>50.1</v>
      </c>
      <c r="X109" s="101">
        <v>49.97</v>
      </c>
      <c r="Y109" s="101">
        <v>50.02</v>
      </c>
      <c r="Z109" s="101">
        <v>49.96</v>
      </c>
      <c r="AA109" s="101">
        <v>49.960999999999999</v>
      </c>
      <c r="AB109" s="101">
        <v>50.058</v>
      </c>
      <c r="AC109" s="101">
        <v>50.058</v>
      </c>
      <c r="AD109" s="101">
        <v>49.98</v>
      </c>
      <c r="AE109" s="101">
        <v>50.012</v>
      </c>
      <c r="AF109" s="101">
        <v>50.01</v>
      </c>
      <c r="AG109" s="102"/>
      <c r="AH109" s="47">
        <f t="shared" si="45"/>
        <v>50.176000000000002</v>
      </c>
      <c r="AI109" s="48">
        <f t="shared" si="46"/>
        <v>49.88</v>
      </c>
    </row>
    <row r="110" spans="1:37" x14ac:dyDescent="0.25">
      <c r="A110" s="103" t="s">
        <v>109</v>
      </c>
      <c r="B110" s="65">
        <v>128</v>
      </c>
      <c r="C110" s="65">
        <v>126.2</v>
      </c>
      <c r="D110" s="65">
        <v>128.6</v>
      </c>
      <c r="E110" s="65">
        <v>128.5</v>
      </c>
      <c r="F110" s="65">
        <v>130.1</v>
      </c>
      <c r="G110" s="65">
        <v>130.1</v>
      </c>
      <c r="H110" s="65">
        <v>128.69999999999999</v>
      </c>
      <c r="I110" s="65">
        <v>127.4</v>
      </c>
      <c r="J110" s="65">
        <v>127.4</v>
      </c>
      <c r="K110" s="65">
        <v>127.4</v>
      </c>
      <c r="L110" s="65">
        <v>125</v>
      </c>
      <c r="M110" s="65">
        <v>125.1</v>
      </c>
      <c r="N110" s="65">
        <v>124.6</v>
      </c>
      <c r="O110" s="65">
        <v>125.2</v>
      </c>
      <c r="P110" s="65">
        <v>122.5</v>
      </c>
      <c r="Q110" s="65">
        <v>123.8</v>
      </c>
      <c r="R110" s="65">
        <v>125.8</v>
      </c>
      <c r="S110" s="65">
        <v>122.7</v>
      </c>
      <c r="T110" s="65">
        <v>122.6</v>
      </c>
      <c r="U110" s="65">
        <v>125.1</v>
      </c>
      <c r="V110" s="65">
        <v>127</v>
      </c>
      <c r="W110" s="65">
        <v>127</v>
      </c>
      <c r="X110" s="65">
        <v>128.30000000000001</v>
      </c>
      <c r="Y110" s="65">
        <v>126.5</v>
      </c>
      <c r="Z110" s="65">
        <v>127.2</v>
      </c>
      <c r="AA110" s="65">
        <v>128.9</v>
      </c>
      <c r="AB110" s="65">
        <v>128.80000000000001</v>
      </c>
      <c r="AC110" s="65">
        <v>128.80000000000001</v>
      </c>
      <c r="AD110" s="65">
        <v>128.69999999999999</v>
      </c>
      <c r="AE110" s="65">
        <v>129.30000000000001</v>
      </c>
      <c r="AF110" s="65">
        <v>127.8</v>
      </c>
      <c r="AG110" s="104"/>
      <c r="AH110" s="47">
        <f t="shared" si="45"/>
        <v>130.1</v>
      </c>
      <c r="AI110" s="48">
        <f t="shared" si="46"/>
        <v>122.5</v>
      </c>
    </row>
    <row r="111" spans="1:37" x14ac:dyDescent="0.25">
      <c r="A111" s="103" t="s">
        <v>110</v>
      </c>
      <c r="B111" s="65">
        <v>131</v>
      </c>
      <c r="C111" s="65">
        <v>130.1</v>
      </c>
      <c r="D111" s="65">
        <v>131.9</v>
      </c>
      <c r="E111" s="65">
        <v>132.1</v>
      </c>
      <c r="F111" s="65">
        <v>133</v>
      </c>
      <c r="G111" s="65">
        <v>133</v>
      </c>
      <c r="H111" s="65">
        <v>132</v>
      </c>
      <c r="I111" s="65">
        <v>130.4</v>
      </c>
      <c r="J111" s="65">
        <v>130.4</v>
      </c>
      <c r="K111" s="65">
        <v>130.4</v>
      </c>
      <c r="L111" s="65">
        <v>126.8</v>
      </c>
      <c r="M111" s="65">
        <v>126.4</v>
      </c>
      <c r="N111" s="65">
        <v>126.3</v>
      </c>
      <c r="O111" s="65">
        <v>126.8</v>
      </c>
      <c r="P111" s="65">
        <v>125.4</v>
      </c>
      <c r="Q111" s="65">
        <v>126.3</v>
      </c>
      <c r="R111" s="65">
        <v>128.19999999999999</v>
      </c>
      <c r="S111" s="65">
        <v>126</v>
      </c>
      <c r="T111" s="65">
        <v>126.1</v>
      </c>
      <c r="U111" s="65">
        <v>127.9</v>
      </c>
      <c r="V111" s="65">
        <v>129.30000000000001</v>
      </c>
      <c r="W111" s="65">
        <v>129.30000000000001</v>
      </c>
      <c r="X111" s="65">
        <v>130.6</v>
      </c>
      <c r="Y111" s="65">
        <v>126.9</v>
      </c>
      <c r="Z111" s="65">
        <v>128.6</v>
      </c>
      <c r="AA111" s="65">
        <v>129.5</v>
      </c>
      <c r="AB111" s="65">
        <v>128.9</v>
      </c>
      <c r="AC111" s="65">
        <v>128.9</v>
      </c>
      <c r="AD111" s="65">
        <v>131</v>
      </c>
      <c r="AE111" s="65">
        <v>132.30000000000001</v>
      </c>
      <c r="AF111" s="65">
        <v>132</v>
      </c>
      <c r="AG111" s="104"/>
      <c r="AH111" s="47">
        <f t="shared" si="45"/>
        <v>133</v>
      </c>
      <c r="AI111" s="48">
        <f t="shared" si="46"/>
        <v>125.4</v>
      </c>
    </row>
    <row r="112" spans="1:37" x14ac:dyDescent="0.25">
      <c r="A112" s="103" t="s">
        <v>111</v>
      </c>
      <c r="B112" s="65">
        <v>129</v>
      </c>
      <c r="C112" s="65">
        <v>129</v>
      </c>
      <c r="D112" s="65">
        <v>129</v>
      </c>
      <c r="E112" s="65">
        <v>128.80000000000001</v>
      </c>
      <c r="F112" s="65">
        <v>130.19999999999999</v>
      </c>
      <c r="G112" s="65">
        <v>130.19999999999999</v>
      </c>
      <c r="H112" s="65">
        <v>127.3</v>
      </c>
      <c r="I112" s="65">
        <v>127.5</v>
      </c>
      <c r="J112" s="65">
        <v>127.5</v>
      </c>
      <c r="K112" s="65">
        <v>127.5</v>
      </c>
      <c r="L112" s="65">
        <v>128</v>
      </c>
      <c r="M112" s="65">
        <v>126.3</v>
      </c>
      <c r="N112" s="65">
        <v>126.9</v>
      </c>
      <c r="O112" s="65">
        <v>128.30000000000001</v>
      </c>
      <c r="P112" s="65">
        <v>123.2</v>
      </c>
      <c r="Q112" s="65">
        <v>125.3</v>
      </c>
      <c r="R112" s="65">
        <v>127.3</v>
      </c>
      <c r="S112" s="65">
        <v>125.8</v>
      </c>
      <c r="T112" s="65">
        <v>126.8</v>
      </c>
      <c r="U112" s="65">
        <v>129.4</v>
      </c>
      <c r="V112" s="65">
        <v>129.19999999999999</v>
      </c>
      <c r="W112" s="65">
        <v>129.19999999999999</v>
      </c>
      <c r="X112" s="65">
        <v>129.1</v>
      </c>
      <c r="Y112" s="65">
        <v>127.3</v>
      </c>
      <c r="Z112" s="65">
        <v>130.69999999999999</v>
      </c>
      <c r="AA112" s="65">
        <v>130.69999999999999</v>
      </c>
      <c r="AB112" s="65">
        <v>129.9</v>
      </c>
      <c r="AC112" s="65">
        <v>129.9</v>
      </c>
      <c r="AD112" s="65">
        <v>131</v>
      </c>
      <c r="AE112" s="65">
        <v>131.1</v>
      </c>
      <c r="AF112" s="65">
        <v>128.30000000000001</v>
      </c>
      <c r="AG112" s="104"/>
      <c r="AH112" s="47">
        <f t="shared" si="45"/>
        <v>131.1</v>
      </c>
      <c r="AI112" s="48">
        <f t="shared" si="46"/>
        <v>123.2</v>
      </c>
    </row>
    <row r="113" spans="1:35" x14ac:dyDescent="0.25">
      <c r="A113" s="105" t="s">
        <v>112</v>
      </c>
      <c r="B113" s="65">
        <v>131</v>
      </c>
      <c r="C113" s="65">
        <v>129.9</v>
      </c>
      <c r="D113" s="65">
        <v>129.5</v>
      </c>
      <c r="E113" s="65">
        <v>131.69999999999999</v>
      </c>
      <c r="F113" s="65">
        <v>131.69999999999999</v>
      </c>
      <c r="G113" s="65">
        <v>131.69999999999999</v>
      </c>
      <c r="H113" s="65">
        <v>130.6</v>
      </c>
      <c r="I113" s="65">
        <v>130.19999999999999</v>
      </c>
      <c r="J113" s="65">
        <v>130.19999999999999</v>
      </c>
      <c r="K113" s="65">
        <v>130.19999999999999</v>
      </c>
      <c r="L113" s="65">
        <v>127</v>
      </c>
      <c r="M113" s="65">
        <v>125.5</v>
      </c>
      <c r="N113" s="65">
        <v>127</v>
      </c>
      <c r="O113" s="65">
        <v>129</v>
      </c>
      <c r="P113" s="65">
        <v>124.9</v>
      </c>
      <c r="Q113" s="65">
        <v>127.3</v>
      </c>
      <c r="R113" s="65">
        <v>129.9</v>
      </c>
      <c r="S113" s="65">
        <v>128.5</v>
      </c>
      <c r="T113" s="65">
        <v>128</v>
      </c>
      <c r="U113" s="65">
        <v>130.19999999999999</v>
      </c>
      <c r="V113" s="65">
        <v>130</v>
      </c>
      <c r="W113" s="65">
        <v>130</v>
      </c>
      <c r="X113" s="65">
        <v>129</v>
      </c>
      <c r="Y113" s="65">
        <v>129</v>
      </c>
      <c r="Z113" s="65">
        <v>131.4</v>
      </c>
      <c r="AA113" s="65">
        <v>133.19999999999999</v>
      </c>
      <c r="AB113" s="65">
        <v>131.69999999999999</v>
      </c>
      <c r="AC113" s="65">
        <v>131.69999999999999</v>
      </c>
      <c r="AD113" s="65">
        <v>133.5</v>
      </c>
      <c r="AE113" s="65">
        <v>133.69999999999999</v>
      </c>
      <c r="AF113" s="65">
        <v>132.30000000000001</v>
      </c>
      <c r="AG113" s="104"/>
      <c r="AH113" s="47">
        <f t="shared" si="45"/>
        <v>133.69999999999999</v>
      </c>
      <c r="AI113" s="48">
        <f t="shared" si="46"/>
        <v>124.9</v>
      </c>
    </row>
    <row r="114" spans="1:35" x14ac:dyDescent="0.25">
      <c r="A114" s="105" t="s">
        <v>113</v>
      </c>
      <c r="B114" s="106">
        <v>134</v>
      </c>
      <c r="C114" s="106">
        <v>133.5</v>
      </c>
      <c r="D114" s="106">
        <v>132.9</v>
      </c>
      <c r="E114" s="106">
        <v>131.6</v>
      </c>
      <c r="F114" s="106">
        <v>133.30000000000001</v>
      </c>
      <c r="G114" s="106">
        <v>133.30000000000001</v>
      </c>
      <c r="H114" s="106">
        <v>134.30000000000001</v>
      </c>
      <c r="I114" s="106">
        <v>133.69999999999999</v>
      </c>
      <c r="J114" s="106">
        <v>133.69999999999999</v>
      </c>
      <c r="K114" s="106">
        <v>133.69999999999999</v>
      </c>
      <c r="L114" s="106">
        <v>133.5</v>
      </c>
      <c r="M114" s="106">
        <v>133</v>
      </c>
      <c r="N114" s="106">
        <v>132.9</v>
      </c>
      <c r="O114" s="106">
        <v>132.9</v>
      </c>
      <c r="P114" s="106">
        <v>131.4</v>
      </c>
      <c r="Q114" s="106">
        <v>132.69999999999999</v>
      </c>
      <c r="R114" s="106">
        <v>135.19999999999999</v>
      </c>
      <c r="S114" s="106">
        <v>132.9</v>
      </c>
      <c r="T114" s="106">
        <v>131.80000000000001</v>
      </c>
      <c r="U114" s="106">
        <v>134.6</v>
      </c>
      <c r="V114" s="106">
        <v>135.5</v>
      </c>
      <c r="W114" s="106">
        <v>135.5</v>
      </c>
      <c r="X114" s="106">
        <v>136.69999999999999</v>
      </c>
      <c r="Y114" s="106">
        <v>132.6</v>
      </c>
      <c r="Z114" s="106">
        <v>133.6</v>
      </c>
      <c r="AA114" s="106">
        <v>135.5</v>
      </c>
      <c r="AB114" s="106">
        <v>135.6</v>
      </c>
      <c r="AC114" s="106">
        <v>135.6</v>
      </c>
      <c r="AD114" s="106">
        <v>136.19999999999999</v>
      </c>
      <c r="AE114" s="106">
        <v>136.30000000000001</v>
      </c>
      <c r="AF114" s="106">
        <v>134.69999999999999</v>
      </c>
      <c r="AG114" s="107"/>
      <c r="AH114" s="47">
        <f t="shared" si="45"/>
        <v>136.69999999999999</v>
      </c>
      <c r="AI114" s="48">
        <f t="shared" si="46"/>
        <v>131.4</v>
      </c>
    </row>
    <row r="115" spans="1:35" x14ac:dyDescent="0.25">
      <c r="A115" s="103" t="s">
        <v>114</v>
      </c>
      <c r="B115" s="65">
        <v>130</v>
      </c>
      <c r="C115" s="65">
        <v>133.30000000000001</v>
      </c>
      <c r="D115" s="65">
        <v>133</v>
      </c>
      <c r="E115" s="65">
        <v>135.9</v>
      </c>
      <c r="F115" s="65">
        <v>126.7</v>
      </c>
      <c r="G115" s="65">
        <v>126.7</v>
      </c>
      <c r="H115" s="65">
        <v>124</v>
      </c>
      <c r="I115" s="65">
        <v>135</v>
      </c>
      <c r="J115" s="65">
        <v>135</v>
      </c>
      <c r="K115" s="65">
        <v>135</v>
      </c>
      <c r="L115" s="65">
        <v>135</v>
      </c>
      <c r="M115" s="65">
        <v>136.80000000000001</v>
      </c>
      <c r="N115" s="65">
        <v>135.80000000000001</v>
      </c>
      <c r="O115" s="65">
        <v>133.69999999999999</v>
      </c>
      <c r="P115" s="65">
        <v>133.4</v>
      </c>
      <c r="Q115" s="65">
        <v>129.30000000000001</v>
      </c>
      <c r="R115" s="65">
        <v>139.4</v>
      </c>
      <c r="S115" s="65">
        <v>135.4</v>
      </c>
      <c r="T115" s="65">
        <v>133.30000000000001</v>
      </c>
      <c r="U115" s="65">
        <v>130.80000000000001</v>
      </c>
      <c r="V115" s="65">
        <v>134.30000000000001</v>
      </c>
      <c r="W115" s="65">
        <v>134.30000000000001</v>
      </c>
      <c r="X115" s="65">
        <v>131.6</v>
      </c>
      <c r="Y115" s="65">
        <v>129.30000000000001</v>
      </c>
      <c r="Z115" s="65">
        <v>132.4</v>
      </c>
      <c r="AA115" s="65">
        <v>133.80000000000001</v>
      </c>
      <c r="AB115" s="65">
        <v>133</v>
      </c>
      <c r="AC115" s="65">
        <v>133</v>
      </c>
      <c r="AD115" s="65">
        <v>133.4</v>
      </c>
      <c r="AE115" s="65">
        <v>128.9</v>
      </c>
      <c r="AF115" s="65">
        <v>131.1</v>
      </c>
      <c r="AG115" s="104"/>
      <c r="AH115" s="47">
        <f t="shared" si="45"/>
        <v>139.4</v>
      </c>
      <c r="AI115" s="48">
        <f t="shared" si="46"/>
        <v>124</v>
      </c>
    </row>
    <row r="116" spans="1:35" ht="15.75" thickBot="1" x14ac:dyDescent="0.3">
      <c r="A116" s="103" t="s">
        <v>115</v>
      </c>
      <c r="B116" s="92">
        <v>66</v>
      </c>
      <c r="C116" s="92">
        <v>66.599999999999994</v>
      </c>
      <c r="D116" s="92">
        <v>66.5</v>
      </c>
      <c r="E116" s="92">
        <v>66.599999999999994</v>
      </c>
      <c r="F116" s="92">
        <v>67.099999999999994</v>
      </c>
      <c r="G116" s="92">
        <v>67.099999999999994</v>
      </c>
      <c r="H116" s="92">
        <v>66.2</v>
      </c>
      <c r="I116" s="92">
        <v>65.400000000000006</v>
      </c>
      <c r="J116" s="92">
        <v>65.400000000000006</v>
      </c>
      <c r="K116" s="92">
        <v>65.400000000000006</v>
      </c>
      <c r="L116" s="92">
        <v>63.7</v>
      </c>
      <c r="M116" s="92">
        <v>63.4</v>
      </c>
      <c r="N116" s="92">
        <v>63.3</v>
      </c>
      <c r="O116" s="92">
        <v>63.5</v>
      </c>
      <c r="P116" s="92">
        <v>62.8</v>
      </c>
      <c r="Q116" s="92">
        <v>63.6</v>
      </c>
      <c r="R116" s="92">
        <v>64</v>
      </c>
      <c r="S116" s="92">
        <v>63.3</v>
      </c>
      <c r="T116" s="92">
        <v>63.4</v>
      </c>
      <c r="U116" s="92">
        <v>64.3</v>
      </c>
      <c r="V116" s="92">
        <v>65</v>
      </c>
      <c r="W116" s="92">
        <v>65</v>
      </c>
      <c r="X116" s="92">
        <v>65.8</v>
      </c>
      <c r="Y116" s="92">
        <v>64.2</v>
      </c>
      <c r="Z116" s="92">
        <v>65</v>
      </c>
      <c r="AA116" s="92">
        <v>65</v>
      </c>
      <c r="AB116" s="92">
        <v>65.099999999999994</v>
      </c>
      <c r="AC116" s="92">
        <v>65.099999999999994</v>
      </c>
      <c r="AD116" s="92">
        <v>65.8</v>
      </c>
      <c r="AE116" s="92">
        <v>66.599999999999994</v>
      </c>
      <c r="AF116" s="92">
        <v>66.099999999999994</v>
      </c>
      <c r="AG116" s="108"/>
      <c r="AH116" s="47">
        <f t="shared" si="45"/>
        <v>67.099999999999994</v>
      </c>
      <c r="AI116" s="48">
        <f t="shared" si="46"/>
        <v>62.8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5"/>
        <v>0</v>
      </c>
      <c r="AI117" s="48">
        <f t="shared" si="46"/>
        <v>0</v>
      </c>
    </row>
    <row r="118" spans="1:35" ht="15.75" thickBot="1" x14ac:dyDescent="0.3">
      <c r="A118" s="110" t="s">
        <v>117</v>
      </c>
      <c r="B118" s="111">
        <f t="shared" ref="B118:C118" si="157">SUM(B22,B28,B31:B32,B66,B68:B69,B71,B73,B119:B123,B155,B161,B167,B176,B178,B190,B197,B200:B201,B208,B210,B212,B216:B218,B220:B222,B227,B233:B234,B236:B238,B246,B251)</f>
        <v>184.54</v>
      </c>
      <c r="C118" s="111">
        <f t="shared" si="157"/>
        <v>140.29999999999998</v>
      </c>
      <c r="D118" s="111">
        <f t="shared" ref="D118:O118" si="158">SUM(D22,D28,D31:D32,D66,D68:D69,D71,D73,D119:D123,D155,D161,D167,D176,D178,D190,D197,D200:D201,D208,D210,D212,D216:D218,D220:D222,D227,D233:D234,D236:D238,D246,D251)</f>
        <v>133.1</v>
      </c>
      <c r="E118" s="111">
        <f t="shared" si="158"/>
        <v>129.23999999999998</v>
      </c>
      <c r="F118" s="111">
        <f t="shared" si="158"/>
        <v>138.54000000000002</v>
      </c>
      <c r="G118" s="111">
        <f t="shared" ref="G118:H118" si="159">SUM(G22,G28,G31:G32,G66,G68:G69,G71,G73,G119:G123,G155,G161,G167,G176,G178,G190,G197,G200:G201,G208,G210,G212,G216:G218,G220:G222,G227,G233:G234,G236:G238,G246,G251)</f>
        <v>171.84</v>
      </c>
      <c r="H118" s="111">
        <f t="shared" si="159"/>
        <v>194.22000000000003</v>
      </c>
      <c r="I118" s="111">
        <f t="shared" si="158"/>
        <v>244.74</v>
      </c>
      <c r="J118" s="111">
        <f t="shared" ref="J118:K118" si="160">SUM(J22,J28,J31:J32,J66,J68:J69,J71,J73,J119:J123,J155,J161,J167,J176,J178,J190,J197,J200:J201,J208,J210,J212,J216:J218,J220:J222,J227,J233:J234,J236:J238,J246,J251)</f>
        <v>245.74</v>
      </c>
      <c r="K118" s="111">
        <f t="shared" si="160"/>
        <v>246.74</v>
      </c>
      <c r="L118" s="111">
        <f t="shared" ref="L118:N118" si="161">SUM(L22,L28,L31:L32,L66,L68:L69,L71,L73,L119:L123,L155,L161,L167,L176,L178,L190,L197,L200:L201,L208,L210,L212,L216:L218,L220:L222,L227,L233:L234,L236:L238,L246,L251)</f>
        <v>362.14</v>
      </c>
      <c r="M118" s="111">
        <f t="shared" si="161"/>
        <v>347.03999999999996</v>
      </c>
      <c r="N118" s="111">
        <f t="shared" si="161"/>
        <v>320.94</v>
      </c>
      <c r="O118" s="111">
        <f t="shared" si="158"/>
        <v>347.26399999999995</v>
      </c>
      <c r="P118" s="111">
        <v>42</v>
      </c>
      <c r="Q118" s="111">
        <f t="shared" ref="Q118:AD118" si="162">SUM(Q22,Q28,Q31:Q32,Q66,Q68:Q69,Q71,Q73,Q119:Q123,Q155,Q161,Q167,Q176,Q178,Q190,Q197,Q200:Q201,Q208,Q210,Q212,Q216:Q218,Q220:Q222,Q227,Q233:Q234,Q236:Q238,Q246,Q251)</f>
        <v>345.14000000000004</v>
      </c>
      <c r="R118" s="111">
        <f t="shared" si="162"/>
        <v>304.14000000000004</v>
      </c>
      <c r="S118" s="111">
        <f t="shared" ref="S118:T118" si="163">SUM(S22,S28,S31:S32,S66,S68:S69,S71,S73,S119:S123,S155,S161,S167,S176,S178,S190,S197,S200:S201,S208,S210,S212,S216:S218,S220:S222,S227,S233:S234,S236:S238,S246,S251)</f>
        <v>314.72000000000003</v>
      </c>
      <c r="T118" s="111">
        <f t="shared" si="163"/>
        <v>312.24</v>
      </c>
      <c r="U118" s="111">
        <f t="shared" ref="U118:V118" si="164">SUM(U22,U28,U31:U32,U66,U68:U69,U71,U73,U119:U123,U155,U161,U167,U176,U178,U190,U197,U200:U201,U208,U210,U212,U216:U218,U220:U222,U227,U233:U234,U236:U238,U246,U251)</f>
        <v>183.23999999999998</v>
      </c>
      <c r="V118" s="111">
        <f t="shared" si="164"/>
        <v>313.16000000000003</v>
      </c>
      <c r="W118" s="111">
        <f t="shared" ref="W118:X118" si="165">SUM(W22,W28,W31:W32,W66,W68:W69,W71,W73,W119:W123,W155,W161,W167,W176,W178,W190,W197,W200:W201,W208,W210,W212,W216:W218,W220:W222,W227,W233:W234,W236:W238,W246,W251)</f>
        <v>325.74</v>
      </c>
      <c r="X118" s="111">
        <f t="shared" si="165"/>
        <v>358.32</v>
      </c>
      <c r="Y118" s="111">
        <f t="shared" ref="Y118:Z118" si="166">SUM(Y22,Y28,Y31:Y32,Y66,Y68:Y69,Y71,Y73,Y119:Y123,Y155,Y161,Y167,Y176,Y178,Y190,Y197,Y200:Y201,Y208,Y210,Y212,Y216:Y218,Y220:Y222,Y227,Y233:Y234,Y236:Y238,Y246,Y251)</f>
        <v>410.38</v>
      </c>
      <c r="Z118" s="111">
        <f t="shared" si="166"/>
        <v>414.02000000000004</v>
      </c>
      <c r="AA118" s="111">
        <f t="shared" si="162"/>
        <v>387.45499999999998</v>
      </c>
      <c r="AB118" s="111">
        <f t="shared" si="162"/>
        <v>345.94</v>
      </c>
      <c r="AC118" s="111">
        <f t="shared" si="162"/>
        <v>345.94</v>
      </c>
      <c r="AD118" s="111">
        <f t="shared" si="162"/>
        <v>277.44</v>
      </c>
      <c r="AE118" s="111">
        <f>SUM(AE22,AE28,AE31:AE32,AE66,AE68:AE69,AE71,AE73,AE119:AE123,AE155,AE161,AE167,AE176,AE178,AE190,AE197,AE200:AE201,AE208,AE210,AE212,AE216:AE218,AE220:AE222,AE227,AE233:AE234,AE236:AE238,AE246,AE251)</f>
        <v>220.74</v>
      </c>
      <c r="AF118" s="111">
        <f>SUM(AF22,AF28,AF31:AF32,AF66,AF68:AF69,AF71,AF73,AF119:AF123,AF155,AF161,AF167,AF176,AF178,AF190,AF197,AF200:AF201,AF208,AF210,AF212,AF216:AF218,AF220:AF222,AF227,AF233:AF234,AF236:AF238,AF246,AF251)</f>
        <v>149.44</v>
      </c>
      <c r="AG118" s="112"/>
      <c r="AH118" s="47">
        <f t="shared" si="45"/>
        <v>414.02000000000004</v>
      </c>
      <c r="AI118" s="48">
        <f t="shared" si="46"/>
        <v>42</v>
      </c>
    </row>
    <row r="119" spans="1:35" x14ac:dyDescent="0.25">
      <c r="A119" s="172" t="s">
        <v>118</v>
      </c>
      <c r="B119" s="113">
        <v>18</v>
      </c>
      <c r="C119" s="113">
        <v>-18.3</v>
      </c>
      <c r="D119" s="113">
        <v>-20</v>
      </c>
      <c r="E119" s="113">
        <v>-18.5</v>
      </c>
      <c r="F119" s="113">
        <v>-17.600000000000001</v>
      </c>
      <c r="G119" s="113">
        <v>-2.5</v>
      </c>
      <c r="H119" s="113">
        <v>13.4</v>
      </c>
      <c r="I119" s="113">
        <v>18.100000000000001</v>
      </c>
      <c r="J119" s="113">
        <v>18.100000000000001</v>
      </c>
      <c r="K119" s="113">
        <v>18.100000000000001</v>
      </c>
      <c r="L119" s="113">
        <v>38</v>
      </c>
      <c r="M119" s="113">
        <v>42.6</v>
      </c>
      <c r="N119" s="113">
        <v>30</v>
      </c>
      <c r="O119" s="113">
        <v>26.6</v>
      </c>
      <c r="P119" s="113">
        <v>29.6</v>
      </c>
      <c r="Q119" s="113">
        <v>45.5</v>
      </c>
      <c r="R119" s="113">
        <v>45.6</v>
      </c>
      <c r="S119" s="113">
        <v>40.1</v>
      </c>
      <c r="T119" s="113">
        <v>39.9</v>
      </c>
      <c r="U119" s="113">
        <v>35.299999999999997</v>
      </c>
      <c r="V119" s="113">
        <v>12.3</v>
      </c>
      <c r="W119" s="113">
        <v>25.1</v>
      </c>
      <c r="X119" s="113">
        <v>38.6</v>
      </c>
      <c r="Y119" s="113">
        <v>46.4</v>
      </c>
      <c r="Z119" s="113">
        <v>50.3</v>
      </c>
      <c r="AA119" s="113">
        <v>41.2</v>
      </c>
      <c r="AB119" s="113">
        <v>34.799999999999997</v>
      </c>
      <c r="AC119" s="113">
        <v>34.799999999999997</v>
      </c>
      <c r="AD119" s="113">
        <v>24.9</v>
      </c>
      <c r="AE119" s="113">
        <v>10.8</v>
      </c>
      <c r="AF119" s="113">
        <v>4.5</v>
      </c>
      <c r="AG119" s="114">
        <v>75</v>
      </c>
      <c r="AH119" s="47">
        <f t="shared" si="45"/>
        <v>50.3</v>
      </c>
      <c r="AI119" s="48">
        <f t="shared" si="46"/>
        <v>-20</v>
      </c>
    </row>
    <row r="120" spans="1:35" x14ac:dyDescent="0.25">
      <c r="A120" s="173" t="s">
        <v>119</v>
      </c>
      <c r="B120" s="115">
        <v>20</v>
      </c>
      <c r="C120" s="115">
        <v>-29.7</v>
      </c>
      <c r="D120" s="115">
        <v>-31.9</v>
      </c>
      <c r="E120" s="115">
        <v>-27.7</v>
      </c>
      <c r="F120" s="115">
        <v>-27.4</v>
      </c>
      <c r="G120" s="115">
        <v>-5.6</v>
      </c>
      <c r="H120" s="115">
        <v>14.7</v>
      </c>
      <c r="I120" s="115">
        <v>18.8</v>
      </c>
      <c r="J120" s="115">
        <v>18.8</v>
      </c>
      <c r="K120" s="115">
        <v>18.8</v>
      </c>
      <c r="L120" s="115">
        <v>51</v>
      </c>
      <c r="M120" s="115">
        <v>57.6</v>
      </c>
      <c r="N120" s="115">
        <v>40.799999999999997</v>
      </c>
      <c r="O120" s="115">
        <v>36.5</v>
      </c>
      <c r="P120" s="115">
        <v>37.6</v>
      </c>
      <c r="Q120" s="115">
        <v>58.5</v>
      </c>
      <c r="R120" s="115">
        <v>57.5</v>
      </c>
      <c r="S120" s="115">
        <v>49.2</v>
      </c>
      <c r="T120" s="115">
        <v>48.9</v>
      </c>
      <c r="U120" s="115">
        <v>49.7</v>
      </c>
      <c r="V120" s="115">
        <v>15.7</v>
      </c>
      <c r="W120" s="115">
        <v>34.5</v>
      </c>
      <c r="X120" s="115">
        <v>52.6</v>
      </c>
      <c r="Y120" s="115">
        <v>61.8</v>
      </c>
      <c r="Z120" s="115">
        <v>67</v>
      </c>
      <c r="AA120" s="115">
        <v>54.8</v>
      </c>
      <c r="AB120" s="115">
        <v>42.2</v>
      </c>
      <c r="AC120" s="115">
        <v>42.2</v>
      </c>
      <c r="AD120" s="115">
        <v>26.9</v>
      </c>
      <c r="AE120" s="115">
        <v>9</v>
      </c>
      <c r="AF120" s="115">
        <v>1.7</v>
      </c>
      <c r="AG120" s="114">
        <v>240</v>
      </c>
      <c r="AH120" s="47">
        <f t="shared" si="45"/>
        <v>67</v>
      </c>
      <c r="AI120" s="48">
        <f t="shared" si="46"/>
        <v>-31.9</v>
      </c>
    </row>
    <row r="121" spans="1:35" x14ac:dyDescent="0.25">
      <c r="A121" s="173" t="s">
        <v>120</v>
      </c>
      <c r="B121" s="115">
        <v>-31</v>
      </c>
      <c r="C121" s="115">
        <f>-5.7-7.5</f>
        <v>-13.2</v>
      </c>
      <c r="D121" s="115">
        <f>-6.4-7.6</f>
        <v>-14</v>
      </c>
      <c r="E121" s="115">
        <f>-6.9-8.4</f>
        <v>-15.3</v>
      </c>
      <c r="F121" s="115">
        <f>-5.5-6.5</f>
        <v>-12</v>
      </c>
      <c r="G121" s="115">
        <v>-14.6</v>
      </c>
      <c r="H121" s="115">
        <f>-7.6-8.7</f>
        <v>-16.299999999999997</v>
      </c>
      <c r="I121" s="115">
        <f>-1.2-1.7</f>
        <v>-2.9</v>
      </c>
      <c r="J121" s="115">
        <f>-1.2-1.7</f>
        <v>-2.9</v>
      </c>
      <c r="K121" s="115">
        <f>-1.2-1.7</f>
        <v>-2.9</v>
      </c>
      <c r="L121" s="115">
        <v>33</v>
      </c>
      <c r="M121" s="115">
        <v>28</v>
      </c>
      <c r="N121" s="115">
        <v>32</v>
      </c>
      <c r="O121" s="115">
        <v>33</v>
      </c>
      <c r="P121" s="115">
        <v>15.9</v>
      </c>
      <c r="Q121" s="115">
        <v>-4</v>
      </c>
      <c r="R121" s="115">
        <v>0</v>
      </c>
      <c r="S121" s="115">
        <v>0</v>
      </c>
      <c r="T121" s="115">
        <v>-3.3</v>
      </c>
      <c r="U121" s="115">
        <v>2</v>
      </c>
      <c r="V121" s="115">
        <v>31</v>
      </c>
      <c r="W121" s="115">
        <v>30</v>
      </c>
      <c r="X121" s="115">
        <v>37</v>
      </c>
      <c r="Y121" s="115">
        <v>41</v>
      </c>
      <c r="Z121" s="115">
        <v>54</v>
      </c>
      <c r="AA121" s="115">
        <v>48</v>
      </c>
      <c r="AB121" s="115">
        <v>42</v>
      </c>
      <c r="AC121" s="115">
        <v>42</v>
      </c>
      <c r="AD121" s="115">
        <v>26</v>
      </c>
      <c r="AE121" s="115">
        <v>11</v>
      </c>
      <c r="AF121" s="115">
        <v>-29</v>
      </c>
      <c r="AG121" s="114">
        <v>240</v>
      </c>
      <c r="AH121" s="47">
        <f t="shared" si="45"/>
        <v>54</v>
      </c>
      <c r="AI121" s="48">
        <f t="shared" si="46"/>
        <v>-31</v>
      </c>
    </row>
    <row r="122" spans="1:35" ht="15.75" thickBot="1" x14ac:dyDescent="0.3">
      <c r="A122" s="173" t="s">
        <v>121</v>
      </c>
      <c r="B122" s="115">
        <v>-3</v>
      </c>
      <c r="C122" s="115">
        <v>-6.7</v>
      </c>
      <c r="D122" s="115">
        <v>-11</v>
      </c>
      <c r="E122" s="115">
        <v>-10.3</v>
      </c>
      <c r="F122" s="115">
        <v>-7.1</v>
      </c>
      <c r="G122" s="115">
        <v>-7</v>
      </c>
      <c r="H122" s="115">
        <v>-7.1</v>
      </c>
      <c r="I122" s="115">
        <v>-0.5</v>
      </c>
      <c r="J122" s="115">
        <v>0.5</v>
      </c>
      <c r="K122" s="115">
        <v>1.5</v>
      </c>
      <c r="L122" s="115">
        <v>22</v>
      </c>
      <c r="M122" s="115">
        <v>20.7</v>
      </c>
      <c r="N122" s="115">
        <v>20</v>
      </c>
      <c r="O122" s="115">
        <v>20.9</v>
      </c>
      <c r="P122" s="115">
        <v>13.4</v>
      </c>
      <c r="Q122" s="115">
        <v>6.9</v>
      </c>
      <c r="R122" s="115">
        <v>2.8</v>
      </c>
      <c r="S122" s="115">
        <v>0</v>
      </c>
      <c r="T122" s="115">
        <v>0</v>
      </c>
      <c r="U122" s="115">
        <v>7.1</v>
      </c>
      <c r="V122" s="115">
        <v>18.399999999999999</v>
      </c>
      <c r="W122" s="115">
        <v>20.3</v>
      </c>
      <c r="X122" s="115">
        <v>22.6</v>
      </c>
      <c r="Y122" s="115">
        <v>25.5</v>
      </c>
      <c r="Z122" s="115">
        <v>28</v>
      </c>
      <c r="AA122" s="115">
        <v>25.3</v>
      </c>
      <c r="AB122" s="115">
        <v>20</v>
      </c>
      <c r="AC122" s="115">
        <v>20</v>
      </c>
      <c r="AD122" s="115">
        <v>12.7</v>
      </c>
      <c r="AE122" s="115">
        <v>3</v>
      </c>
      <c r="AF122" s="115">
        <v>-4.7</v>
      </c>
      <c r="AG122" s="114">
        <v>60</v>
      </c>
      <c r="AH122" s="47">
        <f t="shared" si="45"/>
        <v>28</v>
      </c>
      <c r="AI122" s="48">
        <f t="shared" si="46"/>
        <v>-11</v>
      </c>
    </row>
    <row r="123" spans="1:35" x14ac:dyDescent="0.25">
      <c r="A123" s="172" t="s">
        <v>259</v>
      </c>
      <c r="B123" s="117">
        <v>90</v>
      </c>
      <c r="C123" s="117">
        <f>73.1*1.6</f>
        <v>116.96</v>
      </c>
      <c r="D123" s="117">
        <f>75.6*1.6</f>
        <v>120.96</v>
      </c>
      <c r="E123" s="117">
        <f>70*1.6</f>
        <v>112</v>
      </c>
      <c r="F123" s="117">
        <f>71*1.6</f>
        <v>113.60000000000001</v>
      </c>
      <c r="G123" s="117">
        <v>112.5</v>
      </c>
      <c r="H123" s="117">
        <f>62.8*1.6</f>
        <v>100.48</v>
      </c>
      <c r="I123" s="117">
        <f>76.5*1.6</f>
        <v>122.4</v>
      </c>
      <c r="J123" s="117">
        <f>76.5*1.6</f>
        <v>122.4</v>
      </c>
      <c r="K123" s="117">
        <f>76.5*1.6</f>
        <v>122.4</v>
      </c>
      <c r="L123" s="117">
        <v>130</v>
      </c>
      <c r="M123" s="117">
        <v>110</v>
      </c>
      <c r="N123" s="117">
        <v>110</v>
      </c>
      <c r="O123" s="117">
        <f>1.64*86.6</f>
        <v>142.02399999999997</v>
      </c>
      <c r="P123" s="117">
        <f>1.64*91.4</f>
        <v>149.89599999999999</v>
      </c>
      <c r="Q123" s="117">
        <v>150</v>
      </c>
      <c r="R123" s="117">
        <v>110</v>
      </c>
      <c r="S123" s="117">
        <f>82.3*1.6</f>
        <v>131.68</v>
      </c>
      <c r="T123" s="117">
        <f>85.5*1.6</f>
        <v>136.80000000000001</v>
      </c>
      <c r="U123" s="117"/>
      <c r="V123" s="117">
        <f>93.2*1.6</f>
        <v>149.12</v>
      </c>
      <c r="W123" s="117">
        <f>81.5*1.6</f>
        <v>130.4</v>
      </c>
      <c r="X123" s="117">
        <f>76.3*1.6</f>
        <v>122.08</v>
      </c>
      <c r="Y123" s="117">
        <f>93.9*1.6</f>
        <v>150.24</v>
      </c>
      <c r="Z123" s="117">
        <f>80.8*1.6</f>
        <v>129.28</v>
      </c>
      <c r="AA123" s="117">
        <f>80.5*1.63</f>
        <v>131.215</v>
      </c>
      <c r="AB123" s="117">
        <v>120</v>
      </c>
      <c r="AC123" s="117">
        <v>120</v>
      </c>
      <c r="AD123" s="117">
        <v>100</v>
      </c>
      <c r="AE123" s="117">
        <v>100</v>
      </c>
      <c r="AF123" s="117">
        <v>90</v>
      </c>
      <c r="AG123" s="118">
        <v>120</v>
      </c>
      <c r="AH123" s="47">
        <f t="shared" si="45"/>
        <v>150.24</v>
      </c>
      <c r="AI123" s="48">
        <f t="shared" si="46"/>
        <v>90</v>
      </c>
    </row>
    <row r="124" spans="1:35" x14ac:dyDescent="0.25">
      <c r="A124" s="173" t="s">
        <v>258</v>
      </c>
      <c r="B124" s="117">
        <v>72</v>
      </c>
      <c r="C124" s="117">
        <v>83.7</v>
      </c>
      <c r="D124" s="117">
        <v>86.8</v>
      </c>
      <c r="E124" s="117">
        <v>81.400000000000006</v>
      </c>
      <c r="F124" s="117">
        <v>83.1</v>
      </c>
      <c r="G124" s="117">
        <v>83</v>
      </c>
      <c r="H124" s="117">
        <v>74.900000000000006</v>
      </c>
      <c r="I124" s="117">
        <v>87.2</v>
      </c>
      <c r="J124" s="117">
        <v>87.2</v>
      </c>
      <c r="K124" s="117">
        <v>87.2</v>
      </c>
      <c r="L124" s="117">
        <v>87.2</v>
      </c>
      <c r="M124" s="117">
        <v>91.5</v>
      </c>
      <c r="N124" s="117">
        <v>97.5</v>
      </c>
      <c r="O124" s="117">
        <v>93.5</v>
      </c>
      <c r="P124" s="117">
        <v>96.2</v>
      </c>
      <c r="Q124" s="117">
        <v>88</v>
      </c>
      <c r="R124" s="117">
        <v>85</v>
      </c>
      <c r="S124" s="117">
        <v>89.2</v>
      </c>
      <c r="T124" s="117">
        <v>91.8</v>
      </c>
      <c r="U124" s="117">
        <v>83.74</v>
      </c>
      <c r="V124" s="117">
        <v>97.6</v>
      </c>
      <c r="W124" s="117">
        <v>88</v>
      </c>
      <c r="X124" s="117">
        <v>83.3</v>
      </c>
      <c r="Y124" s="117">
        <v>97.7</v>
      </c>
      <c r="Z124" s="117">
        <v>86.7</v>
      </c>
      <c r="AA124" s="117">
        <v>88.6</v>
      </c>
      <c r="AB124" s="117">
        <v>91</v>
      </c>
      <c r="AC124" s="117">
        <v>91</v>
      </c>
      <c r="AD124" s="117">
        <v>90</v>
      </c>
      <c r="AE124" s="117">
        <v>81</v>
      </c>
      <c r="AF124" s="117">
        <v>75</v>
      </c>
      <c r="AG124" s="118"/>
      <c r="AH124" s="47"/>
      <c r="AI124" s="48"/>
    </row>
    <row r="125" spans="1:35" x14ac:dyDescent="0.25">
      <c r="A125" s="173" t="s">
        <v>255</v>
      </c>
      <c r="B125" s="117">
        <v>41</v>
      </c>
      <c r="C125" s="117">
        <v>77</v>
      </c>
      <c r="D125" s="117">
        <v>78.5</v>
      </c>
      <c r="E125" s="117">
        <v>70.400000000000006</v>
      </c>
      <c r="F125" s="117">
        <v>71.7</v>
      </c>
      <c r="G125" s="117">
        <v>58</v>
      </c>
      <c r="H125" s="117">
        <v>45.8</v>
      </c>
      <c r="I125" s="117">
        <v>29.5</v>
      </c>
      <c r="J125" s="117">
        <v>29.5</v>
      </c>
      <c r="K125" s="117">
        <v>29.5</v>
      </c>
      <c r="L125" s="117">
        <v>29.5</v>
      </c>
      <c r="M125" s="117">
        <v>-27</v>
      </c>
      <c r="N125" s="117">
        <v>-7.6</v>
      </c>
      <c r="O125" s="117">
        <v>-3</v>
      </c>
      <c r="P125" s="117">
        <v>7.9</v>
      </c>
      <c r="Q125" s="117">
        <v>-2.8</v>
      </c>
      <c r="R125" s="117">
        <v>-4</v>
      </c>
      <c r="S125" s="117">
        <v>6.5</v>
      </c>
      <c r="T125" s="117">
        <v>12.2</v>
      </c>
      <c r="U125" s="117">
        <v>3</v>
      </c>
      <c r="V125" s="117">
        <v>18.600000000000001</v>
      </c>
      <c r="W125" s="117">
        <v>-5.3</v>
      </c>
      <c r="X125" s="117">
        <v>-29.3</v>
      </c>
      <c r="Y125" s="117">
        <v>-36.9</v>
      </c>
      <c r="Z125" s="117">
        <v>-57.9</v>
      </c>
      <c r="AA125" s="117">
        <v>-42.7</v>
      </c>
      <c r="AB125" s="117">
        <v>-19</v>
      </c>
      <c r="AC125" s="117">
        <v>-19</v>
      </c>
      <c r="AD125" s="117">
        <v>9</v>
      </c>
      <c r="AE125" s="117">
        <v>32</v>
      </c>
      <c r="AF125" s="117">
        <v>64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84</v>
      </c>
      <c r="C126" s="117">
        <v>91.5</v>
      </c>
      <c r="D126" s="117">
        <v>85.9</v>
      </c>
      <c r="E126" s="117">
        <v>82.5</v>
      </c>
      <c r="F126" s="117">
        <v>81.2</v>
      </c>
      <c r="G126" s="117">
        <v>83.5</v>
      </c>
      <c r="H126" s="117">
        <v>88</v>
      </c>
      <c r="I126" s="117">
        <v>89.8</v>
      </c>
      <c r="J126" s="117">
        <v>89.8</v>
      </c>
      <c r="K126" s="117">
        <v>89.8</v>
      </c>
      <c r="L126" s="117">
        <v>89.8</v>
      </c>
      <c r="M126" s="117">
        <v>78</v>
      </c>
      <c r="N126" s="117">
        <v>89</v>
      </c>
      <c r="O126" s="117">
        <v>83.8</v>
      </c>
      <c r="P126" s="117">
        <v>96.3</v>
      </c>
      <c r="Q126" s="117">
        <v>101</v>
      </c>
      <c r="R126" s="117">
        <v>95</v>
      </c>
      <c r="S126" s="117">
        <v>96.1</v>
      </c>
      <c r="T126" s="117">
        <v>103.8</v>
      </c>
      <c r="U126" s="117">
        <v>94.9</v>
      </c>
      <c r="V126" s="117">
        <v>92</v>
      </c>
      <c r="W126" s="117">
        <v>81.099999999999994</v>
      </c>
      <c r="X126" s="117">
        <v>72.5</v>
      </c>
      <c r="Y126" s="117">
        <v>77</v>
      </c>
      <c r="Z126" s="117">
        <v>56.2</v>
      </c>
      <c r="AA126" s="117">
        <v>65.099999999999994</v>
      </c>
      <c r="AB126" s="117">
        <v>65</v>
      </c>
      <c r="AC126" s="117">
        <v>65</v>
      </c>
      <c r="AD126" s="117">
        <v>76</v>
      </c>
      <c r="AE126" s="117">
        <v>68</v>
      </c>
      <c r="AF126" s="117">
        <v>85</v>
      </c>
      <c r="AG126" s="114"/>
      <c r="AH126" s="47">
        <f t="shared" si="45"/>
        <v>103.8</v>
      </c>
      <c r="AI126" s="48">
        <f t="shared" si="46"/>
        <v>56.2</v>
      </c>
    </row>
    <row r="127" spans="1:35" x14ac:dyDescent="0.25">
      <c r="A127" s="172" t="s">
        <v>587</v>
      </c>
      <c r="B127" s="117">
        <v>9</v>
      </c>
      <c r="C127" s="117">
        <v>29.4</v>
      </c>
      <c r="D127" s="117">
        <v>29.9</v>
      </c>
      <c r="E127" s="117">
        <v>25.6</v>
      </c>
      <c r="F127" s="117">
        <v>28.1</v>
      </c>
      <c r="G127" s="117">
        <v>25.1</v>
      </c>
      <c r="H127" s="117">
        <v>22.5</v>
      </c>
      <c r="I127" s="117">
        <v>11.4</v>
      </c>
      <c r="J127" s="117">
        <v>11.4</v>
      </c>
      <c r="K127" s="117">
        <v>11.4</v>
      </c>
      <c r="L127" s="117">
        <v>11.4</v>
      </c>
      <c r="M127" s="117">
        <v>-11</v>
      </c>
      <c r="N127" s="117">
        <v>-3.6</v>
      </c>
      <c r="O127" s="117">
        <v>-4.5999999999999996</v>
      </c>
      <c r="P127" s="117">
        <v>-4.3</v>
      </c>
      <c r="Q127" s="117">
        <v>-10</v>
      </c>
      <c r="R127" s="117">
        <v>-26</v>
      </c>
      <c r="S127" s="117">
        <v>-16.399999999999999</v>
      </c>
      <c r="T127" s="117">
        <v>-15</v>
      </c>
      <c r="U127" s="117">
        <v>-9.1999999999999993</v>
      </c>
      <c r="V127" s="117">
        <v>6.3</v>
      </c>
      <c r="W127" s="117">
        <v>-4.7</v>
      </c>
      <c r="X127" s="117">
        <v>-7.5</v>
      </c>
      <c r="Y127" s="117">
        <v>-10.5</v>
      </c>
      <c r="Z127" s="117">
        <v>-13.5</v>
      </c>
      <c r="AA127" s="117">
        <v>-9.9</v>
      </c>
      <c r="AB127" s="117">
        <v>-5</v>
      </c>
      <c r="AC127" s="117">
        <v>-5</v>
      </c>
      <c r="AD127" s="117">
        <v>-3.6</v>
      </c>
      <c r="AE127" s="117">
        <v>2.8</v>
      </c>
      <c r="AF127" s="106">
        <v>5</v>
      </c>
      <c r="AG127" s="114"/>
      <c r="AH127" s="47">
        <f t="shared" si="45"/>
        <v>29.9</v>
      </c>
      <c r="AI127" s="48">
        <f t="shared" si="46"/>
        <v>-26</v>
      </c>
    </row>
    <row r="128" spans="1:35" x14ac:dyDescent="0.25">
      <c r="A128" s="173" t="s">
        <v>123</v>
      </c>
      <c r="B128" s="106">
        <v>-8</v>
      </c>
      <c r="C128" s="106">
        <v>-4.8</v>
      </c>
      <c r="D128" s="106">
        <v>-4.3</v>
      </c>
      <c r="E128" s="106">
        <v>-5</v>
      </c>
      <c r="F128" s="106">
        <v>-5.9</v>
      </c>
      <c r="G128" s="106">
        <v>-10.199999999999999</v>
      </c>
      <c r="H128" s="106">
        <v>-15</v>
      </c>
      <c r="I128" s="106">
        <v>-21.8</v>
      </c>
      <c r="J128" s="106">
        <v>-21.8</v>
      </c>
      <c r="K128" s="106">
        <v>-21.8</v>
      </c>
      <c r="L128" s="106">
        <v>-21.8</v>
      </c>
      <c r="M128" s="106">
        <v>-45</v>
      </c>
      <c r="N128" s="106">
        <v>-40</v>
      </c>
      <c r="O128" s="106">
        <v>-30.6</v>
      </c>
      <c r="P128" s="106">
        <v>-28.1</v>
      </c>
      <c r="Q128" s="106">
        <v>-24</v>
      </c>
      <c r="R128" s="106">
        <v>-17</v>
      </c>
      <c r="S128" s="106">
        <v>-20</v>
      </c>
      <c r="T128" s="106">
        <v>-19.899999999999999</v>
      </c>
      <c r="U128" s="106">
        <v>-25.5</v>
      </c>
      <c r="V128" s="106">
        <v>-29.7</v>
      </c>
      <c r="W128" s="106">
        <v>-36.5</v>
      </c>
      <c r="X128" s="106">
        <v>-46.4</v>
      </c>
      <c r="Y128" s="106">
        <v>-48.5</v>
      </c>
      <c r="Z128" s="106">
        <v>-41.5</v>
      </c>
      <c r="AA128" s="106">
        <v>-37.6</v>
      </c>
      <c r="AB128" s="106">
        <v>-31</v>
      </c>
      <c r="AC128" s="106">
        <v>-31</v>
      </c>
      <c r="AD128" s="106">
        <v>-21</v>
      </c>
      <c r="AE128" s="106">
        <v>-14</v>
      </c>
      <c r="AF128" s="106">
        <v>-8</v>
      </c>
      <c r="AG128" s="114"/>
      <c r="AH128" s="47">
        <f t="shared" si="45"/>
        <v>-4.3</v>
      </c>
      <c r="AI128" s="48">
        <f t="shared" si="46"/>
        <v>-48.5</v>
      </c>
    </row>
    <row r="129" spans="1:37" x14ac:dyDescent="0.25">
      <c r="A129" s="173" t="s">
        <v>260</v>
      </c>
      <c r="B129" s="106">
        <v>22</v>
      </c>
      <c r="C129" s="106">
        <v>21.5</v>
      </c>
      <c r="D129" s="106">
        <v>21.4</v>
      </c>
      <c r="E129" s="106">
        <v>21.5</v>
      </c>
      <c r="F129" s="106">
        <v>21.9</v>
      </c>
      <c r="G129" s="106">
        <v>22.4</v>
      </c>
      <c r="H129" s="106">
        <v>23.3</v>
      </c>
      <c r="I129" s="106">
        <v>24.6</v>
      </c>
      <c r="J129" s="106">
        <v>24.6</v>
      </c>
      <c r="K129" s="106">
        <v>24.6</v>
      </c>
      <c r="L129" s="106">
        <v>24.6</v>
      </c>
      <c r="M129" s="106">
        <v>14</v>
      </c>
      <c r="N129" s="106">
        <v>13.2</v>
      </c>
      <c r="O129" s="106">
        <v>11.6</v>
      </c>
      <c r="P129" s="106">
        <v>10.8</v>
      </c>
      <c r="Q129" s="106">
        <v>15</v>
      </c>
      <c r="R129" s="106">
        <v>22</v>
      </c>
      <c r="S129" s="106">
        <v>22.4</v>
      </c>
      <c r="T129" s="106">
        <v>24.1</v>
      </c>
      <c r="U129" s="106">
        <v>12.2</v>
      </c>
      <c r="V129" s="106">
        <v>11.3</v>
      </c>
      <c r="W129" s="106">
        <v>11.3</v>
      </c>
      <c r="X129" s="106">
        <v>11.8</v>
      </c>
      <c r="Y129" s="106">
        <v>12.6</v>
      </c>
      <c r="Z129" s="106">
        <v>12.2</v>
      </c>
      <c r="AA129" s="106">
        <v>14.4</v>
      </c>
      <c r="AB129" s="106">
        <v>14</v>
      </c>
      <c r="AC129" s="106">
        <v>14</v>
      </c>
      <c r="AD129" s="106">
        <v>15</v>
      </c>
      <c r="AE129" s="106">
        <v>22</v>
      </c>
      <c r="AF129" s="106">
        <v>22</v>
      </c>
      <c r="AG129" s="114"/>
      <c r="AH129" s="47">
        <f t="shared" si="45"/>
        <v>24.6</v>
      </c>
      <c r="AI129" s="48">
        <f t="shared" si="46"/>
        <v>10.8</v>
      </c>
    </row>
    <row r="130" spans="1:37" ht="15.75" thickBot="1" x14ac:dyDescent="0.3">
      <c r="A130" s="173" t="s">
        <v>257</v>
      </c>
      <c r="B130" s="106">
        <v>91</v>
      </c>
      <c r="C130" s="106">
        <v>81.099999999999994</v>
      </c>
      <c r="D130" s="106">
        <v>81.400000000000006</v>
      </c>
      <c r="E130" s="106">
        <v>83.1</v>
      </c>
      <c r="F130" s="106">
        <v>80.8</v>
      </c>
      <c r="G130" s="106">
        <v>85.8</v>
      </c>
      <c r="H130" s="106">
        <v>90.4</v>
      </c>
      <c r="I130" s="106">
        <v>91.8</v>
      </c>
      <c r="J130" s="106">
        <v>91.8</v>
      </c>
      <c r="K130" s="106">
        <v>91.8</v>
      </c>
      <c r="L130" s="106">
        <v>91.8</v>
      </c>
      <c r="M130" s="106">
        <v>87</v>
      </c>
      <c r="N130" s="106">
        <v>83.5</v>
      </c>
      <c r="O130" s="106">
        <v>91</v>
      </c>
      <c r="P130" s="106">
        <v>117.7</v>
      </c>
      <c r="Q130" s="106">
        <v>110</v>
      </c>
      <c r="R130" s="106">
        <v>103</v>
      </c>
      <c r="S130" s="106">
        <v>109.6</v>
      </c>
      <c r="T130" s="106">
        <v>114.9</v>
      </c>
      <c r="U130" s="106">
        <v>113.2</v>
      </c>
      <c r="V130" s="106">
        <v>96.7</v>
      </c>
      <c r="W130" s="106">
        <v>95.4</v>
      </c>
      <c r="X130" s="106">
        <v>104.8</v>
      </c>
      <c r="Y130" s="106">
        <v>116.6</v>
      </c>
      <c r="Z130" s="106">
        <v>107.1</v>
      </c>
      <c r="AA130" s="106">
        <v>99.9</v>
      </c>
      <c r="AB130" s="106">
        <v>103</v>
      </c>
      <c r="AC130" s="106">
        <v>103</v>
      </c>
      <c r="AD130" s="106">
        <v>100</v>
      </c>
      <c r="AE130" s="106">
        <v>97</v>
      </c>
      <c r="AF130" s="106">
        <v>95</v>
      </c>
      <c r="AG130" s="114"/>
      <c r="AH130" s="47">
        <f t="shared" si="45"/>
        <v>117.7</v>
      </c>
      <c r="AI130" s="48">
        <f t="shared" si="46"/>
        <v>80.8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/>
      <c r="C132" s="147">
        <v>1985.18</v>
      </c>
      <c r="D132" s="147">
        <v>1985.35</v>
      </c>
      <c r="E132" s="147">
        <v>1985.6</v>
      </c>
      <c r="F132" s="147">
        <v>1985.78</v>
      </c>
      <c r="G132" s="147">
        <v>1986.03</v>
      </c>
      <c r="H132" s="147"/>
      <c r="I132" s="147">
        <v>1986.12</v>
      </c>
      <c r="J132" s="147"/>
      <c r="K132" s="147">
        <v>1986.09</v>
      </c>
      <c r="L132" s="147">
        <v>1985.8</v>
      </c>
      <c r="M132" s="147">
        <v>1985.5</v>
      </c>
      <c r="N132" s="147">
        <v>1985.28</v>
      </c>
      <c r="O132" s="147">
        <v>1984.88</v>
      </c>
      <c r="P132" s="147">
        <v>1984.8</v>
      </c>
      <c r="Q132" s="147">
        <v>1984.78</v>
      </c>
      <c r="R132" s="147">
        <v>1984.62</v>
      </c>
      <c r="S132" s="147">
        <v>1984.75</v>
      </c>
      <c r="T132" s="147">
        <v>1984.88</v>
      </c>
      <c r="U132" s="147">
        <v>1984.85</v>
      </c>
      <c r="V132" s="147">
        <v>1984.85</v>
      </c>
      <c r="W132" s="147"/>
      <c r="X132" s="147">
        <v>1984.86</v>
      </c>
      <c r="Y132" s="147"/>
      <c r="Z132" s="147">
        <v>1984.51</v>
      </c>
      <c r="AA132" s="147"/>
      <c r="AB132" s="147">
        <v>1984.15</v>
      </c>
      <c r="AC132" s="147"/>
      <c r="AD132" s="147">
        <v>1983.9</v>
      </c>
      <c r="AE132" s="147">
        <v>1984</v>
      </c>
      <c r="AF132" s="148">
        <v>1984.2</v>
      </c>
      <c r="AG132" s="149"/>
      <c r="AH132" s="47"/>
      <c r="AI132" s="48"/>
    </row>
    <row r="133" spans="1:37" x14ac:dyDescent="0.25">
      <c r="A133" s="185" t="s">
        <v>238</v>
      </c>
      <c r="B133" s="150">
        <v>521.36</v>
      </c>
      <c r="C133" s="150">
        <v>521.36</v>
      </c>
      <c r="D133" s="150">
        <v>521.96</v>
      </c>
      <c r="E133" s="150">
        <v>522.29999999999995</v>
      </c>
      <c r="F133" s="150">
        <v>522.6</v>
      </c>
      <c r="G133" s="150">
        <v>522.85</v>
      </c>
      <c r="H133" s="150"/>
      <c r="I133" s="150">
        <v>522.78</v>
      </c>
      <c r="J133" s="150"/>
      <c r="K133" s="150">
        <v>522.57000000000005</v>
      </c>
      <c r="L133" s="150">
        <v>522.22</v>
      </c>
      <c r="M133" s="150">
        <v>522.12</v>
      </c>
      <c r="N133" s="150">
        <v>521.76</v>
      </c>
      <c r="O133" s="150">
        <v>521.70000000000005</v>
      </c>
      <c r="P133" s="150">
        <v>521.62</v>
      </c>
      <c r="Q133" s="150">
        <v>521.29999999999995</v>
      </c>
      <c r="R133" s="150">
        <v>520.49</v>
      </c>
      <c r="S133" s="150">
        <v>520.27</v>
      </c>
      <c r="T133" s="150">
        <v>519.91999999999996</v>
      </c>
      <c r="U133" s="150">
        <v>519.6</v>
      </c>
      <c r="V133" s="150">
        <v>519.74</v>
      </c>
      <c r="W133" s="150"/>
      <c r="X133" s="150">
        <v>520</v>
      </c>
      <c r="Y133" s="150"/>
      <c r="Z133" s="150">
        <v>519.78</v>
      </c>
      <c r="AA133" s="150"/>
      <c r="AB133" s="150">
        <v>519.66</v>
      </c>
      <c r="AC133" s="150"/>
      <c r="AD133" s="150">
        <v>519.72</v>
      </c>
      <c r="AE133" s="150">
        <v>519.98</v>
      </c>
      <c r="AF133" s="151">
        <v>520.29</v>
      </c>
      <c r="AG133" s="149"/>
      <c r="AH133" s="47"/>
      <c r="AI133" s="48"/>
    </row>
    <row r="134" spans="1:37" x14ac:dyDescent="0.25">
      <c r="A134" s="185" t="s">
        <v>239</v>
      </c>
      <c r="B134" s="150">
        <v>622.65</v>
      </c>
      <c r="C134" s="150">
        <v>623.13</v>
      </c>
      <c r="D134" s="150">
        <v>623.5</v>
      </c>
      <c r="E134" s="150">
        <v>623.94000000000005</v>
      </c>
      <c r="F134" s="150">
        <v>624.28</v>
      </c>
      <c r="G134" s="150">
        <v>624.44000000000005</v>
      </c>
      <c r="H134" s="150"/>
      <c r="I134" s="150">
        <v>624.4</v>
      </c>
      <c r="J134" s="150">
        <v>624.4</v>
      </c>
      <c r="K134" s="150"/>
      <c r="L134" s="150">
        <v>624.15</v>
      </c>
      <c r="M134" s="150">
        <v>624.15</v>
      </c>
      <c r="N134" s="150">
        <v>623.85</v>
      </c>
      <c r="O134" s="150">
        <v>623.87</v>
      </c>
      <c r="P134" s="150">
        <v>623.86</v>
      </c>
      <c r="Q134" s="150">
        <v>623.52</v>
      </c>
      <c r="R134" s="150">
        <v>622.75</v>
      </c>
      <c r="S134" s="150">
        <v>622.65</v>
      </c>
      <c r="T134" s="150">
        <v>622.72</v>
      </c>
      <c r="U134" s="150">
        <v>622.71</v>
      </c>
      <c r="V134" s="150">
        <v>622.91999999999996</v>
      </c>
      <c r="W134" s="150"/>
      <c r="X134" s="150">
        <v>523.01</v>
      </c>
      <c r="Y134" s="150"/>
      <c r="Z134" s="150">
        <v>622.38</v>
      </c>
      <c r="AA134" s="150"/>
      <c r="AB134" s="150">
        <v>621.84</v>
      </c>
      <c r="AC134" s="150"/>
      <c r="AD134" s="150">
        <v>621.72</v>
      </c>
      <c r="AE134" s="150">
        <v>622.33000000000004</v>
      </c>
      <c r="AF134" s="151">
        <v>622.79999999999995</v>
      </c>
      <c r="AG134" s="149"/>
      <c r="AH134" s="47"/>
      <c r="AI134" s="48"/>
    </row>
    <row r="135" spans="1:37" x14ac:dyDescent="0.25">
      <c r="A135" s="185" t="s">
        <v>240</v>
      </c>
      <c r="B135" s="150">
        <v>335.27</v>
      </c>
      <c r="C135" s="150">
        <v>335.5</v>
      </c>
      <c r="D135" s="150">
        <v>336.03</v>
      </c>
      <c r="E135" s="150">
        <v>336.48</v>
      </c>
      <c r="F135" s="150">
        <v>336.91</v>
      </c>
      <c r="G135" s="150">
        <v>337.17</v>
      </c>
      <c r="H135" s="150"/>
      <c r="I135" s="150"/>
      <c r="J135" s="150">
        <v>337.11</v>
      </c>
      <c r="K135" s="150">
        <v>336.92</v>
      </c>
      <c r="L135" s="150">
        <v>336.57</v>
      </c>
      <c r="M135" s="150">
        <v>336.53</v>
      </c>
      <c r="N135" s="150">
        <v>336.15</v>
      </c>
      <c r="O135" s="150">
        <v>335.88</v>
      </c>
      <c r="P135" s="150">
        <v>335.68</v>
      </c>
      <c r="Q135" s="150">
        <v>335.36</v>
      </c>
      <c r="R135" s="150">
        <v>335.25</v>
      </c>
      <c r="S135" s="150">
        <v>335.34</v>
      </c>
      <c r="T135" s="150">
        <v>335.31</v>
      </c>
      <c r="U135" s="150">
        <v>335.2</v>
      </c>
      <c r="V135" s="150">
        <v>335.21</v>
      </c>
      <c r="W135" s="150"/>
      <c r="X135" s="150">
        <v>335.55</v>
      </c>
      <c r="Y135" s="150"/>
      <c r="Z135" s="150">
        <v>335.45</v>
      </c>
      <c r="AA135" s="150"/>
      <c r="AB135" s="150">
        <v>335.2</v>
      </c>
      <c r="AC135" s="150"/>
      <c r="AD135" s="150">
        <v>335.12</v>
      </c>
      <c r="AE135" s="150">
        <v>335.26</v>
      </c>
      <c r="AF135" s="151">
        <v>335.4</v>
      </c>
      <c r="AG135" s="149"/>
      <c r="AH135" s="47"/>
      <c r="AI135" s="48"/>
    </row>
    <row r="136" spans="1:37" x14ac:dyDescent="0.25">
      <c r="A136" s="185" t="s">
        <v>384</v>
      </c>
      <c r="B136" s="150">
        <v>883.5</v>
      </c>
      <c r="C136" s="150">
        <v>884</v>
      </c>
      <c r="D136" s="150">
        <v>884.8</v>
      </c>
      <c r="E136" s="150">
        <v>885.4</v>
      </c>
      <c r="F136" s="150">
        <v>886</v>
      </c>
      <c r="G136" s="150">
        <v>886.6</v>
      </c>
      <c r="H136" s="150"/>
      <c r="I136" s="150"/>
      <c r="J136" s="150">
        <v>886.1</v>
      </c>
      <c r="K136" s="150"/>
      <c r="L136" s="150">
        <v>884.9</v>
      </c>
      <c r="M136" s="150">
        <v>884.8</v>
      </c>
      <c r="N136" s="150"/>
      <c r="O136" s="150">
        <v>885.6</v>
      </c>
      <c r="P136" s="150">
        <v>886.1</v>
      </c>
      <c r="Q136" s="150">
        <v>886.1</v>
      </c>
      <c r="R136" s="150">
        <v>885.3</v>
      </c>
      <c r="S136" s="150">
        <v>884.1</v>
      </c>
      <c r="T136" s="150">
        <v>882.4</v>
      </c>
      <c r="U136" s="150">
        <v>882.4</v>
      </c>
      <c r="V136" s="150">
        <v>883.3</v>
      </c>
      <c r="W136" s="150"/>
      <c r="X136" s="150">
        <v>884</v>
      </c>
      <c r="Y136" s="150"/>
      <c r="Z136" s="150">
        <v>883.8</v>
      </c>
      <c r="AA136" s="150"/>
      <c r="AB136" s="150">
        <v>883.5</v>
      </c>
      <c r="AC136" s="150"/>
      <c r="AD136" s="150">
        <v>883.4</v>
      </c>
      <c r="AE136" s="150">
        <v>883.2</v>
      </c>
      <c r="AF136" s="151">
        <v>883.1</v>
      </c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>
        <v>1519.21</v>
      </c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67">SUM(B139:B243)</f>
        <v>0</v>
      </c>
      <c r="C244" s="134">
        <f t="shared" si="167"/>
        <v>0</v>
      </c>
      <c r="D244" s="134">
        <f t="shared" si="167"/>
        <v>0</v>
      </c>
      <c r="E244" s="134">
        <f t="shared" si="167"/>
        <v>0</v>
      </c>
      <c r="F244" s="134">
        <f t="shared" si="167"/>
        <v>0</v>
      </c>
      <c r="G244" s="134">
        <f t="shared" si="167"/>
        <v>0</v>
      </c>
      <c r="H244" s="134">
        <f t="shared" si="167"/>
        <v>0</v>
      </c>
      <c r="I244" s="134">
        <f t="shared" si="167"/>
        <v>0</v>
      </c>
      <c r="J244" s="134">
        <f t="shared" si="167"/>
        <v>0</v>
      </c>
      <c r="K244" s="134">
        <f t="shared" si="167"/>
        <v>0</v>
      </c>
      <c r="L244" s="134">
        <f t="shared" si="167"/>
        <v>0</v>
      </c>
      <c r="M244" s="134">
        <f t="shared" si="167"/>
        <v>0</v>
      </c>
      <c r="N244" s="134">
        <f t="shared" si="167"/>
        <v>0</v>
      </c>
      <c r="O244" s="134">
        <f t="shared" si="167"/>
        <v>0</v>
      </c>
      <c r="P244" s="134">
        <f t="shared" si="167"/>
        <v>0</v>
      </c>
      <c r="Q244" s="134">
        <f t="shared" si="167"/>
        <v>0</v>
      </c>
      <c r="R244" s="134">
        <f t="shared" si="167"/>
        <v>0</v>
      </c>
      <c r="S244" s="134">
        <f t="shared" si="167"/>
        <v>0</v>
      </c>
      <c r="T244" s="134">
        <f t="shared" si="167"/>
        <v>0</v>
      </c>
      <c r="U244" s="134">
        <f t="shared" si="167"/>
        <v>0</v>
      </c>
      <c r="V244" s="134">
        <f t="shared" si="167"/>
        <v>0</v>
      </c>
      <c r="W244" s="134">
        <f t="shared" si="167"/>
        <v>0</v>
      </c>
      <c r="X244" s="134">
        <f t="shared" si="167"/>
        <v>0</v>
      </c>
      <c r="Y244" s="134">
        <f t="shared" si="167"/>
        <v>0</v>
      </c>
      <c r="Z244" s="134">
        <f t="shared" si="167"/>
        <v>0</v>
      </c>
      <c r="AA244" s="134">
        <f t="shared" si="167"/>
        <v>0</v>
      </c>
      <c r="AB244" s="134">
        <f t="shared" si="167"/>
        <v>0</v>
      </c>
      <c r="AC244" s="134">
        <f t="shared" si="167"/>
        <v>0</v>
      </c>
      <c r="AD244" s="134">
        <f t="shared" si="167"/>
        <v>0</v>
      </c>
      <c r="AE244" s="134">
        <f t="shared" si="167"/>
        <v>0</v>
      </c>
      <c r="AF244" s="135">
        <f t="shared" si="167"/>
        <v>0</v>
      </c>
      <c r="AG244" s="136">
        <f t="shared" si="16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68">AF246</f>
        <v>0.3</v>
      </c>
      <c r="C246" s="138">
        <v>0.3</v>
      </c>
      <c r="D246" s="138">
        <f t="shared" ref="D246:S251" si="169">C246</f>
        <v>0.3</v>
      </c>
      <c r="E246" s="138">
        <f t="shared" si="169"/>
        <v>0.3</v>
      </c>
      <c r="F246" s="138">
        <f t="shared" si="169"/>
        <v>0.3</v>
      </c>
      <c r="G246" s="138">
        <f t="shared" si="169"/>
        <v>0.3</v>
      </c>
      <c r="H246" s="138">
        <f t="shared" si="169"/>
        <v>0.3</v>
      </c>
      <c r="I246" s="138">
        <f t="shared" si="169"/>
        <v>0.3</v>
      </c>
      <c r="J246" s="138">
        <f t="shared" si="169"/>
        <v>0.3</v>
      </c>
      <c r="K246" s="138">
        <f t="shared" si="169"/>
        <v>0.3</v>
      </c>
      <c r="L246" s="138">
        <f t="shared" si="169"/>
        <v>0.3</v>
      </c>
      <c r="M246" s="138">
        <f t="shared" si="169"/>
        <v>0.3</v>
      </c>
      <c r="N246" s="138">
        <f t="shared" si="169"/>
        <v>0.3</v>
      </c>
      <c r="O246" s="138">
        <f t="shared" si="169"/>
        <v>0.3</v>
      </c>
      <c r="P246" s="138">
        <f t="shared" si="169"/>
        <v>0.3</v>
      </c>
      <c r="Q246" s="138">
        <f t="shared" si="169"/>
        <v>0.3</v>
      </c>
      <c r="R246" s="138">
        <f t="shared" si="169"/>
        <v>0.3</v>
      </c>
      <c r="S246" s="138">
        <f t="shared" si="169"/>
        <v>0.3</v>
      </c>
      <c r="T246" s="138">
        <f t="shared" ref="T246:AF251" si="170">S246</f>
        <v>0.3</v>
      </c>
      <c r="U246" s="138">
        <f t="shared" si="170"/>
        <v>0.3</v>
      </c>
      <c r="V246" s="138">
        <f t="shared" si="170"/>
        <v>0.3</v>
      </c>
      <c r="W246" s="138">
        <f t="shared" si="170"/>
        <v>0.3</v>
      </c>
      <c r="X246" s="138">
        <f t="shared" si="170"/>
        <v>0.3</v>
      </c>
      <c r="Y246" s="138">
        <f t="shared" si="170"/>
        <v>0.3</v>
      </c>
      <c r="Z246" s="138">
        <f t="shared" si="170"/>
        <v>0.3</v>
      </c>
      <c r="AA246" s="138">
        <f t="shared" si="170"/>
        <v>0.3</v>
      </c>
      <c r="AB246" s="138">
        <f t="shared" si="170"/>
        <v>0.3</v>
      </c>
      <c r="AC246" s="138">
        <f t="shared" si="170"/>
        <v>0.3</v>
      </c>
      <c r="AD246" s="138">
        <f t="shared" si="170"/>
        <v>0.3</v>
      </c>
      <c r="AE246" s="138">
        <f t="shared" si="170"/>
        <v>0.3</v>
      </c>
      <c r="AF246" s="138">
        <f t="shared" si="17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68"/>
        <v>0.4</v>
      </c>
      <c r="C247" s="126">
        <v>0.4</v>
      </c>
      <c r="D247" s="126">
        <f t="shared" si="169"/>
        <v>0.4</v>
      </c>
      <c r="E247" s="126">
        <f t="shared" si="169"/>
        <v>0.4</v>
      </c>
      <c r="F247" s="126">
        <f t="shared" si="169"/>
        <v>0.4</v>
      </c>
      <c r="G247" s="126">
        <f t="shared" si="169"/>
        <v>0.4</v>
      </c>
      <c r="H247" s="126">
        <f t="shared" si="169"/>
        <v>0.4</v>
      </c>
      <c r="I247" s="126">
        <f t="shared" si="169"/>
        <v>0.4</v>
      </c>
      <c r="J247" s="126">
        <f t="shared" si="169"/>
        <v>0.4</v>
      </c>
      <c r="K247" s="126">
        <f t="shared" si="169"/>
        <v>0.4</v>
      </c>
      <c r="L247" s="126">
        <f t="shared" si="169"/>
        <v>0.4</v>
      </c>
      <c r="M247" s="126">
        <f t="shared" si="169"/>
        <v>0.4</v>
      </c>
      <c r="N247" s="126">
        <f t="shared" si="169"/>
        <v>0.4</v>
      </c>
      <c r="O247" s="126">
        <f t="shared" si="169"/>
        <v>0.4</v>
      </c>
      <c r="P247" s="126">
        <f t="shared" si="169"/>
        <v>0.4</v>
      </c>
      <c r="Q247" s="126">
        <f t="shared" si="169"/>
        <v>0.4</v>
      </c>
      <c r="R247" s="126">
        <f t="shared" si="169"/>
        <v>0.4</v>
      </c>
      <c r="S247" s="126">
        <f t="shared" si="169"/>
        <v>0.4</v>
      </c>
      <c r="T247" s="126">
        <f t="shared" si="170"/>
        <v>0.4</v>
      </c>
      <c r="U247" s="126">
        <f t="shared" si="170"/>
        <v>0.4</v>
      </c>
      <c r="V247" s="126">
        <f t="shared" si="170"/>
        <v>0.4</v>
      </c>
      <c r="W247" s="126">
        <f t="shared" si="170"/>
        <v>0.4</v>
      </c>
      <c r="X247" s="126">
        <f t="shared" si="170"/>
        <v>0.4</v>
      </c>
      <c r="Y247" s="126">
        <f t="shared" si="170"/>
        <v>0.4</v>
      </c>
      <c r="Z247" s="126">
        <f t="shared" si="170"/>
        <v>0.4</v>
      </c>
      <c r="AA247" s="126">
        <f t="shared" si="170"/>
        <v>0.4</v>
      </c>
      <c r="AB247" s="126">
        <f t="shared" si="170"/>
        <v>0.4</v>
      </c>
      <c r="AC247" s="126">
        <f t="shared" si="170"/>
        <v>0.4</v>
      </c>
      <c r="AD247" s="126">
        <f t="shared" si="170"/>
        <v>0.4</v>
      </c>
      <c r="AE247" s="126">
        <f t="shared" si="170"/>
        <v>0.4</v>
      </c>
      <c r="AF247" s="126">
        <f t="shared" si="17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68"/>
        <v>1.5</v>
      </c>
      <c r="C248" s="126">
        <v>1.5</v>
      </c>
      <c r="D248" s="126">
        <f t="shared" si="169"/>
        <v>1.5</v>
      </c>
      <c r="E248" s="126">
        <f t="shared" si="169"/>
        <v>1.5</v>
      </c>
      <c r="F248" s="126">
        <f t="shared" si="169"/>
        <v>1.5</v>
      </c>
      <c r="G248" s="126">
        <f t="shared" si="169"/>
        <v>1.5</v>
      </c>
      <c r="H248" s="126">
        <f t="shared" si="169"/>
        <v>1.5</v>
      </c>
      <c r="I248" s="126">
        <f t="shared" si="169"/>
        <v>1.5</v>
      </c>
      <c r="J248" s="126">
        <f t="shared" si="169"/>
        <v>1.5</v>
      </c>
      <c r="K248" s="126">
        <f t="shared" si="169"/>
        <v>1.5</v>
      </c>
      <c r="L248" s="126">
        <f t="shared" si="169"/>
        <v>1.5</v>
      </c>
      <c r="M248" s="126">
        <f t="shared" si="169"/>
        <v>1.5</v>
      </c>
      <c r="N248" s="126">
        <f t="shared" si="169"/>
        <v>1.5</v>
      </c>
      <c r="O248" s="126">
        <f t="shared" si="169"/>
        <v>1.5</v>
      </c>
      <c r="P248" s="126">
        <f t="shared" si="169"/>
        <v>1.5</v>
      </c>
      <c r="Q248" s="126">
        <f t="shared" si="169"/>
        <v>1.5</v>
      </c>
      <c r="R248" s="126">
        <f t="shared" si="169"/>
        <v>1.5</v>
      </c>
      <c r="S248" s="126">
        <f t="shared" si="169"/>
        <v>1.5</v>
      </c>
      <c r="T248" s="126">
        <f t="shared" si="170"/>
        <v>1.5</v>
      </c>
      <c r="U248" s="126">
        <f t="shared" si="170"/>
        <v>1.5</v>
      </c>
      <c r="V248" s="126">
        <f t="shared" si="170"/>
        <v>1.5</v>
      </c>
      <c r="W248" s="126">
        <f t="shared" si="170"/>
        <v>1.5</v>
      </c>
      <c r="X248" s="126">
        <f t="shared" si="170"/>
        <v>1.5</v>
      </c>
      <c r="Y248" s="126">
        <f t="shared" si="170"/>
        <v>1.5</v>
      </c>
      <c r="Z248" s="126">
        <f t="shared" si="170"/>
        <v>1.5</v>
      </c>
      <c r="AA248" s="126">
        <f t="shared" si="170"/>
        <v>1.5</v>
      </c>
      <c r="AB248" s="126">
        <f t="shared" si="170"/>
        <v>1.5</v>
      </c>
      <c r="AC248" s="126">
        <f t="shared" si="170"/>
        <v>1.5</v>
      </c>
      <c r="AD248" s="126">
        <f t="shared" si="170"/>
        <v>1.5</v>
      </c>
      <c r="AE248" s="126">
        <f t="shared" si="170"/>
        <v>1.5</v>
      </c>
      <c r="AF248" s="126">
        <f t="shared" si="17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68"/>
        <v>0.3</v>
      </c>
      <c r="C249" s="126">
        <v>0.3</v>
      </c>
      <c r="D249" s="126">
        <f t="shared" si="169"/>
        <v>0.3</v>
      </c>
      <c r="E249" s="126">
        <f t="shared" si="169"/>
        <v>0.3</v>
      </c>
      <c r="F249" s="126">
        <f t="shared" si="169"/>
        <v>0.3</v>
      </c>
      <c r="G249" s="126">
        <f t="shared" si="169"/>
        <v>0.3</v>
      </c>
      <c r="H249" s="126">
        <f t="shared" si="169"/>
        <v>0.3</v>
      </c>
      <c r="I249" s="126">
        <f t="shared" si="169"/>
        <v>0.3</v>
      </c>
      <c r="J249" s="126">
        <f t="shared" si="169"/>
        <v>0.3</v>
      </c>
      <c r="K249" s="126">
        <f t="shared" si="169"/>
        <v>0.3</v>
      </c>
      <c r="L249" s="126">
        <f t="shared" si="169"/>
        <v>0.3</v>
      </c>
      <c r="M249" s="126">
        <f t="shared" si="169"/>
        <v>0.3</v>
      </c>
      <c r="N249" s="126">
        <f t="shared" si="169"/>
        <v>0.3</v>
      </c>
      <c r="O249" s="126">
        <f t="shared" si="169"/>
        <v>0.3</v>
      </c>
      <c r="P249" s="126">
        <f t="shared" si="169"/>
        <v>0.3</v>
      </c>
      <c r="Q249" s="126">
        <f t="shared" si="169"/>
        <v>0.3</v>
      </c>
      <c r="R249" s="126">
        <f t="shared" si="169"/>
        <v>0.3</v>
      </c>
      <c r="S249" s="126">
        <f t="shared" si="169"/>
        <v>0.3</v>
      </c>
      <c r="T249" s="126">
        <f t="shared" si="170"/>
        <v>0.3</v>
      </c>
      <c r="U249" s="126">
        <f t="shared" si="170"/>
        <v>0.3</v>
      </c>
      <c r="V249" s="126">
        <f t="shared" si="170"/>
        <v>0.3</v>
      </c>
      <c r="W249" s="126">
        <f t="shared" si="170"/>
        <v>0.3</v>
      </c>
      <c r="X249" s="126">
        <f t="shared" si="170"/>
        <v>0.3</v>
      </c>
      <c r="Y249" s="126">
        <f t="shared" si="170"/>
        <v>0.3</v>
      </c>
      <c r="Z249" s="126">
        <f t="shared" si="170"/>
        <v>0.3</v>
      </c>
      <c r="AA249" s="126">
        <f t="shared" si="170"/>
        <v>0.3</v>
      </c>
      <c r="AB249" s="126">
        <f t="shared" si="170"/>
        <v>0.3</v>
      </c>
      <c r="AC249" s="126">
        <f t="shared" si="170"/>
        <v>0.3</v>
      </c>
      <c r="AD249" s="126">
        <f t="shared" si="170"/>
        <v>0.3</v>
      </c>
      <c r="AE249" s="126">
        <f t="shared" si="170"/>
        <v>0.3</v>
      </c>
      <c r="AF249" s="126">
        <f t="shared" si="17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68"/>
        <v>0.4</v>
      </c>
      <c r="C250" s="126">
        <v>0.4</v>
      </c>
      <c r="D250" s="126">
        <f t="shared" si="169"/>
        <v>0.4</v>
      </c>
      <c r="E250" s="126">
        <f t="shared" si="169"/>
        <v>0.4</v>
      </c>
      <c r="F250" s="126">
        <f t="shared" si="169"/>
        <v>0.4</v>
      </c>
      <c r="G250" s="126">
        <f t="shared" si="169"/>
        <v>0.4</v>
      </c>
      <c r="H250" s="126">
        <f t="shared" si="169"/>
        <v>0.4</v>
      </c>
      <c r="I250" s="126">
        <f t="shared" si="169"/>
        <v>0.4</v>
      </c>
      <c r="J250" s="126">
        <f t="shared" si="169"/>
        <v>0.4</v>
      </c>
      <c r="K250" s="126">
        <f t="shared" si="169"/>
        <v>0.4</v>
      </c>
      <c r="L250" s="126">
        <f t="shared" si="169"/>
        <v>0.4</v>
      </c>
      <c r="M250" s="126">
        <f t="shared" si="169"/>
        <v>0.4</v>
      </c>
      <c r="N250" s="126">
        <f t="shared" si="169"/>
        <v>0.4</v>
      </c>
      <c r="O250" s="126">
        <f t="shared" si="169"/>
        <v>0.4</v>
      </c>
      <c r="P250" s="126">
        <f t="shared" si="169"/>
        <v>0.4</v>
      </c>
      <c r="Q250" s="126">
        <f t="shared" si="169"/>
        <v>0.4</v>
      </c>
      <c r="R250" s="126">
        <f t="shared" si="169"/>
        <v>0.4</v>
      </c>
      <c r="S250" s="126">
        <f t="shared" si="169"/>
        <v>0.4</v>
      </c>
      <c r="T250" s="126">
        <f t="shared" si="170"/>
        <v>0.4</v>
      </c>
      <c r="U250" s="126">
        <f t="shared" si="170"/>
        <v>0.4</v>
      </c>
      <c r="V250" s="126">
        <f t="shared" si="170"/>
        <v>0.4</v>
      </c>
      <c r="W250" s="126">
        <f t="shared" si="170"/>
        <v>0.4</v>
      </c>
      <c r="X250" s="126">
        <f t="shared" si="170"/>
        <v>0.4</v>
      </c>
      <c r="Y250" s="126">
        <f t="shared" si="170"/>
        <v>0.4</v>
      </c>
      <c r="Z250" s="126">
        <f t="shared" si="170"/>
        <v>0.4</v>
      </c>
      <c r="AA250" s="126">
        <f t="shared" si="170"/>
        <v>0.4</v>
      </c>
      <c r="AB250" s="126">
        <f t="shared" si="170"/>
        <v>0.4</v>
      </c>
      <c r="AC250" s="126">
        <f t="shared" si="170"/>
        <v>0.4</v>
      </c>
      <c r="AD250" s="126">
        <f t="shared" si="170"/>
        <v>0.4</v>
      </c>
      <c r="AE250" s="126">
        <f t="shared" si="170"/>
        <v>0.4</v>
      </c>
      <c r="AF250" s="126">
        <f t="shared" si="17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68"/>
        <v>0.64</v>
      </c>
      <c r="C251" s="130">
        <v>0.64</v>
      </c>
      <c r="D251" s="130">
        <f t="shared" si="169"/>
        <v>0.64</v>
      </c>
      <c r="E251" s="130">
        <f t="shared" si="169"/>
        <v>0.64</v>
      </c>
      <c r="F251" s="130">
        <f t="shared" si="169"/>
        <v>0.64</v>
      </c>
      <c r="G251" s="130">
        <f t="shared" si="169"/>
        <v>0.64</v>
      </c>
      <c r="H251" s="130">
        <f t="shared" si="169"/>
        <v>0.64</v>
      </c>
      <c r="I251" s="130">
        <f t="shared" si="169"/>
        <v>0.64</v>
      </c>
      <c r="J251" s="130">
        <f t="shared" si="169"/>
        <v>0.64</v>
      </c>
      <c r="K251" s="130">
        <f t="shared" si="169"/>
        <v>0.64</v>
      </c>
      <c r="L251" s="130">
        <f t="shared" si="169"/>
        <v>0.64</v>
      </c>
      <c r="M251" s="130">
        <f t="shared" si="169"/>
        <v>0.64</v>
      </c>
      <c r="N251" s="130">
        <f t="shared" si="169"/>
        <v>0.64</v>
      </c>
      <c r="O251" s="130">
        <f t="shared" si="169"/>
        <v>0.64</v>
      </c>
      <c r="P251" s="130">
        <f t="shared" si="169"/>
        <v>0.64</v>
      </c>
      <c r="Q251" s="130">
        <f t="shared" si="169"/>
        <v>0.64</v>
      </c>
      <c r="R251" s="130">
        <f t="shared" si="169"/>
        <v>0.64</v>
      </c>
      <c r="S251" s="130">
        <f t="shared" si="169"/>
        <v>0.64</v>
      </c>
      <c r="T251" s="130">
        <f t="shared" si="170"/>
        <v>0.64</v>
      </c>
      <c r="U251" s="130">
        <f t="shared" si="170"/>
        <v>0.64</v>
      </c>
      <c r="V251" s="130">
        <f t="shared" si="170"/>
        <v>0.64</v>
      </c>
      <c r="W251" s="130">
        <f t="shared" si="170"/>
        <v>0.64</v>
      </c>
      <c r="X251" s="130">
        <f t="shared" si="170"/>
        <v>0.64</v>
      </c>
      <c r="Y251" s="130">
        <f t="shared" si="170"/>
        <v>0.64</v>
      </c>
      <c r="Z251" s="130">
        <f t="shared" si="170"/>
        <v>0.64</v>
      </c>
      <c r="AA251" s="130">
        <f t="shared" si="170"/>
        <v>0.64</v>
      </c>
      <c r="AB251" s="130">
        <f t="shared" si="170"/>
        <v>0.64</v>
      </c>
      <c r="AC251" s="130">
        <f t="shared" si="170"/>
        <v>0.64</v>
      </c>
      <c r="AD251" s="130">
        <f t="shared" si="170"/>
        <v>0.64</v>
      </c>
      <c r="AE251" s="130">
        <f t="shared" si="170"/>
        <v>0.64</v>
      </c>
      <c r="AF251" s="130">
        <f t="shared" si="17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71">SUM(B246:B251)</f>
        <v>3.54</v>
      </c>
      <c r="C252" s="134">
        <f t="shared" si="171"/>
        <v>3.54</v>
      </c>
      <c r="D252" s="134">
        <f t="shared" si="171"/>
        <v>3.54</v>
      </c>
      <c r="E252" s="134">
        <f t="shared" si="171"/>
        <v>3.54</v>
      </c>
      <c r="F252" s="134">
        <f t="shared" si="171"/>
        <v>3.54</v>
      </c>
      <c r="G252" s="134">
        <f t="shared" si="171"/>
        <v>3.54</v>
      </c>
      <c r="H252" s="134">
        <f t="shared" si="171"/>
        <v>3.54</v>
      </c>
      <c r="I252" s="134">
        <f t="shared" si="171"/>
        <v>3.54</v>
      </c>
      <c r="J252" s="134">
        <f t="shared" si="171"/>
        <v>3.54</v>
      </c>
      <c r="K252" s="134">
        <f t="shared" si="171"/>
        <v>3.54</v>
      </c>
      <c r="L252" s="134">
        <f t="shared" si="171"/>
        <v>3.54</v>
      </c>
      <c r="M252" s="134">
        <f t="shared" si="171"/>
        <v>3.54</v>
      </c>
      <c r="N252" s="134">
        <f t="shared" si="171"/>
        <v>3.54</v>
      </c>
      <c r="O252" s="134">
        <f t="shared" si="171"/>
        <v>3.54</v>
      </c>
      <c r="P252" s="134">
        <f t="shared" si="171"/>
        <v>3.54</v>
      </c>
      <c r="Q252" s="134">
        <f t="shared" si="171"/>
        <v>3.54</v>
      </c>
      <c r="R252" s="134">
        <f t="shared" si="171"/>
        <v>3.54</v>
      </c>
      <c r="S252" s="134">
        <f t="shared" si="171"/>
        <v>3.54</v>
      </c>
      <c r="T252" s="134">
        <f t="shared" si="171"/>
        <v>3.54</v>
      </c>
      <c r="U252" s="134">
        <f t="shared" si="171"/>
        <v>3.54</v>
      </c>
      <c r="V252" s="134">
        <f t="shared" si="171"/>
        <v>3.54</v>
      </c>
      <c r="W252" s="134">
        <f t="shared" si="171"/>
        <v>3.54</v>
      </c>
      <c r="X252" s="134">
        <f t="shared" si="171"/>
        <v>3.54</v>
      </c>
      <c r="Y252" s="134">
        <f t="shared" si="171"/>
        <v>3.54</v>
      </c>
      <c r="Z252" s="134">
        <f t="shared" si="171"/>
        <v>3.54</v>
      </c>
      <c r="AA252" s="134">
        <f t="shared" si="171"/>
        <v>3.54</v>
      </c>
      <c r="AB252" s="134">
        <f t="shared" si="171"/>
        <v>3.54</v>
      </c>
      <c r="AC252" s="134">
        <f t="shared" si="171"/>
        <v>3.54</v>
      </c>
      <c r="AD252" s="134">
        <f t="shared" si="171"/>
        <v>3.54</v>
      </c>
      <c r="AE252" s="134">
        <f t="shared" si="171"/>
        <v>3.54</v>
      </c>
      <c r="AF252" s="134">
        <f t="shared" si="171"/>
        <v>3.54</v>
      </c>
      <c r="AG252" s="143">
        <f t="shared" si="17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1658.49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50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157" t="str">
        <f ca="1">MID(CELL("filename",C7),FIND("]",CELL("filename",C7))+1,600)</f>
        <v>9</v>
      </c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50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2080/10/9)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157" t="str">
        <f ca="1">"Daily Load Curve(Excluding of Export) of Nepal ("&amp;A4&amp;" "&amp;B4&amp;")"</f>
        <v>Daily Load Curve(Excluding of Export) of Nepal (Nepali Date: 2080/10/9)</v>
      </c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50" ht="12.75" customHeight="1" thickBot="1" x14ac:dyDescent="0.3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50" ht="15.75" thickTop="1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160" t="s">
        <v>245</v>
      </c>
      <c r="T260" s="161">
        <v>0</v>
      </c>
      <c r="U260" s="162">
        <v>4.1666666666666664E-2</v>
      </c>
      <c r="V260" s="163">
        <v>8.3333333333333301E-2</v>
      </c>
      <c r="W260" s="163">
        <v>0.125</v>
      </c>
      <c r="X260" s="163">
        <v>0.16666666666666699</v>
      </c>
      <c r="Y260" s="163">
        <v>0.20833333333333301</v>
      </c>
      <c r="Z260" s="163">
        <v>0.22916666666666666</v>
      </c>
      <c r="AA260" s="163">
        <v>0.25</v>
      </c>
      <c r="AB260" s="163">
        <v>0.27083333333333331</v>
      </c>
      <c r="AC260" s="163">
        <v>0.29166666666666669</v>
      </c>
      <c r="AD260" s="163">
        <v>0.3125</v>
      </c>
      <c r="AE260" s="164">
        <v>0.33333333333333331</v>
      </c>
      <c r="AF260" s="164">
        <v>0.375</v>
      </c>
      <c r="AG260" s="164">
        <v>0.41666666666666702</v>
      </c>
      <c r="AH260" s="164">
        <v>0.45833333333333298</v>
      </c>
      <c r="AI260" s="164">
        <v>0.5</v>
      </c>
      <c r="AJ260" s="164">
        <v>0.54166666666666696</v>
      </c>
      <c r="AK260" s="164">
        <v>0.58333333333333304</v>
      </c>
      <c r="AL260" s="164">
        <v>0.625</v>
      </c>
      <c r="AM260" s="164">
        <v>0.66666666666666696</v>
      </c>
      <c r="AN260" s="164">
        <v>0.70833333333333304</v>
      </c>
      <c r="AO260" s="164">
        <v>0.72916666666666663</v>
      </c>
      <c r="AP260" s="164">
        <v>0.75</v>
      </c>
      <c r="AQ260" s="164">
        <v>0.77083333333333337</v>
      </c>
      <c r="AR260" s="164">
        <v>0.79166666666666663</v>
      </c>
      <c r="AS260" s="164">
        <v>0.8125</v>
      </c>
      <c r="AT260" s="163">
        <v>0.83333333333333337</v>
      </c>
      <c r="AU260" s="163">
        <v>0.85416666666666663</v>
      </c>
      <c r="AV260" s="163">
        <v>0.875</v>
      </c>
      <c r="AW260" s="163">
        <v>0.91666666666666696</v>
      </c>
      <c r="AX260" s="163">
        <v>0.95833333333333304</v>
      </c>
    </row>
    <row r="261" spans="1:50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 t="s">
        <v>247</v>
      </c>
      <c r="T261" s="165">
        <f t="shared" ref="T261:AX261" si="172">B99</f>
        <v>1234.49</v>
      </c>
      <c r="U261" s="165">
        <f t="shared" si="172"/>
        <v>1207.8899999999999</v>
      </c>
      <c r="V261" s="165">
        <f t="shared" si="172"/>
        <v>1178.29</v>
      </c>
      <c r="W261" s="165">
        <f t="shared" si="172"/>
        <v>1165.29</v>
      </c>
      <c r="X261" s="165">
        <f t="shared" si="172"/>
        <v>1143.79</v>
      </c>
      <c r="Y261" s="165">
        <f t="shared" si="172"/>
        <v>1143.79</v>
      </c>
      <c r="Z261" s="165">
        <f t="shared" si="172"/>
        <v>1216.49</v>
      </c>
      <c r="AA261" s="165">
        <f t="shared" si="172"/>
        <v>1281.69</v>
      </c>
      <c r="AB261" s="165">
        <f t="shared" si="172"/>
        <v>1430.99</v>
      </c>
      <c r="AC261" s="165">
        <f t="shared" si="172"/>
        <v>1530.99</v>
      </c>
      <c r="AD261" s="165">
        <f t="shared" si="172"/>
        <v>1343.19</v>
      </c>
      <c r="AE261" s="165">
        <f t="shared" si="172"/>
        <v>1622.29</v>
      </c>
      <c r="AF261" s="165">
        <f t="shared" si="172"/>
        <v>1658.49</v>
      </c>
      <c r="AG261" s="165">
        <f t="shared" si="172"/>
        <v>1525.09</v>
      </c>
      <c r="AH261" s="165">
        <f t="shared" si="172"/>
        <v>1584.79</v>
      </c>
      <c r="AI261" s="165">
        <f t="shared" si="172"/>
        <v>1508.4899999999998</v>
      </c>
      <c r="AJ261" s="165">
        <f t="shared" si="172"/>
        <v>1463.29</v>
      </c>
      <c r="AK261" s="165">
        <f t="shared" si="172"/>
        <v>1479.4899999999998</v>
      </c>
      <c r="AL261" s="165">
        <f t="shared" si="172"/>
        <v>1509.59</v>
      </c>
      <c r="AM261" s="165">
        <f t="shared" si="172"/>
        <v>1458.19</v>
      </c>
      <c r="AN261" s="165">
        <f t="shared" si="172"/>
        <v>1255.69</v>
      </c>
      <c r="AO261" s="165">
        <f t="shared" si="172"/>
        <v>1291.49</v>
      </c>
      <c r="AP261" s="165">
        <f t="shared" si="172"/>
        <v>1590.3899999999999</v>
      </c>
      <c r="AQ261" s="165">
        <f t="shared" si="172"/>
        <v>1757.3899999999999</v>
      </c>
      <c r="AR261" s="165">
        <f t="shared" si="172"/>
        <v>1614.19</v>
      </c>
      <c r="AS261" s="165">
        <f t="shared" si="172"/>
        <v>1586.89</v>
      </c>
      <c r="AT261" s="165">
        <f t="shared" si="172"/>
        <v>1616.0900000000001</v>
      </c>
      <c r="AU261" s="165">
        <f t="shared" si="172"/>
        <v>1552.89</v>
      </c>
      <c r="AV261" s="165">
        <f t="shared" si="172"/>
        <v>1568.89</v>
      </c>
      <c r="AW261" s="165">
        <f t="shared" si="172"/>
        <v>1279.8900000000001</v>
      </c>
      <c r="AX261" s="165">
        <f t="shared" si="172"/>
        <v>1209.69</v>
      </c>
    </row>
    <row r="262" spans="1:50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50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50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50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50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50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50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50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50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50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50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1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1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1:34" x14ac:dyDescent="0.25">
      <c r="A282" s="167" t="s">
        <v>237</v>
      </c>
      <c r="B282" s="168">
        <f t="shared" ref="B282:AE282" si="173">C251</f>
        <v>0.64</v>
      </c>
      <c r="C282" s="168">
        <f t="shared" si="173"/>
        <v>0.64</v>
      </c>
      <c r="D282" s="168">
        <f t="shared" si="173"/>
        <v>0.64</v>
      </c>
      <c r="E282" s="168">
        <f t="shared" si="173"/>
        <v>0.64</v>
      </c>
      <c r="F282" s="168">
        <f t="shared" si="173"/>
        <v>0.64</v>
      </c>
      <c r="G282" s="168">
        <f t="shared" si="173"/>
        <v>0.64</v>
      </c>
      <c r="H282" s="168">
        <f t="shared" si="173"/>
        <v>0.64</v>
      </c>
      <c r="I282" s="168">
        <f t="shared" si="173"/>
        <v>0.64</v>
      </c>
      <c r="J282" s="168">
        <f t="shared" si="173"/>
        <v>0.64</v>
      </c>
      <c r="K282" s="168">
        <f t="shared" si="173"/>
        <v>0.64</v>
      </c>
      <c r="L282" s="168">
        <f t="shared" si="173"/>
        <v>0.64</v>
      </c>
      <c r="M282" s="168">
        <f t="shared" si="173"/>
        <v>0.64</v>
      </c>
      <c r="N282" s="168">
        <f t="shared" si="173"/>
        <v>0.64</v>
      </c>
      <c r="O282" s="168">
        <f t="shared" si="173"/>
        <v>0.64</v>
      </c>
      <c r="P282" s="168">
        <f t="shared" si="173"/>
        <v>0.64</v>
      </c>
      <c r="Q282" s="168">
        <f t="shared" si="173"/>
        <v>0.64</v>
      </c>
      <c r="R282" s="168">
        <f t="shared" si="173"/>
        <v>0.64</v>
      </c>
      <c r="S282" s="168">
        <f t="shared" si="173"/>
        <v>0.64</v>
      </c>
      <c r="T282" s="168">
        <f t="shared" si="173"/>
        <v>0.64</v>
      </c>
      <c r="U282" s="168">
        <f t="shared" si="173"/>
        <v>0.64</v>
      </c>
      <c r="V282" s="168">
        <f t="shared" si="173"/>
        <v>0.64</v>
      </c>
      <c r="W282" s="168">
        <f t="shared" si="173"/>
        <v>0.64</v>
      </c>
      <c r="X282" s="168">
        <f t="shared" si="173"/>
        <v>0.64</v>
      </c>
      <c r="Y282" s="168">
        <f t="shared" si="173"/>
        <v>0.64</v>
      </c>
      <c r="Z282" s="168">
        <f t="shared" si="173"/>
        <v>0.64</v>
      </c>
      <c r="AA282" s="168">
        <f t="shared" si="173"/>
        <v>0.64</v>
      </c>
      <c r="AB282" s="168">
        <f t="shared" si="173"/>
        <v>0.64</v>
      </c>
      <c r="AC282" s="168">
        <f t="shared" si="173"/>
        <v>0.64</v>
      </c>
      <c r="AD282" s="168">
        <f t="shared" si="173"/>
        <v>0.64</v>
      </c>
      <c r="AE282" s="168">
        <f t="shared" si="173"/>
        <v>0.64</v>
      </c>
      <c r="AF282" s="168">
        <f>B251</f>
        <v>0.64</v>
      </c>
      <c r="AG282" s="43"/>
      <c r="AH282" s="43"/>
    </row>
    <row r="283" spans="1:34" x14ac:dyDescent="0.25">
      <c r="A283" s="169" t="e">
        <f>#REF!</f>
        <v>#REF!</v>
      </c>
      <c r="B283" s="169" t="e">
        <f>IF(#REF!&lt;100,"",#REF!-520)</f>
        <v>#REF!</v>
      </c>
      <c r="C283" s="169" t="e">
        <f>IF(#REF!&lt;100,"",#REF!-520)</f>
        <v>#REF!</v>
      </c>
      <c r="D283" s="169" t="e">
        <f>IF(#REF!&lt;100,"",#REF!-520)</f>
        <v>#REF!</v>
      </c>
      <c r="E283" s="169" t="e">
        <f>IF(#REF!&lt;100,"",#REF!-520)</f>
        <v>#REF!</v>
      </c>
      <c r="F283" s="169" t="e">
        <f>IF(#REF!&lt;100,"",#REF!-520)</f>
        <v>#REF!</v>
      </c>
      <c r="G283" s="169" t="e">
        <f>IF(#REF!&lt;100,"",#REF!-520)</f>
        <v>#REF!</v>
      </c>
      <c r="H283" s="169" t="e">
        <f>IF(#REF!&lt;100,"",#REF!-520)</f>
        <v>#REF!</v>
      </c>
      <c r="I283" s="169" t="e">
        <f>IF(#REF!&lt;100,"",#REF!-520)</f>
        <v>#REF!</v>
      </c>
      <c r="J283" s="169" t="e">
        <f>IF(#REF!&lt;100,"",#REF!-520)</f>
        <v>#REF!</v>
      </c>
      <c r="K283" s="169" t="e">
        <f>IF(#REF!&lt;100,"",#REF!-520)</f>
        <v>#REF!</v>
      </c>
      <c r="L283" s="169" t="e">
        <f>IF(#REF!&lt;100,"",#REF!-520)</f>
        <v>#REF!</v>
      </c>
      <c r="M283" s="169" t="e">
        <f>IF(#REF!&lt;100,"",#REF!-520)</f>
        <v>#REF!</v>
      </c>
      <c r="N283" s="169" t="e">
        <f>IF(#REF!&lt;100,"",#REF!-520)</f>
        <v>#REF!</v>
      </c>
      <c r="O283" s="169" t="e">
        <f>IF(#REF!&lt;100,"",#REF!-520)</f>
        <v>#REF!</v>
      </c>
      <c r="P283" s="169" t="e">
        <f>IF(#REF!&lt;100,"",#REF!-520)</f>
        <v>#REF!</v>
      </c>
      <c r="Q283" s="169" t="e">
        <f>IF(#REF!&lt;100,"",#REF!-520)</f>
        <v>#REF!</v>
      </c>
      <c r="R283" s="169" t="e">
        <f>IF(#REF!&lt;100,"",#REF!-520)</f>
        <v>#REF!</v>
      </c>
      <c r="S283" s="169" t="e">
        <f>IF(#REF!&lt;100,"",#REF!-520)</f>
        <v>#REF!</v>
      </c>
      <c r="T283" s="169" t="e">
        <f>IF(#REF!&lt;100,"",#REF!-520)</f>
        <v>#REF!</v>
      </c>
      <c r="U283" s="169" t="e">
        <f>IF(#REF!&lt;100,"",#REF!-520)</f>
        <v>#REF!</v>
      </c>
      <c r="V283" s="169" t="e">
        <f>IF(#REF!&lt;100,"",#REF!-520)</f>
        <v>#REF!</v>
      </c>
      <c r="W283" s="169" t="e">
        <f>IF(#REF!&lt;100,"",#REF!-520)</f>
        <v>#REF!</v>
      </c>
      <c r="X283" s="169" t="e">
        <f>IF(#REF!&lt;100,"",#REF!-520)</f>
        <v>#REF!</v>
      </c>
      <c r="Y283" s="169" t="e">
        <f>IF(#REF!&lt;100,"",#REF!-520)</f>
        <v>#REF!</v>
      </c>
      <c r="Z283" s="169" t="e">
        <f>IF(#REF!&lt;100,"",#REF!-520)</f>
        <v>#REF!</v>
      </c>
      <c r="AA283" s="169" t="e">
        <f>IF(#REF!&lt;100,"",#REF!-520)</f>
        <v>#REF!</v>
      </c>
      <c r="AB283" s="169" t="e">
        <f>IF(#REF!&lt;100,"",#REF!-520)</f>
        <v>#REF!</v>
      </c>
      <c r="AC283" s="169" t="e">
        <f>IF(#REF!&lt;100,"",#REF!-520)</f>
        <v>#REF!</v>
      </c>
      <c r="AD283" s="169" t="e">
        <f>IF(#REF!&lt;100,"",#REF!-520)</f>
        <v>#REF!</v>
      </c>
      <c r="AE283" s="169" t="e">
        <f>IF(#REF!&lt;100,"",#REF!-520)</f>
        <v>#REF!</v>
      </c>
      <c r="AF283" s="169" t="e">
        <f>IF(#REF!&lt;100,"",#REF!-520)</f>
        <v>#REF!</v>
      </c>
      <c r="AG283" s="43"/>
      <c r="AH283" s="43"/>
    </row>
    <row r="284" spans="1:34" x14ac:dyDescent="0.25">
      <c r="A284" s="169" t="e">
        <f>#REF!</f>
        <v>#REF!</v>
      </c>
      <c r="B284" s="169" t="e">
        <f>IF(#REF!&lt;100,"",#REF!-620)</f>
        <v>#REF!</v>
      </c>
      <c r="C284" s="169" t="e">
        <f>IF(#REF!&lt;100,"",#REF!-620)</f>
        <v>#REF!</v>
      </c>
      <c r="D284" s="169" t="e">
        <f>IF(#REF!&lt;100,"",#REF!-620)</f>
        <v>#REF!</v>
      </c>
      <c r="E284" s="169" t="e">
        <f>IF(#REF!&lt;100,"",#REF!-620)</f>
        <v>#REF!</v>
      </c>
      <c r="F284" s="169" t="e">
        <f>IF(#REF!&lt;100,"",#REF!-620)</f>
        <v>#REF!</v>
      </c>
      <c r="G284" s="169" t="e">
        <f>IF(#REF!&lt;100,"",#REF!-620)</f>
        <v>#REF!</v>
      </c>
      <c r="H284" s="169" t="e">
        <f>IF(#REF!&lt;100,"",#REF!-620)</f>
        <v>#REF!</v>
      </c>
      <c r="I284" s="169" t="e">
        <f>IF(#REF!&lt;100,"",#REF!-620)</f>
        <v>#REF!</v>
      </c>
      <c r="J284" s="169" t="e">
        <f>IF(#REF!&lt;100,"",#REF!-620)</f>
        <v>#REF!</v>
      </c>
      <c r="K284" s="169" t="e">
        <f>IF(#REF!&lt;100,"",#REF!-620)</f>
        <v>#REF!</v>
      </c>
      <c r="L284" s="169" t="e">
        <f>IF(#REF!&lt;100,"",#REF!-620)</f>
        <v>#REF!</v>
      </c>
      <c r="M284" s="169" t="e">
        <f>IF(#REF!&lt;100,"",#REF!-620)</f>
        <v>#REF!</v>
      </c>
      <c r="N284" s="169" t="e">
        <f>IF(#REF!&lt;100,"",#REF!-620)</f>
        <v>#REF!</v>
      </c>
      <c r="O284" s="169" t="e">
        <f>IF(#REF!&lt;100,"",#REF!-620)</f>
        <v>#REF!</v>
      </c>
      <c r="P284" s="169" t="e">
        <f>IF(#REF!&lt;100,"",#REF!-620)</f>
        <v>#REF!</v>
      </c>
      <c r="Q284" s="169" t="e">
        <f>IF(#REF!&lt;100,"",#REF!-620)</f>
        <v>#REF!</v>
      </c>
      <c r="R284" s="169" t="e">
        <f>IF(#REF!&lt;100,"",#REF!-620)</f>
        <v>#REF!</v>
      </c>
      <c r="S284" s="169" t="e">
        <f>IF(#REF!&lt;100,"",#REF!-620)</f>
        <v>#REF!</v>
      </c>
      <c r="T284" s="169" t="e">
        <f>IF(#REF!&lt;100,"",#REF!-620)</f>
        <v>#REF!</v>
      </c>
      <c r="U284" s="169" t="e">
        <f>IF(#REF!&lt;100,"",#REF!-620)</f>
        <v>#REF!</v>
      </c>
      <c r="V284" s="169" t="e">
        <f>IF(#REF!&lt;100,"",#REF!-620)</f>
        <v>#REF!</v>
      </c>
      <c r="W284" s="169" t="e">
        <f>IF(#REF!&lt;100,"",#REF!-620)</f>
        <v>#REF!</v>
      </c>
      <c r="X284" s="169" t="e">
        <f>IF(#REF!&lt;100,"",#REF!-620)</f>
        <v>#REF!</v>
      </c>
      <c r="Y284" s="169" t="e">
        <f>IF(#REF!&lt;100,"",#REF!-620)</f>
        <v>#REF!</v>
      </c>
      <c r="Z284" s="169" t="e">
        <f>IF(#REF!&lt;100,"",#REF!-620)</f>
        <v>#REF!</v>
      </c>
      <c r="AA284" s="169" t="e">
        <f>IF(#REF!&lt;100,"",#REF!-620)</f>
        <v>#REF!</v>
      </c>
      <c r="AB284" s="169" t="e">
        <f>IF(#REF!&lt;100,"",#REF!-620)</f>
        <v>#REF!</v>
      </c>
      <c r="AC284" s="169" t="e">
        <f>IF(#REF!&lt;100,"",#REF!-620)</f>
        <v>#REF!</v>
      </c>
      <c r="AD284" s="169" t="e">
        <f>IF(#REF!&lt;100,"",#REF!-620)</f>
        <v>#REF!</v>
      </c>
      <c r="AE284" s="169" t="e">
        <f>IF(#REF!&lt;100,"",#REF!-620)</f>
        <v>#REF!</v>
      </c>
      <c r="AF284" s="169" t="e">
        <f>IF(#REF!&lt;100,"",#REF!-620)</f>
        <v>#REF!</v>
      </c>
      <c r="AG284" s="43"/>
      <c r="AH284" s="43"/>
    </row>
    <row r="285" spans="1:34" x14ac:dyDescent="0.25">
      <c r="A285" s="169" t="e">
        <f>#REF!</f>
        <v>#REF!</v>
      </c>
      <c r="B285" s="169" t="e">
        <f>IF(#REF!&lt;100,"",#REF!-330)</f>
        <v>#REF!</v>
      </c>
      <c r="C285" s="169" t="e">
        <f>IF(#REF!&lt;100,"",#REF!-330)</f>
        <v>#REF!</v>
      </c>
      <c r="D285" s="169" t="e">
        <f>IF(#REF!&lt;100,"",#REF!-330)</f>
        <v>#REF!</v>
      </c>
      <c r="E285" s="169" t="e">
        <f>IF(#REF!&lt;100,"",#REF!-330)</f>
        <v>#REF!</v>
      </c>
      <c r="F285" s="169" t="e">
        <f>IF(#REF!&lt;100,"",#REF!-330)</f>
        <v>#REF!</v>
      </c>
      <c r="G285" s="169" t="e">
        <f>IF(#REF!&lt;100,"",#REF!-330)</f>
        <v>#REF!</v>
      </c>
      <c r="H285" s="169" t="e">
        <f>IF(#REF!&lt;100,"",#REF!-330)</f>
        <v>#REF!</v>
      </c>
      <c r="I285" s="169" t="e">
        <f>IF(#REF!&lt;100,"",#REF!-330)</f>
        <v>#REF!</v>
      </c>
      <c r="J285" s="169" t="e">
        <f>IF(#REF!&lt;100,"",#REF!-330)</f>
        <v>#REF!</v>
      </c>
      <c r="K285" s="169" t="e">
        <f>IF(#REF!&lt;100,"",#REF!-330)</f>
        <v>#REF!</v>
      </c>
      <c r="L285" s="169" t="e">
        <f>IF(#REF!&lt;100,"",#REF!-330)</f>
        <v>#REF!</v>
      </c>
      <c r="M285" s="169" t="e">
        <f>IF(#REF!&lt;100,"",#REF!-330)</f>
        <v>#REF!</v>
      </c>
      <c r="N285" s="169" t="e">
        <f>IF(#REF!&lt;100,"",#REF!-330)</f>
        <v>#REF!</v>
      </c>
      <c r="O285" s="169" t="e">
        <f>IF(#REF!&lt;100,"",#REF!-330)</f>
        <v>#REF!</v>
      </c>
      <c r="P285" s="169" t="e">
        <f>IF(#REF!&lt;100,"",#REF!-330)</f>
        <v>#REF!</v>
      </c>
      <c r="Q285" s="169" t="e">
        <f>IF(#REF!&lt;100,"",#REF!-330)</f>
        <v>#REF!</v>
      </c>
      <c r="R285" s="169" t="e">
        <f>IF(#REF!&lt;100,"",#REF!-330)</f>
        <v>#REF!</v>
      </c>
      <c r="S285" s="169" t="e">
        <f>IF(#REF!&lt;100,"",#REF!-330)</f>
        <v>#REF!</v>
      </c>
      <c r="T285" s="169" t="e">
        <f>IF(#REF!&lt;100,"",#REF!-330)</f>
        <v>#REF!</v>
      </c>
      <c r="U285" s="169" t="e">
        <f>IF(#REF!&lt;100,"",#REF!-330)</f>
        <v>#REF!</v>
      </c>
      <c r="V285" s="169" t="e">
        <f>IF(#REF!&lt;100,"",#REF!-330)</f>
        <v>#REF!</v>
      </c>
      <c r="W285" s="169" t="e">
        <f>IF(#REF!&lt;100,"",#REF!-330)</f>
        <v>#REF!</v>
      </c>
      <c r="X285" s="169" t="e">
        <f>IF(#REF!&lt;100,"",#REF!-330)</f>
        <v>#REF!</v>
      </c>
      <c r="Y285" s="169" t="e">
        <f>IF(#REF!&lt;100,"",#REF!-330)</f>
        <v>#REF!</v>
      </c>
      <c r="Z285" s="169" t="e">
        <f>IF(#REF!&lt;100,"",#REF!-330)</f>
        <v>#REF!</v>
      </c>
      <c r="AA285" s="169" t="e">
        <f>IF(#REF!&lt;100,"",#REF!-330)</f>
        <v>#REF!</v>
      </c>
      <c r="AB285" s="169" t="e">
        <f>IF(#REF!&lt;100,"",#REF!-330)</f>
        <v>#REF!</v>
      </c>
      <c r="AC285" s="169" t="e">
        <f>IF(#REF!&lt;100,"",#REF!-330)</f>
        <v>#REF!</v>
      </c>
      <c r="AD285" s="169" t="e">
        <f>IF(#REF!&lt;100,"",#REF!-330)</f>
        <v>#REF!</v>
      </c>
      <c r="AE285" s="169" t="e">
        <f>IF(#REF!&lt;100,"",#REF!-330)</f>
        <v>#REF!</v>
      </c>
      <c r="AF285" s="169" t="e">
        <f>IF(#REF!&lt;100,"",#REF!-330)</f>
        <v>#REF!</v>
      </c>
      <c r="AG285" s="43"/>
      <c r="AH285" s="43"/>
    </row>
    <row r="286" spans="1:34" x14ac:dyDescent="0.25">
      <c r="A286" s="169" t="e">
        <f>#REF!</f>
        <v>#REF!</v>
      </c>
      <c r="B286" s="169" t="e">
        <f>IF(#REF!&lt;100,"",#REF!-1500)</f>
        <v>#REF!</v>
      </c>
      <c r="C286" s="169" t="e">
        <f>IF(#REF!&lt;100,"",#REF!-1500)</f>
        <v>#REF!</v>
      </c>
      <c r="D286" s="169" t="e">
        <f>IF(#REF!&lt;100,"",#REF!-1500)</f>
        <v>#REF!</v>
      </c>
      <c r="E286" s="169" t="e">
        <f>IF(#REF!&lt;100,"",#REF!-1500)</f>
        <v>#REF!</v>
      </c>
      <c r="F286" s="169" t="e">
        <f>IF(#REF!&lt;100,"",#REF!-1500)</f>
        <v>#REF!</v>
      </c>
      <c r="G286" s="169" t="e">
        <f>IF(#REF!&lt;100,"",#REF!-1500)</f>
        <v>#REF!</v>
      </c>
      <c r="H286" s="169" t="e">
        <f>IF(#REF!&lt;100,"",#REF!-1500)</f>
        <v>#REF!</v>
      </c>
      <c r="I286" s="169" t="e">
        <f>IF(#REF!&lt;100,"",#REF!-1500)</f>
        <v>#REF!</v>
      </c>
      <c r="J286" s="169" t="e">
        <f>IF(#REF!&lt;100,"",#REF!-1500)</f>
        <v>#REF!</v>
      </c>
      <c r="K286" s="169" t="e">
        <f>IF(#REF!&lt;100,"",#REF!-1500)</f>
        <v>#REF!</v>
      </c>
      <c r="L286" s="169" t="e">
        <f>IF(#REF!&lt;100,"",#REF!-1500)</f>
        <v>#REF!</v>
      </c>
      <c r="M286" s="169" t="e">
        <f>IF(#REF!&lt;100,"",#REF!-1500)</f>
        <v>#REF!</v>
      </c>
      <c r="N286" s="169" t="e">
        <f>IF(#REF!&lt;100,"",#REF!-1500)</f>
        <v>#REF!</v>
      </c>
      <c r="O286" s="169" t="e">
        <f>IF(#REF!&lt;100,"",#REF!-1500)</f>
        <v>#REF!</v>
      </c>
      <c r="P286" s="169" t="e">
        <f>IF(#REF!&lt;100,"",#REF!-1500)</f>
        <v>#REF!</v>
      </c>
      <c r="Q286" s="169" t="e">
        <f>IF(#REF!&lt;100,"",#REF!-1500)</f>
        <v>#REF!</v>
      </c>
      <c r="R286" s="169" t="e">
        <f>IF(#REF!&lt;100,"",#REF!-1500)</f>
        <v>#REF!</v>
      </c>
      <c r="S286" s="169" t="e">
        <f>IF(#REF!&lt;100,"",#REF!-1500)</f>
        <v>#REF!</v>
      </c>
      <c r="T286" s="169" t="e">
        <f>IF(#REF!&lt;100,"",#REF!-1500)</f>
        <v>#REF!</v>
      </c>
      <c r="U286" s="169" t="e">
        <f>IF(#REF!&lt;100,"",#REF!-1500)</f>
        <v>#REF!</v>
      </c>
      <c r="V286" s="169" t="e">
        <f>IF(#REF!&lt;100,"",#REF!-1500)</f>
        <v>#REF!</v>
      </c>
      <c r="W286" s="169" t="e">
        <f>IF(#REF!&lt;100,"",#REF!-1500)</f>
        <v>#REF!</v>
      </c>
      <c r="X286" s="169" t="e">
        <f>IF(#REF!&lt;100,"",#REF!-1500)</f>
        <v>#REF!</v>
      </c>
      <c r="Y286" s="169" t="e">
        <f>IF(#REF!&lt;100,"",#REF!-1500)</f>
        <v>#REF!</v>
      </c>
      <c r="Z286" s="169" t="e">
        <f>IF(#REF!&lt;100,"",#REF!-1500)</f>
        <v>#REF!</v>
      </c>
      <c r="AA286" s="169" t="e">
        <f>IF(#REF!&lt;100,"",#REF!-1500)</f>
        <v>#REF!</v>
      </c>
      <c r="AB286" s="169" t="e">
        <f>IF(#REF!&lt;100,"",#REF!-1500)</f>
        <v>#REF!</v>
      </c>
      <c r="AC286" s="169" t="e">
        <f>IF(#REF!&lt;100,"",#REF!-1500)</f>
        <v>#REF!</v>
      </c>
      <c r="AD286" s="169" t="e">
        <f>IF(#REF!&lt;100,"",#REF!-1500)</f>
        <v>#REF!</v>
      </c>
      <c r="AE286" s="169" t="e">
        <f>IF(#REF!&lt;100,"",#REF!-1500)</f>
        <v>#REF!</v>
      </c>
      <c r="AF286" s="169" t="e">
        <f>IF(#REF!&lt;100,"",#REF!-1500)</f>
        <v>#REF!</v>
      </c>
      <c r="AG286" s="43"/>
      <c r="AH286" s="43"/>
    </row>
    <row r="287" spans="1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1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2:34" x14ac:dyDescent="0.25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2:34" x14ac:dyDescent="0.25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2:34" x14ac:dyDescent="0.25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2:34" x14ac:dyDescent="0.25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2:34" x14ac:dyDescent="0.25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703" priority="1">
      <formula>$AH11=0</formula>
    </cfRule>
  </conditionalFormatting>
  <conditionalFormatting sqref="A132:A253">
    <cfRule type="expression" dxfId="3702" priority="6">
      <formula>$AH132=0</formula>
    </cfRule>
  </conditionalFormatting>
  <conditionalFormatting sqref="B8 M8 S8 AB8">
    <cfRule type="expression" dxfId="3701" priority="115">
      <formula>AND(C$9&gt;=8/24,C$9&lt;14/24)</formula>
    </cfRule>
    <cfRule type="expression" dxfId="3700" priority="114">
      <formula>AND(C$9&gt;=14/24,C$9&lt;20/24)</formula>
    </cfRule>
    <cfRule type="expression" dxfId="3699" priority="116">
      <formula>C$9&lt;8/24</formula>
    </cfRule>
  </conditionalFormatting>
  <conditionalFormatting sqref="B63:Q74 R66:Z74 AA68:AF74">
    <cfRule type="expression" dxfId="3698" priority="24">
      <formula>B$9&lt;8/24</formula>
    </cfRule>
    <cfRule type="expression" dxfId="3697" priority="21">
      <formula>B$9&gt;=20/24</formula>
    </cfRule>
    <cfRule type="expression" dxfId="3696" priority="22">
      <formula>AND(B$9&gt;=14/24,B$9&lt;20/24)</formula>
    </cfRule>
    <cfRule type="expression" dxfId="3695" priority="23">
      <formula>AND(B$9&gt;=8/24,B$9&lt;14/24)</formula>
    </cfRule>
  </conditionalFormatting>
  <conditionalFormatting sqref="B9:AF52">
    <cfRule type="expression" dxfId="3694" priority="27">
      <formula>AND(B$9&gt;=14/24,B$9&lt;20/24)</formula>
    </cfRule>
    <cfRule type="expression" dxfId="3693" priority="28">
      <formula>AND(B$9&gt;=8/24,B$9&lt;14/24)</formula>
    </cfRule>
    <cfRule type="expression" dxfId="3692" priority="29">
      <formula>B$9&lt;8/24</formula>
    </cfRule>
    <cfRule type="expression" dxfId="3691" priority="26">
      <formula>B$9&gt;=20/24</formula>
    </cfRule>
  </conditionalFormatting>
  <conditionalFormatting sqref="B11:AF54">
    <cfRule type="expression" dxfId="3690" priority="15">
      <formula>B11&gt;$AG11</formula>
    </cfRule>
  </conditionalFormatting>
  <conditionalFormatting sqref="B53:AF54">
    <cfRule type="expression" dxfId="3689" priority="13">
      <formula>AND(B$9&gt;=8/24,B$9&lt;14/24)</formula>
    </cfRule>
    <cfRule type="expression" dxfId="3688" priority="11">
      <formula>B$9&gt;=20/24</formula>
    </cfRule>
    <cfRule type="expression" dxfId="3687" priority="12">
      <formula>AND(B$9&gt;=14/24,B$9&lt;20/24)</formula>
    </cfRule>
    <cfRule type="expression" dxfId="3686" priority="14">
      <formula>B$9&lt;8/24</formula>
    </cfRule>
  </conditionalFormatting>
  <conditionalFormatting sqref="B55:AF55">
    <cfRule type="expression" dxfId="3685" priority="35">
      <formula>B55&gt;$AG55</formula>
    </cfRule>
  </conditionalFormatting>
  <conditionalFormatting sqref="B55:AF57">
    <cfRule type="expression" dxfId="3684" priority="34">
      <formula>B$9&lt;8/24</formula>
    </cfRule>
    <cfRule type="expression" dxfId="3683" priority="33">
      <formula>AND(B$9&gt;=8/24,B$9&lt;14/24)</formula>
    </cfRule>
    <cfRule type="expression" dxfId="3682" priority="32">
      <formula>AND(B$9&gt;=14/24,B$9&lt;20/24)</formula>
    </cfRule>
    <cfRule type="expression" dxfId="3681" priority="31">
      <formula>B$9&gt;=20/24</formula>
    </cfRule>
  </conditionalFormatting>
  <conditionalFormatting sqref="B56:AF61">
    <cfRule type="expression" dxfId="3680" priority="30">
      <formula>B56&gt;$AG56</formula>
    </cfRule>
  </conditionalFormatting>
  <conditionalFormatting sqref="B59:AF61">
    <cfRule type="expression" dxfId="3679" priority="41">
      <formula>B$9&gt;=20/24</formula>
    </cfRule>
    <cfRule type="expression" dxfId="3678" priority="42">
      <formula>AND(B$9&gt;=14/24,B$9&lt;20/24)</formula>
    </cfRule>
    <cfRule type="expression" dxfId="3677" priority="44">
      <formula>B$9&lt;8/24</formula>
    </cfRule>
    <cfRule type="expression" dxfId="3676" priority="43">
      <formula>AND(B$9&gt;=8/24,B$9&lt;14/24)</formula>
    </cfRule>
  </conditionalFormatting>
  <conditionalFormatting sqref="B63:AF74">
    <cfRule type="expression" dxfId="3675" priority="20">
      <formula>B63&gt;$AG63</formula>
    </cfRule>
  </conditionalFormatting>
  <conditionalFormatting sqref="B77:AF79">
    <cfRule type="expression" dxfId="3674" priority="47">
      <formula>AND(B$9&gt;=14/24,B$9&lt;20/24)</formula>
    </cfRule>
    <cfRule type="expression" dxfId="3673" priority="48">
      <formula>AND(B$9&gt;=8/24,B$9&lt;14/24)</formula>
    </cfRule>
    <cfRule type="expression" dxfId="3672" priority="49">
      <formula>B$9&lt;8/24</formula>
    </cfRule>
    <cfRule type="expression" dxfId="3671" priority="45">
      <formula>B77&gt;$AG77</formula>
    </cfRule>
    <cfRule type="expression" dxfId="3670" priority="46">
      <formula>B$9&gt;=20/24</formula>
    </cfRule>
  </conditionalFormatting>
  <conditionalFormatting sqref="B81:AF99">
    <cfRule type="expression" dxfId="3669" priority="19">
      <formula>B$9&lt;8/24</formula>
    </cfRule>
    <cfRule type="expression" dxfId="3668" priority="18">
      <formula>AND(B$9&gt;=8/24,B$9&lt;14/24)</formula>
    </cfRule>
    <cfRule type="expression" dxfId="3667" priority="17">
      <formula>AND(B$9&gt;=14/24,B$9&lt;20/24)</formula>
    </cfRule>
    <cfRule type="expression" dxfId="3666" priority="16">
      <formula>B$9&gt;=20/24</formula>
    </cfRule>
  </conditionalFormatting>
  <conditionalFormatting sqref="B101:AF117">
    <cfRule type="expression" dxfId="3665" priority="7">
      <formula>B$9&gt;=20/24</formula>
    </cfRule>
    <cfRule type="expression" dxfId="3664" priority="8">
      <formula>AND(B$9&gt;=14/24,B$9&lt;20/24)</formula>
    </cfRule>
    <cfRule type="expression" dxfId="3663" priority="10">
      <formula>B$9&lt;8/24</formula>
    </cfRule>
    <cfRule type="expression" dxfId="3662" priority="9">
      <formula>AND(B$9&gt;=8/24,B$9&lt;14/24)</formula>
    </cfRule>
  </conditionalFormatting>
  <conditionalFormatting sqref="B119:AF137">
    <cfRule type="expression" dxfId="3661" priority="2">
      <formula>B$9&gt;=20/24</formula>
    </cfRule>
    <cfRule type="expression" dxfId="3660" priority="3">
      <formula>AND(B$9&gt;=14/24,B$9&lt;20/24)</formula>
    </cfRule>
    <cfRule type="expression" dxfId="3659" priority="4">
      <formula>AND(B$9&gt;=8/24,B$9&lt;14/24)</formula>
    </cfRule>
    <cfRule type="expression" dxfId="3658" priority="5">
      <formula>B$9&lt;8/24</formula>
    </cfRule>
  </conditionalFormatting>
  <conditionalFormatting sqref="B244:AF244 B246:B252 D246:AF252 U260:AF260">
    <cfRule type="expression" dxfId="3657" priority="108">
      <formula>AND(B$9&gt;=14/24,B$9&lt;20/24)</formula>
    </cfRule>
    <cfRule type="expression" dxfId="3656" priority="107">
      <formula>B$9&gt;=20/24</formula>
    </cfRule>
    <cfRule type="expression" dxfId="3655" priority="109">
      <formula>AND(B$9&gt;=8/24,B$9&lt;14/24)</formula>
    </cfRule>
    <cfRule type="expression" dxfId="3654" priority="110">
      <formula>B$9&lt;8/24</formula>
    </cfRule>
  </conditionalFormatting>
  <conditionalFormatting sqref="B62:AG62">
    <cfRule type="expression" dxfId="3653" priority="50">
      <formula>B62&gt;$AG62</formula>
    </cfRule>
    <cfRule type="expression" dxfId="3652" priority="51">
      <formula>B$9&gt;=20/24</formula>
    </cfRule>
    <cfRule type="expression" dxfId="3651" priority="52">
      <formula>AND(B$9&gt;=14/24,B$9&lt;20/24)</formula>
    </cfRule>
    <cfRule type="expression" dxfId="3650" priority="53">
      <formula>AND(B$9&gt;=8/24,B$9&lt;14/24)</formula>
    </cfRule>
    <cfRule type="expression" dxfId="3649" priority="54">
      <formula>B$9&lt;8/24</formula>
    </cfRule>
  </conditionalFormatting>
  <conditionalFormatting sqref="B75:AG76 B80:AG80">
    <cfRule type="expression" dxfId="3648" priority="36">
      <formula>B75&gt;$AG75</formula>
    </cfRule>
  </conditionalFormatting>
  <conditionalFormatting sqref="B80:AG80">
    <cfRule type="expression" dxfId="3647" priority="38">
      <formula>AND(B$9&gt;=14/24,B$9&lt;20/24)</formula>
    </cfRule>
    <cfRule type="expression" dxfId="3646" priority="37">
      <formula>B$9&gt;=20/24</formula>
    </cfRule>
    <cfRule type="expression" dxfId="3645" priority="39">
      <formula>AND(B$9&gt;=8/24,B$9&lt;14/24)</formula>
    </cfRule>
    <cfRule type="expression" dxfId="3644" priority="40">
      <formula>B$9&lt;8/24</formula>
    </cfRule>
  </conditionalFormatting>
  <conditionalFormatting sqref="F63:Q65">
    <cfRule type="expression" dxfId="3643" priority="88">
      <formula>F$9&gt;=20/24</formula>
    </cfRule>
    <cfRule type="expression" dxfId="3642" priority="89">
      <formula>AND(F$9&gt;=14/24,F$9&lt;20/24)</formula>
    </cfRule>
    <cfRule type="expression" dxfId="3641" priority="90">
      <formula>AND(F$9&gt;=8/24,F$9&lt;14/24)</formula>
    </cfRule>
    <cfRule type="expression" dxfId="3640" priority="91">
      <formula>F$9&lt;8/24</formula>
    </cfRule>
  </conditionalFormatting>
  <conditionalFormatting sqref="F68:AF68">
    <cfRule type="expression" dxfId="3639" priority="65">
      <formula>F$9&gt;=20/24</formula>
    </cfRule>
    <cfRule type="expression" dxfId="3638" priority="66">
      <formula>AND(F$9&gt;=14/24,F$9&lt;20/24)</formula>
    </cfRule>
    <cfRule type="expression" dxfId="3637" priority="67">
      <formula>AND(F$9&gt;=8/24,F$9&lt;14/24)</formula>
    </cfRule>
    <cfRule type="expression" dxfId="3636" priority="68">
      <formula>F$9&lt;8/24</formula>
    </cfRule>
  </conditionalFormatting>
  <conditionalFormatting sqref="F69:AF74">
    <cfRule type="expression" dxfId="3635" priority="55">
      <formula>F$9&gt;=20/24</formula>
    </cfRule>
    <cfRule type="expression" dxfId="3634" priority="56">
      <formula>AND(F$9&gt;=14/24,F$9&lt;20/24)</formula>
    </cfRule>
    <cfRule type="expression" dxfId="3633" priority="57">
      <formula>AND(F$9&gt;=8/24,F$9&lt;14/24)</formula>
    </cfRule>
    <cfRule type="expression" dxfId="3632" priority="58">
      <formula>F$9&lt;8/24</formula>
    </cfRule>
  </conditionalFormatting>
  <conditionalFormatting sqref="N63:Z67">
    <cfRule type="expression" dxfId="3631" priority="93">
      <formula>AND(N$9&gt;=14/24,N$9&lt;20/24)</formula>
    </cfRule>
    <cfRule type="expression" dxfId="3630" priority="92">
      <formula>N$9&gt;=20/24</formula>
    </cfRule>
    <cfRule type="expression" dxfId="3629" priority="94">
      <formula>AND(N$9&gt;=8/24,N$9&lt;14/24)</formula>
    </cfRule>
    <cfRule type="expression" dxfId="3628" priority="95">
      <formula>N$9&lt;8/24</formula>
    </cfRule>
  </conditionalFormatting>
  <conditionalFormatting sqref="O3:P3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627" priority="113">
      <formula>C$9&gt;=20/24</formula>
    </cfRule>
  </conditionalFormatting>
  <conditionalFormatting sqref="S8">
    <cfRule type="expression" dxfId="3626" priority="100">
      <formula>U$9&gt;=20/24</formula>
    </cfRule>
    <cfRule type="expression" dxfId="3625" priority="103">
      <formula>U$9&lt;8/24</formula>
    </cfRule>
    <cfRule type="expression" dxfId="3624" priority="102">
      <formula>AND(U$9&gt;=8/24,U$9&lt;14/24)</formula>
    </cfRule>
    <cfRule type="expression" dxfId="3623" priority="101">
      <formula>AND(U$9&gt;=14/24,U$9&lt;20/24)</formula>
    </cfRule>
  </conditionalFormatting>
  <conditionalFormatting sqref="T260">
    <cfRule type="expression" dxfId="3622" priority="128">
      <formula>AX$9&lt;8/24</formula>
    </cfRule>
    <cfRule type="expression" dxfId="3621" priority="125">
      <formula>AX$9&gt;=20/24</formula>
    </cfRule>
    <cfRule type="expression" dxfId="3620" priority="126">
      <formula>AND(AX$9&gt;=14/24,AX$9&lt;20/24)</formula>
    </cfRule>
    <cfRule type="expression" dxfId="3619" priority="127">
      <formula>AND(AX$9&gt;=8/24,AX$9&lt;14/24)</formula>
    </cfRule>
  </conditionalFormatting>
  <conditionalFormatting sqref="V3 AB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A63:AF68">
    <cfRule type="expression" dxfId="3618" priority="59">
      <formula>AA$9&gt;=20/24</formula>
    </cfRule>
    <cfRule type="expression" dxfId="3617" priority="60">
      <formula>AND(AA$9&gt;=14/24,AA$9&lt;20/24)</formula>
    </cfRule>
    <cfRule type="expression" dxfId="3616" priority="61">
      <formula>AND(AA$9&gt;=8/24,AA$9&lt;14/24)</formula>
    </cfRule>
    <cfRule type="expression" dxfId="3615" priority="62">
      <formula>AA$9&lt;8/24</formula>
    </cfRule>
  </conditionalFormatting>
  <conditionalFormatting sqref="AB8">
    <cfRule type="expression" dxfId="3614" priority="97">
      <formula>AND(AD$9&gt;=14/24,AD$9&lt;20/24)</formula>
    </cfRule>
    <cfRule type="expression" dxfId="3613" priority="96">
      <formula>AD$9&gt;=20/24</formula>
    </cfRule>
    <cfRule type="expression" dxfId="3612" priority="99">
      <formula>AD$9&lt;8/24</formula>
    </cfRule>
    <cfRule type="expression" dxfId="3611" priority="98">
      <formula>AND(AD$9&gt;=8/24,AD$9&lt;14/24)</formula>
    </cfRule>
  </conditionalFormatting>
  <conditionalFormatting sqref="AG58">
    <cfRule type="expression" dxfId="3610" priority="83">
      <formula>AG58&gt;$AG58</formula>
    </cfRule>
  </conditionalFormatting>
  <conditionalFormatting sqref="AG97">
    <cfRule type="expression" dxfId="3609" priority="86">
      <formula>AND(AG$9&gt;=8/24,AG$9&lt;14/24)</formula>
    </cfRule>
    <cfRule type="expression" dxfId="3608" priority="87">
      <formula>AG$9&lt;8/24</formula>
    </cfRule>
    <cfRule type="expression" dxfId="3607" priority="85">
      <formula>AND(AG$9&gt;=14/24,AG$9&lt;20/24)</formula>
    </cfRule>
    <cfRule type="expression" dxfId="3606" priority="84">
      <formula>AG$9&gt;=20/24</formula>
    </cfRule>
  </conditionalFormatting>
  <conditionalFormatting sqref="AG260">
    <cfRule type="expression" dxfId="3605" priority="117">
      <formula>B$9&gt;=20/24</formula>
    </cfRule>
    <cfRule type="expression" dxfId="3604" priority="118">
      <formula>AND(B$9&gt;=14/24,B$9&lt;20/24)</formula>
    </cfRule>
    <cfRule type="expression" dxfId="3603" priority="119">
      <formula>AND(B$9&gt;=8/24,B$9&lt;14/24)</formula>
    </cfRule>
    <cfRule type="expression" dxfId="3602" priority="120">
      <formula>B$9&lt;8/24</formula>
    </cfRule>
  </conditionalFormatting>
  <conditionalFormatting sqref="AH260:AX260">
    <cfRule type="expression" dxfId="3601" priority="121">
      <formula>AG$9&gt;=20/24</formula>
    </cfRule>
    <cfRule type="expression" dxfId="3600" priority="122">
      <formula>AND(AG$9&gt;=14/24,AG$9&lt;20/24)</formula>
    </cfRule>
    <cfRule type="expression" dxfId="3599" priority="123">
      <formula>AND(AG$9&gt;=8/24,AG$9&lt;14/24)</formula>
    </cfRule>
    <cfRule type="expression" dxfId="3598" priority="124">
      <formula>AG$9&lt;8/24</formula>
    </cfRule>
  </conditionalFormatting>
  <conditionalFormatting sqref="AL4:AL6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19:AL20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8 AL45:AL46 AL21:AL24 AL7:AL18 AL26:AL37 AL39:AL43 AL54:AL55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597" priority="130">
      <formula>AJ$9&gt;=20/24</formula>
    </cfRule>
    <cfRule type="expression" dxfId="3596" priority="131">
      <formula>AND(AJ$9&gt;=14/24,AJ$9&lt;20/24)</formula>
    </cfRule>
    <cfRule type="expression" dxfId="3595" priority="132">
      <formula>AND(AJ$9&gt;=8/24,AJ$9&lt;14/24)</formula>
    </cfRule>
    <cfRule type="expression" dxfId="3594" priority="133">
      <formula>AJ$9&lt;8/24</formula>
    </cfRule>
  </conditionalFormatting>
  <conditionalFormatting sqref="AL88:AN88 AL94:AN94">
    <cfRule type="expression" dxfId="3593" priority="76">
      <formula>AL$9&gt;=20/24</formula>
    </cfRule>
    <cfRule type="expression" dxfId="3592" priority="77">
      <formula>AND(AL$9&gt;=14/24,AL$9&lt;20/24)</formula>
    </cfRule>
    <cfRule type="expression" dxfId="3591" priority="78">
      <formula>AND(AL$9&gt;=8/24,AL$9&lt;14/24)</formula>
    </cfRule>
    <cfRule type="expression" dxfId="3590" priority="79">
      <formula>AL$9&lt;8/24</formula>
    </cfRule>
  </conditionalFormatting>
  <conditionalFormatting sqref="AN89:AN92">
    <cfRule type="expression" dxfId="3589" priority="72">
      <formula>AN$9&gt;=20/24</formula>
    </cfRule>
    <cfRule type="expression" dxfId="3588" priority="73">
      <formula>AND(AN$9&gt;=14/24,AN$9&lt;20/24)</formula>
    </cfRule>
    <cfRule type="expression" dxfId="3587" priority="74">
      <formula>AND(AN$9&gt;=8/24,AN$9&lt;14/24)</formula>
    </cfRule>
    <cfRule type="expression" dxfId="3586" priority="75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7E73-2E1D-4404-BBD3-A9AF6734161E}">
  <dimension ref="A1:CJ294"/>
  <sheetViews>
    <sheetView zoomScaleNormal="100" workbookViewId="0">
      <pane xSplit="1" ySplit="10" topLeftCell="B59" activePane="bottomRight" state="frozen"/>
      <selection activeCell="Z63" sqref="Z63"/>
      <selection pane="topRight" activeCell="Z63" sqref="Z63"/>
      <selection pane="bottomLeft" activeCell="Z63" sqref="Z63"/>
      <selection pane="bottomRight" activeCell="AE67" sqref="AE67:AG7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6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7109375" style="1" customWidth="1"/>
    <col min="39" max="51" width="8.42578125" style="1" bestFit="1" customWidth="1"/>
    <col min="52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2080/10/10</v>
      </c>
      <c r="C4" s="272"/>
      <c r="D4" s="272"/>
      <c r="E4" s="273" t="str">
        <f ca="1">"2080/"&amp;"10/"&amp;INT(MID(CELL("filename",G6),FIND("]",CELL("filename",G6))+1,200))</f>
        <v>2080/10/10</v>
      </c>
      <c r="F4" s="273"/>
      <c r="G4" s="273"/>
      <c r="H4" s="273" t="str">
        <f ca="1">TEXT(E4,"dddd")</f>
        <v>Thursday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520</v>
      </c>
      <c r="C5" s="30">
        <f t="shared" si="0"/>
        <v>545.6</v>
      </c>
      <c r="D5" s="30">
        <f t="shared" si="0"/>
        <v>568.29999999999995</v>
      </c>
      <c r="E5" s="30">
        <f t="shared" si="0"/>
        <v>553.4</v>
      </c>
      <c r="F5" s="30">
        <f t="shared" si="0"/>
        <v>613.19999999999993</v>
      </c>
      <c r="G5" s="30">
        <f t="shared" si="0"/>
        <v>582.5</v>
      </c>
      <c r="H5" s="30">
        <f t="shared" si="0"/>
        <v>578.70000000000005</v>
      </c>
      <c r="I5" s="30">
        <f t="shared" si="0"/>
        <v>610.90000000000009</v>
      </c>
      <c r="J5" s="30">
        <f t="shared" si="0"/>
        <v>469.5</v>
      </c>
      <c r="K5" s="30">
        <f t="shared" si="0"/>
        <v>317.09999999999997</v>
      </c>
      <c r="L5" s="30">
        <f t="shared" si="0"/>
        <v>265.2</v>
      </c>
      <c r="M5" s="30">
        <f t="shared" si="0"/>
        <v>423.8</v>
      </c>
      <c r="N5" s="30">
        <f t="shared" si="0"/>
        <v>449.40000000000003</v>
      </c>
      <c r="O5" s="30">
        <f t="shared" si="0"/>
        <v>498.6</v>
      </c>
      <c r="P5" s="30">
        <f t="shared" si="0"/>
        <v>672.9</v>
      </c>
      <c r="Q5" s="30">
        <f t="shared" si="0"/>
        <v>698.1</v>
      </c>
      <c r="R5" s="30">
        <f t="shared" si="0"/>
        <v>678</v>
      </c>
      <c r="S5" s="30">
        <f t="shared" si="0"/>
        <v>735.30000000000007</v>
      </c>
      <c r="T5" s="30">
        <f t="shared" si="0"/>
        <v>720.8</v>
      </c>
      <c r="U5" s="30">
        <f t="shared" si="0"/>
        <v>522.20000000000005</v>
      </c>
      <c r="V5" s="30">
        <f t="shared" si="0"/>
        <v>502.4</v>
      </c>
      <c r="W5" s="30">
        <f t="shared" si="0"/>
        <v>481.99999999999994</v>
      </c>
      <c r="X5" s="30">
        <f t="shared" si="0"/>
        <v>489.7</v>
      </c>
      <c r="Y5" s="30">
        <f t="shared" si="0"/>
        <v>372.29999999999995</v>
      </c>
      <c r="Z5" s="30">
        <f t="shared" si="0"/>
        <v>357.9</v>
      </c>
      <c r="AA5" s="30">
        <f t="shared" si="0"/>
        <v>461.70000000000005</v>
      </c>
      <c r="AB5" s="30">
        <f t="shared" si="0"/>
        <v>542.5</v>
      </c>
      <c r="AC5" s="30">
        <f t="shared" si="0"/>
        <v>652.29999999999995</v>
      </c>
      <c r="AD5" s="30">
        <f t="shared" si="0"/>
        <v>601</v>
      </c>
      <c r="AE5" s="30">
        <f t="shared" si="0"/>
        <v>533.19999999999993</v>
      </c>
      <c r="AF5" s="30">
        <f>B92</f>
        <v>535.5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Load=1110</v>
      </c>
      <c r="B7" s="35">
        <f>B100</f>
        <v>1135.29</v>
      </c>
      <c r="C7" s="35">
        <f t="shared" ref="C7:AF7" si="1">C100</f>
        <v>1109.79</v>
      </c>
      <c r="D7" s="35">
        <f t="shared" si="1"/>
        <v>1135.3900000000001</v>
      </c>
      <c r="E7" s="35">
        <f t="shared" si="1"/>
        <v>1158.79</v>
      </c>
      <c r="F7" s="35">
        <f t="shared" si="1"/>
        <v>1160.8899999999999</v>
      </c>
      <c r="G7" s="35">
        <f t="shared" si="1"/>
        <v>1220.69</v>
      </c>
      <c r="H7" s="35">
        <f t="shared" si="1"/>
        <v>1257.49</v>
      </c>
      <c r="I7" s="35">
        <f t="shared" si="1"/>
        <v>1346.69</v>
      </c>
      <c r="J7" s="35">
        <f t="shared" si="1"/>
        <v>1444.5900000000001</v>
      </c>
      <c r="K7" s="35">
        <f t="shared" si="1"/>
        <v>1476.19</v>
      </c>
      <c r="L7" s="35">
        <f t="shared" si="1"/>
        <v>1668.49</v>
      </c>
      <c r="M7" s="35">
        <f t="shared" si="1"/>
        <v>1661.89</v>
      </c>
      <c r="N7" s="35">
        <f t="shared" si="1"/>
        <v>1569.3899999999999</v>
      </c>
      <c r="O7" s="35">
        <f t="shared" si="1"/>
        <v>1499.0900000000001</v>
      </c>
      <c r="P7" s="35">
        <f t="shared" si="1"/>
        <v>1434.29</v>
      </c>
      <c r="Q7" s="35">
        <f t="shared" si="1"/>
        <v>1481.5900000000001</v>
      </c>
      <c r="R7" s="35">
        <f t="shared" si="1"/>
        <v>1500.5900000000001</v>
      </c>
      <c r="S7" s="35">
        <f t="shared" si="1"/>
        <v>1462.19</v>
      </c>
      <c r="T7" s="35">
        <f t="shared" si="1"/>
        <v>1510.9900000000002</v>
      </c>
      <c r="U7" s="35">
        <f t="shared" si="1"/>
        <v>1493.5900000000001</v>
      </c>
      <c r="V7" s="35">
        <f t="shared" si="1"/>
        <v>1209.19</v>
      </c>
      <c r="W7" s="35">
        <f t="shared" si="1"/>
        <v>1516.69</v>
      </c>
      <c r="X7" s="35">
        <f t="shared" si="1"/>
        <v>1615.79</v>
      </c>
      <c r="Y7" s="35">
        <f t="shared" si="1"/>
        <v>1740.79</v>
      </c>
      <c r="Z7" s="35">
        <f t="shared" si="1"/>
        <v>1750.49</v>
      </c>
      <c r="AA7" s="35">
        <f t="shared" si="1"/>
        <v>1708.79</v>
      </c>
      <c r="AB7" s="35">
        <f t="shared" si="1"/>
        <v>1533.7900000000002</v>
      </c>
      <c r="AC7" s="35">
        <f t="shared" si="1"/>
        <v>1506.19</v>
      </c>
      <c r="AD7" s="35">
        <f t="shared" si="1"/>
        <v>1432.39</v>
      </c>
      <c r="AE7" s="35">
        <f t="shared" si="1"/>
        <v>1271.19</v>
      </c>
      <c r="AF7" s="35">
        <f t="shared" si="1"/>
        <v>1182.19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27.8</v>
      </c>
      <c r="C11" s="45">
        <v>27.8</v>
      </c>
      <c r="D11" s="45">
        <v>27.8</v>
      </c>
      <c r="E11" s="45">
        <v>26.9</v>
      </c>
      <c r="F11" s="45">
        <v>26.9</v>
      </c>
      <c r="G11" s="45">
        <v>26.9</v>
      </c>
      <c r="H11" s="45">
        <v>26.9</v>
      </c>
      <c r="I11" s="45">
        <v>26.9</v>
      </c>
      <c r="J11" s="45">
        <v>26.9</v>
      </c>
      <c r="K11" s="45">
        <v>26.9</v>
      </c>
      <c r="L11" s="45">
        <v>27.8</v>
      </c>
      <c r="M11" s="45">
        <v>27.8</v>
      </c>
      <c r="N11" s="45">
        <v>27.5</v>
      </c>
      <c r="O11" s="45">
        <v>27.5</v>
      </c>
      <c r="P11" s="45">
        <v>27.5</v>
      </c>
      <c r="Q11" s="45">
        <v>26</v>
      </c>
      <c r="R11" s="45">
        <v>26</v>
      </c>
      <c r="S11" s="45">
        <v>26</v>
      </c>
      <c r="T11" s="45">
        <v>26</v>
      </c>
      <c r="U11" s="45">
        <v>26</v>
      </c>
      <c r="V11" s="45">
        <v>26</v>
      </c>
      <c r="W11" s="45">
        <v>26</v>
      </c>
      <c r="X11" s="45">
        <v>26</v>
      </c>
      <c r="Y11" s="45">
        <v>26</v>
      </c>
      <c r="Z11" s="45">
        <v>26</v>
      </c>
      <c r="AA11" s="45">
        <v>26</v>
      </c>
      <c r="AB11" s="45">
        <v>23.9</v>
      </c>
      <c r="AC11" s="45">
        <v>23.9</v>
      </c>
      <c r="AD11" s="45">
        <v>23.9</v>
      </c>
      <c r="AE11" s="45">
        <v>23.9</v>
      </c>
      <c r="AF11" s="45">
        <v>31.6</v>
      </c>
      <c r="AG11" s="46">
        <v>86</v>
      </c>
      <c r="AH11" s="47">
        <f t="shared" ref="AH11:AH84" si="2">MAX(B11:AF11)</f>
        <v>31.6</v>
      </c>
      <c r="AI11" s="48">
        <f t="shared" ref="AI11:AI84" si="3">MIN(B11:AF11)</f>
        <v>23.9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10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11</v>
      </c>
      <c r="C13" s="45">
        <v>11</v>
      </c>
      <c r="D13" s="45">
        <v>11</v>
      </c>
      <c r="E13" s="45">
        <v>10.6</v>
      </c>
      <c r="F13" s="45">
        <v>10.6</v>
      </c>
      <c r="G13" s="45">
        <v>10.6</v>
      </c>
      <c r="H13" s="45">
        <v>10.6</v>
      </c>
      <c r="I13" s="45">
        <v>10.6</v>
      </c>
      <c r="J13" s="45">
        <v>10.6</v>
      </c>
      <c r="K13" s="45">
        <v>10.6</v>
      </c>
      <c r="L13" s="45">
        <v>10.199999999999999</v>
      </c>
      <c r="M13" s="45">
        <v>10.199999999999999</v>
      </c>
      <c r="N13" s="45">
        <v>10.1</v>
      </c>
      <c r="O13" s="45">
        <v>10.1</v>
      </c>
      <c r="P13" s="45">
        <v>10.1</v>
      </c>
      <c r="Q13" s="45">
        <v>10.1</v>
      </c>
      <c r="R13" s="45">
        <v>10.1</v>
      </c>
      <c r="S13" s="45">
        <v>10.1</v>
      </c>
      <c r="T13" s="45">
        <v>10.1</v>
      </c>
      <c r="U13" s="45">
        <v>10.1</v>
      </c>
      <c r="V13" s="45">
        <v>10.1</v>
      </c>
      <c r="W13" s="45">
        <v>10.1</v>
      </c>
      <c r="X13" s="45">
        <v>10.1</v>
      </c>
      <c r="Y13" s="45">
        <v>10.1</v>
      </c>
      <c r="Z13" s="45">
        <v>10.1</v>
      </c>
      <c r="AA13" s="45">
        <v>10.1</v>
      </c>
      <c r="AB13" s="45">
        <v>10.1</v>
      </c>
      <c r="AC13" s="45">
        <v>10.1</v>
      </c>
      <c r="AD13" s="45">
        <v>10.1</v>
      </c>
      <c r="AE13" s="45">
        <v>10.1</v>
      </c>
      <c r="AF13" s="45">
        <v>10.1</v>
      </c>
      <c r="AG13" s="49">
        <v>54</v>
      </c>
      <c r="AH13" s="47">
        <f t="shared" si="2"/>
        <v>11</v>
      </c>
      <c r="AI13" s="48">
        <f t="shared" si="3"/>
        <v>10.1</v>
      </c>
      <c r="AK13" s="50"/>
      <c r="AL13" s="157" t="str">
        <f ca="1">"Daily Load Curve(Excluding of Export) of Nepal ("&amp;A4&amp;" "&amp;B4&amp;")"</f>
        <v>Daily Load Curve(Excluding of Export) of Nepal (Nepali Date: 2080/10/10)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13</v>
      </c>
      <c r="C14" s="45">
        <v>13</v>
      </c>
      <c r="D14" s="45">
        <v>13</v>
      </c>
      <c r="E14" s="45">
        <v>15</v>
      </c>
      <c r="F14" s="45">
        <v>15</v>
      </c>
      <c r="G14" s="45">
        <v>15</v>
      </c>
      <c r="H14" s="45">
        <v>15</v>
      </c>
      <c r="I14" s="45">
        <v>15</v>
      </c>
      <c r="J14" s="45">
        <v>15</v>
      </c>
      <c r="K14" s="45">
        <v>15</v>
      </c>
      <c r="L14" s="45">
        <v>17.3</v>
      </c>
      <c r="M14" s="45">
        <v>17.3</v>
      </c>
      <c r="N14" s="45">
        <v>13.2</v>
      </c>
      <c r="O14" s="45">
        <v>13.2</v>
      </c>
      <c r="P14" s="45">
        <v>13.2</v>
      </c>
      <c r="Q14" s="45">
        <v>13.2</v>
      </c>
      <c r="R14" s="45">
        <v>13.2</v>
      </c>
      <c r="S14" s="45">
        <v>13.2</v>
      </c>
      <c r="T14" s="45">
        <v>13.2</v>
      </c>
      <c r="U14" s="45">
        <v>13.2</v>
      </c>
      <c r="V14" s="45">
        <v>13.2</v>
      </c>
      <c r="W14" s="45">
        <v>13.2</v>
      </c>
      <c r="X14" s="45">
        <v>13.2</v>
      </c>
      <c r="Y14" s="45">
        <v>13.2</v>
      </c>
      <c r="Z14" s="45">
        <v>13.2</v>
      </c>
      <c r="AA14" s="45">
        <v>13.2</v>
      </c>
      <c r="AB14" s="45">
        <v>13.2</v>
      </c>
      <c r="AC14" s="45">
        <v>13.2</v>
      </c>
      <c r="AD14" s="45">
        <v>13.2</v>
      </c>
      <c r="AE14" s="45">
        <v>13.2</v>
      </c>
      <c r="AF14" s="45">
        <v>13.2</v>
      </c>
      <c r="AG14" s="46">
        <v>52.4</v>
      </c>
      <c r="AH14" s="47">
        <f t="shared" si="2"/>
        <v>17.3</v>
      </c>
      <c r="AI14" s="48">
        <f t="shared" si="3"/>
        <v>13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28.8</v>
      </c>
      <c r="C15" s="45">
        <v>28.8</v>
      </c>
      <c r="D15" s="45">
        <v>28.8</v>
      </c>
      <c r="E15" s="45">
        <v>28.5</v>
      </c>
      <c r="F15" s="45">
        <v>28.5</v>
      </c>
      <c r="G15" s="45">
        <v>28.5</v>
      </c>
      <c r="H15" s="45">
        <v>28.5</v>
      </c>
      <c r="I15" s="45">
        <v>28.5</v>
      </c>
      <c r="J15" s="45">
        <v>28.5</v>
      </c>
      <c r="K15" s="45">
        <v>28.5</v>
      </c>
      <c r="L15" s="45">
        <v>28.9</v>
      </c>
      <c r="M15" s="45">
        <v>28.9</v>
      </c>
      <c r="N15" s="51">
        <v>29.1</v>
      </c>
      <c r="O15" s="51">
        <v>29.1</v>
      </c>
      <c r="P15" s="51">
        <v>29.1</v>
      </c>
      <c r="Q15" s="51">
        <v>29.1</v>
      </c>
      <c r="R15" s="51">
        <v>29.1</v>
      </c>
      <c r="S15" s="51">
        <v>29.1</v>
      </c>
      <c r="T15" s="51">
        <v>29.1</v>
      </c>
      <c r="U15" s="51">
        <v>29.1</v>
      </c>
      <c r="V15" s="51">
        <v>29.1</v>
      </c>
      <c r="W15" s="51">
        <v>29.1</v>
      </c>
      <c r="X15" s="51">
        <v>29.1</v>
      </c>
      <c r="Y15" s="51">
        <v>29.1</v>
      </c>
      <c r="Z15" s="51">
        <v>29.1</v>
      </c>
      <c r="AA15" s="51">
        <v>29.1</v>
      </c>
      <c r="AB15" s="51">
        <v>29.1</v>
      </c>
      <c r="AC15" s="51">
        <v>29.1</v>
      </c>
      <c r="AD15" s="51">
        <v>29.1</v>
      </c>
      <c r="AE15" s="51">
        <v>29.1</v>
      </c>
      <c r="AF15" s="51">
        <v>29.1</v>
      </c>
      <c r="AG15" s="49">
        <v>50</v>
      </c>
      <c r="AH15" s="47">
        <f t="shared" si="2"/>
        <v>29.1</v>
      </c>
      <c r="AI15" s="48">
        <f t="shared" si="3"/>
        <v>28.5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16.899999999999999</v>
      </c>
      <c r="C16" s="45">
        <v>16.899999999999999</v>
      </c>
      <c r="D16" s="45">
        <v>16.899999999999999</v>
      </c>
      <c r="E16" s="45">
        <v>16</v>
      </c>
      <c r="F16" s="45">
        <v>16</v>
      </c>
      <c r="G16" s="45">
        <v>16</v>
      </c>
      <c r="H16" s="45">
        <v>16</v>
      </c>
      <c r="I16" s="45">
        <v>16</v>
      </c>
      <c r="J16" s="45">
        <v>16</v>
      </c>
      <c r="K16" s="45">
        <v>16</v>
      </c>
      <c r="L16" s="45">
        <v>14.3</v>
      </c>
      <c r="M16" s="45">
        <v>14.3</v>
      </c>
      <c r="N16" s="45">
        <v>14.8</v>
      </c>
      <c r="O16" s="45">
        <v>14.8</v>
      </c>
      <c r="P16" s="45">
        <v>14.8</v>
      </c>
      <c r="Q16" s="45">
        <v>14.8</v>
      </c>
      <c r="R16" s="45">
        <v>14.8</v>
      </c>
      <c r="S16" s="45">
        <v>14.8</v>
      </c>
      <c r="T16" s="45">
        <v>14.8</v>
      </c>
      <c r="U16" s="45">
        <v>14.8</v>
      </c>
      <c r="V16" s="45">
        <v>14.8</v>
      </c>
      <c r="W16" s="45">
        <v>14.8</v>
      </c>
      <c r="X16" s="45">
        <v>14.8</v>
      </c>
      <c r="Y16" s="45">
        <v>14.8</v>
      </c>
      <c r="Z16" s="45">
        <v>14.8</v>
      </c>
      <c r="AA16" s="45">
        <v>14.8</v>
      </c>
      <c r="AB16" s="45">
        <v>14.8</v>
      </c>
      <c r="AC16" s="45">
        <v>14.8</v>
      </c>
      <c r="AD16" s="45">
        <v>14.8</v>
      </c>
      <c r="AE16" s="45">
        <v>14.8</v>
      </c>
      <c r="AF16" s="45">
        <v>14.8</v>
      </c>
      <c r="AG16" s="49">
        <v>45</v>
      </c>
      <c r="AH16" s="47">
        <f t="shared" si="2"/>
        <v>16.899999999999999</v>
      </c>
      <c r="AI16" s="48">
        <f t="shared" si="3"/>
        <v>14.3</v>
      </c>
      <c r="AK16" s="50"/>
      <c r="AL16" s="160" t="s">
        <v>7</v>
      </c>
      <c r="AM16" s="227">
        <f t="shared" ref="AM16:AR16" si="4">B58</f>
        <v>474.75</v>
      </c>
      <c r="AN16" s="227">
        <f t="shared" si="4"/>
        <v>474.75</v>
      </c>
      <c r="AO16" s="227">
        <f t="shared" si="4"/>
        <v>474.75</v>
      </c>
      <c r="AP16" s="227">
        <f t="shared" si="4"/>
        <v>474.95</v>
      </c>
      <c r="AQ16" s="227">
        <f t="shared" si="4"/>
        <v>474.95</v>
      </c>
      <c r="AR16" s="227">
        <f t="shared" si="4"/>
        <v>474.95</v>
      </c>
      <c r="AS16" s="227">
        <f>I58</f>
        <v>474.95</v>
      </c>
      <c r="AT16" s="227">
        <f>K58</f>
        <v>474.95</v>
      </c>
      <c r="AU16" s="227">
        <f t="shared" ref="AU16:BD16" si="5">M58</f>
        <v>476.05</v>
      </c>
      <c r="AV16" s="227">
        <f t="shared" si="5"/>
        <v>472.25</v>
      </c>
      <c r="AW16" s="227">
        <f t="shared" si="5"/>
        <v>472.25</v>
      </c>
      <c r="AX16" s="227">
        <f t="shared" si="5"/>
        <v>472.25</v>
      </c>
      <c r="AY16" s="227">
        <f t="shared" si="5"/>
        <v>470.75</v>
      </c>
      <c r="AZ16" s="227">
        <f t="shared" si="5"/>
        <v>470.75</v>
      </c>
      <c r="BA16" s="227">
        <f t="shared" si="5"/>
        <v>470.75</v>
      </c>
      <c r="BB16" s="227">
        <f t="shared" si="5"/>
        <v>470.75</v>
      </c>
      <c r="BC16" s="227">
        <f t="shared" si="5"/>
        <v>470.75</v>
      </c>
      <c r="BD16" s="227">
        <f t="shared" si="5"/>
        <v>470.75</v>
      </c>
      <c r="BE16" s="227">
        <f>X58</f>
        <v>470.75</v>
      </c>
      <c r="BF16" s="227">
        <f>Z58</f>
        <v>470.75</v>
      </c>
      <c r="BG16" s="227">
        <f>AB58</f>
        <v>468.65000000000003</v>
      </c>
      <c r="BH16" s="227">
        <f>AD58</f>
        <v>468.65000000000003</v>
      </c>
      <c r="BI16" s="227">
        <f>AE58</f>
        <v>468.65000000000003</v>
      </c>
      <c r="BJ16" s="227">
        <f>AF58</f>
        <v>476.35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 t="shared" ref="AM17:AR17" si="6">B62</f>
        <v>35.1</v>
      </c>
      <c r="AN17" s="227">
        <f t="shared" si="6"/>
        <v>35.1</v>
      </c>
      <c r="AO17" s="227">
        <f t="shared" si="6"/>
        <v>35.1</v>
      </c>
      <c r="AP17" s="227">
        <f t="shared" si="6"/>
        <v>35.1</v>
      </c>
      <c r="AQ17" s="227">
        <f t="shared" si="6"/>
        <v>35.1</v>
      </c>
      <c r="AR17" s="227">
        <f t="shared" si="6"/>
        <v>35.1</v>
      </c>
      <c r="AS17" s="227">
        <f>I62</f>
        <v>95.1</v>
      </c>
      <c r="AT17" s="227">
        <f>K62</f>
        <v>255.1</v>
      </c>
      <c r="AU17" s="227">
        <f t="shared" ref="AU17:BD17" si="7">M62</f>
        <v>410.5</v>
      </c>
      <c r="AV17" s="227">
        <f t="shared" si="7"/>
        <v>214.3</v>
      </c>
      <c r="AW17" s="227">
        <f t="shared" si="7"/>
        <v>164.2</v>
      </c>
      <c r="AX17" s="227">
        <f t="shared" si="7"/>
        <v>74.2</v>
      </c>
      <c r="AY17" s="227">
        <f t="shared" si="7"/>
        <v>74.2</v>
      </c>
      <c r="AZ17" s="227">
        <f t="shared" si="7"/>
        <v>49.2</v>
      </c>
      <c r="BA17" s="227">
        <f t="shared" si="7"/>
        <v>49.2</v>
      </c>
      <c r="BB17" s="227">
        <f t="shared" si="7"/>
        <v>49.2</v>
      </c>
      <c r="BC17" s="227">
        <f t="shared" si="7"/>
        <v>49.2</v>
      </c>
      <c r="BD17" s="227">
        <f t="shared" si="7"/>
        <v>49.2</v>
      </c>
      <c r="BE17" s="227">
        <f>X62</f>
        <v>116.5</v>
      </c>
      <c r="BF17" s="227">
        <f>Z62</f>
        <v>350.5</v>
      </c>
      <c r="BG17" s="227">
        <f>AB62</f>
        <v>190.4</v>
      </c>
      <c r="BH17" s="227">
        <f>AD62</f>
        <v>80</v>
      </c>
      <c r="BI17" s="227">
        <f>AE62</f>
        <v>40</v>
      </c>
      <c r="BJ17" s="227">
        <f>AF62</f>
        <v>37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ht="25.5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8</v>
      </c>
      <c r="AI18" s="48">
        <f t="shared" si="3"/>
        <v>7.5</v>
      </c>
      <c r="AK18" s="50"/>
      <c r="AL18" s="160" t="s">
        <v>593</v>
      </c>
      <c r="AM18" s="227">
        <f t="shared" ref="AM18:AR18" si="8">B76</f>
        <v>89.940000000000012</v>
      </c>
      <c r="AN18" s="227">
        <f t="shared" si="8"/>
        <v>79.940000000000012</v>
      </c>
      <c r="AO18" s="227">
        <f t="shared" si="8"/>
        <v>79.940000000000012</v>
      </c>
      <c r="AP18" s="227">
        <f t="shared" si="8"/>
        <v>80.440000000000012</v>
      </c>
      <c r="AQ18" s="227">
        <f t="shared" si="8"/>
        <v>97.440000000000012</v>
      </c>
      <c r="AR18" s="227">
        <f t="shared" si="8"/>
        <v>97.440000000000012</v>
      </c>
      <c r="AS18" s="227">
        <f>I76</f>
        <v>197.94</v>
      </c>
      <c r="AT18" s="227">
        <f>K76</f>
        <v>276.64</v>
      </c>
      <c r="AU18" s="227">
        <f t="shared" ref="AU18:BD18" si="9">M76</f>
        <v>310.14</v>
      </c>
      <c r="AV18" s="227">
        <f t="shared" si="9"/>
        <v>259.04000000000002</v>
      </c>
      <c r="AW18" s="227">
        <f t="shared" si="9"/>
        <v>213.24</v>
      </c>
      <c r="AX18" s="227">
        <f t="shared" si="9"/>
        <v>209.24</v>
      </c>
      <c r="AY18" s="227">
        <f t="shared" si="9"/>
        <v>263.74</v>
      </c>
      <c r="AZ18" s="227">
        <f t="shared" si="9"/>
        <v>282.54000000000002</v>
      </c>
      <c r="BA18" s="227">
        <f t="shared" si="9"/>
        <v>264.24000000000007</v>
      </c>
      <c r="BB18" s="227">
        <f t="shared" si="9"/>
        <v>255.74</v>
      </c>
      <c r="BC18" s="227">
        <f t="shared" si="9"/>
        <v>252.84000000000003</v>
      </c>
      <c r="BD18" s="227">
        <f t="shared" si="9"/>
        <v>167.04</v>
      </c>
      <c r="BE18" s="227">
        <f>X76</f>
        <v>216.54</v>
      </c>
      <c r="BF18" s="227">
        <f>Z76</f>
        <v>276.94</v>
      </c>
      <c r="BG18" s="227">
        <f>AB76</f>
        <v>263.04000000000002</v>
      </c>
      <c r="BH18" s="227">
        <f>AD76</f>
        <v>181.44</v>
      </c>
      <c r="BI18" s="227">
        <f>AE76</f>
        <v>161.54</v>
      </c>
      <c r="BJ18" s="227">
        <f>AF76</f>
        <v>135.64000000000001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13.2</v>
      </c>
      <c r="C19" s="45">
        <v>13.2</v>
      </c>
      <c r="D19" s="45">
        <v>13.2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49">
        <v>38.46</v>
      </c>
      <c r="AH19" s="47">
        <f t="shared" si="2"/>
        <v>13.2</v>
      </c>
      <c r="AI19" s="48">
        <f t="shared" si="3"/>
        <v>13</v>
      </c>
      <c r="AK19" s="50"/>
      <c r="AL19" s="160" t="s">
        <v>594</v>
      </c>
      <c r="AM19" s="227">
        <f t="shared" ref="AM19:AR19" si="10">B92</f>
        <v>535.5</v>
      </c>
      <c r="AN19" s="227">
        <f t="shared" si="10"/>
        <v>520</v>
      </c>
      <c r="AO19" s="227">
        <f t="shared" si="10"/>
        <v>545.6</v>
      </c>
      <c r="AP19" s="227">
        <f t="shared" si="10"/>
        <v>568.29999999999995</v>
      </c>
      <c r="AQ19" s="227">
        <f t="shared" si="10"/>
        <v>553.4</v>
      </c>
      <c r="AR19" s="227">
        <f t="shared" si="10"/>
        <v>613.19999999999993</v>
      </c>
      <c r="AS19" s="227">
        <f>I92</f>
        <v>578.70000000000005</v>
      </c>
      <c r="AT19" s="227">
        <f>K92</f>
        <v>469.5</v>
      </c>
      <c r="AU19" s="227">
        <f t="shared" ref="AU19:BD19" si="11">M92</f>
        <v>265.2</v>
      </c>
      <c r="AV19" s="227">
        <f t="shared" si="11"/>
        <v>423.8</v>
      </c>
      <c r="AW19" s="227">
        <f t="shared" si="11"/>
        <v>449.40000000000003</v>
      </c>
      <c r="AX19" s="227">
        <f t="shared" si="11"/>
        <v>498.6</v>
      </c>
      <c r="AY19" s="227">
        <f t="shared" si="11"/>
        <v>672.9</v>
      </c>
      <c r="AZ19" s="227">
        <f t="shared" si="11"/>
        <v>698.1</v>
      </c>
      <c r="BA19" s="227">
        <f t="shared" si="11"/>
        <v>678</v>
      </c>
      <c r="BB19" s="227">
        <f t="shared" si="11"/>
        <v>735.30000000000007</v>
      </c>
      <c r="BC19" s="227">
        <f t="shared" si="11"/>
        <v>720.8</v>
      </c>
      <c r="BD19" s="227">
        <f t="shared" si="11"/>
        <v>522.20000000000005</v>
      </c>
      <c r="BE19" s="227">
        <f>X92</f>
        <v>481.99999999999994</v>
      </c>
      <c r="BF19" s="227">
        <f>Z92</f>
        <v>372.29999999999995</v>
      </c>
      <c r="BG19" s="227">
        <f>AB92</f>
        <v>461.70000000000005</v>
      </c>
      <c r="BH19" s="227">
        <f>AD92</f>
        <v>652.29999999999995</v>
      </c>
      <c r="BI19" s="227">
        <f>AE92</f>
        <v>601</v>
      </c>
      <c r="BJ19" s="227">
        <f>AF92</f>
        <v>533.19999999999993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ht="38.25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160" t="s">
        <v>595</v>
      </c>
      <c r="AM20" s="227">
        <f t="shared" ref="AM20:AR20" si="12">B80</f>
        <v>0</v>
      </c>
      <c r="AN20" s="227">
        <f t="shared" si="12"/>
        <v>0</v>
      </c>
      <c r="AO20" s="227">
        <f t="shared" si="12"/>
        <v>0</v>
      </c>
      <c r="AP20" s="227">
        <f t="shared" si="12"/>
        <v>0</v>
      </c>
      <c r="AQ20" s="227">
        <f t="shared" si="12"/>
        <v>0</v>
      </c>
      <c r="AR20" s="227">
        <f t="shared" si="12"/>
        <v>0</v>
      </c>
      <c r="AS20" s="227">
        <f>I80</f>
        <v>0</v>
      </c>
      <c r="AT20" s="227">
        <f>K80</f>
        <v>0</v>
      </c>
      <c r="AU20" s="227">
        <f t="shared" ref="AU20:BD20" si="13">M80</f>
        <v>0</v>
      </c>
      <c r="AV20" s="227">
        <f t="shared" si="13"/>
        <v>0</v>
      </c>
      <c r="AW20" s="227">
        <f t="shared" si="13"/>
        <v>0</v>
      </c>
      <c r="AX20" s="227">
        <f t="shared" si="13"/>
        <v>0</v>
      </c>
      <c r="AY20" s="227">
        <f t="shared" si="13"/>
        <v>0</v>
      </c>
      <c r="AZ20" s="227">
        <f t="shared" si="13"/>
        <v>0</v>
      </c>
      <c r="BA20" s="227">
        <f t="shared" si="13"/>
        <v>0</v>
      </c>
      <c r="BB20" s="227">
        <f t="shared" si="13"/>
        <v>0</v>
      </c>
      <c r="BC20" s="227">
        <f t="shared" si="13"/>
        <v>0</v>
      </c>
      <c r="BD20" s="227">
        <f t="shared" si="13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ht="25.5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160" t="s">
        <v>596</v>
      </c>
      <c r="AM21" s="227">
        <f t="shared" ref="AM21:AR21" si="14">B98</f>
        <v>0</v>
      </c>
      <c r="AN21" s="227">
        <f t="shared" si="14"/>
        <v>0</v>
      </c>
      <c r="AO21" s="227">
        <f t="shared" si="14"/>
        <v>0</v>
      </c>
      <c r="AP21" s="227">
        <f t="shared" si="14"/>
        <v>0</v>
      </c>
      <c r="AQ21" s="227">
        <f t="shared" si="14"/>
        <v>0</v>
      </c>
      <c r="AR21" s="227">
        <f t="shared" si="14"/>
        <v>0</v>
      </c>
      <c r="AS21" s="227">
        <f>I98</f>
        <v>0</v>
      </c>
      <c r="AT21" s="227">
        <f>K98</f>
        <v>0</v>
      </c>
      <c r="AU21" s="227">
        <f t="shared" ref="AU21:BD21" si="15">M98</f>
        <v>200</v>
      </c>
      <c r="AV21" s="227">
        <f t="shared" si="15"/>
        <v>200</v>
      </c>
      <c r="AW21" s="227">
        <f t="shared" si="15"/>
        <v>200</v>
      </c>
      <c r="AX21" s="227">
        <f t="shared" si="15"/>
        <v>180</v>
      </c>
      <c r="AY21" s="227">
        <f t="shared" si="15"/>
        <v>0</v>
      </c>
      <c r="AZ21" s="227">
        <f t="shared" si="15"/>
        <v>0</v>
      </c>
      <c r="BA21" s="227">
        <f t="shared" si="15"/>
        <v>0</v>
      </c>
      <c r="BB21" s="227">
        <f t="shared" si="15"/>
        <v>0</v>
      </c>
      <c r="BC21" s="227">
        <f t="shared" si="15"/>
        <v>0</v>
      </c>
      <c r="BD21" s="227">
        <f t="shared" si="15"/>
        <v>0</v>
      </c>
      <c r="BE21" s="227">
        <f>X98</f>
        <v>330</v>
      </c>
      <c r="BF21" s="227">
        <f>Z98</f>
        <v>280</v>
      </c>
      <c r="BG21" s="227">
        <f>AB98</f>
        <v>150</v>
      </c>
      <c r="BH21" s="227">
        <f>AD98</f>
        <v>50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7.3</v>
      </c>
      <c r="C22" s="45">
        <v>7.3</v>
      </c>
      <c r="D22" s="45">
        <v>7.3</v>
      </c>
      <c r="E22" s="45">
        <v>7.5</v>
      </c>
      <c r="F22" s="45">
        <v>7.5</v>
      </c>
      <c r="G22" s="45">
        <v>7.5</v>
      </c>
      <c r="H22" s="45">
        <v>7.5</v>
      </c>
      <c r="I22" s="45">
        <v>7.5</v>
      </c>
      <c r="J22" s="45">
        <v>7.5</v>
      </c>
      <c r="K22" s="45">
        <v>7.5</v>
      </c>
      <c r="L22" s="45">
        <v>7.6</v>
      </c>
      <c r="M22" s="45">
        <v>7.6</v>
      </c>
      <c r="N22" s="45">
        <v>7.6</v>
      </c>
      <c r="O22" s="45">
        <v>7.6</v>
      </c>
      <c r="P22" s="45">
        <v>7.6</v>
      </c>
      <c r="Q22" s="45">
        <v>7.6</v>
      </c>
      <c r="R22" s="45">
        <v>7.6</v>
      </c>
      <c r="S22" s="45">
        <v>7.6</v>
      </c>
      <c r="T22" s="45">
        <v>7.6</v>
      </c>
      <c r="U22" s="45">
        <v>7.6</v>
      </c>
      <c r="V22" s="45">
        <v>7.6</v>
      </c>
      <c r="W22" s="45">
        <v>7.6</v>
      </c>
      <c r="X22" s="45">
        <v>7.6</v>
      </c>
      <c r="Y22" s="45">
        <v>7.6</v>
      </c>
      <c r="Z22" s="45">
        <v>7.6</v>
      </c>
      <c r="AA22" s="45">
        <v>7.6</v>
      </c>
      <c r="AB22" s="45">
        <v>7.6</v>
      </c>
      <c r="AC22" s="45">
        <v>7.6</v>
      </c>
      <c r="AD22" s="45">
        <v>7.6</v>
      </c>
      <c r="AE22" s="45">
        <v>7.6</v>
      </c>
      <c r="AF22" s="45">
        <v>7.6</v>
      </c>
      <c r="AG22" s="52">
        <v>30</v>
      </c>
      <c r="AH22" s="47">
        <f t="shared" si="2"/>
        <v>7.6</v>
      </c>
      <c r="AI22" s="48">
        <f t="shared" si="3"/>
        <v>7.3</v>
      </c>
      <c r="AK22" s="50"/>
      <c r="AL22" s="229" t="s">
        <v>597</v>
      </c>
      <c r="AM22" s="228">
        <f>SUM(AM16:AM21)</f>
        <v>1135.29</v>
      </c>
      <c r="AN22" s="228">
        <f t="shared" ref="AN22:BJ22" si="16">SUM(AN16:AN21)</f>
        <v>1109.79</v>
      </c>
      <c r="AO22" s="228">
        <f t="shared" si="16"/>
        <v>1135.3900000000001</v>
      </c>
      <c r="AP22" s="228">
        <f t="shared" si="16"/>
        <v>1158.79</v>
      </c>
      <c r="AQ22" s="228">
        <f t="shared" si="16"/>
        <v>1160.8899999999999</v>
      </c>
      <c r="AR22" s="228">
        <f t="shared" si="16"/>
        <v>1220.69</v>
      </c>
      <c r="AS22" s="228">
        <f t="shared" si="16"/>
        <v>1346.69</v>
      </c>
      <c r="AT22" s="228">
        <f t="shared" si="16"/>
        <v>1476.19</v>
      </c>
      <c r="AU22" s="228">
        <f t="shared" si="16"/>
        <v>1661.89</v>
      </c>
      <c r="AV22" s="228">
        <f t="shared" si="16"/>
        <v>1569.3899999999999</v>
      </c>
      <c r="AW22" s="228">
        <f t="shared" si="16"/>
        <v>1499.0900000000001</v>
      </c>
      <c r="AX22" s="228">
        <f t="shared" si="16"/>
        <v>1434.29</v>
      </c>
      <c r="AY22" s="228">
        <f t="shared" si="16"/>
        <v>1481.5900000000001</v>
      </c>
      <c r="AZ22" s="228">
        <f t="shared" si="16"/>
        <v>1500.5900000000001</v>
      </c>
      <c r="BA22" s="228">
        <f t="shared" si="16"/>
        <v>1462.19</v>
      </c>
      <c r="BB22" s="228">
        <f t="shared" si="16"/>
        <v>1510.9900000000002</v>
      </c>
      <c r="BC22" s="228">
        <f t="shared" si="16"/>
        <v>1493.5900000000001</v>
      </c>
      <c r="BD22" s="228">
        <f t="shared" si="16"/>
        <v>1209.19</v>
      </c>
      <c r="BE22" s="228">
        <f t="shared" si="16"/>
        <v>1615.79</v>
      </c>
      <c r="BF22" s="228">
        <f t="shared" si="16"/>
        <v>1750.49</v>
      </c>
      <c r="BG22" s="228">
        <f t="shared" si="16"/>
        <v>1533.7900000000002</v>
      </c>
      <c r="BH22" s="228">
        <f t="shared" si="16"/>
        <v>1432.39</v>
      </c>
      <c r="BI22" s="228">
        <f t="shared" si="16"/>
        <v>1271.19</v>
      </c>
      <c r="BJ22" s="228">
        <f t="shared" si="16"/>
        <v>1182.19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6.2</v>
      </c>
      <c r="C23" s="45">
        <v>6.2</v>
      </c>
      <c r="D23" s="45">
        <v>6.2</v>
      </c>
      <c r="E23" s="45">
        <v>6.2</v>
      </c>
      <c r="F23" s="45">
        <v>6.2</v>
      </c>
      <c r="G23" s="45">
        <v>6.2</v>
      </c>
      <c r="H23" s="45">
        <v>6.2</v>
      </c>
      <c r="I23" s="45">
        <v>6.2</v>
      </c>
      <c r="J23" s="45">
        <v>6.2</v>
      </c>
      <c r="K23" s="45">
        <v>6.2</v>
      </c>
      <c r="L23" s="45">
        <v>6.2</v>
      </c>
      <c r="M23" s="45">
        <v>6.2</v>
      </c>
      <c r="N23" s="45">
        <v>6.2</v>
      </c>
      <c r="O23" s="45">
        <v>6.2</v>
      </c>
      <c r="P23" s="45">
        <v>6.2</v>
      </c>
      <c r="Q23" s="45">
        <v>6.2</v>
      </c>
      <c r="R23" s="45">
        <v>6.2</v>
      </c>
      <c r="S23" s="45">
        <v>6.2</v>
      </c>
      <c r="T23" s="45">
        <v>6.2</v>
      </c>
      <c r="U23" s="45">
        <v>6.2</v>
      </c>
      <c r="V23" s="45">
        <v>6.2</v>
      </c>
      <c r="W23" s="45">
        <v>6.2</v>
      </c>
      <c r="X23" s="45">
        <v>6.2</v>
      </c>
      <c r="Y23" s="45">
        <v>6.2</v>
      </c>
      <c r="Z23" s="45">
        <v>6.2</v>
      </c>
      <c r="AA23" s="45">
        <v>6.2</v>
      </c>
      <c r="AB23" s="45">
        <v>6.2</v>
      </c>
      <c r="AC23" s="45">
        <v>6.2</v>
      </c>
      <c r="AD23" s="45">
        <v>6.2</v>
      </c>
      <c r="AE23" s="45">
        <v>6.2</v>
      </c>
      <c r="AF23" s="45">
        <v>6.2</v>
      </c>
      <c r="AG23" s="49">
        <v>24.2</v>
      </c>
      <c r="AH23" s="47">
        <f t="shared" si="2"/>
        <v>6.2</v>
      </c>
      <c r="AI23" s="48">
        <f t="shared" si="3"/>
        <v>6.2</v>
      </c>
      <c r="AK23" s="50"/>
      <c r="AL23" s="229" t="s">
        <v>249</v>
      </c>
      <c r="AM23" s="228">
        <f t="shared" ref="AM23:AR23" si="17">B107*-1</f>
        <v>0</v>
      </c>
      <c r="AN23" s="228">
        <f t="shared" si="17"/>
        <v>0</v>
      </c>
      <c r="AO23" s="228">
        <f t="shared" si="17"/>
        <v>0</v>
      </c>
      <c r="AP23" s="228">
        <f t="shared" si="17"/>
        <v>0</v>
      </c>
      <c r="AQ23" s="228">
        <f t="shared" si="17"/>
        <v>0</v>
      </c>
      <c r="AR23" s="228">
        <f t="shared" si="17"/>
        <v>0</v>
      </c>
      <c r="AS23" s="228">
        <f>I107*-1</f>
        <v>0</v>
      </c>
      <c r="AT23" s="228">
        <f>K107*-1</f>
        <v>0</v>
      </c>
      <c r="AU23" s="228">
        <f t="shared" ref="AU23:BD23" si="18">M107*-1</f>
        <v>0</v>
      </c>
      <c r="AV23" s="228">
        <f t="shared" si="18"/>
        <v>0</v>
      </c>
      <c r="AW23" s="228">
        <f t="shared" si="18"/>
        <v>0</v>
      </c>
      <c r="AX23" s="228">
        <f t="shared" si="18"/>
        <v>0</v>
      </c>
      <c r="AY23" s="228">
        <f t="shared" si="18"/>
        <v>0</v>
      </c>
      <c r="AZ23" s="228">
        <f t="shared" si="18"/>
        <v>0</v>
      </c>
      <c r="BA23" s="228">
        <f t="shared" si="18"/>
        <v>0</v>
      </c>
      <c r="BB23" s="228">
        <f t="shared" si="18"/>
        <v>0</v>
      </c>
      <c r="BC23" s="228">
        <f t="shared" si="18"/>
        <v>0</v>
      </c>
      <c r="BD23" s="228">
        <f t="shared" si="18"/>
        <v>0</v>
      </c>
      <c r="BE23" s="228">
        <f>X107*-1</f>
        <v>0</v>
      </c>
      <c r="BF23" s="228">
        <f>Z107*-1</f>
        <v>0</v>
      </c>
      <c r="BG23" s="228">
        <f>AB107*-1</f>
        <v>0</v>
      </c>
      <c r="BH23" s="228">
        <f>AD107*-1</f>
        <v>0</v>
      </c>
      <c r="BI23" s="228">
        <f>AE107*-1</f>
        <v>0</v>
      </c>
      <c r="BJ23" s="228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7.5</v>
      </c>
      <c r="C24" s="45">
        <v>7.5</v>
      </c>
      <c r="D24" s="45">
        <v>7.5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2"/>
        <v>7.5</v>
      </c>
      <c r="AI24" s="48">
        <f t="shared" si="3"/>
        <v>7.2</v>
      </c>
      <c r="AK24" s="50"/>
      <c r="AL24" s="229" t="s">
        <v>598</v>
      </c>
      <c r="AM24" s="228">
        <f>AM22+AM23</f>
        <v>1135.29</v>
      </c>
      <c r="AN24" s="228">
        <f t="shared" ref="AN24:BJ24" si="19">AN22+AN23</f>
        <v>1109.79</v>
      </c>
      <c r="AO24" s="228">
        <f t="shared" si="19"/>
        <v>1135.3900000000001</v>
      </c>
      <c r="AP24" s="228">
        <f t="shared" si="19"/>
        <v>1158.79</v>
      </c>
      <c r="AQ24" s="228">
        <f t="shared" si="19"/>
        <v>1160.8899999999999</v>
      </c>
      <c r="AR24" s="228">
        <f t="shared" si="19"/>
        <v>1220.69</v>
      </c>
      <c r="AS24" s="228">
        <f t="shared" si="19"/>
        <v>1346.69</v>
      </c>
      <c r="AT24" s="228">
        <f t="shared" si="19"/>
        <v>1476.19</v>
      </c>
      <c r="AU24" s="228">
        <f t="shared" si="19"/>
        <v>1661.89</v>
      </c>
      <c r="AV24" s="228">
        <f t="shared" si="19"/>
        <v>1569.3899999999999</v>
      </c>
      <c r="AW24" s="228">
        <f t="shared" si="19"/>
        <v>1499.0900000000001</v>
      </c>
      <c r="AX24" s="228">
        <f t="shared" si="19"/>
        <v>1434.29</v>
      </c>
      <c r="AY24" s="228">
        <f t="shared" si="19"/>
        <v>1481.5900000000001</v>
      </c>
      <c r="AZ24" s="228">
        <f t="shared" si="19"/>
        <v>1500.5900000000001</v>
      </c>
      <c r="BA24" s="228">
        <f t="shared" si="19"/>
        <v>1462.19</v>
      </c>
      <c r="BB24" s="228">
        <f t="shared" si="19"/>
        <v>1510.9900000000002</v>
      </c>
      <c r="BC24" s="228">
        <f t="shared" si="19"/>
        <v>1493.5900000000001</v>
      </c>
      <c r="BD24" s="228">
        <f t="shared" si="19"/>
        <v>1209.19</v>
      </c>
      <c r="BE24" s="228">
        <f t="shared" si="19"/>
        <v>1615.79</v>
      </c>
      <c r="BF24" s="228">
        <f t="shared" si="19"/>
        <v>1750.49</v>
      </c>
      <c r="BG24" s="228">
        <f t="shared" si="19"/>
        <v>1533.7900000000002</v>
      </c>
      <c r="BH24" s="228">
        <f t="shared" si="19"/>
        <v>1432.39</v>
      </c>
      <c r="BI24" s="228">
        <f t="shared" si="19"/>
        <v>1271.19</v>
      </c>
      <c r="BJ24" s="228">
        <f t="shared" si="19"/>
        <v>1182.19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</v>
      </c>
      <c r="C25" s="45">
        <v>6</v>
      </c>
      <c r="D25" s="45">
        <v>6</v>
      </c>
      <c r="E25" s="45">
        <v>5.8</v>
      </c>
      <c r="F25" s="45">
        <v>5.8</v>
      </c>
      <c r="G25" s="45">
        <v>5.8</v>
      </c>
      <c r="H25" s="45">
        <v>5.8</v>
      </c>
      <c r="I25" s="45">
        <v>5.8</v>
      </c>
      <c r="J25" s="45">
        <v>5.8</v>
      </c>
      <c r="K25" s="45">
        <v>5.8</v>
      </c>
      <c r="L25" s="45">
        <v>5.8</v>
      </c>
      <c r="M25" s="45">
        <v>5.8</v>
      </c>
      <c r="N25" s="45">
        <v>5.8</v>
      </c>
      <c r="O25" s="45">
        <v>5.8</v>
      </c>
      <c r="P25" s="45">
        <v>5.8</v>
      </c>
      <c r="Q25" s="45">
        <v>5.8</v>
      </c>
      <c r="R25" s="45">
        <v>5.8</v>
      </c>
      <c r="S25" s="45">
        <v>5.8</v>
      </c>
      <c r="T25" s="45">
        <v>5.8</v>
      </c>
      <c r="U25" s="45">
        <v>5.8</v>
      </c>
      <c r="V25" s="45">
        <v>5.8</v>
      </c>
      <c r="W25" s="45">
        <v>5.8</v>
      </c>
      <c r="X25" s="45">
        <v>5.8</v>
      </c>
      <c r="Y25" s="45">
        <v>5.8</v>
      </c>
      <c r="Z25" s="45">
        <v>5.8</v>
      </c>
      <c r="AA25" s="45">
        <v>5.8</v>
      </c>
      <c r="AB25" s="45">
        <v>5.8</v>
      </c>
      <c r="AC25" s="45">
        <v>5.8</v>
      </c>
      <c r="AD25" s="45">
        <v>5.8</v>
      </c>
      <c r="AE25" s="45">
        <v>5.8</v>
      </c>
      <c r="AF25" s="45">
        <v>5.8</v>
      </c>
      <c r="AG25" s="52">
        <v>30</v>
      </c>
      <c r="AH25" s="47">
        <f t="shared" si="2"/>
        <v>6</v>
      </c>
      <c r="AI25" s="48">
        <f t="shared" si="3"/>
        <v>5.8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8.1999999999999993</v>
      </c>
      <c r="C26" s="45">
        <v>8.1999999999999993</v>
      </c>
      <c r="D26" s="45">
        <v>8.1999999999999993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49">
        <v>25</v>
      </c>
      <c r="AH26" s="47">
        <f t="shared" si="2"/>
        <v>10</v>
      </c>
      <c r="AI26" s="48">
        <f t="shared" si="3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7.5</v>
      </c>
      <c r="C29" s="45">
        <v>7.5</v>
      </c>
      <c r="D29" s="45">
        <v>7.5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7.4</v>
      </c>
      <c r="P29" s="45">
        <v>7.4</v>
      </c>
      <c r="Q29" s="45">
        <v>7.4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7.4</v>
      </c>
      <c r="AF29" s="45">
        <v>7.4</v>
      </c>
      <c r="AG29" s="49">
        <v>25</v>
      </c>
      <c r="AH29" s="47">
        <f t="shared" si="2"/>
        <v>7.5</v>
      </c>
      <c r="AI29" s="48">
        <f t="shared" si="3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7.3</v>
      </c>
      <c r="C30" s="45">
        <v>7.3</v>
      </c>
      <c r="D30" s="45">
        <v>7.3</v>
      </c>
      <c r="E30" s="45">
        <v>7.3</v>
      </c>
      <c r="F30" s="45">
        <v>7.3</v>
      </c>
      <c r="G30" s="45">
        <v>7.3</v>
      </c>
      <c r="H30" s="45">
        <v>7.3</v>
      </c>
      <c r="I30" s="45">
        <v>7.3</v>
      </c>
      <c r="J30" s="45">
        <v>7.3</v>
      </c>
      <c r="K30" s="45">
        <v>7.3</v>
      </c>
      <c r="L30" s="45">
        <v>7.3</v>
      </c>
      <c r="M30" s="45">
        <v>7.3</v>
      </c>
      <c r="N30" s="45">
        <v>7.3</v>
      </c>
      <c r="O30" s="45">
        <v>7.3</v>
      </c>
      <c r="P30" s="45">
        <v>7.3</v>
      </c>
      <c r="Q30" s="45">
        <v>7.3</v>
      </c>
      <c r="R30" s="45">
        <v>7.3</v>
      </c>
      <c r="S30" s="45">
        <v>7.3</v>
      </c>
      <c r="T30" s="45">
        <v>7.3</v>
      </c>
      <c r="U30" s="45">
        <v>7.3</v>
      </c>
      <c r="V30" s="45">
        <v>7.3</v>
      </c>
      <c r="W30" s="45">
        <v>7.3</v>
      </c>
      <c r="X30" s="45">
        <v>7.3</v>
      </c>
      <c r="Y30" s="45">
        <v>7.3</v>
      </c>
      <c r="Z30" s="45">
        <v>7.3</v>
      </c>
      <c r="AA30" s="45">
        <v>7.3</v>
      </c>
      <c r="AB30" s="45">
        <v>7.3</v>
      </c>
      <c r="AC30" s="45">
        <v>7.3</v>
      </c>
      <c r="AD30" s="45">
        <v>7.3</v>
      </c>
      <c r="AE30" s="45">
        <v>7.3</v>
      </c>
      <c r="AF30" s="45">
        <v>7.3</v>
      </c>
      <c r="AG30" s="49">
        <v>23.5</v>
      </c>
      <c r="AH30" s="47">
        <f t="shared" si="2"/>
        <v>7.3</v>
      </c>
      <c r="AI30" s="48">
        <f t="shared" si="3"/>
        <v>7.3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22.2</v>
      </c>
      <c r="AH31" s="47">
        <f t="shared" si="2"/>
        <v>0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9.8000000000000007</v>
      </c>
      <c r="C34" s="45">
        <v>9.8000000000000007</v>
      </c>
      <c r="D34" s="45">
        <v>9.8000000000000007</v>
      </c>
      <c r="E34" s="45">
        <v>8.8000000000000007</v>
      </c>
      <c r="F34" s="45">
        <v>8.8000000000000007</v>
      </c>
      <c r="G34" s="45">
        <v>8.8000000000000007</v>
      </c>
      <c r="H34" s="45">
        <v>8.8000000000000007</v>
      </c>
      <c r="I34" s="45">
        <v>8.8000000000000007</v>
      </c>
      <c r="J34" s="45">
        <v>8.8000000000000007</v>
      </c>
      <c r="K34" s="45">
        <v>8.8000000000000007</v>
      </c>
      <c r="L34" s="45">
        <v>8.8000000000000007</v>
      </c>
      <c r="M34" s="45">
        <v>8.8000000000000007</v>
      </c>
      <c r="N34" s="45">
        <v>8.8000000000000007</v>
      </c>
      <c r="O34" s="45">
        <v>8.8000000000000007</v>
      </c>
      <c r="P34" s="45">
        <v>8.8000000000000007</v>
      </c>
      <c r="Q34" s="45">
        <v>8.8000000000000007</v>
      </c>
      <c r="R34" s="45">
        <v>8.8000000000000007</v>
      </c>
      <c r="S34" s="45">
        <v>8.8000000000000007</v>
      </c>
      <c r="T34" s="45">
        <v>8.8000000000000007</v>
      </c>
      <c r="U34" s="45">
        <v>8.8000000000000007</v>
      </c>
      <c r="V34" s="45">
        <v>8.8000000000000007</v>
      </c>
      <c r="W34" s="45">
        <v>8.8000000000000007</v>
      </c>
      <c r="X34" s="45">
        <v>8.8000000000000007</v>
      </c>
      <c r="Y34" s="45">
        <v>8.8000000000000007</v>
      </c>
      <c r="Z34" s="45">
        <v>8.8000000000000007</v>
      </c>
      <c r="AA34" s="45">
        <v>8.8000000000000007</v>
      </c>
      <c r="AB34" s="45">
        <v>8.8000000000000007</v>
      </c>
      <c r="AC34" s="45">
        <v>8.8000000000000007</v>
      </c>
      <c r="AD34" s="45">
        <v>8.8000000000000007</v>
      </c>
      <c r="AE34" s="45">
        <v>8.8000000000000007</v>
      </c>
      <c r="AF34" s="45">
        <v>8.8000000000000007</v>
      </c>
      <c r="AG34" s="49">
        <v>22</v>
      </c>
      <c r="AH34" s="47">
        <f t="shared" si="2"/>
        <v>9.8000000000000007</v>
      </c>
      <c r="AI34" s="48">
        <f t="shared" si="3"/>
        <v>8.8000000000000007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5.7+13.9</f>
        <v>19.600000000000001</v>
      </c>
      <c r="C57" s="57">
        <v>25.1</v>
      </c>
      <c r="D57" s="57">
        <v>25.1</v>
      </c>
      <c r="E57" s="57">
        <v>25.1</v>
      </c>
      <c r="F57" s="57">
        <v>25.1</v>
      </c>
      <c r="G57" s="57">
        <v>25.1</v>
      </c>
      <c r="H57" s="57">
        <v>25.1</v>
      </c>
      <c r="I57" s="57">
        <v>25.1</v>
      </c>
      <c r="J57" s="57">
        <v>22.7</v>
      </c>
      <c r="K57" s="57">
        <v>22.7</v>
      </c>
      <c r="L57" s="57">
        <v>22.7</v>
      </c>
      <c r="M57" s="57">
        <v>22.7</v>
      </c>
      <c r="N57" s="57">
        <f>6+14.7</f>
        <v>20.7</v>
      </c>
      <c r="O57" s="57">
        <f>6+14.7</f>
        <v>20.7</v>
      </c>
      <c r="P57" s="57">
        <f>6+14.7</f>
        <v>20.7</v>
      </c>
      <c r="Q57" s="57">
        <f>6+14.7</f>
        <v>20.7</v>
      </c>
      <c r="R57" s="51">
        <f>6.3+14.5</f>
        <v>20.8</v>
      </c>
      <c r="S57" s="51">
        <f t="shared" ref="S57:AA57" si="20">6.3+15.7</f>
        <v>22</v>
      </c>
      <c r="T57" s="51">
        <f t="shared" si="20"/>
        <v>22</v>
      </c>
      <c r="U57" s="51">
        <f t="shared" si="20"/>
        <v>22</v>
      </c>
      <c r="V57" s="51">
        <f t="shared" si="20"/>
        <v>22</v>
      </c>
      <c r="W57" s="51">
        <f t="shared" si="20"/>
        <v>22</v>
      </c>
      <c r="X57" s="51">
        <f t="shared" si="20"/>
        <v>22</v>
      </c>
      <c r="Y57" s="51">
        <f t="shared" si="20"/>
        <v>22</v>
      </c>
      <c r="Z57" s="51">
        <f t="shared" si="20"/>
        <v>22</v>
      </c>
      <c r="AA57" s="51">
        <f t="shared" si="20"/>
        <v>22</v>
      </c>
      <c r="AB57" s="57">
        <f>5.5+13.4</f>
        <v>18.899999999999999</v>
      </c>
      <c r="AC57" s="57">
        <f>5.7+14.3</f>
        <v>20</v>
      </c>
      <c r="AD57" s="57">
        <f>6+15.1</f>
        <v>21.1</v>
      </c>
      <c r="AE57" s="57">
        <f>7.2+17.5</f>
        <v>24.7</v>
      </c>
      <c r="AF57" s="57">
        <f>7.8+17.8</f>
        <v>25.6</v>
      </c>
      <c r="AG57" s="55">
        <v>240</v>
      </c>
      <c r="AH57" s="47">
        <f t="shared" si="2"/>
        <v>25.6</v>
      </c>
      <c r="AI57" s="48">
        <f t="shared" si="3"/>
        <v>18.899999999999999</v>
      </c>
      <c r="AK57" s="50"/>
    </row>
    <row r="58" spans="1:88" ht="15.75" thickBot="1" x14ac:dyDescent="0.3">
      <c r="A58" s="59" t="s">
        <v>58</v>
      </c>
      <c r="B58" s="60">
        <f>SUM(B11:B56)</f>
        <v>474.75</v>
      </c>
      <c r="C58" s="60">
        <f>SUM(C11:C56)</f>
        <v>474.75</v>
      </c>
      <c r="D58" s="60">
        <f t="shared" ref="D58:Q58" si="21">SUM(D11:D56)</f>
        <v>474.75</v>
      </c>
      <c r="E58" s="60">
        <f t="shared" si="21"/>
        <v>474.95</v>
      </c>
      <c r="F58" s="60">
        <f t="shared" si="21"/>
        <v>474.95</v>
      </c>
      <c r="G58" s="60">
        <f t="shared" si="21"/>
        <v>474.95</v>
      </c>
      <c r="H58" s="60">
        <f t="shared" si="21"/>
        <v>474.95</v>
      </c>
      <c r="I58" s="60">
        <f t="shared" si="21"/>
        <v>474.95</v>
      </c>
      <c r="J58" s="60">
        <f t="shared" si="21"/>
        <v>474.95</v>
      </c>
      <c r="K58" s="60">
        <f t="shared" si="21"/>
        <v>474.95</v>
      </c>
      <c r="L58" s="60">
        <f t="shared" si="21"/>
        <v>476.05</v>
      </c>
      <c r="M58" s="60">
        <f t="shared" si="21"/>
        <v>476.05</v>
      </c>
      <c r="N58" s="60">
        <f t="shared" si="21"/>
        <v>472.25</v>
      </c>
      <c r="O58" s="60">
        <f t="shared" si="21"/>
        <v>472.25</v>
      </c>
      <c r="P58" s="60">
        <f t="shared" si="21"/>
        <v>472.25</v>
      </c>
      <c r="Q58" s="60">
        <f t="shared" si="21"/>
        <v>470.75</v>
      </c>
      <c r="R58" s="60">
        <f t="shared" ref="R58:AF58" si="22">SUM(R11:R56)</f>
        <v>470.75</v>
      </c>
      <c r="S58" s="60">
        <f t="shared" si="22"/>
        <v>470.75</v>
      </c>
      <c r="T58" s="60">
        <f t="shared" ref="T58:U58" si="23">SUM(T11:T56)</f>
        <v>470.75</v>
      </c>
      <c r="U58" s="60">
        <f t="shared" si="23"/>
        <v>470.75</v>
      </c>
      <c r="V58" s="60">
        <f t="shared" ref="V58:W58" si="24">SUM(V11:V56)</f>
        <v>470.75</v>
      </c>
      <c r="W58" s="60">
        <f t="shared" si="24"/>
        <v>470.75</v>
      </c>
      <c r="X58" s="60">
        <f t="shared" ref="X58" si="25">SUM(X11:X56)</f>
        <v>470.75</v>
      </c>
      <c r="Y58" s="60">
        <f t="shared" ref="Y58:Z58" si="26">SUM(Y11:Y56)</f>
        <v>470.75</v>
      </c>
      <c r="Z58" s="60">
        <f t="shared" si="26"/>
        <v>470.75</v>
      </c>
      <c r="AA58" s="60">
        <f t="shared" ref="AA58" si="27">SUM(AA11:AA56)</f>
        <v>470.75</v>
      </c>
      <c r="AB58" s="60">
        <f t="shared" si="22"/>
        <v>468.65000000000003</v>
      </c>
      <c r="AC58" s="60">
        <f t="shared" si="22"/>
        <v>468.65000000000003</v>
      </c>
      <c r="AD58" s="60">
        <f t="shared" si="22"/>
        <v>468.65000000000003</v>
      </c>
      <c r="AE58" s="60">
        <f t="shared" si="22"/>
        <v>468.65000000000003</v>
      </c>
      <c r="AF58" s="60">
        <f t="shared" si="22"/>
        <v>476.35</v>
      </c>
      <c r="AG58" s="61">
        <f>SUM(AG14:AG56)</f>
        <v>1042.4000000000001</v>
      </c>
      <c r="AH58" s="47">
        <f t="shared" si="2"/>
        <v>476.35</v>
      </c>
      <c r="AI58" s="48">
        <f t="shared" si="3"/>
        <v>468.65000000000003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45</v>
      </c>
      <c r="I59" s="45">
        <v>60</v>
      </c>
      <c r="J59" s="45">
        <v>60</v>
      </c>
      <c r="K59" s="45">
        <v>220</v>
      </c>
      <c r="L59" s="45">
        <v>325</v>
      </c>
      <c r="M59" s="45">
        <v>370</v>
      </c>
      <c r="N59" s="63">
        <v>180</v>
      </c>
      <c r="O59" s="63">
        <v>130</v>
      </c>
      <c r="P59" s="63">
        <v>40</v>
      </c>
      <c r="Q59" s="63">
        <v>40</v>
      </c>
      <c r="R59" s="63">
        <v>15</v>
      </c>
      <c r="S59" s="63">
        <v>15</v>
      </c>
      <c r="T59" s="63">
        <v>15</v>
      </c>
      <c r="U59" s="63">
        <v>15</v>
      </c>
      <c r="V59" s="63">
        <v>15</v>
      </c>
      <c r="W59" s="63">
        <v>15</v>
      </c>
      <c r="X59" s="63">
        <v>76</v>
      </c>
      <c r="Y59" s="63">
        <v>150</v>
      </c>
      <c r="Z59" s="63">
        <v>310</v>
      </c>
      <c r="AA59" s="63">
        <v>300</v>
      </c>
      <c r="AB59" s="45">
        <v>150</v>
      </c>
      <c r="AC59" s="45">
        <v>100</v>
      </c>
      <c r="AD59" s="45">
        <v>40</v>
      </c>
      <c r="AE59" s="45">
        <v>0</v>
      </c>
      <c r="AF59" s="45">
        <v>0</v>
      </c>
      <c r="AG59" s="52">
        <v>456</v>
      </c>
      <c r="AH59" s="47">
        <f t="shared" si="2"/>
        <v>370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26</v>
      </c>
      <c r="N60" s="65">
        <v>26</v>
      </c>
      <c r="O60" s="65">
        <v>26</v>
      </c>
      <c r="P60" s="65">
        <v>26</v>
      </c>
      <c r="Q60" s="65">
        <v>26</v>
      </c>
      <c r="R60" s="65">
        <v>26</v>
      </c>
      <c r="S60" s="65">
        <v>26</v>
      </c>
      <c r="T60" s="65">
        <v>26</v>
      </c>
      <c r="U60" s="65">
        <v>26</v>
      </c>
      <c r="V60" s="65">
        <v>26</v>
      </c>
      <c r="W60" s="65">
        <v>26</v>
      </c>
      <c r="X60" s="65">
        <v>26</v>
      </c>
      <c r="Y60" s="65">
        <v>26</v>
      </c>
      <c r="Z60" s="65">
        <v>26</v>
      </c>
      <c r="AA60" s="65">
        <v>26</v>
      </c>
      <c r="AB60" s="65">
        <v>26</v>
      </c>
      <c r="AC60" s="65">
        <v>26</v>
      </c>
      <c r="AD60" s="65">
        <v>32</v>
      </c>
      <c r="AE60" s="65">
        <v>32</v>
      </c>
      <c r="AF60" s="65">
        <v>29</v>
      </c>
      <c r="AG60" s="55">
        <v>60</v>
      </c>
      <c r="AH60" s="47">
        <f t="shared" si="2"/>
        <v>32</v>
      </c>
      <c r="AI60" s="48">
        <f t="shared" si="3"/>
        <v>26</v>
      </c>
      <c r="AK60" s="50"/>
    </row>
    <row r="61" spans="1:88" ht="15.75" thickBot="1" x14ac:dyDescent="0.3">
      <c r="A61" s="66" t="s">
        <v>61</v>
      </c>
      <c r="B61" s="67">
        <v>8.1</v>
      </c>
      <c r="C61" s="67">
        <v>8.1</v>
      </c>
      <c r="D61" s="67">
        <v>8.1</v>
      </c>
      <c r="E61" s="67">
        <v>8.1</v>
      </c>
      <c r="F61" s="67">
        <v>8.1</v>
      </c>
      <c r="G61" s="67">
        <v>8.1</v>
      </c>
      <c r="H61" s="67">
        <v>8.1</v>
      </c>
      <c r="I61" s="67">
        <v>8.1</v>
      </c>
      <c r="J61" s="67">
        <v>8.1</v>
      </c>
      <c r="K61" s="67">
        <v>8.1</v>
      </c>
      <c r="L61" s="67">
        <v>14.4</v>
      </c>
      <c r="M61" s="67">
        <v>14.5</v>
      </c>
      <c r="N61" s="67">
        <v>8.3000000000000007</v>
      </c>
      <c r="O61" s="67">
        <v>8.1999999999999993</v>
      </c>
      <c r="P61" s="67">
        <v>8.1999999999999993</v>
      </c>
      <c r="Q61" s="67">
        <v>8.1999999999999993</v>
      </c>
      <c r="R61" s="67">
        <v>8.1999999999999993</v>
      </c>
      <c r="S61" s="67">
        <v>8.1999999999999993</v>
      </c>
      <c r="T61" s="67">
        <v>8.1999999999999993</v>
      </c>
      <c r="U61" s="67">
        <v>8.1999999999999993</v>
      </c>
      <c r="V61" s="67">
        <v>8.1999999999999993</v>
      </c>
      <c r="W61" s="67">
        <v>8.1999999999999993</v>
      </c>
      <c r="X61" s="67">
        <v>14.5</v>
      </c>
      <c r="Y61" s="67">
        <v>14.5</v>
      </c>
      <c r="Z61" s="67">
        <v>14.5</v>
      </c>
      <c r="AA61" s="67">
        <v>14.5</v>
      </c>
      <c r="AB61" s="67">
        <v>14.4</v>
      </c>
      <c r="AC61" s="67">
        <v>8</v>
      </c>
      <c r="AD61" s="67">
        <v>8</v>
      </c>
      <c r="AE61" s="67">
        <v>8</v>
      </c>
      <c r="AF61" s="67">
        <v>8</v>
      </c>
      <c r="AG61" s="68">
        <v>22.1</v>
      </c>
      <c r="AH61" s="47">
        <f t="shared" si="2"/>
        <v>14.5</v>
      </c>
      <c r="AI61" s="48">
        <f t="shared" si="3"/>
        <v>8</v>
      </c>
      <c r="AK61" s="50"/>
    </row>
    <row r="62" spans="1:88" ht="15.75" thickBot="1" x14ac:dyDescent="0.3">
      <c r="A62" s="69" t="s">
        <v>62</v>
      </c>
      <c r="B62" s="60">
        <f t="shared" ref="B62:Q62" si="28">SUM(B59:B61)</f>
        <v>35.1</v>
      </c>
      <c r="C62" s="60">
        <f t="shared" si="28"/>
        <v>35.1</v>
      </c>
      <c r="D62" s="60">
        <f t="shared" si="28"/>
        <v>35.1</v>
      </c>
      <c r="E62" s="60">
        <f t="shared" si="28"/>
        <v>35.1</v>
      </c>
      <c r="F62" s="60">
        <f t="shared" si="28"/>
        <v>35.1</v>
      </c>
      <c r="G62" s="60">
        <f t="shared" si="28"/>
        <v>35.1</v>
      </c>
      <c r="H62" s="60">
        <f t="shared" si="28"/>
        <v>80.099999999999994</v>
      </c>
      <c r="I62" s="60">
        <f t="shared" si="28"/>
        <v>95.1</v>
      </c>
      <c r="J62" s="60">
        <f t="shared" si="28"/>
        <v>95.1</v>
      </c>
      <c r="K62" s="60">
        <f t="shared" si="28"/>
        <v>255.1</v>
      </c>
      <c r="L62" s="60">
        <f t="shared" si="28"/>
        <v>366.4</v>
      </c>
      <c r="M62" s="60">
        <f t="shared" si="28"/>
        <v>410.5</v>
      </c>
      <c r="N62" s="60">
        <f t="shared" si="28"/>
        <v>214.3</v>
      </c>
      <c r="O62" s="60">
        <f t="shared" si="28"/>
        <v>164.2</v>
      </c>
      <c r="P62" s="60">
        <f t="shared" si="28"/>
        <v>74.2</v>
      </c>
      <c r="Q62" s="60">
        <f t="shared" si="28"/>
        <v>74.2</v>
      </c>
      <c r="R62" s="60">
        <f t="shared" ref="R62:AG62" si="29">SUM(R59:R61)</f>
        <v>49.2</v>
      </c>
      <c r="S62" s="60">
        <f t="shared" si="29"/>
        <v>49.2</v>
      </c>
      <c r="T62" s="60">
        <f t="shared" ref="T62:U62" si="30">SUM(T59:T61)</f>
        <v>49.2</v>
      </c>
      <c r="U62" s="60">
        <f t="shared" si="30"/>
        <v>49.2</v>
      </c>
      <c r="V62" s="60">
        <f t="shared" ref="V62:W62" si="31">SUM(V59:V61)</f>
        <v>49.2</v>
      </c>
      <c r="W62" s="60">
        <f t="shared" si="31"/>
        <v>49.2</v>
      </c>
      <c r="X62" s="60">
        <f t="shared" ref="X62" si="32">SUM(X59:X61)</f>
        <v>116.5</v>
      </c>
      <c r="Y62" s="60">
        <f t="shared" ref="Y62:Z62" si="33">SUM(Y59:Y61)</f>
        <v>190.5</v>
      </c>
      <c r="Z62" s="60">
        <f t="shared" si="33"/>
        <v>350.5</v>
      </c>
      <c r="AA62" s="60">
        <f t="shared" ref="AA62" si="34">SUM(AA59:AA61)</f>
        <v>340.5</v>
      </c>
      <c r="AB62" s="60">
        <f>SUM(AB59:AB61)</f>
        <v>190.4</v>
      </c>
      <c r="AC62" s="60">
        <f t="shared" si="29"/>
        <v>134</v>
      </c>
      <c r="AD62" s="60">
        <f t="shared" si="29"/>
        <v>80</v>
      </c>
      <c r="AE62" s="60">
        <f t="shared" si="29"/>
        <v>40</v>
      </c>
      <c r="AF62" s="60">
        <f t="shared" si="29"/>
        <v>37</v>
      </c>
      <c r="AG62" s="61">
        <f t="shared" si="29"/>
        <v>538.1</v>
      </c>
      <c r="AH62" s="47">
        <f t="shared" si="2"/>
        <v>410.5</v>
      </c>
      <c r="AI62" s="48">
        <f t="shared" si="3"/>
        <v>35.1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31.3</v>
      </c>
      <c r="J63" s="45">
        <v>60</v>
      </c>
      <c r="K63" s="45">
        <v>66.099999999999994</v>
      </c>
      <c r="L63" s="45">
        <v>90.2</v>
      </c>
      <c r="M63" s="45">
        <v>90</v>
      </c>
      <c r="N63" s="45">
        <v>60.7</v>
      </c>
      <c r="O63" s="45">
        <v>61.2</v>
      </c>
      <c r="P63" s="45">
        <v>61.2</v>
      </c>
      <c r="Q63" s="45">
        <v>71.099999999999994</v>
      </c>
      <c r="R63" s="45">
        <v>80.900000000000006</v>
      </c>
      <c r="S63" s="45">
        <v>71.5</v>
      </c>
      <c r="T63" s="45">
        <v>71.5</v>
      </c>
      <c r="U63" s="45">
        <v>91.6</v>
      </c>
      <c r="V63" s="45">
        <v>33.5</v>
      </c>
      <c r="W63" s="45">
        <v>30.9</v>
      </c>
      <c r="X63" s="45">
        <v>45.4</v>
      </c>
      <c r="Y63" s="45">
        <v>60.9</v>
      </c>
      <c r="Z63" s="45">
        <v>72</v>
      </c>
      <c r="AA63" s="45">
        <v>70.099999999999994</v>
      </c>
      <c r="AB63" s="45">
        <v>71</v>
      </c>
      <c r="AC63" s="45">
        <v>60.9</v>
      </c>
      <c r="AD63" s="45">
        <v>40.799999999999997</v>
      </c>
      <c r="AE63" s="45">
        <v>30.7</v>
      </c>
      <c r="AF63" s="45">
        <v>30.7</v>
      </c>
      <c r="AG63" s="52">
        <v>144</v>
      </c>
      <c r="AH63" s="47">
        <f t="shared" si="2"/>
        <v>91.6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0</v>
      </c>
      <c r="C64" s="45">
        <v>0</v>
      </c>
      <c r="D64" s="45">
        <v>0</v>
      </c>
      <c r="E64" s="65">
        <v>0</v>
      </c>
      <c r="F64" s="65">
        <v>0</v>
      </c>
      <c r="G64" s="65">
        <v>0</v>
      </c>
      <c r="H64" s="65">
        <v>22</v>
      </c>
      <c r="I64" s="65">
        <v>35</v>
      </c>
      <c r="J64" s="65">
        <v>50</v>
      </c>
      <c r="K64" s="65">
        <v>60</v>
      </c>
      <c r="L64" s="65">
        <v>60</v>
      </c>
      <c r="M64" s="65">
        <v>60</v>
      </c>
      <c r="N64" s="65">
        <v>50</v>
      </c>
      <c r="O64" s="65">
        <v>22</v>
      </c>
      <c r="P64" s="65">
        <v>22</v>
      </c>
      <c r="Q64" s="65">
        <v>43</v>
      </c>
      <c r="R64" s="65">
        <v>45</v>
      </c>
      <c r="S64" s="65">
        <v>45</v>
      </c>
      <c r="T64" s="65">
        <v>35</v>
      </c>
      <c r="U64" s="65">
        <v>35</v>
      </c>
      <c r="V64" s="65">
        <v>24.8</v>
      </c>
      <c r="W64" s="65">
        <v>24.6</v>
      </c>
      <c r="X64" s="65">
        <v>24.9</v>
      </c>
      <c r="Y64" s="65">
        <v>46.4</v>
      </c>
      <c r="Z64" s="65">
        <v>46.4</v>
      </c>
      <c r="AA64" s="65">
        <v>45</v>
      </c>
      <c r="AB64" s="45">
        <v>45.2</v>
      </c>
      <c r="AC64" s="45">
        <v>44.2</v>
      </c>
      <c r="AD64" s="45">
        <v>24.5</v>
      </c>
      <c r="AE64" s="45">
        <v>24.9</v>
      </c>
      <c r="AF64" s="45">
        <v>0</v>
      </c>
      <c r="AG64" s="55">
        <v>70</v>
      </c>
      <c r="AH64" s="47">
        <f t="shared" si="2"/>
        <v>60</v>
      </c>
      <c r="AI64" s="48">
        <f t="shared" si="3"/>
        <v>0</v>
      </c>
      <c r="AK64" s="50"/>
    </row>
    <row r="65" spans="1:41" x14ac:dyDescent="0.25">
      <c r="A65" s="54" t="s">
        <v>65</v>
      </c>
      <c r="B65" s="45">
        <v>0</v>
      </c>
      <c r="C65" s="45">
        <v>0</v>
      </c>
      <c r="D65" s="45">
        <v>0</v>
      </c>
      <c r="E65" s="65">
        <v>0</v>
      </c>
      <c r="F65" s="65">
        <v>17</v>
      </c>
      <c r="G65" s="65">
        <v>17</v>
      </c>
      <c r="H65" s="65">
        <v>17.5</v>
      </c>
      <c r="I65" s="65">
        <v>39.700000000000003</v>
      </c>
      <c r="J65" s="65">
        <v>56.7</v>
      </c>
      <c r="K65" s="65">
        <v>55.4</v>
      </c>
      <c r="L65" s="65">
        <v>62.3</v>
      </c>
      <c r="M65" s="65">
        <v>62</v>
      </c>
      <c r="N65" s="65">
        <v>49.8</v>
      </c>
      <c r="O65" s="65">
        <v>35.4</v>
      </c>
      <c r="P65" s="65">
        <v>35.4</v>
      </c>
      <c r="Q65" s="65">
        <v>40.5</v>
      </c>
      <c r="R65" s="65">
        <v>44.2</v>
      </c>
      <c r="S65" s="65">
        <v>35.5</v>
      </c>
      <c r="T65" s="65">
        <v>45.2</v>
      </c>
      <c r="U65" s="65">
        <v>45.2</v>
      </c>
      <c r="V65" s="65">
        <v>31.9</v>
      </c>
      <c r="W65" s="65">
        <v>32</v>
      </c>
      <c r="X65" s="65">
        <v>52.6</v>
      </c>
      <c r="Y65" s="65">
        <v>50.9</v>
      </c>
      <c r="Z65" s="65">
        <v>50.9</v>
      </c>
      <c r="AA65" s="65">
        <v>50.9</v>
      </c>
      <c r="AB65" s="45">
        <v>51.2</v>
      </c>
      <c r="AC65" s="45">
        <v>35.299999999999997</v>
      </c>
      <c r="AD65" s="45">
        <v>35.5</v>
      </c>
      <c r="AE65" s="45">
        <v>23.3</v>
      </c>
      <c r="AF65" s="45">
        <v>22.3</v>
      </c>
      <c r="AG65" s="55">
        <v>69</v>
      </c>
      <c r="AH65" s="47">
        <f t="shared" si="2"/>
        <v>62.3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37.799999999999997</v>
      </c>
      <c r="C66" s="45">
        <v>37.799999999999997</v>
      </c>
      <c r="D66" s="45">
        <v>37.799999999999997</v>
      </c>
      <c r="E66" s="65">
        <v>38.299999999999997</v>
      </c>
      <c r="F66" s="65">
        <v>38.299999999999997</v>
      </c>
      <c r="G66" s="65">
        <v>38.299999999999997</v>
      </c>
      <c r="H66" s="65">
        <v>38.299999999999997</v>
      </c>
      <c r="I66" s="65">
        <v>39.799999999999997</v>
      </c>
      <c r="J66" s="65">
        <v>39.799999999999997</v>
      </c>
      <c r="K66" s="57">
        <v>38</v>
      </c>
      <c r="L66" s="57">
        <v>37</v>
      </c>
      <c r="M66" s="65">
        <v>35.299999999999997</v>
      </c>
      <c r="N66" s="65">
        <v>35</v>
      </c>
      <c r="O66" s="65">
        <v>36</v>
      </c>
      <c r="P66" s="65">
        <v>36</v>
      </c>
      <c r="Q66" s="65">
        <v>37.799999999999997</v>
      </c>
      <c r="R66" s="65">
        <v>37.1</v>
      </c>
      <c r="S66" s="65">
        <v>36.299999999999997</v>
      </c>
      <c r="T66" s="65">
        <v>34.299999999999997</v>
      </c>
      <c r="U66" s="65">
        <v>34.299999999999997</v>
      </c>
      <c r="V66" s="65">
        <v>34.5</v>
      </c>
      <c r="W66" s="65">
        <v>34.5</v>
      </c>
      <c r="X66" s="65">
        <v>36.299999999999997</v>
      </c>
      <c r="Y66" s="65">
        <v>36.299999999999997</v>
      </c>
      <c r="Z66" s="65">
        <v>36.299999999999997</v>
      </c>
      <c r="AA66" s="65">
        <v>36.299999999999997</v>
      </c>
      <c r="AB66" s="45">
        <v>38.299999999999997</v>
      </c>
      <c r="AC66" s="45">
        <v>38.299999999999997</v>
      </c>
      <c r="AD66" s="45">
        <v>38.299999999999997</v>
      </c>
      <c r="AE66" s="45">
        <v>40.299999999999997</v>
      </c>
      <c r="AF66" s="45">
        <v>40.299999999999997</v>
      </c>
      <c r="AG66" s="55">
        <v>60</v>
      </c>
      <c r="AH66" s="47">
        <f t="shared" si="2"/>
        <v>40.299999999999997</v>
      </c>
      <c r="AI66" s="48">
        <f t="shared" si="3"/>
        <v>34.299999999999997</v>
      </c>
      <c r="AK66" s="50"/>
    </row>
    <row r="67" spans="1:41" x14ac:dyDescent="0.25">
      <c r="A67" s="54" t="s">
        <v>67</v>
      </c>
      <c r="B67" s="45">
        <v>10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10</v>
      </c>
      <c r="J67" s="65">
        <v>15</v>
      </c>
      <c r="K67" s="57">
        <v>15</v>
      </c>
      <c r="L67" s="57">
        <v>15</v>
      </c>
      <c r="M67" s="65">
        <v>15</v>
      </c>
      <c r="N67" s="65">
        <v>10</v>
      </c>
      <c r="O67" s="65">
        <v>0</v>
      </c>
      <c r="P67" s="65">
        <v>0</v>
      </c>
      <c r="Q67" s="65">
        <v>14</v>
      </c>
      <c r="R67" s="65">
        <v>23</v>
      </c>
      <c r="S67" s="65">
        <v>25</v>
      </c>
      <c r="T67" s="65">
        <v>23</v>
      </c>
      <c r="U67" s="65">
        <v>0</v>
      </c>
      <c r="V67" s="65">
        <v>0</v>
      </c>
      <c r="W67" s="65">
        <v>0</v>
      </c>
      <c r="X67" s="65">
        <v>15</v>
      </c>
      <c r="Y67" s="65">
        <v>23</v>
      </c>
      <c r="Z67" s="65">
        <v>29</v>
      </c>
      <c r="AA67" s="65">
        <v>15</v>
      </c>
      <c r="AB67" s="45">
        <v>15</v>
      </c>
      <c r="AC67" s="45">
        <v>0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2"/>
        <v>29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65">
        <v>0</v>
      </c>
      <c r="L68" s="65">
        <v>2.2999999999999998</v>
      </c>
      <c r="M68" s="65">
        <v>5.7</v>
      </c>
      <c r="N68" s="65">
        <v>11.2</v>
      </c>
      <c r="O68" s="65">
        <v>16.3</v>
      </c>
      <c r="P68" s="65">
        <v>12.3</v>
      </c>
      <c r="Q68" s="65">
        <v>15</v>
      </c>
      <c r="R68" s="65">
        <v>10</v>
      </c>
      <c r="S68" s="65">
        <v>8.6</v>
      </c>
      <c r="T68" s="65">
        <v>4.4000000000000004</v>
      </c>
      <c r="U68" s="65">
        <v>4.4000000000000004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9.9</v>
      </c>
      <c r="C71" s="65">
        <v>9.9</v>
      </c>
      <c r="D71" s="65">
        <v>9.9</v>
      </c>
      <c r="E71" s="65">
        <v>9.9</v>
      </c>
      <c r="F71" s="65">
        <v>9.9</v>
      </c>
      <c r="G71" s="65">
        <v>9.9</v>
      </c>
      <c r="H71" s="65">
        <v>9.9</v>
      </c>
      <c r="I71" s="65">
        <v>9.9</v>
      </c>
      <c r="J71" s="65">
        <v>9.9</v>
      </c>
      <c r="K71" s="65">
        <v>9.9</v>
      </c>
      <c r="L71" s="65">
        <v>9.9</v>
      </c>
      <c r="M71" s="65">
        <v>9.9</v>
      </c>
      <c r="N71" s="65">
        <v>9.9</v>
      </c>
      <c r="O71" s="65">
        <v>9.9</v>
      </c>
      <c r="P71" s="65">
        <v>9.9</v>
      </c>
      <c r="Q71" s="65">
        <v>9.9</v>
      </c>
      <c r="R71" s="65">
        <v>9.9</v>
      </c>
      <c r="S71" s="65">
        <v>9.9</v>
      </c>
      <c r="T71" s="65">
        <v>9.9</v>
      </c>
      <c r="U71" s="65">
        <v>9.9</v>
      </c>
      <c r="V71" s="65">
        <v>9.9</v>
      </c>
      <c r="W71" s="65">
        <v>9.9</v>
      </c>
      <c r="X71" s="65">
        <v>9.9</v>
      </c>
      <c r="Y71" s="65">
        <v>9.9</v>
      </c>
      <c r="Z71" s="65">
        <v>9.9</v>
      </c>
      <c r="AA71" s="65">
        <v>9.9</v>
      </c>
      <c r="AB71" s="65">
        <v>9.9</v>
      </c>
      <c r="AC71" s="65">
        <v>9.9</v>
      </c>
      <c r="AD71" s="65">
        <v>9.9</v>
      </c>
      <c r="AE71" s="65">
        <v>9.9</v>
      </c>
      <c r="AF71" s="65">
        <v>9.9</v>
      </c>
      <c r="AG71" s="55">
        <v>14.1</v>
      </c>
      <c r="AH71" s="47">
        <f t="shared" si="2"/>
        <v>9.9</v>
      </c>
      <c r="AI71" s="48">
        <f t="shared" si="3"/>
        <v>9.9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3.2</v>
      </c>
      <c r="C72" s="65">
        <v>3.2</v>
      </c>
      <c r="D72" s="65">
        <v>3.2</v>
      </c>
      <c r="E72" s="65">
        <v>3.2</v>
      </c>
      <c r="F72" s="65">
        <v>3.2</v>
      </c>
      <c r="G72" s="65">
        <v>3.2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2"/>
        <v>3.4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Q76" si="35">SUM(B63:B75)</f>
        <v>89.940000000000012</v>
      </c>
      <c r="C76" s="60">
        <f t="shared" si="35"/>
        <v>79.940000000000012</v>
      </c>
      <c r="D76" s="60">
        <f t="shared" si="35"/>
        <v>79.940000000000012</v>
      </c>
      <c r="E76" s="60">
        <f t="shared" si="35"/>
        <v>80.440000000000012</v>
      </c>
      <c r="F76" s="60">
        <f t="shared" si="35"/>
        <v>97.440000000000012</v>
      </c>
      <c r="G76" s="60">
        <f t="shared" si="35"/>
        <v>97.440000000000012</v>
      </c>
      <c r="H76" s="60">
        <f t="shared" si="35"/>
        <v>119.94000000000001</v>
      </c>
      <c r="I76" s="60">
        <f t="shared" si="35"/>
        <v>197.94</v>
      </c>
      <c r="J76" s="60">
        <f t="shared" si="35"/>
        <v>263.64000000000004</v>
      </c>
      <c r="K76" s="60">
        <f t="shared" si="35"/>
        <v>276.64</v>
      </c>
      <c r="L76" s="60">
        <f t="shared" si="35"/>
        <v>308.94</v>
      </c>
      <c r="M76" s="60">
        <f t="shared" si="35"/>
        <v>310.14</v>
      </c>
      <c r="N76" s="60">
        <f t="shared" si="35"/>
        <v>259.04000000000002</v>
      </c>
      <c r="O76" s="60">
        <f t="shared" si="35"/>
        <v>213.24</v>
      </c>
      <c r="P76" s="60">
        <f t="shared" si="35"/>
        <v>209.24</v>
      </c>
      <c r="Q76" s="60">
        <f t="shared" si="35"/>
        <v>263.74</v>
      </c>
      <c r="R76" s="60">
        <f t="shared" ref="R76:AG76" si="36">SUM(R63:R75)</f>
        <v>282.54000000000002</v>
      </c>
      <c r="S76" s="60">
        <f t="shared" si="36"/>
        <v>264.24000000000007</v>
      </c>
      <c r="T76" s="60">
        <f t="shared" ref="T76:U76" si="37">SUM(T63:T75)</f>
        <v>255.74</v>
      </c>
      <c r="U76" s="60">
        <f t="shared" si="37"/>
        <v>252.84000000000003</v>
      </c>
      <c r="V76" s="60">
        <f t="shared" ref="V76:W76" si="38">SUM(V63:V75)</f>
        <v>167.04</v>
      </c>
      <c r="W76" s="60">
        <f t="shared" si="38"/>
        <v>164.34</v>
      </c>
      <c r="X76" s="60">
        <f t="shared" ref="X76" si="39">SUM(X63:X75)</f>
        <v>216.54</v>
      </c>
      <c r="Y76" s="60">
        <f t="shared" ref="Y76:Z76" si="40">SUM(Y63:Y75)</f>
        <v>259.84000000000003</v>
      </c>
      <c r="Z76" s="60">
        <f t="shared" si="40"/>
        <v>276.94</v>
      </c>
      <c r="AA76" s="60">
        <f t="shared" ref="AA76" si="41">SUM(AA63:AA75)</f>
        <v>259.64000000000004</v>
      </c>
      <c r="AB76" s="60">
        <f t="shared" si="36"/>
        <v>263.04000000000002</v>
      </c>
      <c r="AC76" s="60">
        <f t="shared" si="36"/>
        <v>221.04</v>
      </c>
      <c r="AD76" s="60">
        <f t="shared" si="36"/>
        <v>181.44</v>
      </c>
      <c r="AE76" s="60">
        <f t="shared" si="36"/>
        <v>161.54</v>
      </c>
      <c r="AF76" s="60">
        <f t="shared" si="36"/>
        <v>135.64000000000001</v>
      </c>
      <c r="AG76" s="61">
        <f t="shared" si="36"/>
        <v>489.91</v>
      </c>
      <c r="AH76" s="47">
        <f t="shared" si="2"/>
        <v>310.14</v>
      </c>
      <c r="AI76" s="48">
        <f t="shared" si="3"/>
        <v>79.940000000000012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Q80" si="42">B77+B78+B79</f>
        <v>0</v>
      </c>
      <c r="C80" s="60">
        <f t="shared" si="42"/>
        <v>0</v>
      </c>
      <c r="D80" s="60">
        <f t="shared" si="42"/>
        <v>0</v>
      </c>
      <c r="E80" s="60">
        <f t="shared" si="42"/>
        <v>0</v>
      </c>
      <c r="F80" s="60">
        <f t="shared" si="42"/>
        <v>0</v>
      </c>
      <c r="G80" s="60">
        <f t="shared" si="42"/>
        <v>0</v>
      </c>
      <c r="H80" s="60">
        <f t="shared" si="42"/>
        <v>0</v>
      </c>
      <c r="I80" s="60">
        <f t="shared" si="42"/>
        <v>0</v>
      </c>
      <c r="J80" s="60">
        <f t="shared" si="42"/>
        <v>0</v>
      </c>
      <c r="K80" s="60">
        <f t="shared" si="42"/>
        <v>0</v>
      </c>
      <c r="L80" s="60">
        <f t="shared" si="42"/>
        <v>0</v>
      </c>
      <c r="M80" s="60">
        <f t="shared" si="42"/>
        <v>0</v>
      </c>
      <c r="N80" s="60">
        <f t="shared" si="42"/>
        <v>0</v>
      </c>
      <c r="O80" s="60">
        <f t="shared" si="42"/>
        <v>0</v>
      </c>
      <c r="P80" s="60">
        <f t="shared" si="42"/>
        <v>0</v>
      </c>
      <c r="Q80" s="60">
        <f t="shared" si="42"/>
        <v>0</v>
      </c>
      <c r="R80" s="60">
        <f t="shared" ref="R80:AF80" si="43">R77+R78+R79</f>
        <v>0</v>
      </c>
      <c r="S80" s="60">
        <f t="shared" si="43"/>
        <v>0</v>
      </c>
      <c r="T80" s="60">
        <f t="shared" ref="T80:U80" si="44">T77+T78+T79</f>
        <v>0</v>
      </c>
      <c r="U80" s="60">
        <f t="shared" si="44"/>
        <v>0</v>
      </c>
      <c r="V80" s="60">
        <f t="shared" ref="V80:W80" si="45">V77+V78+V79</f>
        <v>0</v>
      </c>
      <c r="W80" s="60">
        <f t="shared" si="45"/>
        <v>0</v>
      </c>
      <c r="X80" s="60">
        <f t="shared" ref="X80" si="46">X77+X78+X79</f>
        <v>0</v>
      </c>
      <c r="Y80" s="60">
        <f t="shared" ref="Y80:Z80" si="47">Y77+Y78+Y79</f>
        <v>0</v>
      </c>
      <c r="Z80" s="60">
        <f t="shared" si="47"/>
        <v>0</v>
      </c>
      <c r="AA80" s="60">
        <f t="shared" ref="AA80" si="48">AA77+AA78+AA79</f>
        <v>0</v>
      </c>
      <c r="AB80" s="60">
        <f t="shared" si="43"/>
        <v>0</v>
      </c>
      <c r="AC80" s="60">
        <f t="shared" si="43"/>
        <v>0</v>
      </c>
      <c r="AD80" s="60">
        <f t="shared" si="43"/>
        <v>0</v>
      </c>
      <c r="AE80" s="60">
        <f t="shared" si="43"/>
        <v>0</v>
      </c>
      <c r="AF80" s="60">
        <f t="shared" si="43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55</v>
      </c>
      <c r="C81" s="45">
        <v>45</v>
      </c>
      <c r="D81" s="45">
        <v>55</v>
      </c>
      <c r="E81" s="45">
        <v>58.5</v>
      </c>
      <c r="F81" s="45">
        <v>56.3</v>
      </c>
      <c r="G81" s="45">
        <v>53.4</v>
      </c>
      <c r="H81" s="45">
        <v>53.2</v>
      </c>
      <c r="I81" s="45">
        <v>61.8</v>
      </c>
      <c r="J81" s="45">
        <v>67.8</v>
      </c>
      <c r="K81" s="45">
        <v>68.2</v>
      </c>
      <c r="L81" s="45">
        <v>69.400000000000006</v>
      </c>
      <c r="M81" s="45">
        <v>58.8</v>
      </c>
      <c r="N81" s="45">
        <v>51.5</v>
      </c>
      <c r="O81" s="45">
        <v>59.3</v>
      </c>
      <c r="P81" s="45">
        <v>64.599999999999994</v>
      </c>
      <c r="Q81" s="45">
        <v>74.599999999999994</v>
      </c>
      <c r="R81" s="45">
        <v>74.599999999999994</v>
      </c>
      <c r="S81" s="45">
        <v>65.7</v>
      </c>
      <c r="T81" s="45">
        <v>67.099999999999994</v>
      </c>
      <c r="U81" s="45">
        <v>72.8</v>
      </c>
      <c r="V81" s="45">
        <v>61.7</v>
      </c>
      <c r="W81" s="45">
        <v>63.6</v>
      </c>
      <c r="X81" s="45">
        <v>67.900000000000006</v>
      </c>
      <c r="Y81" s="45">
        <v>63.4</v>
      </c>
      <c r="Z81" s="45">
        <v>64.900000000000006</v>
      </c>
      <c r="AA81" s="45">
        <v>64.2</v>
      </c>
      <c r="AB81" s="45">
        <v>62.1</v>
      </c>
      <c r="AC81" s="45">
        <v>62.8</v>
      </c>
      <c r="AD81" s="45">
        <v>66.7</v>
      </c>
      <c r="AE81" s="45">
        <v>56</v>
      </c>
      <c r="AF81" s="45">
        <v>63.9</v>
      </c>
      <c r="AG81" s="52"/>
      <c r="AH81" s="47">
        <f t="shared" si="2"/>
        <v>74.599999999999994</v>
      </c>
      <c r="AI81" s="48">
        <f t="shared" si="3"/>
        <v>45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356</v>
      </c>
      <c r="C83" s="65">
        <v>391</v>
      </c>
      <c r="D83" s="65">
        <v>407</v>
      </c>
      <c r="E83" s="65">
        <v>423</v>
      </c>
      <c r="F83" s="65">
        <v>408.7</v>
      </c>
      <c r="G83" s="65">
        <v>432</v>
      </c>
      <c r="H83" s="65">
        <v>405.7</v>
      </c>
      <c r="I83" s="65">
        <v>387</v>
      </c>
      <c r="J83" s="65">
        <v>413</v>
      </c>
      <c r="K83" s="65">
        <v>285.5</v>
      </c>
      <c r="L83" s="65">
        <v>138.5</v>
      </c>
      <c r="M83" s="65">
        <v>105</v>
      </c>
      <c r="N83" s="65">
        <v>253.5</v>
      </c>
      <c r="O83" s="65">
        <v>295.3</v>
      </c>
      <c r="P83" s="65">
        <v>327</v>
      </c>
      <c r="Q83" s="65">
        <v>387</v>
      </c>
      <c r="R83" s="65">
        <v>412</v>
      </c>
      <c r="S83" s="65">
        <v>412</v>
      </c>
      <c r="T83" s="65">
        <v>439.1</v>
      </c>
      <c r="U83" s="65">
        <v>422.7</v>
      </c>
      <c r="V83" s="65">
        <v>329.6</v>
      </c>
      <c r="W83" s="65">
        <v>313.3</v>
      </c>
      <c r="X83" s="65">
        <v>289.89999999999998</v>
      </c>
      <c r="Y83" s="65">
        <v>294.10000000000002</v>
      </c>
      <c r="Z83" s="65">
        <v>172.6</v>
      </c>
      <c r="AA83" s="65">
        <v>156</v>
      </c>
      <c r="AB83" s="65">
        <v>241</v>
      </c>
      <c r="AC83" s="65">
        <v>301</v>
      </c>
      <c r="AD83" s="65">
        <v>379</v>
      </c>
      <c r="AE83" s="65">
        <v>378</v>
      </c>
      <c r="AF83" s="65">
        <v>419</v>
      </c>
      <c r="AG83" s="75"/>
      <c r="AH83" s="47">
        <f t="shared" si="2"/>
        <v>439.1</v>
      </c>
      <c r="AI83" s="48">
        <f t="shared" si="3"/>
        <v>105</v>
      </c>
      <c r="AK83" s="50"/>
    </row>
    <row r="84" spans="1:40" x14ac:dyDescent="0.25">
      <c r="A84" s="54" t="s">
        <v>84</v>
      </c>
      <c r="B84" s="65">
        <v>55</v>
      </c>
      <c r="C84" s="65">
        <v>15</v>
      </c>
      <c r="D84" s="65">
        <v>15</v>
      </c>
      <c r="E84" s="76">
        <v>15</v>
      </c>
      <c r="F84" s="76">
        <v>15</v>
      </c>
      <c r="G84" s="76">
        <v>52</v>
      </c>
      <c r="H84" s="76">
        <v>54</v>
      </c>
      <c r="I84" s="76">
        <v>58</v>
      </c>
      <c r="J84" s="76">
        <v>42.4</v>
      </c>
      <c r="K84" s="76">
        <v>32</v>
      </c>
      <c r="L84" s="76">
        <v>25.4</v>
      </c>
      <c r="M84" s="76">
        <v>20</v>
      </c>
      <c r="N84" s="76">
        <v>25</v>
      </c>
      <c r="O84" s="76">
        <v>22</v>
      </c>
      <c r="P84" s="76">
        <v>38</v>
      </c>
      <c r="Q84" s="76">
        <v>52</v>
      </c>
      <c r="R84" s="76">
        <v>48</v>
      </c>
      <c r="S84" s="76">
        <v>50.6</v>
      </c>
      <c r="T84" s="76">
        <v>47</v>
      </c>
      <c r="U84" s="76">
        <v>47</v>
      </c>
      <c r="V84" s="76">
        <v>11.5</v>
      </c>
      <c r="W84" s="76">
        <v>13.4</v>
      </c>
      <c r="X84" s="76">
        <v>13.3</v>
      </c>
      <c r="Y84" s="76">
        <v>10.199999999999999</v>
      </c>
      <c r="Z84" s="76">
        <v>10.199999999999999</v>
      </c>
      <c r="AA84" s="76">
        <v>8.5</v>
      </c>
      <c r="AB84" s="76">
        <v>25</v>
      </c>
      <c r="AC84" s="76">
        <v>35</v>
      </c>
      <c r="AD84" s="76">
        <v>45.6</v>
      </c>
      <c r="AE84" s="76">
        <v>5</v>
      </c>
      <c r="AF84" s="76">
        <v>3</v>
      </c>
      <c r="AG84" s="75"/>
      <c r="AH84" s="47">
        <f t="shared" si="2"/>
        <v>58</v>
      </c>
      <c r="AI84" s="48">
        <f t="shared" si="3"/>
        <v>3</v>
      </c>
      <c r="AK84" s="50"/>
    </row>
    <row r="85" spans="1:40" x14ac:dyDescent="0.25">
      <c r="A85" s="54" t="s">
        <v>85</v>
      </c>
      <c r="B85" s="45">
        <v>20</v>
      </c>
      <c r="C85" s="45">
        <v>24</v>
      </c>
      <c r="D85" s="45">
        <v>22</v>
      </c>
      <c r="E85" s="45">
        <v>23</v>
      </c>
      <c r="F85" s="45">
        <v>23.4</v>
      </c>
      <c r="G85" s="45">
        <v>22.8</v>
      </c>
      <c r="H85" s="45">
        <v>22</v>
      </c>
      <c r="I85" s="45">
        <v>23.8</v>
      </c>
      <c r="J85" s="45">
        <v>25.6</v>
      </c>
      <c r="K85" s="45">
        <v>25</v>
      </c>
      <c r="L85" s="45">
        <v>26.4</v>
      </c>
      <c r="M85" s="45">
        <v>26</v>
      </c>
      <c r="N85" s="45">
        <v>30.2</v>
      </c>
      <c r="O85" s="45">
        <v>0</v>
      </c>
      <c r="P85" s="45">
        <v>0</v>
      </c>
      <c r="Q85" s="45">
        <v>91</v>
      </c>
      <c r="R85" s="45">
        <v>102</v>
      </c>
      <c r="S85" s="45">
        <v>83.6</v>
      </c>
      <c r="T85" s="45">
        <v>106.2</v>
      </c>
      <c r="U85" s="45">
        <v>105</v>
      </c>
      <c r="V85" s="45">
        <v>60.4</v>
      </c>
      <c r="W85" s="45">
        <v>59.7</v>
      </c>
      <c r="X85" s="45">
        <v>51.2</v>
      </c>
      <c r="Y85" s="45">
        <v>53.2</v>
      </c>
      <c r="Z85" s="45">
        <v>53</v>
      </c>
      <c r="AA85" s="45">
        <v>57.4</v>
      </c>
      <c r="AB85" s="45">
        <v>60</v>
      </c>
      <c r="AC85" s="45">
        <v>70</v>
      </c>
      <c r="AD85" s="45">
        <v>92</v>
      </c>
      <c r="AE85" s="45">
        <v>91</v>
      </c>
      <c r="AF85" s="45">
        <v>0</v>
      </c>
      <c r="AG85" s="75"/>
      <c r="AH85" s="47">
        <f t="shared" ref="AH85:AH130" si="49">MAX(B85:AF85)</f>
        <v>106.2</v>
      </c>
      <c r="AI85" s="48">
        <f t="shared" ref="AI85:AI130" si="50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9"/>
        <v>0</v>
      </c>
      <c r="AI86" s="48">
        <f t="shared" si="50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9"/>
        <v>0</v>
      </c>
      <c r="AI87" s="48">
        <f t="shared" si="5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9"/>
        <v>0</v>
      </c>
      <c r="AI88" s="48">
        <f t="shared" si="5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9"/>
        <v>0</v>
      </c>
      <c r="AI89" s="48">
        <f t="shared" si="5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9"/>
        <v>0</v>
      </c>
      <c r="AI90" s="48">
        <f t="shared" si="5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49.5</v>
      </c>
      <c r="C91" s="77">
        <v>45</v>
      </c>
      <c r="D91" s="77">
        <v>46.6</v>
      </c>
      <c r="E91" s="77">
        <v>48.8</v>
      </c>
      <c r="F91" s="77">
        <v>50</v>
      </c>
      <c r="G91" s="77">
        <v>53</v>
      </c>
      <c r="H91" s="77">
        <v>47.6</v>
      </c>
      <c r="I91" s="77">
        <v>48.1</v>
      </c>
      <c r="J91" s="77">
        <v>62.1</v>
      </c>
      <c r="K91" s="77">
        <v>58.8</v>
      </c>
      <c r="L91" s="77">
        <v>57.4</v>
      </c>
      <c r="M91" s="77">
        <v>55.4</v>
      </c>
      <c r="N91" s="77">
        <v>63.6</v>
      </c>
      <c r="O91" s="77">
        <v>72.8</v>
      </c>
      <c r="P91" s="77">
        <v>69</v>
      </c>
      <c r="Q91" s="77">
        <v>68.3</v>
      </c>
      <c r="R91" s="77">
        <v>61.5</v>
      </c>
      <c r="S91" s="77">
        <v>66.099999999999994</v>
      </c>
      <c r="T91" s="77">
        <v>75.900000000000006</v>
      </c>
      <c r="U91" s="77">
        <v>73.3</v>
      </c>
      <c r="V91" s="77">
        <v>59</v>
      </c>
      <c r="W91" s="77">
        <v>52.4</v>
      </c>
      <c r="X91" s="77">
        <v>59.7</v>
      </c>
      <c r="Y91" s="77">
        <v>68.8</v>
      </c>
      <c r="Z91" s="77">
        <v>71.599999999999994</v>
      </c>
      <c r="AA91" s="77">
        <v>71.8</v>
      </c>
      <c r="AB91" s="77">
        <v>73.599999999999994</v>
      </c>
      <c r="AC91" s="77">
        <v>73.7</v>
      </c>
      <c r="AD91" s="77">
        <v>69</v>
      </c>
      <c r="AE91" s="77">
        <v>71</v>
      </c>
      <c r="AF91" s="77">
        <v>47.3</v>
      </c>
      <c r="AG91" s="85"/>
      <c r="AH91" s="47">
        <f t="shared" si="49"/>
        <v>75.900000000000006</v>
      </c>
      <c r="AI91" s="48">
        <f t="shared" si="50"/>
        <v>45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Q92" si="51">SUMIF(B81:B91,"&gt;0")</f>
        <v>535.5</v>
      </c>
      <c r="C92" s="60">
        <f t="shared" si="51"/>
        <v>520</v>
      </c>
      <c r="D92" s="60">
        <f t="shared" si="51"/>
        <v>545.6</v>
      </c>
      <c r="E92" s="60">
        <f t="shared" si="51"/>
        <v>568.29999999999995</v>
      </c>
      <c r="F92" s="60">
        <f t="shared" si="51"/>
        <v>553.4</v>
      </c>
      <c r="G92" s="60">
        <f t="shared" si="51"/>
        <v>613.19999999999993</v>
      </c>
      <c r="H92" s="60">
        <f t="shared" si="51"/>
        <v>582.5</v>
      </c>
      <c r="I92" s="60">
        <f t="shared" si="51"/>
        <v>578.70000000000005</v>
      </c>
      <c r="J92" s="60">
        <f t="shared" si="51"/>
        <v>610.90000000000009</v>
      </c>
      <c r="K92" s="60">
        <f t="shared" si="51"/>
        <v>469.5</v>
      </c>
      <c r="L92" s="60">
        <f t="shared" si="51"/>
        <v>317.09999999999997</v>
      </c>
      <c r="M92" s="60">
        <f t="shared" si="51"/>
        <v>265.2</v>
      </c>
      <c r="N92" s="60">
        <f t="shared" si="51"/>
        <v>423.8</v>
      </c>
      <c r="O92" s="60">
        <f t="shared" si="51"/>
        <v>449.40000000000003</v>
      </c>
      <c r="P92" s="60">
        <f t="shared" si="51"/>
        <v>498.6</v>
      </c>
      <c r="Q92" s="60">
        <f t="shared" si="51"/>
        <v>672.9</v>
      </c>
      <c r="R92" s="60">
        <f t="shared" ref="R92:AF92" si="52">SUMIF(R81:R91,"&gt;0")</f>
        <v>698.1</v>
      </c>
      <c r="S92" s="60">
        <f t="shared" si="52"/>
        <v>678</v>
      </c>
      <c r="T92" s="60">
        <f t="shared" ref="T92:U92" si="53">SUMIF(T81:T91,"&gt;0")</f>
        <v>735.30000000000007</v>
      </c>
      <c r="U92" s="60">
        <f t="shared" si="53"/>
        <v>720.8</v>
      </c>
      <c r="V92" s="60">
        <f t="shared" ref="V92:W92" si="54">SUMIF(V81:V91,"&gt;0")</f>
        <v>522.20000000000005</v>
      </c>
      <c r="W92" s="60">
        <f t="shared" si="54"/>
        <v>502.4</v>
      </c>
      <c r="X92" s="60">
        <f t="shared" ref="X92" si="55">SUMIF(X81:X91,"&gt;0")</f>
        <v>481.99999999999994</v>
      </c>
      <c r="Y92" s="60">
        <f t="shared" ref="Y92:Z92" si="56">SUMIF(Y81:Y91,"&gt;0")</f>
        <v>489.7</v>
      </c>
      <c r="Z92" s="60">
        <f t="shared" si="56"/>
        <v>372.29999999999995</v>
      </c>
      <c r="AA92" s="60">
        <f t="shared" ref="AA92" si="57">SUMIF(AA81:AA91,"&gt;0")</f>
        <v>357.9</v>
      </c>
      <c r="AB92" s="60">
        <f t="shared" si="52"/>
        <v>461.70000000000005</v>
      </c>
      <c r="AC92" s="60">
        <f t="shared" si="52"/>
        <v>542.5</v>
      </c>
      <c r="AD92" s="60">
        <f t="shared" si="52"/>
        <v>652.29999999999995</v>
      </c>
      <c r="AE92" s="60">
        <f t="shared" si="52"/>
        <v>601</v>
      </c>
      <c r="AF92" s="60">
        <f t="shared" si="52"/>
        <v>533.19999999999993</v>
      </c>
      <c r="AG92" s="88">
        <f>SUM(AG81:AG91)</f>
        <v>0</v>
      </c>
      <c r="AH92" s="47">
        <f t="shared" si="49"/>
        <v>735.30000000000007</v>
      </c>
      <c r="AI92" s="48">
        <f t="shared" si="50"/>
        <v>265.2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9"/>
        <v>0</v>
      </c>
      <c r="AI93" s="48">
        <f t="shared" si="50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9"/>
        <v>0</v>
      </c>
      <c r="AI94" s="48">
        <f t="shared" si="50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9"/>
        <v>0</v>
      </c>
      <c r="AI95" s="48">
        <f t="shared" si="50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9"/>
        <v>0</v>
      </c>
      <c r="AI96" s="48">
        <f t="shared" si="50"/>
        <v>0</v>
      </c>
    </row>
    <row r="97" spans="1:37" ht="15.75" thickBot="1" x14ac:dyDescent="0.3">
      <c r="A97" s="74" t="s">
        <v>99</v>
      </c>
      <c r="B97" s="95">
        <f t="shared" ref="B97:Q97" si="58">B58+B62+B80+B76+B92+B96</f>
        <v>1135.29</v>
      </c>
      <c r="C97" s="95">
        <f t="shared" si="58"/>
        <v>1109.79</v>
      </c>
      <c r="D97" s="95">
        <f t="shared" si="58"/>
        <v>1135.3900000000001</v>
      </c>
      <c r="E97" s="95">
        <f t="shared" si="58"/>
        <v>1158.79</v>
      </c>
      <c r="F97" s="95">
        <f t="shared" si="58"/>
        <v>1160.8899999999999</v>
      </c>
      <c r="G97" s="95">
        <f t="shared" si="58"/>
        <v>1220.69</v>
      </c>
      <c r="H97" s="95">
        <f t="shared" si="58"/>
        <v>1257.49</v>
      </c>
      <c r="I97" s="95">
        <f t="shared" si="58"/>
        <v>1346.69</v>
      </c>
      <c r="J97" s="95">
        <f t="shared" si="58"/>
        <v>1444.5900000000001</v>
      </c>
      <c r="K97" s="95">
        <f t="shared" si="58"/>
        <v>1476.19</v>
      </c>
      <c r="L97" s="95">
        <f t="shared" si="58"/>
        <v>1468.49</v>
      </c>
      <c r="M97" s="95">
        <f t="shared" si="58"/>
        <v>1461.89</v>
      </c>
      <c r="N97" s="95">
        <f t="shared" si="58"/>
        <v>1369.3899999999999</v>
      </c>
      <c r="O97" s="95">
        <f t="shared" si="58"/>
        <v>1299.0900000000001</v>
      </c>
      <c r="P97" s="95">
        <f t="shared" si="58"/>
        <v>1254.29</v>
      </c>
      <c r="Q97" s="95">
        <f t="shared" si="58"/>
        <v>1481.5900000000001</v>
      </c>
      <c r="R97" s="95">
        <f t="shared" ref="R97:AG97" si="59">R58+R62+R80+R76+R92+R96</f>
        <v>1500.5900000000001</v>
      </c>
      <c r="S97" s="95">
        <f t="shared" si="59"/>
        <v>1462.19</v>
      </c>
      <c r="T97" s="95">
        <f t="shared" ref="T97:U97" si="60">T58+T62+T80+T76+T92+T96</f>
        <v>1510.9900000000002</v>
      </c>
      <c r="U97" s="95">
        <f t="shared" si="60"/>
        <v>1493.5900000000001</v>
      </c>
      <c r="V97" s="95">
        <f t="shared" ref="V97:W97" si="61">V58+V62+V80+V76+V92+V96</f>
        <v>1209.19</v>
      </c>
      <c r="W97" s="95">
        <f t="shared" si="61"/>
        <v>1186.69</v>
      </c>
      <c r="X97" s="95">
        <f t="shared" ref="X97" si="62">X58+X62+X80+X76+X92+X96</f>
        <v>1285.79</v>
      </c>
      <c r="Y97" s="95">
        <f t="shared" ref="Y97:Z97" si="63">Y58+Y62+Y80+Y76+Y92+Y96</f>
        <v>1410.79</v>
      </c>
      <c r="Z97" s="95">
        <f t="shared" si="63"/>
        <v>1470.49</v>
      </c>
      <c r="AA97" s="95">
        <f t="shared" ref="AA97" si="64">AA58+AA62+AA80+AA76+AA92+AA96</f>
        <v>1428.79</v>
      </c>
      <c r="AB97" s="95">
        <f t="shared" si="59"/>
        <v>1383.7900000000002</v>
      </c>
      <c r="AC97" s="95">
        <f t="shared" si="59"/>
        <v>1366.19</v>
      </c>
      <c r="AD97" s="95">
        <f t="shared" si="59"/>
        <v>1382.39</v>
      </c>
      <c r="AE97" s="95">
        <f t="shared" si="59"/>
        <v>1271.19</v>
      </c>
      <c r="AF97" s="95">
        <f t="shared" si="59"/>
        <v>1182.19</v>
      </c>
      <c r="AG97" s="61">
        <f t="shared" si="59"/>
        <v>2231.81</v>
      </c>
      <c r="AH97" s="47">
        <f t="shared" si="49"/>
        <v>1510.9900000000002</v>
      </c>
      <c r="AI97" s="48">
        <f t="shared" si="50"/>
        <v>1109.79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200</v>
      </c>
      <c r="M98" s="97">
        <v>200</v>
      </c>
      <c r="N98" s="97">
        <v>200</v>
      </c>
      <c r="O98" s="97">
        <v>200</v>
      </c>
      <c r="P98" s="97">
        <v>180</v>
      </c>
      <c r="Q98" s="97"/>
      <c r="R98" s="97"/>
      <c r="S98" s="97"/>
      <c r="T98" s="97"/>
      <c r="U98" s="97"/>
      <c r="V98" s="97"/>
      <c r="W98" s="97">
        <v>330</v>
      </c>
      <c r="X98" s="97">
        <v>330</v>
      </c>
      <c r="Y98" s="97">
        <v>330</v>
      </c>
      <c r="Z98" s="97">
        <v>280</v>
      </c>
      <c r="AA98" s="97">
        <v>280</v>
      </c>
      <c r="AB98" s="97">
        <v>150</v>
      </c>
      <c r="AC98" s="97">
        <v>140</v>
      </c>
      <c r="AD98" s="97">
        <v>50</v>
      </c>
      <c r="AE98" s="97"/>
      <c r="AF98" s="97"/>
      <c r="AG98" s="88"/>
      <c r="AH98" s="47">
        <f t="shared" si="49"/>
        <v>330</v>
      </c>
      <c r="AI98" s="48">
        <f t="shared" si="50"/>
        <v>50</v>
      </c>
    </row>
    <row r="99" spans="1:37" ht="15.75" thickBot="1" x14ac:dyDescent="0.3">
      <c r="A99" s="74" t="s">
        <v>101</v>
      </c>
      <c r="B99" s="95">
        <f t="shared" ref="B99:Q99" si="65">B97+B98</f>
        <v>1135.29</v>
      </c>
      <c r="C99" s="95">
        <f t="shared" si="65"/>
        <v>1109.79</v>
      </c>
      <c r="D99" s="95">
        <f t="shared" si="65"/>
        <v>1135.3900000000001</v>
      </c>
      <c r="E99" s="95">
        <f t="shared" si="65"/>
        <v>1158.79</v>
      </c>
      <c r="F99" s="95">
        <f t="shared" si="65"/>
        <v>1160.8899999999999</v>
      </c>
      <c r="G99" s="95">
        <f t="shared" si="65"/>
        <v>1220.69</v>
      </c>
      <c r="H99" s="95">
        <f t="shared" si="65"/>
        <v>1257.49</v>
      </c>
      <c r="I99" s="95">
        <f t="shared" si="65"/>
        <v>1346.69</v>
      </c>
      <c r="J99" s="95">
        <f t="shared" si="65"/>
        <v>1444.5900000000001</v>
      </c>
      <c r="K99" s="95">
        <f t="shared" si="65"/>
        <v>1476.19</v>
      </c>
      <c r="L99" s="95">
        <f t="shared" si="65"/>
        <v>1668.49</v>
      </c>
      <c r="M99" s="95">
        <f t="shared" si="65"/>
        <v>1661.89</v>
      </c>
      <c r="N99" s="95">
        <f t="shared" si="65"/>
        <v>1569.3899999999999</v>
      </c>
      <c r="O99" s="95">
        <f t="shared" si="65"/>
        <v>1499.0900000000001</v>
      </c>
      <c r="P99" s="95">
        <f t="shared" si="65"/>
        <v>1434.29</v>
      </c>
      <c r="Q99" s="95">
        <f t="shared" si="65"/>
        <v>1481.5900000000001</v>
      </c>
      <c r="R99" s="95">
        <f t="shared" ref="R99:AF99" si="66">R97+R98</f>
        <v>1500.5900000000001</v>
      </c>
      <c r="S99" s="95">
        <f t="shared" si="66"/>
        <v>1462.19</v>
      </c>
      <c r="T99" s="95">
        <f t="shared" ref="T99:U99" si="67">T97+T98</f>
        <v>1510.9900000000002</v>
      </c>
      <c r="U99" s="95">
        <f t="shared" si="67"/>
        <v>1493.5900000000001</v>
      </c>
      <c r="V99" s="95">
        <f t="shared" ref="V99:W99" si="68">V97+V98</f>
        <v>1209.19</v>
      </c>
      <c r="W99" s="95">
        <f t="shared" si="68"/>
        <v>1516.69</v>
      </c>
      <c r="X99" s="95">
        <f t="shared" ref="X99" si="69">X97+X98</f>
        <v>1615.79</v>
      </c>
      <c r="Y99" s="95">
        <f t="shared" ref="Y99:Z99" si="70">Y97+Y98</f>
        <v>1740.79</v>
      </c>
      <c r="Z99" s="95">
        <f t="shared" si="70"/>
        <v>1750.49</v>
      </c>
      <c r="AA99" s="95">
        <f t="shared" ref="AA99" si="71">AA97+AA98</f>
        <v>1708.79</v>
      </c>
      <c r="AB99" s="95">
        <f t="shared" si="66"/>
        <v>1533.7900000000002</v>
      </c>
      <c r="AC99" s="95">
        <f t="shared" si="66"/>
        <v>1506.19</v>
      </c>
      <c r="AD99" s="95">
        <f t="shared" si="66"/>
        <v>1432.39</v>
      </c>
      <c r="AE99" s="95">
        <f t="shared" si="66"/>
        <v>1271.19</v>
      </c>
      <c r="AF99" s="95">
        <f t="shared" si="66"/>
        <v>1182.19</v>
      </c>
      <c r="AG99" s="88">
        <f>AG96+AG92+AG80+AG76+AG58+AG98</f>
        <v>1693.71</v>
      </c>
      <c r="AH99" s="47">
        <f t="shared" si="49"/>
        <v>1750.49</v>
      </c>
      <c r="AI99" s="48">
        <f t="shared" si="50"/>
        <v>1109.79</v>
      </c>
    </row>
    <row r="100" spans="1:37" ht="15.75" thickBot="1" x14ac:dyDescent="0.3">
      <c r="A100" s="74" t="s">
        <v>102</v>
      </c>
      <c r="B100" s="95">
        <f t="shared" ref="B100:M100" si="72">B99-(B107)</f>
        <v>1135.29</v>
      </c>
      <c r="C100" s="95">
        <f t="shared" si="72"/>
        <v>1109.79</v>
      </c>
      <c r="D100" s="95">
        <f t="shared" si="72"/>
        <v>1135.3900000000001</v>
      </c>
      <c r="E100" s="95">
        <f t="shared" si="72"/>
        <v>1158.79</v>
      </c>
      <c r="F100" s="95">
        <f t="shared" si="72"/>
        <v>1160.8899999999999</v>
      </c>
      <c r="G100" s="95">
        <f t="shared" si="72"/>
        <v>1220.69</v>
      </c>
      <c r="H100" s="95">
        <f t="shared" si="72"/>
        <v>1257.49</v>
      </c>
      <c r="I100" s="95">
        <f t="shared" si="72"/>
        <v>1346.69</v>
      </c>
      <c r="J100" s="95">
        <f t="shared" si="72"/>
        <v>1444.5900000000001</v>
      </c>
      <c r="K100" s="95">
        <f t="shared" si="72"/>
        <v>1476.19</v>
      </c>
      <c r="L100" s="95">
        <f t="shared" si="72"/>
        <v>1668.49</v>
      </c>
      <c r="M100" s="95">
        <f t="shared" si="72"/>
        <v>1661.89</v>
      </c>
      <c r="N100" s="95">
        <f>N99-(N107)</f>
        <v>1569.3899999999999</v>
      </c>
      <c r="O100" s="95">
        <f t="shared" ref="O100:Q100" si="73">O99-(O107)</f>
        <v>1499.0900000000001</v>
      </c>
      <c r="P100" s="95">
        <f t="shared" si="73"/>
        <v>1434.29</v>
      </c>
      <c r="Q100" s="95">
        <f t="shared" si="73"/>
        <v>1481.5900000000001</v>
      </c>
      <c r="R100" s="95">
        <f t="shared" ref="R100:AF100" si="74">R99-(R107)</f>
        <v>1500.5900000000001</v>
      </c>
      <c r="S100" s="95">
        <f t="shared" si="74"/>
        <v>1462.19</v>
      </c>
      <c r="T100" s="95">
        <f t="shared" ref="T100:U100" si="75">T99-(T107)</f>
        <v>1510.9900000000002</v>
      </c>
      <c r="U100" s="95">
        <f t="shared" si="75"/>
        <v>1493.5900000000001</v>
      </c>
      <c r="V100" s="95">
        <f t="shared" ref="V100:W100" si="76">V99-(V107)</f>
        <v>1209.19</v>
      </c>
      <c r="W100" s="95">
        <f t="shared" si="76"/>
        <v>1516.69</v>
      </c>
      <c r="X100" s="95">
        <f t="shared" ref="X100" si="77">X99-(X107)</f>
        <v>1615.79</v>
      </c>
      <c r="Y100" s="95">
        <f t="shared" ref="Y100:Z100" si="78">Y99-(Y107)</f>
        <v>1740.79</v>
      </c>
      <c r="Z100" s="95">
        <f t="shared" si="78"/>
        <v>1750.49</v>
      </c>
      <c r="AA100" s="95">
        <f t="shared" ref="AA100" si="79">AA99-(AA107)</f>
        <v>1708.79</v>
      </c>
      <c r="AB100" s="95">
        <f t="shared" si="74"/>
        <v>1533.7900000000002</v>
      </c>
      <c r="AC100" s="95">
        <f t="shared" si="74"/>
        <v>1506.19</v>
      </c>
      <c r="AD100" s="95">
        <f t="shared" si="74"/>
        <v>1432.39</v>
      </c>
      <c r="AE100" s="95">
        <f t="shared" si="74"/>
        <v>1271.19</v>
      </c>
      <c r="AF100" s="95">
        <f t="shared" si="74"/>
        <v>1182.19</v>
      </c>
      <c r="AG100" s="88"/>
      <c r="AH100" s="47">
        <f t="shared" si="49"/>
        <v>1750.49</v>
      </c>
      <c r="AI100" s="48">
        <f t="shared" si="50"/>
        <v>1109.79</v>
      </c>
    </row>
    <row r="101" spans="1:37" x14ac:dyDescent="0.25">
      <c r="A101" s="44" t="s">
        <v>84</v>
      </c>
      <c r="B101" s="76">
        <f>IF(B84&lt;0,B84*-1,0)</f>
        <v>0</v>
      </c>
      <c r="C101" s="76">
        <f t="shared" ref="C101:Q101" si="80">IF(C84&lt;0,C84*-1,0)</f>
        <v>0</v>
      </c>
      <c r="D101" s="76">
        <f t="shared" si="80"/>
        <v>0</v>
      </c>
      <c r="E101" s="76">
        <f t="shared" si="80"/>
        <v>0</v>
      </c>
      <c r="F101" s="76">
        <f t="shared" si="80"/>
        <v>0</v>
      </c>
      <c r="G101" s="76">
        <f t="shared" si="80"/>
        <v>0</v>
      </c>
      <c r="H101" s="76">
        <f t="shared" si="80"/>
        <v>0</v>
      </c>
      <c r="I101" s="76">
        <f t="shared" si="80"/>
        <v>0</v>
      </c>
      <c r="J101" s="76">
        <f t="shared" si="80"/>
        <v>0</v>
      </c>
      <c r="K101" s="76">
        <f t="shared" si="80"/>
        <v>0</v>
      </c>
      <c r="L101" s="76">
        <f t="shared" si="80"/>
        <v>0</v>
      </c>
      <c r="M101" s="76">
        <f t="shared" si="80"/>
        <v>0</v>
      </c>
      <c r="N101" s="76">
        <f t="shared" si="80"/>
        <v>0</v>
      </c>
      <c r="O101" s="76">
        <f t="shared" si="80"/>
        <v>0</v>
      </c>
      <c r="P101" s="76">
        <f t="shared" si="80"/>
        <v>0</v>
      </c>
      <c r="Q101" s="76">
        <f t="shared" si="80"/>
        <v>0</v>
      </c>
      <c r="R101" s="76">
        <f t="shared" ref="R101:AF101" si="81">IF(R84&lt;0,R84*-1,0)</f>
        <v>0</v>
      </c>
      <c r="S101" s="76">
        <f t="shared" si="81"/>
        <v>0</v>
      </c>
      <c r="T101" s="76">
        <f t="shared" ref="T101:U101" si="82">IF(T84&lt;0,T84*-1,0)</f>
        <v>0</v>
      </c>
      <c r="U101" s="76">
        <f t="shared" si="82"/>
        <v>0</v>
      </c>
      <c r="V101" s="76">
        <f t="shared" ref="V101:W101" si="83">IF(V84&lt;0,V84*-1,0)</f>
        <v>0</v>
      </c>
      <c r="W101" s="76">
        <f t="shared" si="83"/>
        <v>0</v>
      </c>
      <c r="X101" s="76">
        <f t="shared" ref="X101" si="84">IF(X84&lt;0,X84*-1,0)</f>
        <v>0</v>
      </c>
      <c r="Y101" s="76">
        <f t="shared" ref="Y101:Z101" si="85">IF(Y84&lt;0,Y84*-1,0)</f>
        <v>0</v>
      </c>
      <c r="Z101" s="76">
        <f t="shared" si="85"/>
        <v>0</v>
      </c>
      <c r="AA101" s="76">
        <f t="shared" ref="AA101" si="86">IF(AA84&lt;0,AA84*-1,0)</f>
        <v>0</v>
      </c>
      <c r="AB101" s="76">
        <f t="shared" si="81"/>
        <v>0</v>
      </c>
      <c r="AC101" s="76">
        <f t="shared" si="81"/>
        <v>0</v>
      </c>
      <c r="AD101" s="76">
        <f t="shared" si="81"/>
        <v>0</v>
      </c>
      <c r="AE101" s="76">
        <f t="shared" si="81"/>
        <v>0</v>
      </c>
      <c r="AF101" s="76">
        <f t="shared" si="81"/>
        <v>0</v>
      </c>
      <c r="AG101" s="52"/>
      <c r="AH101" s="47">
        <f t="shared" si="49"/>
        <v>0</v>
      </c>
      <c r="AI101" s="48">
        <f t="shared" si="50"/>
        <v>0</v>
      </c>
    </row>
    <row r="102" spans="1:37" x14ac:dyDescent="0.25">
      <c r="A102" s="54" t="s">
        <v>82</v>
      </c>
      <c r="B102" s="76">
        <f>IF(B82&lt;0,B82*-1,0)</f>
        <v>0</v>
      </c>
      <c r="C102" s="76">
        <f t="shared" ref="C102:Q102" si="87">IF(C82&lt;0,C82*-1,0)</f>
        <v>0</v>
      </c>
      <c r="D102" s="76">
        <f t="shared" si="87"/>
        <v>0</v>
      </c>
      <c r="E102" s="76">
        <f t="shared" si="87"/>
        <v>0</v>
      </c>
      <c r="F102" s="76">
        <f t="shared" si="87"/>
        <v>0</v>
      </c>
      <c r="G102" s="76">
        <f t="shared" si="87"/>
        <v>0</v>
      </c>
      <c r="H102" s="76">
        <f t="shared" si="87"/>
        <v>0</v>
      </c>
      <c r="I102" s="76">
        <f t="shared" si="87"/>
        <v>0</v>
      </c>
      <c r="J102" s="76">
        <f t="shared" si="87"/>
        <v>0</v>
      </c>
      <c r="K102" s="76">
        <f t="shared" si="87"/>
        <v>0</v>
      </c>
      <c r="L102" s="76">
        <f t="shared" si="87"/>
        <v>0</v>
      </c>
      <c r="M102" s="76">
        <f t="shared" si="87"/>
        <v>0</v>
      </c>
      <c r="N102" s="76">
        <f t="shared" si="87"/>
        <v>0</v>
      </c>
      <c r="O102" s="76">
        <f t="shared" si="87"/>
        <v>0</v>
      </c>
      <c r="P102" s="76">
        <f t="shared" si="87"/>
        <v>0</v>
      </c>
      <c r="Q102" s="76">
        <f t="shared" si="87"/>
        <v>0</v>
      </c>
      <c r="R102" s="76">
        <f t="shared" ref="R102:AF102" si="88">IF(R82&lt;0,R82*-1,0)</f>
        <v>0</v>
      </c>
      <c r="S102" s="76">
        <f t="shared" si="88"/>
        <v>0</v>
      </c>
      <c r="T102" s="76">
        <f t="shared" ref="T102:U102" si="89">IF(T82&lt;0,T82*-1,0)</f>
        <v>0</v>
      </c>
      <c r="U102" s="76">
        <f t="shared" si="89"/>
        <v>0</v>
      </c>
      <c r="V102" s="76">
        <f t="shared" ref="V102:W102" si="90">IF(V82&lt;0,V82*-1,0)</f>
        <v>0</v>
      </c>
      <c r="W102" s="76">
        <f t="shared" si="90"/>
        <v>0</v>
      </c>
      <c r="X102" s="76">
        <f t="shared" ref="X102" si="91">IF(X82&lt;0,X82*-1,0)</f>
        <v>0</v>
      </c>
      <c r="Y102" s="76">
        <f t="shared" ref="Y102:Z102" si="92">IF(Y82&lt;0,Y82*-1,0)</f>
        <v>0</v>
      </c>
      <c r="Z102" s="76">
        <f t="shared" si="92"/>
        <v>0</v>
      </c>
      <c r="AA102" s="76">
        <f t="shared" ref="AA102" si="93">IF(AA82&lt;0,AA82*-1,0)</f>
        <v>0</v>
      </c>
      <c r="AB102" s="76">
        <f t="shared" si="88"/>
        <v>0</v>
      </c>
      <c r="AC102" s="76">
        <f t="shared" si="88"/>
        <v>0</v>
      </c>
      <c r="AD102" s="76">
        <f t="shared" si="88"/>
        <v>0</v>
      </c>
      <c r="AE102" s="76">
        <f t="shared" si="88"/>
        <v>0</v>
      </c>
      <c r="AF102" s="76">
        <f t="shared" si="88"/>
        <v>0</v>
      </c>
      <c r="AG102" s="55"/>
      <c r="AH102" s="47">
        <f t="shared" si="49"/>
        <v>0</v>
      </c>
      <c r="AI102" s="48">
        <f t="shared" si="50"/>
        <v>0</v>
      </c>
    </row>
    <row r="103" spans="1:37" x14ac:dyDescent="0.25">
      <c r="A103" s="84" t="s">
        <v>103</v>
      </c>
      <c r="B103" s="76">
        <f>IF(B85&lt;0,B85*-1,0)</f>
        <v>0</v>
      </c>
      <c r="C103" s="76">
        <f t="shared" ref="C103:Q103" si="94">IF(C85&lt;0,C85*-1,0)</f>
        <v>0</v>
      </c>
      <c r="D103" s="76">
        <f t="shared" si="94"/>
        <v>0</v>
      </c>
      <c r="E103" s="76">
        <f t="shared" si="94"/>
        <v>0</v>
      </c>
      <c r="F103" s="76">
        <f t="shared" si="94"/>
        <v>0</v>
      </c>
      <c r="G103" s="76">
        <f t="shared" si="94"/>
        <v>0</v>
      </c>
      <c r="H103" s="76">
        <f t="shared" si="94"/>
        <v>0</v>
      </c>
      <c r="I103" s="76">
        <f t="shared" si="94"/>
        <v>0</v>
      </c>
      <c r="J103" s="76">
        <f t="shared" si="94"/>
        <v>0</v>
      </c>
      <c r="K103" s="76">
        <f t="shared" si="94"/>
        <v>0</v>
      </c>
      <c r="L103" s="76">
        <f t="shared" si="94"/>
        <v>0</v>
      </c>
      <c r="M103" s="76">
        <f t="shared" si="94"/>
        <v>0</v>
      </c>
      <c r="N103" s="76">
        <f t="shared" si="94"/>
        <v>0</v>
      </c>
      <c r="O103" s="76">
        <f t="shared" si="94"/>
        <v>0</v>
      </c>
      <c r="P103" s="76">
        <f t="shared" si="94"/>
        <v>0</v>
      </c>
      <c r="Q103" s="76">
        <f t="shared" si="94"/>
        <v>0</v>
      </c>
      <c r="R103" s="76">
        <f t="shared" ref="R103:AF103" si="95">IF(R85&lt;0,R85*-1,0)</f>
        <v>0</v>
      </c>
      <c r="S103" s="76">
        <f t="shared" si="95"/>
        <v>0</v>
      </c>
      <c r="T103" s="76">
        <f t="shared" ref="T103:U103" si="96">IF(T85&lt;0,T85*-1,0)</f>
        <v>0</v>
      </c>
      <c r="U103" s="76">
        <f t="shared" si="96"/>
        <v>0</v>
      </c>
      <c r="V103" s="76">
        <f t="shared" ref="V103:W103" si="97">IF(V85&lt;0,V85*-1,0)</f>
        <v>0</v>
      </c>
      <c r="W103" s="76">
        <f t="shared" si="97"/>
        <v>0</v>
      </c>
      <c r="X103" s="76">
        <f t="shared" ref="X103" si="98">IF(X85&lt;0,X85*-1,0)</f>
        <v>0</v>
      </c>
      <c r="Y103" s="76">
        <f t="shared" ref="Y103:Z103" si="99">IF(Y85&lt;0,Y85*-1,0)</f>
        <v>0</v>
      </c>
      <c r="Z103" s="76">
        <f t="shared" si="99"/>
        <v>0</v>
      </c>
      <c r="AA103" s="76">
        <f t="shared" ref="AA103" si="100">IF(AA85&lt;0,AA85*-1,0)</f>
        <v>0</v>
      </c>
      <c r="AB103" s="76">
        <f t="shared" si="95"/>
        <v>0</v>
      </c>
      <c r="AC103" s="76">
        <f t="shared" si="95"/>
        <v>0</v>
      </c>
      <c r="AD103" s="76">
        <f t="shared" si="95"/>
        <v>0</v>
      </c>
      <c r="AE103" s="76">
        <f t="shared" si="95"/>
        <v>0</v>
      </c>
      <c r="AF103" s="76">
        <f t="shared" si="95"/>
        <v>0</v>
      </c>
      <c r="AG103" s="98"/>
      <c r="AH103" s="47">
        <f t="shared" si="49"/>
        <v>0</v>
      </c>
      <c r="AI103" s="48">
        <f t="shared" si="50"/>
        <v>0</v>
      </c>
    </row>
    <row r="104" spans="1:37" x14ac:dyDescent="0.25">
      <c r="A104" s="84" t="s">
        <v>104</v>
      </c>
      <c r="B104" s="76">
        <f>IF(B83&lt;0,B83*-1,0)</f>
        <v>0</v>
      </c>
      <c r="C104" s="76">
        <f t="shared" ref="C104:Q104" si="101">IF(C83&lt;0,C83*-1,0)</f>
        <v>0</v>
      </c>
      <c r="D104" s="76">
        <f t="shared" si="101"/>
        <v>0</v>
      </c>
      <c r="E104" s="76">
        <f t="shared" si="101"/>
        <v>0</v>
      </c>
      <c r="F104" s="76">
        <f t="shared" si="101"/>
        <v>0</v>
      </c>
      <c r="G104" s="76">
        <f t="shared" si="101"/>
        <v>0</v>
      </c>
      <c r="H104" s="76">
        <f t="shared" si="101"/>
        <v>0</v>
      </c>
      <c r="I104" s="76">
        <f t="shared" si="101"/>
        <v>0</v>
      </c>
      <c r="J104" s="76">
        <f t="shared" si="101"/>
        <v>0</v>
      </c>
      <c r="K104" s="76">
        <f t="shared" si="101"/>
        <v>0</v>
      </c>
      <c r="L104" s="76">
        <f t="shared" si="101"/>
        <v>0</v>
      </c>
      <c r="M104" s="76">
        <f t="shared" si="101"/>
        <v>0</v>
      </c>
      <c r="N104" s="76">
        <f t="shared" si="101"/>
        <v>0</v>
      </c>
      <c r="O104" s="76">
        <f t="shared" si="101"/>
        <v>0</v>
      </c>
      <c r="P104" s="76">
        <f t="shared" si="101"/>
        <v>0</v>
      </c>
      <c r="Q104" s="76">
        <f t="shared" si="101"/>
        <v>0</v>
      </c>
      <c r="R104" s="76">
        <f t="shared" ref="R104:AF104" si="102">IF(R83&lt;0,R83*-1,0)</f>
        <v>0</v>
      </c>
      <c r="S104" s="76">
        <f t="shared" si="102"/>
        <v>0</v>
      </c>
      <c r="T104" s="76">
        <f t="shared" ref="T104:U104" si="103">IF(T83&lt;0,T83*-1,0)</f>
        <v>0</v>
      </c>
      <c r="U104" s="76">
        <f t="shared" si="103"/>
        <v>0</v>
      </c>
      <c r="V104" s="76">
        <f t="shared" ref="V104:W104" si="104">IF(V83&lt;0,V83*-1,0)</f>
        <v>0</v>
      </c>
      <c r="W104" s="76">
        <f t="shared" si="104"/>
        <v>0</v>
      </c>
      <c r="X104" s="76">
        <f t="shared" ref="X104" si="105">IF(X83&lt;0,X83*-1,0)</f>
        <v>0</v>
      </c>
      <c r="Y104" s="76">
        <f t="shared" ref="Y104:Z104" si="106">IF(Y83&lt;0,Y83*-1,0)</f>
        <v>0</v>
      </c>
      <c r="Z104" s="76">
        <f t="shared" si="106"/>
        <v>0</v>
      </c>
      <c r="AA104" s="76">
        <f t="shared" ref="AA104" si="107">IF(AA83&lt;0,AA83*-1,0)</f>
        <v>0</v>
      </c>
      <c r="AB104" s="76">
        <f t="shared" si="102"/>
        <v>0</v>
      </c>
      <c r="AC104" s="76">
        <f t="shared" si="102"/>
        <v>0</v>
      </c>
      <c r="AD104" s="76">
        <f t="shared" si="102"/>
        <v>0</v>
      </c>
      <c r="AE104" s="76">
        <f t="shared" si="102"/>
        <v>0</v>
      </c>
      <c r="AF104" s="76">
        <f t="shared" si="102"/>
        <v>0</v>
      </c>
      <c r="AG104" s="98"/>
      <c r="AH104" s="47">
        <f t="shared" si="49"/>
        <v>0</v>
      </c>
      <c r="AI104" s="48">
        <f t="shared" si="50"/>
        <v>0</v>
      </c>
    </row>
    <row r="105" spans="1:37" x14ac:dyDescent="0.25">
      <c r="A105" s="84" t="s">
        <v>81</v>
      </c>
      <c r="B105" s="76">
        <f>IF(B81&lt;0,B81*-1,0)</f>
        <v>0</v>
      </c>
      <c r="C105" s="76">
        <f t="shared" ref="C105:Q105" si="108">IF(C81&lt;0,C81*-1,0)</f>
        <v>0</v>
      </c>
      <c r="D105" s="76">
        <f t="shared" si="108"/>
        <v>0</v>
      </c>
      <c r="E105" s="76">
        <f t="shared" si="108"/>
        <v>0</v>
      </c>
      <c r="F105" s="76">
        <f t="shared" si="108"/>
        <v>0</v>
      </c>
      <c r="G105" s="76">
        <f t="shared" si="108"/>
        <v>0</v>
      </c>
      <c r="H105" s="76">
        <f t="shared" si="108"/>
        <v>0</v>
      </c>
      <c r="I105" s="76">
        <f t="shared" si="108"/>
        <v>0</v>
      </c>
      <c r="J105" s="76">
        <f t="shared" si="108"/>
        <v>0</v>
      </c>
      <c r="K105" s="76">
        <f t="shared" si="108"/>
        <v>0</v>
      </c>
      <c r="L105" s="76">
        <f t="shared" si="108"/>
        <v>0</v>
      </c>
      <c r="M105" s="76">
        <f t="shared" si="108"/>
        <v>0</v>
      </c>
      <c r="N105" s="76">
        <f t="shared" si="108"/>
        <v>0</v>
      </c>
      <c r="O105" s="76">
        <f t="shared" si="108"/>
        <v>0</v>
      </c>
      <c r="P105" s="76">
        <f t="shared" si="108"/>
        <v>0</v>
      </c>
      <c r="Q105" s="76">
        <f t="shared" si="108"/>
        <v>0</v>
      </c>
      <c r="R105" s="76">
        <f t="shared" ref="R105:AF105" si="109">IF(R81&lt;0,R81*-1,0)</f>
        <v>0</v>
      </c>
      <c r="S105" s="76">
        <f t="shared" si="109"/>
        <v>0</v>
      </c>
      <c r="T105" s="76">
        <f t="shared" ref="T105:U105" si="110">IF(T81&lt;0,T81*-1,0)</f>
        <v>0</v>
      </c>
      <c r="U105" s="76">
        <f t="shared" si="110"/>
        <v>0</v>
      </c>
      <c r="V105" s="76">
        <f t="shared" ref="V105:W105" si="111">IF(V81&lt;0,V81*-1,0)</f>
        <v>0</v>
      </c>
      <c r="W105" s="76">
        <f t="shared" si="111"/>
        <v>0</v>
      </c>
      <c r="X105" s="76">
        <f t="shared" ref="X105" si="112">IF(X81&lt;0,X81*-1,0)</f>
        <v>0</v>
      </c>
      <c r="Y105" s="76">
        <f t="shared" ref="Y105:Z105" si="113">IF(Y81&lt;0,Y81*-1,0)</f>
        <v>0</v>
      </c>
      <c r="Z105" s="76">
        <f t="shared" si="113"/>
        <v>0</v>
      </c>
      <c r="AA105" s="76">
        <f t="shared" ref="AA105" si="114">IF(AA81&lt;0,AA81*-1,0)</f>
        <v>0</v>
      </c>
      <c r="AB105" s="76">
        <f t="shared" si="109"/>
        <v>0</v>
      </c>
      <c r="AC105" s="76">
        <f t="shared" si="109"/>
        <v>0</v>
      </c>
      <c r="AD105" s="76">
        <f t="shared" si="109"/>
        <v>0</v>
      </c>
      <c r="AE105" s="76">
        <f t="shared" si="109"/>
        <v>0</v>
      </c>
      <c r="AF105" s="76">
        <f t="shared" si="109"/>
        <v>0</v>
      </c>
      <c r="AG105" s="98"/>
      <c r="AH105" s="47">
        <f t="shared" si="49"/>
        <v>0</v>
      </c>
      <c r="AI105" s="48">
        <f t="shared" si="50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9"/>
        <v>0</v>
      </c>
      <c r="AI106" s="48">
        <f t="shared" si="50"/>
        <v>0</v>
      </c>
    </row>
    <row r="107" spans="1:37" ht="15.75" thickBot="1" x14ac:dyDescent="0.3">
      <c r="A107" s="99" t="s">
        <v>106</v>
      </c>
      <c r="B107" s="60">
        <f>SUM(B101:B106)</f>
        <v>0</v>
      </c>
      <c r="C107" s="60">
        <f t="shared" ref="C107:Q107" si="115">SUM(C101:C106)</f>
        <v>0</v>
      </c>
      <c r="D107" s="60">
        <f t="shared" si="115"/>
        <v>0</v>
      </c>
      <c r="E107" s="60">
        <f t="shared" si="115"/>
        <v>0</v>
      </c>
      <c r="F107" s="60">
        <f t="shared" si="115"/>
        <v>0</v>
      </c>
      <c r="G107" s="60">
        <f t="shared" si="115"/>
        <v>0</v>
      </c>
      <c r="H107" s="60">
        <f t="shared" si="115"/>
        <v>0</v>
      </c>
      <c r="I107" s="60">
        <f t="shared" si="115"/>
        <v>0</v>
      </c>
      <c r="J107" s="60">
        <f t="shared" si="115"/>
        <v>0</v>
      </c>
      <c r="K107" s="60">
        <f t="shared" si="115"/>
        <v>0</v>
      </c>
      <c r="L107" s="60">
        <f t="shared" si="115"/>
        <v>0</v>
      </c>
      <c r="M107" s="60">
        <f t="shared" si="115"/>
        <v>0</v>
      </c>
      <c r="N107" s="60">
        <f t="shared" si="115"/>
        <v>0</v>
      </c>
      <c r="O107" s="60">
        <f t="shared" si="115"/>
        <v>0</v>
      </c>
      <c r="P107" s="60">
        <f t="shared" si="115"/>
        <v>0</v>
      </c>
      <c r="Q107" s="60">
        <f t="shared" si="115"/>
        <v>0</v>
      </c>
      <c r="R107" s="60">
        <f t="shared" ref="R107:AF107" si="116">SUM(R101:R106)</f>
        <v>0</v>
      </c>
      <c r="S107" s="60">
        <f t="shared" si="116"/>
        <v>0</v>
      </c>
      <c r="T107" s="60">
        <f t="shared" ref="T107:U107" si="117">SUM(T101:T106)</f>
        <v>0</v>
      </c>
      <c r="U107" s="60">
        <f t="shared" si="117"/>
        <v>0</v>
      </c>
      <c r="V107" s="60">
        <f t="shared" ref="V107:W107" si="118">SUM(V101:V106)</f>
        <v>0</v>
      </c>
      <c r="W107" s="60">
        <f t="shared" si="118"/>
        <v>0</v>
      </c>
      <c r="X107" s="60">
        <f t="shared" ref="X107" si="119">SUM(X101:X106)</f>
        <v>0</v>
      </c>
      <c r="Y107" s="60">
        <f t="shared" ref="Y107:Z107" si="120">SUM(Y101:Y106)</f>
        <v>0</v>
      </c>
      <c r="Z107" s="60">
        <f t="shared" si="120"/>
        <v>0</v>
      </c>
      <c r="AA107" s="60">
        <f t="shared" ref="AA107" si="121">SUM(AA101:AA106)</f>
        <v>0</v>
      </c>
      <c r="AB107" s="60">
        <f t="shared" si="116"/>
        <v>0</v>
      </c>
      <c r="AC107" s="60">
        <f t="shared" si="116"/>
        <v>0</v>
      </c>
      <c r="AD107" s="60">
        <f t="shared" si="116"/>
        <v>0</v>
      </c>
      <c r="AE107" s="60">
        <f t="shared" si="116"/>
        <v>0</v>
      </c>
      <c r="AF107" s="60">
        <f t="shared" si="116"/>
        <v>0</v>
      </c>
      <c r="AG107" s="88"/>
      <c r="AH107" s="47">
        <f t="shared" si="49"/>
        <v>0</v>
      </c>
      <c r="AI107" s="48">
        <f t="shared" si="50"/>
        <v>0</v>
      </c>
      <c r="AK107" s="50"/>
    </row>
    <row r="108" spans="1:37" ht="15.75" thickBot="1" x14ac:dyDescent="0.3">
      <c r="A108" s="74" t="s">
        <v>107</v>
      </c>
      <c r="B108" s="60">
        <f t="shared" ref="B108:Q108" si="122">B92-B107</f>
        <v>535.5</v>
      </c>
      <c r="C108" s="60">
        <f t="shared" si="122"/>
        <v>520</v>
      </c>
      <c r="D108" s="60">
        <f t="shared" si="122"/>
        <v>545.6</v>
      </c>
      <c r="E108" s="60">
        <f t="shared" si="122"/>
        <v>568.29999999999995</v>
      </c>
      <c r="F108" s="60">
        <f t="shared" si="122"/>
        <v>553.4</v>
      </c>
      <c r="G108" s="60">
        <f t="shared" si="122"/>
        <v>613.19999999999993</v>
      </c>
      <c r="H108" s="60">
        <f t="shared" si="122"/>
        <v>582.5</v>
      </c>
      <c r="I108" s="60">
        <f t="shared" si="122"/>
        <v>578.70000000000005</v>
      </c>
      <c r="J108" s="60">
        <f t="shared" si="122"/>
        <v>610.90000000000009</v>
      </c>
      <c r="K108" s="60">
        <f t="shared" si="122"/>
        <v>469.5</v>
      </c>
      <c r="L108" s="60">
        <f t="shared" si="122"/>
        <v>317.09999999999997</v>
      </c>
      <c r="M108" s="60">
        <f t="shared" si="122"/>
        <v>265.2</v>
      </c>
      <c r="N108" s="60">
        <f t="shared" si="122"/>
        <v>423.8</v>
      </c>
      <c r="O108" s="60">
        <f t="shared" si="122"/>
        <v>449.40000000000003</v>
      </c>
      <c r="P108" s="60">
        <f t="shared" si="122"/>
        <v>498.6</v>
      </c>
      <c r="Q108" s="60">
        <f t="shared" si="122"/>
        <v>672.9</v>
      </c>
      <c r="R108" s="60">
        <f t="shared" ref="R108:AF108" si="123">R92-R107</f>
        <v>698.1</v>
      </c>
      <c r="S108" s="60">
        <f t="shared" si="123"/>
        <v>678</v>
      </c>
      <c r="T108" s="60">
        <f t="shared" ref="T108:U108" si="124">T92-T107</f>
        <v>735.30000000000007</v>
      </c>
      <c r="U108" s="60">
        <f t="shared" si="124"/>
        <v>720.8</v>
      </c>
      <c r="V108" s="60">
        <f t="shared" ref="V108:W108" si="125">V92-V107</f>
        <v>522.20000000000005</v>
      </c>
      <c r="W108" s="60">
        <f t="shared" si="125"/>
        <v>502.4</v>
      </c>
      <c r="X108" s="60">
        <f t="shared" ref="X108" si="126">X92-X107</f>
        <v>481.99999999999994</v>
      </c>
      <c r="Y108" s="60">
        <f t="shared" ref="Y108:Z108" si="127">Y92-Y107</f>
        <v>489.7</v>
      </c>
      <c r="Z108" s="60">
        <f t="shared" si="127"/>
        <v>372.29999999999995</v>
      </c>
      <c r="AA108" s="60">
        <f t="shared" ref="AA108" si="128">AA92-AA107</f>
        <v>357.9</v>
      </c>
      <c r="AB108" s="60">
        <f t="shared" si="123"/>
        <v>461.70000000000005</v>
      </c>
      <c r="AC108" s="60">
        <f t="shared" si="123"/>
        <v>542.5</v>
      </c>
      <c r="AD108" s="60">
        <f t="shared" si="123"/>
        <v>652.29999999999995</v>
      </c>
      <c r="AE108" s="60">
        <f t="shared" si="123"/>
        <v>601</v>
      </c>
      <c r="AF108" s="60">
        <f t="shared" si="123"/>
        <v>533.19999999999993</v>
      </c>
      <c r="AG108" s="88"/>
      <c r="AH108" s="47">
        <f t="shared" si="49"/>
        <v>735.30000000000007</v>
      </c>
      <c r="AI108" s="48">
        <f t="shared" si="50"/>
        <v>265.2</v>
      </c>
    </row>
    <row r="109" spans="1:37" x14ac:dyDescent="0.25">
      <c r="A109" s="100" t="s">
        <v>108</v>
      </c>
      <c r="B109" s="101">
        <v>49.972000000000001</v>
      </c>
      <c r="C109" s="101">
        <v>50.009</v>
      </c>
      <c r="D109" s="101">
        <v>49.973999999999997</v>
      </c>
      <c r="E109" s="101">
        <v>50.021999999999998</v>
      </c>
      <c r="F109" s="101">
        <v>50</v>
      </c>
      <c r="G109" s="101">
        <v>49.947000000000003</v>
      </c>
      <c r="H109" s="101">
        <v>50.040999999999997</v>
      </c>
      <c r="I109" s="101">
        <v>49.941000000000003</v>
      </c>
      <c r="J109" s="101">
        <v>49.957000000000001</v>
      </c>
      <c r="K109" s="101">
        <v>49.798999999999999</v>
      </c>
      <c r="L109" s="101">
        <v>49.948</v>
      </c>
      <c r="M109" s="101">
        <v>50.002000000000002</v>
      </c>
      <c r="N109" s="101">
        <v>50.045999999999999</v>
      </c>
      <c r="O109" s="101">
        <v>49.938000000000002</v>
      </c>
      <c r="P109" s="101">
        <v>50.13</v>
      </c>
      <c r="Q109" s="101">
        <v>50.034999999999997</v>
      </c>
      <c r="R109" s="101">
        <v>50.027000000000001</v>
      </c>
      <c r="S109" s="101">
        <v>50.012999999999998</v>
      </c>
      <c r="T109" s="101">
        <v>50.02</v>
      </c>
      <c r="U109" s="101">
        <v>49.93</v>
      </c>
      <c r="V109" s="101">
        <v>50.11</v>
      </c>
      <c r="W109" s="101">
        <v>50.06</v>
      </c>
      <c r="X109" s="101">
        <v>50.04</v>
      </c>
      <c r="Y109" s="101">
        <v>49.86</v>
      </c>
      <c r="Z109" s="101">
        <v>49.91</v>
      </c>
      <c r="AA109" s="101">
        <v>50</v>
      </c>
      <c r="AB109" s="101">
        <v>50.064999999999998</v>
      </c>
      <c r="AC109" s="101">
        <v>49.966000000000001</v>
      </c>
      <c r="AD109" s="101">
        <v>50.097000000000001</v>
      </c>
      <c r="AE109" s="101">
        <v>50.042000000000002</v>
      </c>
      <c r="AF109" s="101">
        <v>49.997</v>
      </c>
      <c r="AG109" s="102"/>
      <c r="AH109" s="47">
        <f t="shared" si="49"/>
        <v>50.13</v>
      </c>
      <c r="AI109" s="48">
        <f t="shared" si="50"/>
        <v>49.798999999999999</v>
      </c>
    </row>
    <row r="110" spans="1:37" x14ac:dyDescent="0.25">
      <c r="A110" s="103" t="s">
        <v>109</v>
      </c>
      <c r="B110" s="65">
        <v>130.6</v>
      </c>
      <c r="C110" s="65">
        <v>127.9</v>
      </c>
      <c r="D110" s="65">
        <v>127.2</v>
      </c>
      <c r="E110" s="65">
        <v>127</v>
      </c>
      <c r="F110" s="65">
        <v>127</v>
      </c>
      <c r="G110" s="65">
        <v>127</v>
      </c>
      <c r="H110" s="65">
        <v>125.9</v>
      </c>
      <c r="I110" s="65">
        <v>125.3</v>
      </c>
      <c r="J110" s="65">
        <v>124</v>
      </c>
      <c r="K110" s="65">
        <v>128</v>
      </c>
      <c r="L110" s="65">
        <v>126</v>
      </c>
      <c r="M110" s="65">
        <v>125.1</v>
      </c>
      <c r="N110" s="65">
        <v>126.6</v>
      </c>
      <c r="O110" s="65">
        <v>125.3</v>
      </c>
      <c r="P110" s="65">
        <v>127.8</v>
      </c>
      <c r="Q110" s="65">
        <v>125.5</v>
      </c>
      <c r="R110" s="65">
        <v>123.9</v>
      </c>
      <c r="S110" s="65">
        <v>123.9</v>
      </c>
      <c r="T110" s="65">
        <v>122.7</v>
      </c>
      <c r="U110" s="65">
        <v>124.9</v>
      </c>
      <c r="V110" s="65">
        <v>124.9</v>
      </c>
      <c r="W110" s="65">
        <v>130.9</v>
      </c>
      <c r="X110" s="65">
        <v>129.9</v>
      </c>
      <c r="Y110" s="65">
        <v>128.69999999999999</v>
      </c>
      <c r="Z110" s="65">
        <v>127.4</v>
      </c>
      <c r="AA110" s="65">
        <v>128</v>
      </c>
      <c r="AB110" s="65">
        <v>129.1</v>
      </c>
      <c r="AC110" s="65">
        <v>127.9</v>
      </c>
      <c r="AD110" s="65">
        <v>128.80000000000001</v>
      </c>
      <c r="AE110" s="65">
        <v>128.19999999999999</v>
      </c>
      <c r="AF110" s="65">
        <v>126.7</v>
      </c>
      <c r="AG110" s="104"/>
      <c r="AH110" s="47">
        <f t="shared" si="49"/>
        <v>130.9</v>
      </c>
      <c r="AI110" s="48">
        <f t="shared" si="50"/>
        <v>122.7</v>
      </c>
    </row>
    <row r="111" spans="1:37" x14ac:dyDescent="0.25">
      <c r="A111" s="103" t="s">
        <v>110</v>
      </c>
      <c r="B111" s="65">
        <v>134.4</v>
      </c>
      <c r="C111" s="65">
        <v>132.1</v>
      </c>
      <c r="D111" s="65">
        <v>131.6</v>
      </c>
      <c r="E111" s="65">
        <v>131</v>
      </c>
      <c r="F111" s="65">
        <v>131</v>
      </c>
      <c r="G111" s="65">
        <v>131</v>
      </c>
      <c r="H111" s="65">
        <v>130</v>
      </c>
      <c r="I111" s="65">
        <v>129.4</v>
      </c>
      <c r="J111" s="65">
        <v>129.4</v>
      </c>
      <c r="K111" s="65">
        <v>129.6</v>
      </c>
      <c r="L111" s="65">
        <v>127</v>
      </c>
      <c r="M111" s="65">
        <v>127.1</v>
      </c>
      <c r="N111" s="65">
        <v>128.6</v>
      </c>
      <c r="O111" s="65">
        <v>127.5</v>
      </c>
      <c r="P111" s="65">
        <v>129.5</v>
      </c>
      <c r="Q111" s="65">
        <v>127.9</v>
      </c>
      <c r="R111" s="65">
        <v>126.9</v>
      </c>
      <c r="S111" s="65">
        <v>126.7</v>
      </c>
      <c r="T111" s="65">
        <v>125.9</v>
      </c>
      <c r="U111" s="65">
        <v>127.1</v>
      </c>
      <c r="V111" s="65">
        <v>127.1</v>
      </c>
      <c r="W111" s="65">
        <v>132.19999999999999</v>
      </c>
      <c r="X111" s="65">
        <v>131.4</v>
      </c>
      <c r="Y111" s="65">
        <v>129.9</v>
      </c>
      <c r="Z111" s="65">
        <v>128.30000000000001</v>
      </c>
      <c r="AA111" s="65">
        <v>128.80000000000001</v>
      </c>
      <c r="AB111" s="65">
        <v>129.9</v>
      </c>
      <c r="AC111" s="65">
        <v>129.19999999999999</v>
      </c>
      <c r="AD111" s="65">
        <v>130.69999999999999</v>
      </c>
      <c r="AE111" s="65">
        <v>130.69999999999999</v>
      </c>
      <c r="AF111" s="65">
        <v>130.30000000000001</v>
      </c>
      <c r="AG111" s="104"/>
      <c r="AH111" s="47">
        <f t="shared" si="49"/>
        <v>134.4</v>
      </c>
      <c r="AI111" s="48">
        <f t="shared" si="50"/>
        <v>125.9</v>
      </c>
    </row>
    <row r="112" spans="1:37" x14ac:dyDescent="0.25">
      <c r="A112" s="103" t="s">
        <v>111</v>
      </c>
      <c r="B112" s="65">
        <v>130.5</v>
      </c>
      <c r="C112" s="65">
        <v>131</v>
      </c>
      <c r="D112" s="65">
        <v>128.69999999999999</v>
      </c>
      <c r="E112" s="65">
        <v>1274.5</v>
      </c>
      <c r="F112" s="65">
        <v>1274.5</v>
      </c>
      <c r="G112" s="65">
        <v>1274.5</v>
      </c>
      <c r="H112" s="65">
        <v>129.80000000000001</v>
      </c>
      <c r="I112" s="65">
        <v>128</v>
      </c>
      <c r="J112" s="65">
        <v>128</v>
      </c>
      <c r="K112" s="65">
        <v>127</v>
      </c>
      <c r="L112" s="65">
        <v>125.4</v>
      </c>
      <c r="M112" s="65">
        <v>125.6</v>
      </c>
      <c r="N112" s="65">
        <v>130.80000000000001</v>
      </c>
      <c r="O112" s="65">
        <v>129.30000000000001</v>
      </c>
      <c r="P112" s="65">
        <v>127.7</v>
      </c>
      <c r="Q112" s="65">
        <v>128.30000000000001</v>
      </c>
      <c r="R112" s="65">
        <v>127.6</v>
      </c>
      <c r="S112" s="65">
        <v>127.2</v>
      </c>
      <c r="T112" s="65">
        <v>128.9</v>
      </c>
      <c r="U112" s="65">
        <v>128</v>
      </c>
      <c r="V112" s="65">
        <v>128</v>
      </c>
      <c r="W112" s="65">
        <v>132.80000000000001</v>
      </c>
      <c r="X112" s="65">
        <v>131.1</v>
      </c>
      <c r="Y112" s="65">
        <v>126.1</v>
      </c>
      <c r="Z112" s="65">
        <v>128.9</v>
      </c>
      <c r="AA112" s="65">
        <v>130.80000000000001</v>
      </c>
      <c r="AB112" s="65">
        <v>131.69999999999999</v>
      </c>
      <c r="AC112" s="65">
        <v>130.9</v>
      </c>
      <c r="AD112" s="65">
        <v>129.80000000000001</v>
      </c>
      <c r="AE112" s="65">
        <v>129.4</v>
      </c>
      <c r="AF112" s="65">
        <v>130.4</v>
      </c>
      <c r="AG112" s="104"/>
      <c r="AH112" s="47">
        <f t="shared" si="49"/>
        <v>1274.5</v>
      </c>
      <c r="AI112" s="48">
        <f t="shared" si="50"/>
        <v>125.4</v>
      </c>
    </row>
    <row r="113" spans="1:35" x14ac:dyDescent="0.25">
      <c r="A113" s="105" t="s">
        <v>112</v>
      </c>
      <c r="B113" s="65">
        <v>132.6</v>
      </c>
      <c r="C113" s="65">
        <v>132.9</v>
      </c>
      <c r="D113" s="65">
        <v>130.6</v>
      </c>
      <c r="E113" s="65">
        <v>130</v>
      </c>
      <c r="F113" s="65">
        <v>130</v>
      </c>
      <c r="G113" s="65">
        <v>130</v>
      </c>
      <c r="H113" s="65">
        <v>130</v>
      </c>
      <c r="I113" s="65">
        <v>130</v>
      </c>
      <c r="J113" s="65">
        <v>130</v>
      </c>
      <c r="K113" s="65">
        <v>128.80000000000001</v>
      </c>
      <c r="L113" s="65">
        <v>125.6</v>
      </c>
      <c r="M113" s="65">
        <v>126</v>
      </c>
      <c r="N113" s="65">
        <v>130.80000000000001</v>
      </c>
      <c r="O113" s="65">
        <v>130</v>
      </c>
      <c r="P113" s="65">
        <v>129.4</v>
      </c>
      <c r="Q113" s="65">
        <v>130.19999999999999</v>
      </c>
      <c r="R113" s="65">
        <v>129.9</v>
      </c>
      <c r="S113" s="65">
        <v>129.6</v>
      </c>
      <c r="T113" s="65">
        <v>130.19999999999999</v>
      </c>
      <c r="U113" s="65">
        <v>129.30000000000001</v>
      </c>
      <c r="V113" s="65">
        <v>129.30000000000001</v>
      </c>
      <c r="W113" s="65">
        <v>133.69999999999999</v>
      </c>
      <c r="X113" s="65">
        <v>131.5</v>
      </c>
      <c r="Y113" s="65">
        <v>127</v>
      </c>
      <c r="Z113" s="65">
        <v>130.1</v>
      </c>
      <c r="AA113" s="65">
        <v>132.19999999999999</v>
      </c>
      <c r="AB113" s="65">
        <v>132.4</v>
      </c>
      <c r="AC113" s="65">
        <v>133.19999999999999</v>
      </c>
      <c r="AD113" s="65">
        <v>132.30000000000001</v>
      </c>
      <c r="AE113" s="65">
        <v>133.19999999999999</v>
      </c>
      <c r="AF113" s="65">
        <v>134</v>
      </c>
      <c r="AG113" s="104"/>
      <c r="AH113" s="47">
        <f t="shared" si="49"/>
        <v>134</v>
      </c>
      <c r="AI113" s="48">
        <f t="shared" si="50"/>
        <v>125.6</v>
      </c>
    </row>
    <row r="114" spans="1:35" x14ac:dyDescent="0.25">
      <c r="A114" s="105" t="s">
        <v>113</v>
      </c>
      <c r="B114" s="106">
        <v>137.9</v>
      </c>
      <c r="C114" s="106">
        <v>132.69999999999999</v>
      </c>
      <c r="D114" s="106">
        <v>131.1</v>
      </c>
      <c r="E114" s="106">
        <v>131</v>
      </c>
      <c r="F114" s="106">
        <v>131</v>
      </c>
      <c r="G114" s="106">
        <v>131</v>
      </c>
      <c r="H114" s="106">
        <v>135</v>
      </c>
      <c r="I114" s="106">
        <v>134.6</v>
      </c>
      <c r="J114" s="106">
        <v>134.6</v>
      </c>
      <c r="K114" s="106">
        <v>135.4</v>
      </c>
      <c r="L114" s="106">
        <v>132.6</v>
      </c>
      <c r="M114" s="106">
        <v>132.1</v>
      </c>
      <c r="N114" s="106">
        <v>132.5</v>
      </c>
      <c r="O114" s="106">
        <v>131.5</v>
      </c>
      <c r="P114" s="106">
        <v>131.80000000000001</v>
      </c>
      <c r="Q114" s="106">
        <v>131.19999999999999</v>
      </c>
      <c r="R114" s="106">
        <v>130</v>
      </c>
      <c r="S114" s="106">
        <v>130.1</v>
      </c>
      <c r="T114" s="106">
        <v>132.6</v>
      </c>
      <c r="U114" s="106">
        <v>134.6</v>
      </c>
      <c r="V114" s="106">
        <v>134.6</v>
      </c>
      <c r="W114" s="106">
        <v>136</v>
      </c>
      <c r="X114" s="106">
        <v>135.9</v>
      </c>
      <c r="Y114" s="106">
        <v>133.5</v>
      </c>
      <c r="Z114" s="106">
        <v>133.19999999999999</v>
      </c>
      <c r="AA114" s="106">
        <v>133.9</v>
      </c>
      <c r="AB114" s="106">
        <v>134.5</v>
      </c>
      <c r="AC114" s="106">
        <v>134.19999999999999</v>
      </c>
      <c r="AD114" s="106">
        <v>135.19999999999999</v>
      </c>
      <c r="AE114" s="106">
        <v>131.4</v>
      </c>
      <c r="AF114" s="106">
        <v>130.30000000000001</v>
      </c>
      <c r="AG114" s="107"/>
      <c r="AH114" s="47">
        <f t="shared" si="49"/>
        <v>137.9</v>
      </c>
      <c r="AI114" s="48">
        <f t="shared" si="50"/>
        <v>130</v>
      </c>
    </row>
    <row r="115" spans="1:35" x14ac:dyDescent="0.25">
      <c r="A115" s="103" t="s">
        <v>114</v>
      </c>
      <c r="B115" s="65">
        <v>133.9</v>
      </c>
      <c r="C115" s="65">
        <v>131.80000000000001</v>
      </c>
      <c r="D115" s="65">
        <v>130.6</v>
      </c>
      <c r="E115" s="65">
        <v>134.69999999999999</v>
      </c>
      <c r="F115" s="65">
        <v>134.69999999999999</v>
      </c>
      <c r="G115" s="65">
        <v>134.69999999999999</v>
      </c>
      <c r="H115" s="65">
        <v>135</v>
      </c>
      <c r="I115" s="65">
        <v>126</v>
      </c>
      <c r="J115" s="65">
        <v>126</v>
      </c>
      <c r="K115" s="65">
        <v>129.9</v>
      </c>
      <c r="L115" s="65">
        <v>130.4</v>
      </c>
      <c r="M115" s="65">
        <v>131.5</v>
      </c>
      <c r="N115" s="65">
        <v>131.80000000000001</v>
      </c>
      <c r="O115" s="65">
        <v>130.1</v>
      </c>
      <c r="P115" s="65">
        <v>127.5</v>
      </c>
      <c r="Q115" s="65">
        <v>131</v>
      </c>
      <c r="R115" s="65">
        <v>127</v>
      </c>
      <c r="S115" s="65">
        <v>130.69999999999999</v>
      </c>
      <c r="T115" s="65">
        <v>132.1</v>
      </c>
      <c r="U115" s="65">
        <v>129.6</v>
      </c>
      <c r="V115" s="65">
        <v>129.6</v>
      </c>
      <c r="W115" s="65">
        <v>132.9</v>
      </c>
      <c r="X115" s="65">
        <v>132.19999999999999</v>
      </c>
      <c r="Y115" s="65">
        <v>130</v>
      </c>
      <c r="Z115" s="65">
        <v>133.30000000000001</v>
      </c>
      <c r="AA115" s="65">
        <v>132.5</v>
      </c>
      <c r="AB115" s="65">
        <v>132.4</v>
      </c>
      <c r="AC115" s="65">
        <v>132.80000000000001</v>
      </c>
      <c r="AD115" s="65">
        <v>133.80000000000001</v>
      </c>
      <c r="AE115" s="65">
        <v>133.4</v>
      </c>
      <c r="AF115" s="65">
        <v>128.5</v>
      </c>
      <c r="AG115" s="104"/>
      <c r="AH115" s="47">
        <f t="shared" si="49"/>
        <v>135</v>
      </c>
      <c r="AI115" s="48">
        <f t="shared" si="50"/>
        <v>126</v>
      </c>
    </row>
    <row r="116" spans="1:35" ht="15.75" thickBot="1" x14ac:dyDescent="0.3">
      <c r="A116" s="103" t="s">
        <v>115</v>
      </c>
      <c r="B116" s="92">
        <v>67.3</v>
      </c>
      <c r="C116" s="92">
        <v>66.5</v>
      </c>
      <c r="D116" s="92">
        <v>66.400000000000006</v>
      </c>
      <c r="E116" s="92">
        <v>66.2</v>
      </c>
      <c r="F116" s="92">
        <v>66.2</v>
      </c>
      <c r="G116" s="92">
        <v>66</v>
      </c>
      <c r="H116" s="92">
        <v>65.3</v>
      </c>
      <c r="I116" s="92">
        <v>65.099999999999994</v>
      </c>
      <c r="J116" s="92">
        <v>64.2</v>
      </c>
      <c r="K116" s="92">
        <v>64.8</v>
      </c>
      <c r="L116" s="92">
        <v>63.9</v>
      </c>
      <c r="M116" s="92">
        <v>63.8</v>
      </c>
      <c r="N116" s="92">
        <v>64.8</v>
      </c>
      <c r="O116" s="92">
        <v>64.2</v>
      </c>
      <c r="P116" s="92">
        <v>65.3</v>
      </c>
      <c r="Q116" s="92">
        <v>64.3</v>
      </c>
      <c r="R116" s="92">
        <v>63.8</v>
      </c>
      <c r="S116" s="92">
        <v>63.7</v>
      </c>
      <c r="T116" s="92">
        <v>63.4</v>
      </c>
      <c r="U116" s="92">
        <v>63.7</v>
      </c>
      <c r="V116" s="92">
        <v>63.7</v>
      </c>
      <c r="W116" s="92">
        <v>66.599999999999994</v>
      </c>
      <c r="X116" s="92">
        <v>65.900000000000006</v>
      </c>
      <c r="Y116" s="92">
        <v>65.099999999999994</v>
      </c>
      <c r="Z116" s="92">
        <v>64.5</v>
      </c>
      <c r="AA116" s="92">
        <v>64.8</v>
      </c>
      <c r="AB116" s="92">
        <v>64.900000000000006</v>
      </c>
      <c r="AC116" s="92">
        <v>64.900000000000006</v>
      </c>
      <c r="AD116" s="92">
        <v>65.8</v>
      </c>
      <c r="AE116" s="92">
        <v>65.7</v>
      </c>
      <c r="AF116" s="92">
        <v>65.599999999999994</v>
      </c>
      <c r="AG116" s="108"/>
      <c r="AH116" s="47">
        <f t="shared" si="49"/>
        <v>67.3</v>
      </c>
      <c r="AI116" s="48">
        <f t="shared" si="50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9"/>
        <v>0</v>
      </c>
      <c r="AI117" s="48">
        <f t="shared" si="50"/>
        <v>0</v>
      </c>
    </row>
    <row r="118" spans="1:35" ht="15.75" thickBot="1" x14ac:dyDescent="0.3">
      <c r="A118" s="110" t="s">
        <v>117</v>
      </c>
      <c r="B118" s="111">
        <f t="shared" ref="B118:O118" si="129">SUM(B22,B28,B31:B32,B66,B68:B69,B71,B73,B119:B123,B155,B161,B167,B176,B178,B190,B197,B200:B201,B208,B210,B212,B216:B218,B220:B222,B227,B233:B234,B236:B238,B246,B251)</f>
        <v>135.04</v>
      </c>
      <c r="C118" s="111">
        <f t="shared" si="129"/>
        <v>117.94</v>
      </c>
      <c r="D118" s="111">
        <f t="shared" si="129"/>
        <v>113.64</v>
      </c>
      <c r="E118" s="111">
        <f t="shared" si="129"/>
        <v>125.64</v>
      </c>
      <c r="F118" s="111">
        <f t="shared" si="129"/>
        <v>133.73999999999998</v>
      </c>
      <c r="G118" s="111">
        <f t="shared" si="129"/>
        <v>165.04000000000002</v>
      </c>
      <c r="H118" s="111">
        <f t="shared" si="129"/>
        <v>200.44</v>
      </c>
      <c r="I118" s="111">
        <f t="shared" si="129"/>
        <v>247.54000000000002</v>
      </c>
      <c r="J118" s="111">
        <f t="shared" si="129"/>
        <v>297.83999999999997</v>
      </c>
      <c r="K118" s="111">
        <f t="shared" si="129"/>
        <v>321.64000000000004</v>
      </c>
      <c r="L118" s="111">
        <f t="shared" si="129"/>
        <v>383.54</v>
      </c>
      <c r="M118" s="111">
        <f t="shared" si="129"/>
        <v>376.59300000000002</v>
      </c>
      <c r="N118" s="111">
        <f t="shared" si="129"/>
        <v>349.72199999999998</v>
      </c>
      <c r="O118" s="111">
        <f t="shared" si="129"/>
        <v>354.601</v>
      </c>
      <c r="P118" s="111">
        <v>42</v>
      </c>
      <c r="Q118" s="111">
        <f t="shared" ref="Q118" si="130">SUM(Q22,Q28,Q31:Q32,Q66,Q68:Q69,Q71,Q73,Q119:Q123,Q155,Q161,Q167,Q176,Q178,Q190,Q197,Q200:Q201,Q208,Q210,Q212,Q216:Q218,Q220:Q222,Q227,Q233:Q234,Q236:Q238,Q246,Q251)</f>
        <v>326.65300000000002</v>
      </c>
      <c r="R118" s="111">
        <f t="shared" ref="R118:AF118" si="131">SUM(R22,R28,R31:R32,R66,R68:R69,R71,R73,R119:R123,R155,R161,R167,R176,R178,R190,R197,R200:R201,R208,R210,R212,R216:R218,R220:R222,R227,R233:R234,R236:R238,R246,R251)</f>
        <v>337.55399999999997</v>
      </c>
      <c r="S118" s="111">
        <f t="shared" si="131"/>
        <v>333.55800000000005</v>
      </c>
      <c r="T118" s="111">
        <f t="shared" ref="T118:U118" si="132">SUM(T22,T28,T31:T32,T66,T68:T69,T71,T73,T119:T123,T155,T161,T167,T176,T178,T190,T197,T200:T201,T208,T210,T212,T216:T218,T220:T222,T227,T233:T234,T236:T238,T246,T251)</f>
        <v>344.02</v>
      </c>
      <c r="U118" s="111">
        <f t="shared" si="132"/>
        <v>352.66</v>
      </c>
      <c r="V118" s="111">
        <f t="shared" ref="V118:W118" si="133">SUM(V22,V28,V31:V32,V66,V68:V69,V71,V73,V119:V123,V155,V161,V167,V176,V178,V190,V197,V200:V201,V208,V210,V212,V216:V218,V220:V222,V227,V233:V234,V236:V238,V246,V251)</f>
        <v>283.64000000000004</v>
      </c>
      <c r="W118" s="111">
        <f t="shared" si="133"/>
        <v>259.76</v>
      </c>
      <c r="X118" s="111">
        <f t="shared" ref="X118" si="134">SUM(X22,X28,X31:X32,X66,X68:X69,X71,X73,X119:X123,X155,X161,X167,X176,X178,X190,X197,X200:X201,X208,X210,X212,X216:X218,X220:X222,X227,X233:X234,X236:X238,X246,X251)</f>
        <v>276.89999999999998</v>
      </c>
      <c r="Y118" s="111">
        <f t="shared" ref="Y118:Z118" si="135">SUM(Y22,Y28,Y31:Y32,Y66,Y68:Y69,Y71,Y73,Y119:Y123,Y155,Y161,Y167,Y176,Y178,Y190,Y197,Y200:Y201,Y208,Y210,Y212,Y216:Y218,Y220:Y222,Y227,Y233:Y234,Y236:Y238,Y246,Y251)</f>
        <v>319.48</v>
      </c>
      <c r="Z118" s="111">
        <f t="shared" si="135"/>
        <v>366</v>
      </c>
      <c r="AA118" s="111">
        <f t="shared" ref="AA118" si="136">SUM(AA22,AA28,AA31:AA32,AA66,AA68:AA69,AA71,AA73,AA119:AA123,AA155,AA161,AA167,AA176,AA178,AA190,AA197,AA200:AA201,AA208,AA210,AA212,AA216:AA218,AA220:AA222,AA227,AA233:AA234,AA236:AA238,AA246,AA251)</f>
        <v>365.62</v>
      </c>
      <c r="AB118" s="111">
        <f t="shared" si="131"/>
        <v>361.17199999999997</v>
      </c>
      <c r="AC118" s="111">
        <f t="shared" si="131"/>
        <v>342.18900000000002</v>
      </c>
      <c r="AD118" s="111">
        <f t="shared" si="131"/>
        <v>275.17400000000004</v>
      </c>
      <c r="AE118" s="111">
        <f t="shared" si="131"/>
        <v>235.184</v>
      </c>
      <c r="AF118" s="111">
        <f t="shared" si="131"/>
        <v>173.46</v>
      </c>
      <c r="AG118" s="112"/>
      <c r="AH118" s="47">
        <f t="shared" si="49"/>
        <v>383.54</v>
      </c>
      <c r="AI118" s="48">
        <f t="shared" si="50"/>
        <v>42</v>
      </c>
    </row>
    <row r="119" spans="1:35" x14ac:dyDescent="0.25">
      <c r="A119" s="172" t="s">
        <v>118</v>
      </c>
      <c r="B119" s="113">
        <v>3.1</v>
      </c>
      <c r="C119" s="113">
        <v>-6</v>
      </c>
      <c r="D119" s="113">
        <v>-8.6</v>
      </c>
      <c r="E119" s="113">
        <v>-14.2</v>
      </c>
      <c r="F119" s="113">
        <v>-8.9</v>
      </c>
      <c r="G119" s="113">
        <v>-3.1</v>
      </c>
      <c r="H119" s="113">
        <v>3.2</v>
      </c>
      <c r="I119" s="113">
        <v>17.7</v>
      </c>
      <c r="J119" s="113">
        <v>30.7</v>
      </c>
      <c r="K119" s="113">
        <v>26.7</v>
      </c>
      <c r="L119" s="113">
        <v>35.700000000000003</v>
      </c>
      <c r="M119" s="113">
        <v>38.9</v>
      </c>
      <c r="N119" s="113">
        <v>33.799999999999997</v>
      </c>
      <c r="O119" s="113">
        <v>28.9</v>
      </c>
      <c r="P119" s="113">
        <v>34.700000000000003</v>
      </c>
      <c r="Q119" s="113">
        <v>31.9</v>
      </c>
      <c r="R119" s="113">
        <v>39.799999999999997</v>
      </c>
      <c r="S119" s="113">
        <v>35</v>
      </c>
      <c r="T119" s="113">
        <v>34.700000000000003</v>
      </c>
      <c r="U119" s="113">
        <v>41.8</v>
      </c>
      <c r="V119" s="113">
        <v>24.1</v>
      </c>
      <c r="W119" s="113">
        <v>20.7</v>
      </c>
      <c r="X119" s="113">
        <v>25.1</v>
      </c>
      <c r="Y119" s="113">
        <v>30.2</v>
      </c>
      <c r="Z119" s="113">
        <v>30.6</v>
      </c>
      <c r="AA119" s="113">
        <v>30.5</v>
      </c>
      <c r="AB119" s="113">
        <v>34.1</v>
      </c>
      <c r="AC119" s="113">
        <v>29.2</v>
      </c>
      <c r="AD119" s="113">
        <v>13.5</v>
      </c>
      <c r="AE119" s="113">
        <v>7.6</v>
      </c>
      <c r="AF119" s="113">
        <v>-5.6</v>
      </c>
      <c r="AG119" s="114">
        <v>75</v>
      </c>
      <c r="AH119" s="47">
        <f t="shared" si="49"/>
        <v>41.8</v>
      </c>
      <c r="AI119" s="48">
        <f t="shared" si="50"/>
        <v>-14.2</v>
      </c>
    </row>
    <row r="120" spans="1:35" x14ac:dyDescent="0.25">
      <c r="A120" s="173" t="s">
        <v>119</v>
      </c>
      <c r="B120" s="115">
        <v>0</v>
      </c>
      <c r="C120" s="115">
        <v>-12</v>
      </c>
      <c r="D120" s="115">
        <v>-15</v>
      </c>
      <c r="E120" s="115">
        <v>-23</v>
      </c>
      <c r="F120" s="115">
        <v>-17.2</v>
      </c>
      <c r="G120" s="115">
        <v>-10.7</v>
      </c>
      <c r="H120" s="115">
        <v>-1.7</v>
      </c>
      <c r="I120" s="115">
        <v>20</v>
      </c>
      <c r="J120" s="115">
        <v>35.799999999999997</v>
      </c>
      <c r="K120" s="115">
        <v>39.200000000000003</v>
      </c>
      <c r="L120" s="115">
        <v>48.3</v>
      </c>
      <c r="M120" s="115">
        <v>53</v>
      </c>
      <c r="N120" s="115">
        <v>47.5</v>
      </c>
      <c r="O120" s="115">
        <v>40</v>
      </c>
      <c r="P120" s="115">
        <v>44.8</v>
      </c>
      <c r="Q120" s="115">
        <v>38.299999999999997</v>
      </c>
      <c r="R120" s="115">
        <v>49.6</v>
      </c>
      <c r="S120" s="115">
        <v>43.2</v>
      </c>
      <c r="T120" s="115">
        <v>40.799999999999997</v>
      </c>
      <c r="U120" s="115">
        <v>48.5</v>
      </c>
      <c r="V120" s="115">
        <v>33.4</v>
      </c>
      <c r="W120" s="115">
        <v>29.2</v>
      </c>
      <c r="X120" s="115">
        <v>34.799999999999997</v>
      </c>
      <c r="Y120" s="115">
        <v>41.8</v>
      </c>
      <c r="Z120" s="115">
        <v>41.4</v>
      </c>
      <c r="AA120" s="115">
        <v>40.700000000000003</v>
      </c>
      <c r="AB120" s="115">
        <v>46.4</v>
      </c>
      <c r="AC120" s="115">
        <v>40.700000000000003</v>
      </c>
      <c r="AD120" s="115">
        <v>12.2</v>
      </c>
      <c r="AE120" s="115">
        <v>5.3</v>
      </c>
      <c r="AF120" s="115">
        <v>-11.7</v>
      </c>
      <c r="AG120" s="114">
        <v>240</v>
      </c>
      <c r="AH120" s="47">
        <f t="shared" si="49"/>
        <v>53</v>
      </c>
      <c r="AI120" s="48">
        <f t="shared" si="50"/>
        <v>-23</v>
      </c>
    </row>
    <row r="121" spans="1:35" x14ac:dyDescent="0.25">
      <c r="A121" s="173" t="s">
        <v>120</v>
      </c>
      <c r="B121" s="115">
        <v>-30</v>
      </c>
      <c r="C121" s="115">
        <v>-26</v>
      </c>
      <c r="D121" s="115">
        <v>-32</v>
      </c>
      <c r="E121" s="115">
        <v>-30.1</v>
      </c>
      <c r="F121" s="115">
        <v>-27.6</v>
      </c>
      <c r="G121" s="115">
        <v>-24.1</v>
      </c>
      <c r="H121" s="115">
        <v>-18.2</v>
      </c>
      <c r="I121" s="115">
        <v>-17</v>
      </c>
      <c r="J121" s="115">
        <v>-11.4</v>
      </c>
      <c r="K121" s="115">
        <v>17.100000000000001</v>
      </c>
      <c r="L121" s="115">
        <v>34.700000000000003</v>
      </c>
      <c r="M121" s="115">
        <v>29.3</v>
      </c>
      <c r="N121" s="115">
        <v>27.2</v>
      </c>
      <c r="O121" s="115">
        <v>30.2</v>
      </c>
      <c r="P121" s="115">
        <v>34</v>
      </c>
      <c r="Q121" s="115">
        <v>20</v>
      </c>
      <c r="R121" s="115">
        <v>19.2</v>
      </c>
      <c r="S121" s="115">
        <v>23</v>
      </c>
      <c r="T121" s="115">
        <v>27</v>
      </c>
      <c r="U121" s="115">
        <v>21</v>
      </c>
      <c r="V121" s="115">
        <v>30</v>
      </c>
      <c r="W121" s="115">
        <v>19</v>
      </c>
      <c r="X121" s="115">
        <v>17</v>
      </c>
      <c r="Y121" s="115">
        <v>27</v>
      </c>
      <c r="Z121" s="115">
        <v>39</v>
      </c>
      <c r="AA121" s="115">
        <v>39</v>
      </c>
      <c r="AB121" s="115">
        <v>37</v>
      </c>
      <c r="AC121" s="115">
        <v>31</v>
      </c>
      <c r="AD121" s="115">
        <v>18</v>
      </c>
      <c r="AE121" s="115">
        <v>7.3</v>
      </c>
      <c r="AF121" s="115">
        <v>-23</v>
      </c>
      <c r="AG121" s="114">
        <v>240</v>
      </c>
      <c r="AH121" s="47">
        <f t="shared" si="49"/>
        <v>39</v>
      </c>
      <c r="AI121" s="48">
        <f t="shared" si="50"/>
        <v>-32</v>
      </c>
    </row>
    <row r="122" spans="1:35" ht="15.75" thickBot="1" x14ac:dyDescent="0.3">
      <c r="A122" s="173" t="s">
        <v>121</v>
      </c>
      <c r="B122" s="115">
        <v>-5</v>
      </c>
      <c r="C122" s="115">
        <v>-5</v>
      </c>
      <c r="D122" s="115">
        <v>-7.7</v>
      </c>
      <c r="E122" s="115">
        <v>-9.6999999999999993</v>
      </c>
      <c r="F122" s="115">
        <v>-10.199999999999999</v>
      </c>
      <c r="G122" s="115">
        <v>-9.6999999999999993</v>
      </c>
      <c r="H122" s="115">
        <v>-5.5</v>
      </c>
      <c r="I122" s="115">
        <v>-2.2999999999999998</v>
      </c>
      <c r="J122" s="115">
        <v>3.6</v>
      </c>
      <c r="K122" s="115">
        <v>19.3</v>
      </c>
      <c r="L122" s="115">
        <v>23.1</v>
      </c>
      <c r="M122" s="115">
        <v>21.5</v>
      </c>
      <c r="N122" s="115">
        <v>21</v>
      </c>
      <c r="O122" s="115">
        <v>23</v>
      </c>
      <c r="P122" s="115">
        <v>21.9</v>
      </c>
      <c r="Q122" s="115">
        <v>10.8</v>
      </c>
      <c r="R122" s="115">
        <v>8.5</v>
      </c>
      <c r="S122" s="115">
        <v>9.9</v>
      </c>
      <c r="T122" s="115">
        <v>8.9</v>
      </c>
      <c r="U122" s="115">
        <v>12.1</v>
      </c>
      <c r="V122" s="115">
        <v>23.4</v>
      </c>
      <c r="W122" s="115">
        <v>22.6</v>
      </c>
      <c r="X122" s="115">
        <v>22.1</v>
      </c>
      <c r="Y122" s="115">
        <v>22.1</v>
      </c>
      <c r="Z122" s="115">
        <v>25.9</v>
      </c>
      <c r="AA122" s="115">
        <v>26</v>
      </c>
      <c r="AB122" s="115">
        <v>23</v>
      </c>
      <c r="AC122" s="115">
        <v>12.1</v>
      </c>
      <c r="AD122" s="115">
        <v>9.8000000000000007</v>
      </c>
      <c r="AE122" s="115">
        <v>3</v>
      </c>
      <c r="AF122" s="115">
        <v>-2.9</v>
      </c>
      <c r="AG122" s="114">
        <v>60</v>
      </c>
      <c r="AH122" s="47">
        <f t="shared" si="49"/>
        <v>26</v>
      </c>
      <c r="AI122" s="48">
        <f t="shared" si="50"/>
        <v>-10.199999999999999</v>
      </c>
    </row>
    <row r="123" spans="1:35" x14ac:dyDescent="0.25">
      <c r="A123" s="172" t="s">
        <v>259</v>
      </c>
      <c r="B123" s="117">
        <v>80</v>
      </c>
      <c r="C123" s="117">
        <v>80</v>
      </c>
      <c r="D123" s="117">
        <v>90</v>
      </c>
      <c r="E123" s="117">
        <v>115</v>
      </c>
      <c r="F123" s="117">
        <v>110</v>
      </c>
      <c r="G123" s="117">
        <v>125</v>
      </c>
      <c r="H123" s="117">
        <v>135</v>
      </c>
      <c r="I123" s="117">
        <v>140</v>
      </c>
      <c r="J123" s="117">
        <v>150</v>
      </c>
      <c r="K123" s="117">
        <v>132</v>
      </c>
      <c r="L123" s="117">
        <v>153</v>
      </c>
      <c r="M123" s="117">
        <f>85.9*1.67</f>
        <v>143.453</v>
      </c>
      <c r="N123" s="117">
        <f>74.6*1.67</f>
        <v>124.58199999999998</v>
      </c>
      <c r="O123" s="117">
        <f>78.3*1.67</f>
        <v>130.761</v>
      </c>
      <c r="P123" s="117">
        <f>60.4*1.67</f>
        <v>100.86799999999999</v>
      </c>
      <c r="Q123" s="117">
        <f>73.9*1.67</f>
        <v>123.41300000000001</v>
      </c>
      <c r="R123" s="117">
        <f>74.2*1.67</f>
        <v>123.914</v>
      </c>
      <c r="S123" s="117">
        <f>78.6*1.63</f>
        <v>128.11799999999999</v>
      </c>
      <c r="T123" s="117">
        <f>90.3*1.6</f>
        <v>144.47999999999999</v>
      </c>
      <c r="U123" s="117">
        <f>88.2*1.6</f>
        <v>141.12</v>
      </c>
      <c r="V123" s="117">
        <f>59.2*1.5</f>
        <v>88.800000000000011</v>
      </c>
      <c r="W123" s="117">
        <f>52.7*1.6</f>
        <v>84.320000000000007</v>
      </c>
      <c r="X123" s="117">
        <f>57.6*1.6</f>
        <v>92.160000000000011</v>
      </c>
      <c r="Y123" s="117">
        <f>70.4*1.6</f>
        <v>112.64000000000001</v>
      </c>
      <c r="Z123" s="117">
        <f>89.6*1.6</f>
        <v>143.35999999999999</v>
      </c>
      <c r="AA123" s="117">
        <f>89.8*1.6</f>
        <v>143.68</v>
      </c>
      <c r="AB123" s="117">
        <f>79.6*1.67</f>
        <v>132.93199999999999</v>
      </c>
      <c r="AC123" s="117">
        <f>84.7*1.67</f>
        <v>141.44900000000001</v>
      </c>
      <c r="AD123" s="117">
        <f>80.2*1.67</f>
        <v>133.934</v>
      </c>
      <c r="AE123" s="117">
        <f>73.2*1.67</f>
        <v>122.244</v>
      </c>
      <c r="AF123" s="117">
        <f>76*1.67</f>
        <v>126.91999999999999</v>
      </c>
      <c r="AG123" s="118">
        <v>120</v>
      </c>
      <c r="AH123" s="47">
        <f t="shared" si="49"/>
        <v>153</v>
      </c>
      <c r="AI123" s="48">
        <f t="shared" si="50"/>
        <v>80</v>
      </c>
    </row>
    <row r="124" spans="1:35" x14ac:dyDescent="0.25">
      <c r="A124" s="173" t="s">
        <v>258</v>
      </c>
      <c r="B124" s="117">
        <v>69</v>
      </c>
      <c r="C124" s="117">
        <v>75</v>
      </c>
      <c r="D124" s="117">
        <v>78</v>
      </c>
      <c r="E124" s="117">
        <v>85.8</v>
      </c>
      <c r="F124" s="117">
        <v>81.2</v>
      </c>
      <c r="G124" s="117">
        <v>87.3</v>
      </c>
      <c r="H124" s="117">
        <v>90.3</v>
      </c>
      <c r="I124" s="117">
        <v>88.8</v>
      </c>
      <c r="J124" s="117">
        <v>90.3</v>
      </c>
      <c r="K124" s="117">
        <v>82.9</v>
      </c>
      <c r="L124" s="117">
        <v>97.5</v>
      </c>
      <c r="M124" s="117">
        <v>92.9</v>
      </c>
      <c r="N124" s="117">
        <v>83.4</v>
      </c>
      <c r="O124" s="117">
        <v>87.6</v>
      </c>
      <c r="P124" s="117">
        <v>70.3</v>
      </c>
      <c r="Q124" s="117">
        <v>82.8</v>
      </c>
      <c r="R124" s="117">
        <v>82.5</v>
      </c>
      <c r="S124" s="117">
        <v>85.9</v>
      </c>
      <c r="T124" s="117">
        <v>94.6</v>
      </c>
      <c r="U124" s="117">
        <v>94</v>
      </c>
      <c r="V124" s="117">
        <v>70.599999999999994</v>
      </c>
      <c r="W124" s="117">
        <v>64.599999999999994</v>
      </c>
      <c r="X124" s="117">
        <v>68.599999999999994</v>
      </c>
      <c r="Y124" s="117">
        <v>77.7</v>
      </c>
      <c r="Z124" s="117">
        <v>95</v>
      </c>
      <c r="AA124" s="117">
        <v>94</v>
      </c>
      <c r="AB124" s="117">
        <v>87.3</v>
      </c>
      <c r="AC124" s="117">
        <v>92.1</v>
      </c>
      <c r="AD124" s="117">
        <v>89.1</v>
      </c>
      <c r="AE124" s="117">
        <v>84.1</v>
      </c>
      <c r="AF124" s="117">
        <v>87.1</v>
      </c>
      <c r="AG124" s="118"/>
      <c r="AH124" s="47"/>
      <c r="AI124" s="48"/>
    </row>
    <row r="125" spans="1:35" x14ac:dyDescent="0.25">
      <c r="A125" s="173" t="s">
        <v>255</v>
      </c>
      <c r="B125" s="117">
        <v>63</v>
      </c>
      <c r="C125" s="117">
        <v>71</v>
      </c>
      <c r="D125" s="117">
        <v>71</v>
      </c>
      <c r="E125" s="117">
        <v>80</v>
      </c>
      <c r="F125" s="117">
        <v>73.7</v>
      </c>
      <c r="G125" s="117">
        <v>65.2</v>
      </c>
      <c r="H125" s="117">
        <v>62.3</v>
      </c>
      <c r="I125" s="117">
        <v>41.7</v>
      </c>
      <c r="J125" s="117">
        <v>13.3</v>
      </c>
      <c r="K125" s="117">
        <v>-26.5</v>
      </c>
      <c r="L125" s="117">
        <v>-12.6</v>
      </c>
      <c r="M125" s="117">
        <v>-17</v>
      </c>
      <c r="N125" s="117">
        <v>-10.6</v>
      </c>
      <c r="O125" s="117">
        <v>3.3</v>
      </c>
      <c r="P125" s="117">
        <v>-15.3</v>
      </c>
      <c r="Q125" s="117">
        <v>13.3</v>
      </c>
      <c r="R125" s="117">
        <v>80.8</v>
      </c>
      <c r="S125" s="117">
        <v>10.1</v>
      </c>
      <c r="T125" s="117">
        <v>14.1</v>
      </c>
      <c r="U125" s="117">
        <v>-4.5999999999999996</v>
      </c>
      <c r="V125" s="117">
        <v>2.2000000000000002</v>
      </c>
      <c r="W125" s="117">
        <v>16.3</v>
      </c>
      <c r="X125" s="117">
        <v>8.8000000000000007</v>
      </c>
      <c r="Y125" s="117">
        <v>-9.6</v>
      </c>
      <c r="Z125" s="117">
        <v>-26.5</v>
      </c>
      <c r="AA125" s="117">
        <v>-21.7</v>
      </c>
      <c r="AB125" s="117">
        <v>-31.5</v>
      </c>
      <c r="AC125" s="117">
        <v>-14.1</v>
      </c>
      <c r="AD125" s="117">
        <v>-31.6</v>
      </c>
      <c r="AE125" s="117">
        <v>38.299999999999997</v>
      </c>
      <c r="AF125" s="117">
        <v>75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77</v>
      </c>
      <c r="C126" s="117">
        <v>83</v>
      </c>
      <c r="D126" s="117">
        <v>94</v>
      </c>
      <c r="E126" s="117">
        <v>104.96</v>
      </c>
      <c r="F126" s="117">
        <v>91.8</v>
      </c>
      <c r="G126" s="117">
        <v>102.9</v>
      </c>
      <c r="H126" s="117">
        <v>98.5</v>
      </c>
      <c r="I126" s="117">
        <v>97.4</v>
      </c>
      <c r="J126" s="117">
        <v>98.2</v>
      </c>
      <c r="K126" s="117">
        <v>76.400000000000006</v>
      </c>
      <c r="L126" s="117">
        <v>75.099999999999994</v>
      </c>
      <c r="M126" s="117">
        <v>70.7</v>
      </c>
      <c r="N126" s="117">
        <v>66.8</v>
      </c>
      <c r="O126" s="117">
        <v>77.7</v>
      </c>
      <c r="P126" s="117">
        <v>52.1</v>
      </c>
      <c r="Q126" s="117">
        <v>71.5</v>
      </c>
      <c r="R126" s="117">
        <v>72.5</v>
      </c>
      <c r="S126" s="117">
        <v>80.099999999999994</v>
      </c>
      <c r="T126" s="117">
        <v>83.6</v>
      </c>
      <c r="U126" s="117">
        <v>82.6</v>
      </c>
      <c r="V126" s="117">
        <v>57.3</v>
      </c>
      <c r="W126" s="117">
        <v>54.2</v>
      </c>
      <c r="X126" s="117">
        <v>52.2</v>
      </c>
      <c r="Y126" s="117">
        <v>57.8</v>
      </c>
      <c r="Z126" s="117">
        <v>68.400000000000006</v>
      </c>
      <c r="AA126" s="117">
        <v>65</v>
      </c>
      <c r="AB126" s="117">
        <v>66</v>
      </c>
      <c r="AC126" s="117">
        <v>71.2</v>
      </c>
      <c r="AD126" s="117">
        <v>77</v>
      </c>
      <c r="AE126" s="117">
        <v>77.599999999999994</v>
      </c>
      <c r="AF126" s="117">
        <v>100.2</v>
      </c>
      <c r="AG126" s="114"/>
      <c r="AH126" s="47">
        <f t="shared" si="49"/>
        <v>104.96</v>
      </c>
      <c r="AI126" s="48">
        <f t="shared" si="50"/>
        <v>52.1</v>
      </c>
    </row>
    <row r="127" spans="1:35" x14ac:dyDescent="0.25">
      <c r="A127" s="172" t="s">
        <v>587</v>
      </c>
      <c r="B127" s="117">
        <v>6</v>
      </c>
      <c r="C127" s="117">
        <v>20</v>
      </c>
      <c r="D127" s="117">
        <v>23</v>
      </c>
      <c r="E127" s="117">
        <v>29.3</v>
      </c>
      <c r="F127" s="117">
        <v>28.8</v>
      </c>
      <c r="G127" s="117">
        <v>17.7</v>
      </c>
      <c r="H127" s="117">
        <v>13.4</v>
      </c>
      <c r="I127" s="117">
        <v>6.8</v>
      </c>
      <c r="J127" s="117">
        <v>-2.9</v>
      </c>
      <c r="K127" s="117">
        <v>1.9</v>
      </c>
      <c r="L127" s="117">
        <v>-5.3</v>
      </c>
      <c r="M127" s="117">
        <v>-6.5</v>
      </c>
      <c r="N127" s="117">
        <v>-3.6</v>
      </c>
      <c r="O127" s="117">
        <v>-9.3000000000000007</v>
      </c>
      <c r="P127" s="117">
        <v>-6.5</v>
      </c>
      <c r="Q127" s="117">
        <v>-3.8</v>
      </c>
      <c r="R127" s="117">
        <v>-8.9</v>
      </c>
      <c r="S127" s="117">
        <v>-4</v>
      </c>
      <c r="T127" s="117">
        <v>-5.6</v>
      </c>
      <c r="U127" s="117">
        <v>-4.3</v>
      </c>
      <c r="V127" s="117">
        <v>-1.8</v>
      </c>
      <c r="W127" s="117">
        <v>0</v>
      </c>
      <c r="X127" s="117">
        <v>-4.2</v>
      </c>
      <c r="Y127" s="117">
        <v>-4.9000000000000004</v>
      </c>
      <c r="Z127" s="117">
        <v>-4</v>
      </c>
      <c r="AA127" s="117">
        <v>-2.1</v>
      </c>
      <c r="AB127" s="117">
        <v>-3.6</v>
      </c>
      <c r="AC127" s="117">
        <v>-1.5</v>
      </c>
      <c r="AD127" s="117">
        <v>16.399999999999999</v>
      </c>
      <c r="AE127" s="117">
        <v>19.5</v>
      </c>
      <c r="AF127" s="117">
        <v>23.2</v>
      </c>
      <c r="AG127" s="114"/>
      <c r="AH127" s="47">
        <f t="shared" si="49"/>
        <v>29.3</v>
      </c>
      <c r="AI127" s="48">
        <f t="shared" si="50"/>
        <v>-9.3000000000000007</v>
      </c>
    </row>
    <row r="128" spans="1:35" x14ac:dyDescent="0.25">
      <c r="A128" s="173" t="s">
        <v>123</v>
      </c>
      <c r="B128" s="106">
        <v>-6</v>
      </c>
      <c r="C128" s="106">
        <v>-4</v>
      </c>
      <c r="D128" s="106">
        <v>-3.4</v>
      </c>
      <c r="E128" s="106">
        <v>-2.8</v>
      </c>
      <c r="F128" s="106">
        <v>-3.8</v>
      </c>
      <c r="G128" s="106">
        <v>-6.5</v>
      </c>
      <c r="H128" s="106">
        <v>-11.8</v>
      </c>
      <c r="I128" s="106">
        <v>-16.600000000000001</v>
      </c>
      <c r="J128" s="106">
        <v>-27.2</v>
      </c>
      <c r="K128" s="106">
        <v>-36.799999999999997</v>
      </c>
      <c r="L128" s="106">
        <v>-42.5</v>
      </c>
      <c r="M128" s="106">
        <v>-40.4</v>
      </c>
      <c r="N128" s="106">
        <v>-36.5</v>
      </c>
      <c r="O128" s="106">
        <v>-28.1</v>
      </c>
      <c r="P128" s="106">
        <v>-25</v>
      </c>
      <c r="Q128" s="106">
        <v>20.399999999999999</v>
      </c>
      <c r="R128" s="106">
        <v>-17.100000000000001</v>
      </c>
      <c r="S128" s="106">
        <v>-16.399999999999999</v>
      </c>
      <c r="T128" s="106">
        <v>-19.7</v>
      </c>
      <c r="U128" s="106">
        <v>-20.7</v>
      </c>
      <c r="V128" s="106">
        <v>-29.3</v>
      </c>
      <c r="W128" s="106">
        <v>-31.8</v>
      </c>
      <c r="X128" s="106">
        <v>-43.4</v>
      </c>
      <c r="Y128" s="106">
        <v>-46.1</v>
      </c>
      <c r="Z128" s="106">
        <v>-42.9</v>
      </c>
      <c r="AA128" s="106">
        <v>-39.200000000000003</v>
      </c>
      <c r="AB128" s="106">
        <v>-34.799999999999997</v>
      </c>
      <c r="AC128" s="106">
        <v>-27.3</v>
      </c>
      <c r="AD128" s="106">
        <v>-14.5</v>
      </c>
      <c r="AE128" s="106">
        <v>-10.7</v>
      </c>
      <c r="AF128" s="106">
        <v>-6.2</v>
      </c>
      <c r="AG128" s="114"/>
      <c r="AH128" s="47">
        <f t="shared" si="49"/>
        <v>20.399999999999999</v>
      </c>
      <c r="AI128" s="48">
        <f t="shared" si="50"/>
        <v>-46.1</v>
      </c>
    </row>
    <row r="129" spans="1:37" x14ac:dyDescent="0.25">
      <c r="A129" s="173" t="s">
        <v>260</v>
      </c>
      <c r="B129" s="106">
        <v>21</v>
      </c>
      <c r="C129" s="106">
        <v>21</v>
      </c>
      <c r="D129" s="106">
        <v>21.8</v>
      </c>
      <c r="E129" s="106">
        <v>22.1</v>
      </c>
      <c r="F129" s="106">
        <v>21.7</v>
      </c>
      <c r="G129" s="106">
        <v>23.1</v>
      </c>
      <c r="H129" s="106">
        <v>23.5</v>
      </c>
      <c r="I129" s="106">
        <v>24.74</v>
      </c>
      <c r="J129" s="106">
        <v>25.8</v>
      </c>
      <c r="K129" s="106">
        <v>12.7</v>
      </c>
      <c r="L129" s="106">
        <v>12</v>
      </c>
      <c r="M129" s="106">
        <v>12.3</v>
      </c>
      <c r="N129" s="106">
        <v>13</v>
      </c>
      <c r="O129" s="106">
        <v>12.1</v>
      </c>
      <c r="P129" s="106">
        <v>13</v>
      </c>
      <c r="Q129" s="106">
        <v>16</v>
      </c>
      <c r="R129" s="106">
        <v>25.3</v>
      </c>
      <c r="S129" s="106">
        <v>21.7</v>
      </c>
      <c r="T129" s="106">
        <v>25.2</v>
      </c>
      <c r="U129" s="106">
        <v>24.4</v>
      </c>
      <c r="V129" s="106">
        <v>6</v>
      </c>
      <c r="W129" s="106">
        <v>5.4</v>
      </c>
      <c r="X129" s="106">
        <v>8.6999999999999993</v>
      </c>
      <c r="Y129" s="106">
        <v>8.8000000000000007</v>
      </c>
      <c r="Z129" s="106">
        <v>7.2</v>
      </c>
      <c r="AA129" s="106">
        <v>8.9</v>
      </c>
      <c r="AB129" s="106">
        <v>8.6999999999999993</v>
      </c>
      <c r="AC129" s="106">
        <v>8.8000000000000007</v>
      </c>
      <c r="AD129" s="106">
        <v>16.2</v>
      </c>
      <c r="AE129" s="106">
        <v>16.3</v>
      </c>
      <c r="AF129" s="106">
        <v>20.9</v>
      </c>
      <c r="AG129" s="114"/>
      <c r="AH129" s="47">
        <f t="shared" si="49"/>
        <v>25.8</v>
      </c>
      <c r="AI129" s="48">
        <f t="shared" si="50"/>
        <v>5.4</v>
      </c>
    </row>
    <row r="130" spans="1:37" ht="15.75" thickBot="1" x14ac:dyDescent="0.3">
      <c r="A130" s="173" t="s">
        <v>257</v>
      </c>
      <c r="B130" s="106">
        <v>80</v>
      </c>
      <c r="C130" s="106">
        <v>82</v>
      </c>
      <c r="D130" s="106">
        <v>83</v>
      </c>
      <c r="E130" s="106">
        <v>79.3</v>
      </c>
      <c r="F130" s="106">
        <v>81.099999999999994</v>
      </c>
      <c r="G130" s="106">
        <v>82.3</v>
      </c>
      <c r="H130" s="106">
        <v>84</v>
      </c>
      <c r="I130" s="106">
        <v>89.8</v>
      </c>
      <c r="J130" s="106">
        <v>94</v>
      </c>
      <c r="K130" s="106">
        <v>94</v>
      </c>
      <c r="L130" s="106">
        <v>104.3</v>
      </c>
      <c r="M130" s="106">
        <v>106</v>
      </c>
      <c r="N130" s="106">
        <v>94.7</v>
      </c>
      <c r="O130" s="106">
        <v>86.5</v>
      </c>
      <c r="P130" s="106">
        <v>88.1</v>
      </c>
      <c r="Q130" s="106">
        <v>102.1</v>
      </c>
      <c r="R130" s="106">
        <v>102.7</v>
      </c>
      <c r="S130" s="106">
        <v>96.3</v>
      </c>
      <c r="T130" s="106">
        <v>106.78</v>
      </c>
      <c r="U130" s="106">
        <v>104.6</v>
      </c>
      <c r="V130" s="106">
        <v>92.7</v>
      </c>
      <c r="W130" s="106">
        <v>91.8</v>
      </c>
      <c r="X130" s="106">
        <v>102</v>
      </c>
      <c r="Y130" s="106">
        <v>113.1</v>
      </c>
      <c r="Z130" s="106">
        <v>108.6</v>
      </c>
      <c r="AA130" s="106">
        <v>106.9</v>
      </c>
      <c r="AB130" s="106">
        <v>102.7</v>
      </c>
      <c r="AC130" s="106">
        <v>97.2</v>
      </c>
      <c r="AD130" s="106">
        <v>97.3</v>
      </c>
      <c r="AE130" s="106">
        <v>94.3</v>
      </c>
      <c r="AF130" s="106">
        <v>88.6</v>
      </c>
      <c r="AG130" s="114"/>
      <c r="AH130" s="47">
        <f t="shared" si="49"/>
        <v>113.1</v>
      </c>
      <c r="AI130" s="48">
        <f t="shared" si="50"/>
        <v>79.3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86">
        <v>1984.43</v>
      </c>
      <c r="C132" s="186">
        <v>1984.68</v>
      </c>
      <c r="D132" s="186">
        <v>1984.9</v>
      </c>
      <c r="E132" s="186">
        <v>1985.11</v>
      </c>
      <c r="F132" s="186">
        <v>1985.33</v>
      </c>
      <c r="G132" s="186">
        <v>1985.52</v>
      </c>
      <c r="H132" s="186"/>
      <c r="I132" s="186">
        <v>1985.62</v>
      </c>
      <c r="J132" s="186"/>
      <c r="K132" s="186">
        <v>1985.59</v>
      </c>
      <c r="L132" s="186"/>
      <c r="M132" s="147">
        <v>1985.05</v>
      </c>
      <c r="N132" s="147">
        <v>1984.2</v>
      </c>
      <c r="O132" s="147">
        <v>1983.95</v>
      </c>
      <c r="P132" s="147">
        <v>1983.96</v>
      </c>
      <c r="Q132" s="147">
        <v>1984.05</v>
      </c>
      <c r="R132" s="147">
        <v>1984.2</v>
      </c>
      <c r="S132" s="147">
        <v>1984.35</v>
      </c>
      <c r="T132" s="147">
        <v>1984.48</v>
      </c>
      <c r="U132" s="147">
        <v>1984.52</v>
      </c>
      <c r="V132" s="147">
        <v>1984.55</v>
      </c>
      <c r="W132" s="147"/>
      <c r="X132" s="147">
        <v>1984.75</v>
      </c>
      <c r="Y132" s="147"/>
      <c r="Z132" s="147">
        <v>1984.4</v>
      </c>
      <c r="AA132" s="147"/>
      <c r="AB132" s="147">
        <v>1983.8</v>
      </c>
      <c r="AC132" s="147"/>
      <c r="AD132" s="147">
        <v>1983.65</v>
      </c>
      <c r="AE132" s="147">
        <v>1983.84</v>
      </c>
      <c r="AF132" s="148">
        <v>1984.1</v>
      </c>
      <c r="AG132" s="149"/>
      <c r="AH132" s="47"/>
      <c r="AI132" s="48"/>
    </row>
    <row r="133" spans="1:37" x14ac:dyDescent="0.25">
      <c r="A133" s="185" t="s">
        <v>238</v>
      </c>
      <c r="B133" s="187">
        <v>520.6</v>
      </c>
      <c r="C133" s="187">
        <v>521.03</v>
      </c>
      <c r="D133" s="187">
        <v>521.37</v>
      </c>
      <c r="E133" s="187">
        <v>521.72</v>
      </c>
      <c r="F133" s="187">
        <v>522.03</v>
      </c>
      <c r="G133" s="187">
        <v>522.33000000000004</v>
      </c>
      <c r="H133" s="187"/>
      <c r="I133" s="187">
        <v>522.63</v>
      </c>
      <c r="J133" s="187"/>
      <c r="K133" s="187">
        <v>522.49</v>
      </c>
      <c r="L133" s="187"/>
      <c r="M133" s="150">
        <v>522.46</v>
      </c>
      <c r="N133" s="150">
        <v>522.35</v>
      </c>
      <c r="O133" s="150">
        <v>522.30999999999995</v>
      </c>
      <c r="P133" s="150">
        <v>522.25</v>
      </c>
      <c r="Q133" s="150">
        <v>522.16</v>
      </c>
      <c r="R133" s="150">
        <v>522.1</v>
      </c>
      <c r="S133" s="150">
        <v>521.94000000000005</v>
      </c>
      <c r="T133" s="150">
        <v>521.86</v>
      </c>
      <c r="U133" s="150">
        <v>521.72</v>
      </c>
      <c r="V133" s="150">
        <v>521.5</v>
      </c>
      <c r="W133" s="150"/>
      <c r="X133" s="150">
        <v>521.54999999999995</v>
      </c>
      <c r="Y133" s="150"/>
      <c r="Z133" s="150">
        <v>521.51</v>
      </c>
      <c r="AA133" s="150"/>
      <c r="AB133" s="150">
        <v>521.41</v>
      </c>
      <c r="AC133" s="150"/>
      <c r="AD133" s="150">
        <v>521.35</v>
      </c>
      <c r="AE133" s="150">
        <v>521.45000000000005</v>
      </c>
      <c r="AF133" s="151">
        <v>521.59</v>
      </c>
      <c r="AG133" s="149"/>
      <c r="AH133" s="47"/>
      <c r="AI133" s="48"/>
    </row>
    <row r="134" spans="1:37" x14ac:dyDescent="0.25">
      <c r="A134" s="185" t="s">
        <v>239</v>
      </c>
      <c r="B134" s="187">
        <v>623.26</v>
      </c>
      <c r="C134" s="187">
        <v>623.65</v>
      </c>
      <c r="D134" s="187">
        <v>624</v>
      </c>
      <c r="E134" s="187">
        <v>624.44000000000005</v>
      </c>
      <c r="F134" s="187">
        <v>624.66</v>
      </c>
      <c r="G134" s="187">
        <v>625.04</v>
      </c>
      <c r="H134" s="187"/>
      <c r="I134" s="187">
        <v>625.16</v>
      </c>
      <c r="J134" s="187"/>
      <c r="K134" s="187">
        <v>624.91</v>
      </c>
      <c r="L134" s="187"/>
      <c r="M134" s="150">
        <v>624.4</v>
      </c>
      <c r="N134" s="150">
        <v>624.1</v>
      </c>
      <c r="O134" s="150">
        <v>624.16999999999996</v>
      </c>
      <c r="P134" s="150">
        <v>624.24</v>
      </c>
      <c r="Q134" s="150">
        <v>624.05999999999995</v>
      </c>
      <c r="R134" s="150">
        <v>623.75</v>
      </c>
      <c r="S134" s="150">
        <v>623.54999999999995</v>
      </c>
      <c r="T134" s="150">
        <v>623.24</v>
      </c>
      <c r="U134" s="150">
        <v>623.20000000000005</v>
      </c>
      <c r="V134" s="150">
        <v>623.21</v>
      </c>
      <c r="W134" s="150"/>
      <c r="X134" s="150">
        <v>623.21</v>
      </c>
      <c r="Y134" s="150"/>
      <c r="Z134" s="150">
        <v>623</v>
      </c>
      <c r="AA134" s="150"/>
      <c r="AB134" s="150">
        <v>622.54999999999995</v>
      </c>
      <c r="AC134" s="150"/>
      <c r="AD134" s="150">
        <v>622.39</v>
      </c>
      <c r="AE134" s="150">
        <v>622.39</v>
      </c>
      <c r="AF134" s="151">
        <v>622.79999999999995</v>
      </c>
      <c r="AG134" s="149"/>
      <c r="AH134" s="47"/>
      <c r="AI134" s="48"/>
    </row>
    <row r="135" spans="1:37" x14ac:dyDescent="0.25">
      <c r="A135" s="185" t="s">
        <v>240</v>
      </c>
      <c r="B135" s="187">
        <v>335.72</v>
      </c>
      <c r="C135" s="187">
        <v>336.15</v>
      </c>
      <c r="D135" s="187">
        <v>336.47</v>
      </c>
      <c r="E135" s="187">
        <v>336.8</v>
      </c>
      <c r="F135" s="187">
        <v>336.94</v>
      </c>
      <c r="G135" s="187">
        <v>336.99</v>
      </c>
      <c r="H135" s="187"/>
      <c r="I135" s="187">
        <v>336.98</v>
      </c>
      <c r="J135" s="187"/>
      <c r="K135" s="187">
        <v>336.68</v>
      </c>
      <c r="L135" s="187"/>
      <c r="M135" s="150">
        <v>336.33</v>
      </c>
      <c r="N135" s="150">
        <v>335.93</v>
      </c>
      <c r="O135" s="150">
        <v>335.61</v>
      </c>
      <c r="P135" s="150">
        <v>335.4</v>
      </c>
      <c r="Q135" s="150">
        <v>335.11</v>
      </c>
      <c r="R135" s="150">
        <v>335.17</v>
      </c>
      <c r="S135" s="150">
        <v>335.33</v>
      </c>
      <c r="T135" s="150">
        <v>335.44</v>
      </c>
      <c r="U135" s="150">
        <v>335.36</v>
      </c>
      <c r="V135" s="150">
        <v>335.19</v>
      </c>
      <c r="W135" s="150"/>
      <c r="X135" s="150">
        <v>335.28</v>
      </c>
      <c r="Y135" s="150"/>
      <c r="Z135" s="150">
        <v>335.31</v>
      </c>
      <c r="AA135" s="150"/>
      <c r="AB135" s="150">
        <v>335.31</v>
      </c>
      <c r="AC135" s="150"/>
      <c r="AD135" s="150">
        <v>335.33</v>
      </c>
      <c r="AE135" s="150">
        <v>335.35</v>
      </c>
      <c r="AF135" s="151">
        <v>335.52</v>
      </c>
      <c r="AG135" s="149"/>
      <c r="AH135" s="47"/>
      <c r="AI135" s="48"/>
    </row>
    <row r="136" spans="1:37" x14ac:dyDescent="0.25">
      <c r="A136" s="185" t="s">
        <v>384</v>
      </c>
      <c r="B136" s="187">
        <v>883.1</v>
      </c>
      <c r="C136" s="187">
        <v>883.5</v>
      </c>
      <c r="D136" s="187">
        <v>884.3</v>
      </c>
      <c r="E136" s="187">
        <v>885.1</v>
      </c>
      <c r="F136" s="187">
        <v>885.5</v>
      </c>
      <c r="G136" s="187">
        <v>886</v>
      </c>
      <c r="H136" s="187"/>
      <c r="I136" s="187">
        <v>886.5</v>
      </c>
      <c r="J136" s="187"/>
      <c r="K136" s="187">
        <v>886.3</v>
      </c>
      <c r="L136" s="187"/>
      <c r="M136" s="150">
        <v>885.9</v>
      </c>
      <c r="N136" s="150">
        <v>885.7</v>
      </c>
      <c r="O136" s="150">
        <v>885.9</v>
      </c>
      <c r="P136" s="150">
        <v>886.4</v>
      </c>
      <c r="Q136" s="150">
        <v>886.4</v>
      </c>
      <c r="R136" s="150">
        <v>885.8</v>
      </c>
      <c r="S136" s="150">
        <v>884.5</v>
      </c>
      <c r="T136" s="150">
        <v>883.1</v>
      </c>
      <c r="U136" s="150">
        <v>883.5</v>
      </c>
      <c r="V136" s="150">
        <v>884.3</v>
      </c>
      <c r="W136" s="150"/>
      <c r="X136" s="150">
        <v>884.8</v>
      </c>
      <c r="Y136" s="150"/>
      <c r="Z136" s="150">
        <v>883.8</v>
      </c>
      <c r="AA136" s="150"/>
      <c r="AB136" s="150">
        <v>882.6</v>
      </c>
      <c r="AC136" s="150"/>
      <c r="AD136" s="150">
        <v>882.8</v>
      </c>
      <c r="AE136" s="150">
        <v>883.7</v>
      </c>
      <c r="AF136" s="151">
        <v>884.4</v>
      </c>
      <c r="AG136" s="149"/>
      <c r="AH136" s="47"/>
      <c r="AI136" s="48"/>
    </row>
    <row r="137" spans="1:37" ht="15.75" thickBot="1" x14ac:dyDescent="0.3">
      <c r="A137" s="185" t="s">
        <v>241</v>
      </c>
      <c r="B137" s="188">
        <v>1519.24</v>
      </c>
      <c r="C137" s="188"/>
      <c r="D137" s="188"/>
      <c r="E137" s="188"/>
      <c r="F137" s="188"/>
      <c r="G137" s="188">
        <v>1519.24</v>
      </c>
      <c r="H137" s="188"/>
      <c r="I137" s="188">
        <v>1519.25</v>
      </c>
      <c r="J137" s="188"/>
      <c r="K137" s="188"/>
      <c r="L137" s="188"/>
      <c r="M137" s="152">
        <v>1519.25</v>
      </c>
      <c r="N137" s="152"/>
      <c r="O137" s="152"/>
      <c r="P137" s="152"/>
      <c r="Q137" s="152"/>
      <c r="R137" s="152">
        <v>1519.26</v>
      </c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1519.28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37">SUM(B139:B243)</f>
        <v>0</v>
      </c>
      <c r="C244" s="134">
        <f t="shared" si="137"/>
        <v>0</v>
      </c>
      <c r="D244" s="134">
        <f t="shared" si="137"/>
        <v>0</v>
      </c>
      <c r="E244" s="134">
        <f t="shared" si="137"/>
        <v>0</v>
      </c>
      <c r="F244" s="134">
        <f t="shared" si="137"/>
        <v>0</v>
      </c>
      <c r="G244" s="134">
        <f t="shared" si="137"/>
        <v>0</v>
      </c>
      <c r="H244" s="134">
        <f t="shared" si="137"/>
        <v>0</v>
      </c>
      <c r="I244" s="134">
        <f t="shared" si="137"/>
        <v>0</v>
      </c>
      <c r="J244" s="134">
        <f t="shared" si="137"/>
        <v>0</v>
      </c>
      <c r="K244" s="134">
        <f t="shared" si="137"/>
        <v>0</v>
      </c>
      <c r="L244" s="134">
        <f t="shared" si="137"/>
        <v>0</v>
      </c>
      <c r="M244" s="134">
        <f t="shared" si="137"/>
        <v>0</v>
      </c>
      <c r="N244" s="134">
        <f t="shared" si="137"/>
        <v>0</v>
      </c>
      <c r="O244" s="134">
        <f t="shared" si="137"/>
        <v>0</v>
      </c>
      <c r="P244" s="134">
        <f t="shared" si="137"/>
        <v>0</v>
      </c>
      <c r="Q244" s="134">
        <f t="shared" si="137"/>
        <v>0</v>
      </c>
      <c r="R244" s="134">
        <f t="shared" si="137"/>
        <v>0</v>
      </c>
      <c r="S244" s="134">
        <f t="shared" si="137"/>
        <v>0</v>
      </c>
      <c r="T244" s="134">
        <f t="shared" si="137"/>
        <v>0</v>
      </c>
      <c r="U244" s="134">
        <f t="shared" si="137"/>
        <v>0</v>
      </c>
      <c r="V244" s="134">
        <f t="shared" si="137"/>
        <v>0</v>
      </c>
      <c r="W244" s="134">
        <f t="shared" si="137"/>
        <v>0</v>
      </c>
      <c r="X244" s="134">
        <f t="shared" si="137"/>
        <v>0</v>
      </c>
      <c r="Y244" s="134">
        <f t="shared" si="137"/>
        <v>0</v>
      </c>
      <c r="Z244" s="134">
        <f t="shared" si="137"/>
        <v>0</v>
      </c>
      <c r="AA244" s="134">
        <f t="shared" si="137"/>
        <v>0</v>
      </c>
      <c r="AB244" s="134">
        <f t="shared" si="137"/>
        <v>0</v>
      </c>
      <c r="AC244" s="134">
        <f t="shared" si="137"/>
        <v>0</v>
      </c>
      <c r="AD244" s="134">
        <f t="shared" si="137"/>
        <v>0</v>
      </c>
      <c r="AE244" s="134">
        <f t="shared" si="137"/>
        <v>0</v>
      </c>
      <c r="AF244" s="135">
        <f t="shared" si="137"/>
        <v>0</v>
      </c>
      <c r="AG244" s="136">
        <f t="shared" si="13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38">AF246</f>
        <v>0.3</v>
      </c>
      <c r="C246" s="138">
        <v>0.3</v>
      </c>
      <c r="D246" s="138">
        <f t="shared" ref="D246:S251" si="139">C246</f>
        <v>0.3</v>
      </c>
      <c r="E246" s="138">
        <f t="shared" si="139"/>
        <v>0.3</v>
      </c>
      <c r="F246" s="138">
        <f t="shared" si="139"/>
        <v>0.3</v>
      </c>
      <c r="G246" s="138">
        <f t="shared" si="139"/>
        <v>0.3</v>
      </c>
      <c r="H246" s="138">
        <f t="shared" si="139"/>
        <v>0.3</v>
      </c>
      <c r="I246" s="138">
        <f t="shared" si="139"/>
        <v>0.3</v>
      </c>
      <c r="J246" s="138">
        <f t="shared" si="139"/>
        <v>0.3</v>
      </c>
      <c r="K246" s="138">
        <f t="shared" si="139"/>
        <v>0.3</v>
      </c>
      <c r="L246" s="138">
        <f t="shared" si="139"/>
        <v>0.3</v>
      </c>
      <c r="M246" s="138">
        <f t="shared" si="139"/>
        <v>0.3</v>
      </c>
      <c r="N246" s="138">
        <f t="shared" si="139"/>
        <v>0.3</v>
      </c>
      <c r="O246" s="138">
        <f t="shared" si="139"/>
        <v>0.3</v>
      </c>
      <c r="P246" s="138">
        <f t="shared" si="139"/>
        <v>0.3</v>
      </c>
      <c r="Q246" s="138">
        <f t="shared" si="139"/>
        <v>0.3</v>
      </c>
      <c r="R246" s="138">
        <f t="shared" si="139"/>
        <v>0.3</v>
      </c>
      <c r="S246" s="138">
        <f t="shared" si="139"/>
        <v>0.3</v>
      </c>
      <c r="T246" s="138">
        <f t="shared" ref="T246:AF251" si="140">S246</f>
        <v>0.3</v>
      </c>
      <c r="U246" s="138">
        <f t="shared" si="140"/>
        <v>0.3</v>
      </c>
      <c r="V246" s="138">
        <f t="shared" si="140"/>
        <v>0.3</v>
      </c>
      <c r="W246" s="138">
        <f t="shared" si="140"/>
        <v>0.3</v>
      </c>
      <c r="X246" s="138">
        <f t="shared" si="140"/>
        <v>0.3</v>
      </c>
      <c r="Y246" s="138">
        <f t="shared" si="140"/>
        <v>0.3</v>
      </c>
      <c r="Z246" s="138">
        <f t="shared" si="140"/>
        <v>0.3</v>
      </c>
      <c r="AA246" s="138">
        <f t="shared" si="140"/>
        <v>0.3</v>
      </c>
      <c r="AB246" s="138">
        <f t="shared" si="140"/>
        <v>0.3</v>
      </c>
      <c r="AC246" s="138">
        <f t="shared" si="140"/>
        <v>0.3</v>
      </c>
      <c r="AD246" s="138">
        <f t="shared" si="140"/>
        <v>0.3</v>
      </c>
      <c r="AE246" s="138">
        <f t="shared" si="140"/>
        <v>0.3</v>
      </c>
      <c r="AF246" s="138">
        <f t="shared" si="14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38"/>
        <v>0.4</v>
      </c>
      <c r="C247" s="126">
        <v>0.4</v>
      </c>
      <c r="D247" s="126">
        <f t="shared" si="139"/>
        <v>0.4</v>
      </c>
      <c r="E247" s="126">
        <f t="shared" si="139"/>
        <v>0.4</v>
      </c>
      <c r="F247" s="126">
        <f t="shared" si="139"/>
        <v>0.4</v>
      </c>
      <c r="G247" s="126">
        <f t="shared" si="139"/>
        <v>0.4</v>
      </c>
      <c r="H247" s="126">
        <f t="shared" si="139"/>
        <v>0.4</v>
      </c>
      <c r="I247" s="126">
        <f t="shared" si="139"/>
        <v>0.4</v>
      </c>
      <c r="J247" s="126">
        <f t="shared" si="139"/>
        <v>0.4</v>
      </c>
      <c r="K247" s="126">
        <f t="shared" si="139"/>
        <v>0.4</v>
      </c>
      <c r="L247" s="126">
        <f t="shared" si="139"/>
        <v>0.4</v>
      </c>
      <c r="M247" s="126">
        <f t="shared" si="139"/>
        <v>0.4</v>
      </c>
      <c r="N247" s="126">
        <f t="shared" si="139"/>
        <v>0.4</v>
      </c>
      <c r="O247" s="126">
        <f t="shared" si="139"/>
        <v>0.4</v>
      </c>
      <c r="P247" s="126">
        <f t="shared" si="139"/>
        <v>0.4</v>
      </c>
      <c r="Q247" s="126">
        <f t="shared" si="139"/>
        <v>0.4</v>
      </c>
      <c r="R247" s="126">
        <f t="shared" si="139"/>
        <v>0.4</v>
      </c>
      <c r="S247" s="126">
        <f t="shared" si="139"/>
        <v>0.4</v>
      </c>
      <c r="T247" s="126">
        <f t="shared" si="140"/>
        <v>0.4</v>
      </c>
      <c r="U247" s="126">
        <f t="shared" si="140"/>
        <v>0.4</v>
      </c>
      <c r="V247" s="126">
        <f t="shared" si="140"/>
        <v>0.4</v>
      </c>
      <c r="W247" s="126">
        <f t="shared" si="140"/>
        <v>0.4</v>
      </c>
      <c r="X247" s="126">
        <f t="shared" si="140"/>
        <v>0.4</v>
      </c>
      <c r="Y247" s="126">
        <f t="shared" si="140"/>
        <v>0.4</v>
      </c>
      <c r="Z247" s="126">
        <f t="shared" si="140"/>
        <v>0.4</v>
      </c>
      <c r="AA247" s="126">
        <f t="shared" si="140"/>
        <v>0.4</v>
      </c>
      <c r="AB247" s="126">
        <f t="shared" si="140"/>
        <v>0.4</v>
      </c>
      <c r="AC247" s="126">
        <f t="shared" si="140"/>
        <v>0.4</v>
      </c>
      <c r="AD247" s="126">
        <f t="shared" si="140"/>
        <v>0.4</v>
      </c>
      <c r="AE247" s="126">
        <f t="shared" si="140"/>
        <v>0.4</v>
      </c>
      <c r="AF247" s="126">
        <f t="shared" si="14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38"/>
        <v>1.5</v>
      </c>
      <c r="C248" s="126">
        <v>1.5</v>
      </c>
      <c r="D248" s="126">
        <f t="shared" si="139"/>
        <v>1.5</v>
      </c>
      <c r="E248" s="126">
        <f t="shared" si="139"/>
        <v>1.5</v>
      </c>
      <c r="F248" s="126">
        <f t="shared" si="139"/>
        <v>1.5</v>
      </c>
      <c r="G248" s="126">
        <f t="shared" si="139"/>
        <v>1.5</v>
      </c>
      <c r="H248" s="126">
        <f t="shared" si="139"/>
        <v>1.5</v>
      </c>
      <c r="I248" s="126">
        <f t="shared" si="139"/>
        <v>1.5</v>
      </c>
      <c r="J248" s="126">
        <f t="shared" si="139"/>
        <v>1.5</v>
      </c>
      <c r="K248" s="126">
        <f t="shared" si="139"/>
        <v>1.5</v>
      </c>
      <c r="L248" s="126">
        <f t="shared" si="139"/>
        <v>1.5</v>
      </c>
      <c r="M248" s="126">
        <f t="shared" si="139"/>
        <v>1.5</v>
      </c>
      <c r="N248" s="126">
        <f t="shared" si="139"/>
        <v>1.5</v>
      </c>
      <c r="O248" s="126">
        <f t="shared" si="139"/>
        <v>1.5</v>
      </c>
      <c r="P248" s="126">
        <f t="shared" si="139"/>
        <v>1.5</v>
      </c>
      <c r="Q248" s="126">
        <f t="shared" si="139"/>
        <v>1.5</v>
      </c>
      <c r="R248" s="126">
        <f t="shared" si="139"/>
        <v>1.5</v>
      </c>
      <c r="S248" s="126">
        <f t="shared" si="139"/>
        <v>1.5</v>
      </c>
      <c r="T248" s="126">
        <f t="shared" si="140"/>
        <v>1.5</v>
      </c>
      <c r="U248" s="126">
        <f t="shared" si="140"/>
        <v>1.5</v>
      </c>
      <c r="V248" s="126">
        <f t="shared" si="140"/>
        <v>1.5</v>
      </c>
      <c r="W248" s="126">
        <f t="shared" si="140"/>
        <v>1.5</v>
      </c>
      <c r="X248" s="126">
        <f t="shared" si="140"/>
        <v>1.5</v>
      </c>
      <c r="Y248" s="126">
        <f t="shared" si="140"/>
        <v>1.5</v>
      </c>
      <c r="Z248" s="126">
        <f t="shared" si="140"/>
        <v>1.5</v>
      </c>
      <c r="AA248" s="126">
        <f t="shared" si="140"/>
        <v>1.5</v>
      </c>
      <c r="AB248" s="126">
        <f t="shared" si="140"/>
        <v>1.5</v>
      </c>
      <c r="AC248" s="126">
        <f t="shared" si="140"/>
        <v>1.5</v>
      </c>
      <c r="AD248" s="126">
        <f t="shared" si="140"/>
        <v>1.5</v>
      </c>
      <c r="AE248" s="126">
        <f t="shared" si="140"/>
        <v>1.5</v>
      </c>
      <c r="AF248" s="126">
        <f t="shared" si="14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38"/>
        <v>0.3</v>
      </c>
      <c r="C249" s="126">
        <v>0.3</v>
      </c>
      <c r="D249" s="126">
        <f t="shared" si="139"/>
        <v>0.3</v>
      </c>
      <c r="E249" s="126">
        <f t="shared" si="139"/>
        <v>0.3</v>
      </c>
      <c r="F249" s="126">
        <f t="shared" si="139"/>
        <v>0.3</v>
      </c>
      <c r="G249" s="126">
        <f t="shared" si="139"/>
        <v>0.3</v>
      </c>
      <c r="H249" s="126">
        <f t="shared" si="139"/>
        <v>0.3</v>
      </c>
      <c r="I249" s="126">
        <f t="shared" si="139"/>
        <v>0.3</v>
      </c>
      <c r="J249" s="126">
        <f t="shared" si="139"/>
        <v>0.3</v>
      </c>
      <c r="K249" s="126">
        <f t="shared" si="139"/>
        <v>0.3</v>
      </c>
      <c r="L249" s="126">
        <f t="shared" si="139"/>
        <v>0.3</v>
      </c>
      <c r="M249" s="126">
        <f t="shared" si="139"/>
        <v>0.3</v>
      </c>
      <c r="N249" s="126">
        <f t="shared" si="139"/>
        <v>0.3</v>
      </c>
      <c r="O249" s="126">
        <f t="shared" si="139"/>
        <v>0.3</v>
      </c>
      <c r="P249" s="126">
        <f t="shared" si="139"/>
        <v>0.3</v>
      </c>
      <c r="Q249" s="126">
        <f t="shared" si="139"/>
        <v>0.3</v>
      </c>
      <c r="R249" s="126">
        <f t="shared" si="139"/>
        <v>0.3</v>
      </c>
      <c r="S249" s="126">
        <f t="shared" si="139"/>
        <v>0.3</v>
      </c>
      <c r="T249" s="126">
        <f t="shared" si="140"/>
        <v>0.3</v>
      </c>
      <c r="U249" s="126">
        <f t="shared" si="140"/>
        <v>0.3</v>
      </c>
      <c r="V249" s="126">
        <f t="shared" si="140"/>
        <v>0.3</v>
      </c>
      <c r="W249" s="126">
        <f t="shared" si="140"/>
        <v>0.3</v>
      </c>
      <c r="X249" s="126">
        <f t="shared" si="140"/>
        <v>0.3</v>
      </c>
      <c r="Y249" s="126">
        <f t="shared" si="140"/>
        <v>0.3</v>
      </c>
      <c r="Z249" s="126">
        <f t="shared" si="140"/>
        <v>0.3</v>
      </c>
      <c r="AA249" s="126">
        <f t="shared" si="140"/>
        <v>0.3</v>
      </c>
      <c r="AB249" s="126">
        <f t="shared" si="140"/>
        <v>0.3</v>
      </c>
      <c r="AC249" s="126">
        <f t="shared" si="140"/>
        <v>0.3</v>
      </c>
      <c r="AD249" s="126">
        <f t="shared" si="140"/>
        <v>0.3</v>
      </c>
      <c r="AE249" s="126">
        <f t="shared" si="140"/>
        <v>0.3</v>
      </c>
      <c r="AF249" s="126">
        <f t="shared" si="14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38"/>
        <v>0.4</v>
      </c>
      <c r="C250" s="126">
        <v>0.4</v>
      </c>
      <c r="D250" s="126">
        <f t="shared" si="139"/>
        <v>0.4</v>
      </c>
      <c r="E250" s="126">
        <f t="shared" si="139"/>
        <v>0.4</v>
      </c>
      <c r="F250" s="126">
        <f t="shared" si="139"/>
        <v>0.4</v>
      </c>
      <c r="G250" s="126">
        <f t="shared" si="139"/>
        <v>0.4</v>
      </c>
      <c r="H250" s="126">
        <f t="shared" si="139"/>
        <v>0.4</v>
      </c>
      <c r="I250" s="126">
        <f t="shared" si="139"/>
        <v>0.4</v>
      </c>
      <c r="J250" s="126">
        <f t="shared" si="139"/>
        <v>0.4</v>
      </c>
      <c r="K250" s="126">
        <f t="shared" si="139"/>
        <v>0.4</v>
      </c>
      <c r="L250" s="126">
        <f t="shared" si="139"/>
        <v>0.4</v>
      </c>
      <c r="M250" s="126">
        <f t="shared" si="139"/>
        <v>0.4</v>
      </c>
      <c r="N250" s="126">
        <f t="shared" si="139"/>
        <v>0.4</v>
      </c>
      <c r="O250" s="126">
        <f t="shared" si="139"/>
        <v>0.4</v>
      </c>
      <c r="P250" s="126">
        <f t="shared" si="139"/>
        <v>0.4</v>
      </c>
      <c r="Q250" s="126">
        <f t="shared" si="139"/>
        <v>0.4</v>
      </c>
      <c r="R250" s="126">
        <f t="shared" si="139"/>
        <v>0.4</v>
      </c>
      <c r="S250" s="126">
        <f t="shared" si="139"/>
        <v>0.4</v>
      </c>
      <c r="T250" s="126">
        <f t="shared" si="140"/>
        <v>0.4</v>
      </c>
      <c r="U250" s="126">
        <f t="shared" si="140"/>
        <v>0.4</v>
      </c>
      <c r="V250" s="126">
        <f t="shared" si="140"/>
        <v>0.4</v>
      </c>
      <c r="W250" s="126">
        <f t="shared" si="140"/>
        <v>0.4</v>
      </c>
      <c r="X250" s="126">
        <f t="shared" si="140"/>
        <v>0.4</v>
      </c>
      <c r="Y250" s="126">
        <f t="shared" si="140"/>
        <v>0.4</v>
      </c>
      <c r="Z250" s="126">
        <f t="shared" si="140"/>
        <v>0.4</v>
      </c>
      <c r="AA250" s="126">
        <f t="shared" si="140"/>
        <v>0.4</v>
      </c>
      <c r="AB250" s="126">
        <f t="shared" si="140"/>
        <v>0.4</v>
      </c>
      <c r="AC250" s="126">
        <f t="shared" si="140"/>
        <v>0.4</v>
      </c>
      <c r="AD250" s="126">
        <f t="shared" si="140"/>
        <v>0.4</v>
      </c>
      <c r="AE250" s="126">
        <f t="shared" si="140"/>
        <v>0.4</v>
      </c>
      <c r="AF250" s="126">
        <f t="shared" si="14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38"/>
        <v>0.64</v>
      </c>
      <c r="C251" s="130">
        <v>0.64</v>
      </c>
      <c r="D251" s="130">
        <f t="shared" si="139"/>
        <v>0.64</v>
      </c>
      <c r="E251" s="130">
        <f t="shared" si="139"/>
        <v>0.64</v>
      </c>
      <c r="F251" s="130">
        <f t="shared" si="139"/>
        <v>0.64</v>
      </c>
      <c r="G251" s="130">
        <f t="shared" si="139"/>
        <v>0.64</v>
      </c>
      <c r="H251" s="130">
        <f t="shared" si="139"/>
        <v>0.64</v>
      </c>
      <c r="I251" s="130">
        <f t="shared" si="139"/>
        <v>0.64</v>
      </c>
      <c r="J251" s="130">
        <f t="shared" si="139"/>
        <v>0.64</v>
      </c>
      <c r="K251" s="130">
        <f t="shared" si="139"/>
        <v>0.64</v>
      </c>
      <c r="L251" s="130">
        <f t="shared" si="139"/>
        <v>0.64</v>
      </c>
      <c r="M251" s="130">
        <f t="shared" si="139"/>
        <v>0.64</v>
      </c>
      <c r="N251" s="130">
        <f t="shared" si="139"/>
        <v>0.64</v>
      </c>
      <c r="O251" s="130">
        <f t="shared" si="139"/>
        <v>0.64</v>
      </c>
      <c r="P251" s="130">
        <f t="shared" si="139"/>
        <v>0.64</v>
      </c>
      <c r="Q251" s="130">
        <f t="shared" si="139"/>
        <v>0.64</v>
      </c>
      <c r="R251" s="130">
        <f t="shared" si="139"/>
        <v>0.64</v>
      </c>
      <c r="S251" s="130">
        <f t="shared" si="139"/>
        <v>0.64</v>
      </c>
      <c r="T251" s="130">
        <f t="shared" si="140"/>
        <v>0.64</v>
      </c>
      <c r="U251" s="130">
        <f t="shared" si="140"/>
        <v>0.64</v>
      </c>
      <c r="V251" s="130">
        <f t="shared" si="140"/>
        <v>0.64</v>
      </c>
      <c r="W251" s="130">
        <f t="shared" si="140"/>
        <v>0.64</v>
      </c>
      <c r="X251" s="130">
        <f t="shared" si="140"/>
        <v>0.64</v>
      </c>
      <c r="Y251" s="130">
        <f t="shared" si="140"/>
        <v>0.64</v>
      </c>
      <c r="Z251" s="130">
        <f t="shared" si="140"/>
        <v>0.64</v>
      </c>
      <c r="AA251" s="130">
        <f t="shared" si="140"/>
        <v>0.64</v>
      </c>
      <c r="AB251" s="130">
        <f t="shared" si="140"/>
        <v>0.64</v>
      </c>
      <c r="AC251" s="130">
        <f t="shared" si="140"/>
        <v>0.64</v>
      </c>
      <c r="AD251" s="130">
        <f t="shared" si="140"/>
        <v>0.64</v>
      </c>
      <c r="AE251" s="130">
        <f t="shared" si="140"/>
        <v>0.64</v>
      </c>
      <c r="AF251" s="130">
        <f t="shared" si="14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41">SUM(B246:B251)</f>
        <v>3.54</v>
      </c>
      <c r="C252" s="134">
        <f t="shared" si="141"/>
        <v>3.54</v>
      </c>
      <c r="D252" s="134">
        <f t="shared" si="141"/>
        <v>3.54</v>
      </c>
      <c r="E252" s="134">
        <f t="shared" si="141"/>
        <v>3.54</v>
      </c>
      <c r="F252" s="134">
        <f t="shared" si="141"/>
        <v>3.54</v>
      </c>
      <c r="G252" s="134">
        <f t="shared" si="141"/>
        <v>3.54</v>
      </c>
      <c r="H252" s="134">
        <f t="shared" si="141"/>
        <v>3.54</v>
      </c>
      <c r="I252" s="134">
        <f t="shared" si="141"/>
        <v>3.54</v>
      </c>
      <c r="J252" s="134">
        <f t="shared" si="141"/>
        <v>3.54</v>
      </c>
      <c r="K252" s="134">
        <f t="shared" si="141"/>
        <v>3.54</v>
      </c>
      <c r="L252" s="134">
        <f t="shared" si="141"/>
        <v>3.54</v>
      </c>
      <c r="M252" s="134">
        <f t="shared" si="141"/>
        <v>3.54</v>
      </c>
      <c r="N252" s="134">
        <f t="shared" si="141"/>
        <v>3.54</v>
      </c>
      <c r="O252" s="134">
        <f t="shared" si="141"/>
        <v>3.54</v>
      </c>
      <c r="P252" s="134">
        <f t="shared" si="141"/>
        <v>3.54</v>
      </c>
      <c r="Q252" s="134">
        <f t="shared" si="141"/>
        <v>3.54</v>
      </c>
      <c r="R252" s="134">
        <f t="shared" si="141"/>
        <v>3.54</v>
      </c>
      <c r="S252" s="134">
        <f t="shared" si="141"/>
        <v>3.54</v>
      </c>
      <c r="T252" s="134">
        <f t="shared" si="141"/>
        <v>3.54</v>
      </c>
      <c r="U252" s="134">
        <f t="shared" si="141"/>
        <v>3.54</v>
      </c>
      <c r="V252" s="134">
        <f t="shared" si="141"/>
        <v>3.54</v>
      </c>
      <c r="W252" s="134">
        <f t="shared" si="141"/>
        <v>3.54</v>
      </c>
      <c r="X252" s="134">
        <f t="shared" si="141"/>
        <v>3.54</v>
      </c>
      <c r="Y252" s="134">
        <f t="shared" si="141"/>
        <v>3.54</v>
      </c>
      <c r="Z252" s="134">
        <f t="shared" si="141"/>
        <v>3.54</v>
      </c>
      <c r="AA252" s="134">
        <f t="shared" si="141"/>
        <v>3.54</v>
      </c>
      <c r="AB252" s="134">
        <f t="shared" si="141"/>
        <v>3.54</v>
      </c>
      <c r="AC252" s="134">
        <f t="shared" si="141"/>
        <v>3.54</v>
      </c>
      <c r="AD252" s="134">
        <f t="shared" si="141"/>
        <v>3.54</v>
      </c>
      <c r="AE252" s="134">
        <f t="shared" si="141"/>
        <v>3.54</v>
      </c>
      <c r="AF252" s="134">
        <f t="shared" si="141"/>
        <v>3.54</v>
      </c>
      <c r="AG252" s="143">
        <f t="shared" si="14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1668.49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585" priority="184">
      <formula>$AH11=0</formula>
    </cfRule>
  </conditionalFormatting>
  <conditionalFormatting sqref="A132:A253">
    <cfRule type="expression" dxfId="3584" priority="185">
      <formula>$AH132=0</formula>
    </cfRule>
  </conditionalFormatting>
  <conditionalFormatting sqref="B8 M8 S8 AB8">
    <cfRule type="expression" dxfId="3583" priority="239">
      <formula>AND(C$9&gt;=14/24,C$9&lt;20/24)</formula>
    </cfRule>
    <cfRule type="expression" dxfId="3582" priority="241">
      <formula>C$9&lt;8/24</formula>
    </cfRule>
    <cfRule type="expression" dxfId="3581" priority="240">
      <formula>AND(C$9&gt;=8/24,C$9&lt;14/24)</formula>
    </cfRule>
  </conditionalFormatting>
  <conditionalFormatting sqref="B63:D68">
    <cfRule type="expression" dxfId="3580" priority="11">
      <formula>AND(B$9&gt;=14/24,B$9&lt;20/24)</formula>
    </cfRule>
    <cfRule type="expression" dxfId="3579" priority="10">
      <formula>B$9&gt;=20/24</formula>
    </cfRule>
    <cfRule type="expression" dxfId="3578" priority="12">
      <formula>AND(B$9&gt;=8/24,B$9&lt;14/24)</formula>
    </cfRule>
    <cfRule type="expression" dxfId="3577" priority="13">
      <formula>B$9&lt;8/24</formula>
    </cfRule>
  </conditionalFormatting>
  <conditionalFormatting sqref="B63:D74 E69:M74 N71:AF74">
    <cfRule type="expression" dxfId="3576" priority="1">
      <formula>B63&gt;$AG63</formula>
    </cfRule>
  </conditionalFormatting>
  <conditionalFormatting sqref="B68:D68">
    <cfRule type="expression" dxfId="3575" priority="17">
      <formula>B$9&lt;8/24</formula>
    </cfRule>
    <cfRule type="expression" dxfId="3574" priority="14">
      <formula>B$9&gt;=20/24</formula>
    </cfRule>
    <cfRule type="expression" dxfId="3573" priority="15">
      <formula>AND(B$9&gt;=14/24,B$9&lt;20/24)</formula>
    </cfRule>
    <cfRule type="expression" dxfId="3572" priority="16">
      <formula>AND(B$9&gt;=8/24,B$9&lt;14/24)</formula>
    </cfRule>
  </conditionalFormatting>
  <conditionalFormatting sqref="B68:D74 E69:M74 N71:AF74">
    <cfRule type="expression" dxfId="3571" priority="2">
      <formula>B$9&gt;=20/24</formula>
    </cfRule>
    <cfRule type="expression" dxfId="3570" priority="3">
      <formula>AND(B$9&gt;=14/24,B$9&lt;20/24)</formula>
    </cfRule>
    <cfRule type="expression" dxfId="3569" priority="4">
      <formula>AND(B$9&gt;=8/24,B$9&lt;14/24)</formula>
    </cfRule>
    <cfRule type="expression" dxfId="3568" priority="5">
      <formula>B$9&lt;8/24</formula>
    </cfRule>
  </conditionalFormatting>
  <conditionalFormatting sqref="B69:M74 N71:AF74">
    <cfRule type="expression" dxfId="3567" priority="7">
      <formula>AND(B$9&gt;=14/24,B$9&lt;20/24)</formula>
    </cfRule>
    <cfRule type="expression" dxfId="3566" priority="8">
      <formula>AND(B$9&gt;=8/24,B$9&lt;14/24)</formula>
    </cfRule>
    <cfRule type="expression" dxfId="3565" priority="6">
      <formula>B$9&gt;=20/24</formula>
    </cfRule>
    <cfRule type="expression" dxfId="3564" priority="9">
      <formula>B$9&lt;8/24</formula>
    </cfRule>
  </conditionalFormatting>
  <conditionalFormatting sqref="B59:Q61">
    <cfRule type="expression" dxfId="3563" priority="66">
      <formula>B$9&lt;8/24</formula>
    </cfRule>
    <cfRule type="expression" dxfId="3562" priority="64">
      <formula>AND(B$9&gt;=14/24,B$9&lt;20/24)</formula>
    </cfRule>
    <cfRule type="expression" dxfId="3561" priority="63">
      <formula>B$9&gt;=20/24</formula>
    </cfRule>
    <cfRule type="expression" dxfId="3560" priority="65">
      <formula>AND(B$9&gt;=8/24,B$9&lt;14/24)</formula>
    </cfRule>
  </conditionalFormatting>
  <conditionalFormatting sqref="B62:Q62">
    <cfRule type="expression" dxfId="3559" priority="73">
      <formula>B$9&gt;=20/24</formula>
    </cfRule>
    <cfRule type="expression" dxfId="3558" priority="74">
      <formula>AND(B$9&gt;=14/24,B$9&lt;20/24)</formula>
    </cfRule>
    <cfRule type="expression" dxfId="3557" priority="75">
      <formula>AND(B$9&gt;=8/24,B$9&lt;14/24)</formula>
    </cfRule>
    <cfRule type="expression" dxfId="3556" priority="76">
      <formula>B$9&lt;8/24</formula>
    </cfRule>
  </conditionalFormatting>
  <conditionalFormatting sqref="B9:AF52">
    <cfRule type="expression" dxfId="3555" priority="24">
      <formula>B$9&gt;=20/24</formula>
    </cfRule>
    <cfRule type="expression" dxfId="3554" priority="26">
      <formula>AND(B$9&gt;=8/24,B$9&lt;14/24)</formula>
    </cfRule>
    <cfRule type="expression" dxfId="3553" priority="27">
      <formula>B$9&lt;8/24</formula>
    </cfRule>
    <cfRule type="expression" dxfId="3552" priority="25">
      <formula>AND(B$9&gt;=14/24,B$9&lt;20/24)</formula>
    </cfRule>
  </conditionalFormatting>
  <conditionalFormatting sqref="B11:AF54">
    <cfRule type="expression" dxfId="3551" priority="22">
      <formula>B11&gt;$AG11</formula>
    </cfRule>
  </conditionalFormatting>
  <conditionalFormatting sqref="B53:AF54">
    <cfRule type="expression" dxfId="3550" priority="18">
      <formula>B$9&gt;=20/24</formula>
    </cfRule>
    <cfRule type="expression" dxfId="3549" priority="21">
      <formula>B$9&lt;8/24</formula>
    </cfRule>
    <cfRule type="expression" dxfId="3548" priority="19">
      <formula>AND(B$9&gt;=14/24,B$9&lt;20/24)</formula>
    </cfRule>
    <cfRule type="expression" dxfId="3547" priority="20">
      <formula>AND(B$9&gt;=8/24,B$9&lt;14/24)</formula>
    </cfRule>
  </conditionalFormatting>
  <conditionalFormatting sqref="B55:AF55">
    <cfRule type="expression" dxfId="3546" priority="33">
      <formula>B55&gt;$AG55</formula>
    </cfRule>
  </conditionalFormatting>
  <conditionalFormatting sqref="B55:AF57">
    <cfRule type="expression" dxfId="3545" priority="29">
      <formula>B$9&gt;=20/24</formula>
    </cfRule>
    <cfRule type="expression" dxfId="3544" priority="30">
      <formula>AND(B$9&gt;=14/24,B$9&lt;20/24)</formula>
    </cfRule>
    <cfRule type="expression" dxfId="3543" priority="31">
      <formula>AND(B$9&gt;=8/24,B$9&lt;14/24)</formula>
    </cfRule>
    <cfRule type="expression" dxfId="3542" priority="32">
      <formula>B$9&lt;8/24</formula>
    </cfRule>
  </conditionalFormatting>
  <conditionalFormatting sqref="B56:AF61">
    <cfRule type="expression" dxfId="3541" priority="28">
      <formula>B56&gt;$AG56</formula>
    </cfRule>
  </conditionalFormatting>
  <conditionalFormatting sqref="B75:AF80">
    <cfRule type="expression" dxfId="3540" priority="58">
      <formula>B75&gt;$AG75</formula>
    </cfRule>
  </conditionalFormatting>
  <conditionalFormatting sqref="B77:AF80">
    <cfRule type="expression" dxfId="3539" priority="62">
      <formula>B$9&lt;8/24</formula>
    </cfRule>
    <cfRule type="expression" dxfId="3538" priority="59">
      <formula>B$9&gt;=20/24</formula>
    </cfRule>
    <cfRule type="expression" dxfId="3537" priority="60">
      <formula>AND(B$9&gt;=14/24,B$9&lt;20/24)</formula>
    </cfRule>
    <cfRule type="expression" dxfId="3536" priority="61">
      <formula>AND(B$9&gt;=8/24,B$9&lt;14/24)</formula>
    </cfRule>
  </conditionalFormatting>
  <conditionalFormatting sqref="B81:AF99">
    <cfRule type="expression" dxfId="3535" priority="43">
      <formula>B$9&gt;=20/24</formula>
    </cfRule>
    <cfRule type="expression" dxfId="3534" priority="45">
      <formula>AND(B$9&gt;=8/24,B$9&lt;14/24)</formula>
    </cfRule>
    <cfRule type="expression" dxfId="3533" priority="46">
      <formula>B$9&lt;8/24</formula>
    </cfRule>
    <cfRule type="expression" dxfId="3532" priority="44">
      <formula>AND(B$9&gt;=14/24,B$9&lt;20/24)</formula>
    </cfRule>
  </conditionalFormatting>
  <conditionalFormatting sqref="B101:AF117">
    <cfRule type="expression" dxfId="3531" priority="42">
      <formula>B$9&lt;8/24</formula>
    </cfRule>
    <cfRule type="expression" dxfId="3530" priority="39">
      <formula>B$9&gt;=20/24</formula>
    </cfRule>
    <cfRule type="expression" dxfId="3529" priority="40">
      <formula>AND(B$9&gt;=14/24,B$9&lt;20/24)</formula>
    </cfRule>
    <cfRule type="expression" dxfId="3528" priority="41">
      <formula>AND(B$9&gt;=8/24,B$9&lt;14/24)</formula>
    </cfRule>
  </conditionalFormatting>
  <conditionalFormatting sqref="B119:AF137">
    <cfRule type="expression" dxfId="3527" priority="36">
      <formula>AND(B$9&gt;=14/24,B$9&lt;20/24)</formula>
    </cfRule>
    <cfRule type="expression" dxfId="3526" priority="35">
      <formula>B$9&gt;=20/24</formula>
    </cfRule>
    <cfRule type="expression" dxfId="3525" priority="37">
      <formula>AND(B$9&gt;=8/24,B$9&lt;14/24)</formula>
    </cfRule>
    <cfRule type="expression" dxfId="3524" priority="38">
      <formula>B$9&lt;8/24</formula>
    </cfRule>
  </conditionalFormatting>
  <conditionalFormatting sqref="B244:AF244 B246:B252 D246:AF252">
    <cfRule type="expression" dxfId="3523" priority="232">
      <formula>B$9&gt;=20/24</formula>
    </cfRule>
    <cfRule type="expression" dxfId="3522" priority="233">
      <formula>AND(B$9&gt;=14/24,B$9&lt;20/24)</formula>
    </cfRule>
    <cfRule type="expression" dxfId="3521" priority="234">
      <formula>AND(B$9&gt;=8/24,B$9&lt;14/24)</formula>
    </cfRule>
    <cfRule type="expression" dxfId="3520" priority="235">
      <formula>B$9&lt;8/24</formula>
    </cfRule>
  </conditionalFormatting>
  <conditionalFormatting sqref="B62:AG62">
    <cfRule type="expression" dxfId="3519" priority="72">
      <formula>B62&gt;$AG62</formula>
    </cfRule>
  </conditionalFormatting>
  <conditionalFormatting sqref="E63:I68 J64:J68">
    <cfRule type="expression" dxfId="3518" priority="48">
      <formula>E$9&gt;=20/24</formula>
    </cfRule>
    <cfRule type="expression" dxfId="3517" priority="49">
      <formula>AND(E$9&gt;=14/24,E$9&lt;20/24)</formula>
    </cfRule>
    <cfRule type="expression" dxfId="3516" priority="51">
      <formula>E$9&lt;8/24</formula>
    </cfRule>
    <cfRule type="expression" dxfId="3515" priority="50">
      <formula>AND(E$9&gt;=8/24,E$9&lt;14/24)</formula>
    </cfRule>
  </conditionalFormatting>
  <conditionalFormatting sqref="E63:O68 P63:AA70 AB68:AC70 N69:O70 AD69:AF70">
    <cfRule type="expression" dxfId="3514" priority="47">
      <formula>E63&gt;$AG63</formula>
    </cfRule>
  </conditionalFormatting>
  <conditionalFormatting sqref="F63:L65">
    <cfRule type="expression" dxfId="3513" priority="85">
      <formula>F$9&gt;=20/24</formula>
    </cfRule>
    <cfRule type="expression" dxfId="3512" priority="86">
      <formula>AND(F$9&gt;=14/24,F$9&lt;20/24)</formula>
    </cfRule>
    <cfRule type="expression" dxfId="3511" priority="87">
      <formula>AND(F$9&gt;=8/24,F$9&lt;14/24)</formula>
    </cfRule>
    <cfRule type="expression" dxfId="3510" priority="88">
      <formula>F$9&lt;8/24</formula>
    </cfRule>
  </conditionalFormatting>
  <conditionalFormatting sqref="F68:Q68">
    <cfRule type="expression" dxfId="3509" priority="84">
      <formula>F$9&lt;8/24</formula>
    </cfRule>
    <cfRule type="expression" dxfId="3508" priority="83">
      <formula>AND(F$9&gt;=8/24,F$9&lt;14/24)</formula>
    </cfRule>
    <cfRule type="expression" dxfId="3507" priority="82">
      <formula>AND(F$9&gt;=14/24,F$9&lt;20/24)</formula>
    </cfRule>
    <cfRule type="expression" dxfId="3506" priority="81">
      <formula>F$9&gt;=20/24</formula>
    </cfRule>
  </conditionalFormatting>
  <conditionalFormatting sqref="M63:Q67">
    <cfRule type="expression" dxfId="3505" priority="89">
      <formula>M$9&gt;=20/24</formula>
    </cfRule>
    <cfRule type="expression" dxfId="3504" priority="90">
      <formula>AND(M$9&gt;=14/24,M$9&lt;20/24)</formula>
    </cfRule>
    <cfRule type="expression" dxfId="3503" priority="91">
      <formula>AND(M$9&gt;=8/24,M$9&lt;14/24)</formula>
    </cfRule>
    <cfRule type="expression" dxfId="3502" priority="92">
      <formula>M$9&lt;8/24</formula>
    </cfRule>
  </conditionalFormatting>
  <conditionalFormatting sqref="N69:AF70">
    <cfRule type="expression" dxfId="3501" priority="79">
      <formula>AND(N$9&gt;=8/24,N$9&lt;14/24)</formula>
    </cfRule>
    <cfRule type="expression" dxfId="3500" priority="77">
      <formula>N$9&gt;=20/24</formula>
    </cfRule>
    <cfRule type="expression" dxfId="3499" priority="78">
      <formula>AND(N$9&gt;=14/24,N$9&lt;20/24)</formula>
    </cfRule>
    <cfRule type="expression" dxfId="3498" priority="80">
      <formula>N$9&lt;8/24</formula>
    </cfRule>
  </conditionalFormatting>
  <conditionalFormatting sqref="O3:P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R59:AF68">
    <cfRule type="expression" dxfId="3497" priority="162">
      <formula>R$9&gt;=20/24</formula>
    </cfRule>
    <cfRule type="expression" dxfId="3496" priority="163">
      <formula>AND(R$9&gt;=14/24,R$9&lt;20/24)</formula>
    </cfRule>
    <cfRule type="expression" dxfId="3495" priority="164">
      <formula>AND(R$9&gt;=8/24,R$9&lt;14/24)</formula>
    </cfRule>
    <cfRule type="expression" dxfId="3494" priority="165">
      <formula>R$9&lt;8/24</formula>
    </cfRule>
  </conditionalFormatting>
  <conditionalFormatting sqref="S8 AB8 B8 M8">
    <cfRule type="expression" dxfId="3493" priority="238">
      <formula>C$9&gt;=20/24</formula>
    </cfRule>
  </conditionalFormatting>
  <conditionalFormatting sqref="S8">
    <cfRule type="expression" dxfId="3492" priority="226">
      <formula>AND(U$9&gt;=14/24,U$9&lt;20/24)</formula>
    </cfRule>
    <cfRule type="expression" dxfId="3491" priority="227">
      <formula>AND(U$9&gt;=8/24,U$9&lt;14/24)</formula>
    </cfRule>
    <cfRule type="expression" dxfId="3490" priority="225">
      <formula>U$9&gt;=20/24</formula>
    </cfRule>
    <cfRule type="expression" dxfId="3489" priority="228">
      <formula>U$9&lt;8/24</formula>
    </cfRule>
  </conditionalFormatting>
  <conditionalFormatting sqref="V3 AB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488" priority="221">
      <formula>AD$9&gt;=20/24</formula>
    </cfRule>
    <cfRule type="expression" dxfId="3487" priority="222">
      <formula>AND(AD$9&gt;=14/24,AD$9&lt;20/24)</formula>
    </cfRule>
    <cfRule type="expression" dxfId="3486" priority="223">
      <formula>AND(AD$9&gt;=8/24,AD$9&lt;14/24)</formula>
    </cfRule>
    <cfRule type="expression" dxfId="3485" priority="224">
      <formula>AD$9&lt;8/24</formula>
    </cfRule>
  </conditionalFormatting>
  <conditionalFormatting sqref="AB63:AF66 AB67:AE67 AF67:AF68 AD68:AE68">
    <cfRule type="expression" dxfId="3484" priority="110">
      <formula>AB63&gt;$AG63</formula>
    </cfRule>
  </conditionalFormatting>
  <conditionalFormatting sqref="AG58">
    <cfRule type="expression" dxfId="3483" priority="216">
      <formula>AG58&gt;$AG58</formula>
    </cfRule>
  </conditionalFormatting>
  <conditionalFormatting sqref="AG62">
    <cfRule type="expression" dxfId="3482" priority="202">
      <formula>AG$9&lt;8/24</formula>
    </cfRule>
    <cfRule type="expression" dxfId="3481" priority="200">
      <formula>AND(AG$9&gt;=14/24,AG$9&lt;20/24)</formula>
    </cfRule>
    <cfRule type="expression" dxfId="3480" priority="199">
      <formula>AG$9&gt;=20/24</formula>
    </cfRule>
    <cfRule type="expression" dxfId="3479" priority="201">
      <formula>AND(AG$9&gt;=8/24,AG$9&lt;14/24)</formula>
    </cfRule>
  </conditionalFormatting>
  <conditionalFormatting sqref="AG75:AG76 AG80">
    <cfRule type="expression" dxfId="3478" priority="194">
      <formula>AG75&gt;$AG75</formula>
    </cfRule>
  </conditionalFormatting>
  <conditionalFormatting sqref="AG80">
    <cfRule type="expression" dxfId="3477" priority="197">
      <formula>AND(AG$9&gt;=8/24,AG$9&lt;14/24)</formula>
    </cfRule>
    <cfRule type="expression" dxfId="3476" priority="198">
      <formula>AG$9&lt;8/24</formula>
    </cfRule>
    <cfRule type="expression" dxfId="3475" priority="196">
      <formula>AND(AG$9&gt;=14/24,AG$9&lt;20/24)</formula>
    </cfRule>
    <cfRule type="expression" dxfId="3474" priority="195">
      <formula>AG$9&gt;=20/24</formula>
    </cfRule>
  </conditionalFormatting>
  <conditionalFormatting sqref="AG97">
    <cfRule type="expression" dxfId="3473" priority="217">
      <formula>AG$9&gt;=20/24</formula>
    </cfRule>
    <cfRule type="expression" dxfId="3472" priority="218">
      <formula>AND(AG$9&gt;=14/24,AG$9&lt;20/24)</formula>
    </cfRule>
    <cfRule type="expression" dxfId="3471" priority="219">
      <formula>AND(AG$9&gt;=8/24,AG$9&lt;14/24)</formula>
    </cfRule>
    <cfRule type="expression" dxfId="3470" priority="220">
      <formula>AG$9&lt;8/24</formula>
    </cfRule>
  </conditionalFormatting>
  <conditionalFormatting sqref="AL4:AL6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469" priority="256">
      <formula>AND(AJ$9&gt;=8/24,AJ$9&lt;14/24)</formula>
    </cfRule>
    <cfRule type="expression" dxfId="3468" priority="254">
      <formula>AJ$9&gt;=20/24</formula>
    </cfRule>
    <cfRule type="expression" dxfId="3467" priority="255">
      <formula>AND(AJ$9&gt;=14/24,AJ$9&lt;20/24)</formula>
    </cfRule>
    <cfRule type="expression" dxfId="3466" priority="257">
      <formula>AJ$9&lt;8/24</formula>
    </cfRule>
  </conditionalFormatting>
  <conditionalFormatting sqref="AL88:AN88 AL94:AN94">
    <cfRule type="expression" dxfId="3465" priority="209">
      <formula>AL$9&gt;=20/24</formula>
    </cfRule>
    <cfRule type="expression" dxfId="3464" priority="210">
      <formula>AND(AL$9&gt;=14/24,AL$9&lt;20/24)</formula>
    </cfRule>
    <cfRule type="expression" dxfId="3463" priority="211">
      <formula>AND(AL$9&gt;=8/24,AL$9&lt;14/24)</formula>
    </cfRule>
    <cfRule type="expression" dxfId="3462" priority="212">
      <formula>AL$9&lt;8/24</formula>
    </cfRule>
  </conditionalFormatting>
  <conditionalFormatting sqref="AM15:AM21 AN16:AR21">
    <cfRule type="expression" dxfId="3461" priority="252">
      <formula>AND(AX$9&gt;=8/24,AX$9&lt;14/24)</formula>
    </cfRule>
    <cfRule type="expression" dxfId="3460" priority="251">
      <formula>AND(AX$9&gt;=14/24,AX$9&lt;20/24)</formula>
    </cfRule>
    <cfRule type="expression" dxfId="3459" priority="250">
      <formula>AX$9&gt;=20/24</formula>
    </cfRule>
    <cfRule type="expression" dxfId="3458" priority="253">
      <formula>AX$9&lt;8/24</formula>
    </cfRule>
  </conditionalFormatting>
  <conditionalFormatting sqref="AN89:AN92">
    <cfRule type="expression" dxfId="3457" priority="205">
      <formula>AN$9&gt;=20/24</formula>
    </cfRule>
    <cfRule type="expression" dxfId="3456" priority="206">
      <formula>AND(AN$9&gt;=14/24,AN$9&lt;20/24)</formula>
    </cfRule>
    <cfRule type="expression" dxfId="3455" priority="207">
      <formula>AND(AN$9&gt;=8/24,AN$9&lt;14/24)</formula>
    </cfRule>
    <cfRule type="expression" dxfId="3454" priority="208">
      <formula>AN$9&lt;8/24</formula>
    </cfRule>
  </conditionalFormatting>
  <conditionalFormatting sqref="AN15:AR15">
    <cfRule type="expression" dxfId="3453" priority="186">
      <formula>U$9&gt;=20/24</formula>
    </cfRule>
    <cfRule type="expression" dxfId="3452" priority="189">
      <formula>U$9&lt;8/24</formula>
    </cfRule>
    <cfRule type="expression" dxfId="3451" priority="188">
      <formula>AND(U$9&gt;=8/24,U$9&lt;14/24)</formula>
    </cfRule>
    <cfRule type="expression" dxfId="3450" priority="187">
      <formula>AND(U$9&gt;=14/24,U$9&lt;20/24)</formula>
    </cfRule>
  </conditionalFormatting>
  <conditionalFormatting sqref="AS15">
    <cfRule type="expression" dxfId="3449" priority="247">
      <formula>AND(AA$9&gt;=14/24,AA$9&lt;20/24)</formula>
    </cfRule>
    <cfRule type="expression" dxfId="3448" priority="248">
      <formula>AND(AA$9&gt;=8/24,AA$9&lt;14/24)</formula>
    </cfRule>
    <cfRule type="expression" dxfId="3447" priority="249">
      <formula>AA$9&lt;8/24</formula>
    </cfRule>
    <cfRule type="expression" dxfId="3446" priority="246">
      <formula>AA$9&gt;=20/24</formula>
    </cfRule>
  </conditionalFormatting>
  <conditionalFormatting sqref="AS16:AS21">
    <cfRule type="expression" dxfId="3445" priority="258">
      <formula>BE$9&gt;=20/24</formula>
    </cfRule>
    <cfRule type="expression" dxfId="3444" priority="259">
      <formula>AND(BE$9&gt;=14/24,BE$9&lt;20/24)</formula>
    </cfRule>
    <cfRule type="expression" dxfId="3443" priority="260">
      <formula>AND(BE$9&gt;=8/24,BE$9&lt;14/24)</formula>
    </cfRule>
    <cfRule type="expression" dxfId="3442" priority="261">
      <formula>BE$9&lt;8/24</formula>
    </cfRule>
  </conditionalFormatting>
  <conditionalFormatting sqref="AT15 AX15:BD15">
    <cfRule type="expression" dxfId="3441" priority="263">
      <formula>AND(AC$9&gt;=14/24,AC$9&lt;20/24)</formula>
    </cfRule>
    <cfRule type="expression" dxfId="3440" priority="265">
      <formula>AC$9&lt;8/24</formula>
    </cfRule>
    <cfRule type="expression" dxfId="3439" priority="264">
      <formula>AND(AC$9&gt;=8/24,AC$9&lt;14/24)</formula>
    </cfRule>
    <cfRule type="expression" dxfId="3438" priority="262">
      <formula>AC$9&gt;=20/24</formula>
    </cfRule>
  </conditionalFormatting>
  <conditionalFormatting sqref="AT16:AT21">
    <cfRule type="expression" dxfId="3437" priority="267">
      <formula>AND(BG$9&gt;=14/24,BG$9&lt;20/24)</formula>
    </cfRule>
    <cfRule type="expression" dxfId="3436" priority="268">
      <formula>AND(BG$9&gt;=8/24,BG$9&lt;14/24)</formula>
    </cfRule>
    <cfRule type="expression" dxfId="3435" priority="269">
      <formula>BG$9&lt;8/24</formula>
    </cfRule>
    <cfRule type="expression" dxfId="3434" priority="266">
      <formula>BG$9&gt;=20/24</formula>
    </cfRule>
  </conditionalFormatting>
  <conditionalFormatting sqref="AU15:AV15 BE15">
    <cfRule type="expression" dxfId="3433" priority="270">
      <formula>AE$9&gt;=20/24</formula>
    </cfRule>
    <cfRule type="expression" dxfId="3432" priority="271">
      <formula>AND(AE$9&gt;=14/24,AE$9&lt;20/24)</formula>
    </cfRule>
    <cfRule type="expression" dxfId="3431" priority="272">
      <formula>AND(AE$9&gt;=8/24,AE$9&lt;14/24)</formula>
    </cfRule>
    <cfRule type="expression" dxfId="3430" priority="273">
      <formula>AE$9&lt;8/24</formula>
    </cfRule>
  </conditionalFormatting>
  <conditionalFormatting sqref="AU16:BD21">
    <cfRule type="expression" dxfId="3429" priority="274">
      <formula>BI$9&gt;=20/24</formula>
    </cfRule>
    <cfRule type="expression" dxfId="3428" priority="275">
      <formula>AND(BI$9&gt;=14/24,BI$9&lt;20/24)</formula>
    </cfRule>
    <cfRule type="expression" dxfId="3427" priority="276">
      <formula>AND(BI$9&gt;=8/24,BI$9&lt;14/24)</formula>
    </cfRule>
    <cfRule type="expression" dxfId="3426" priority="277">
      <formula>BI$9&lt;8/24</formula>
    </cfRule>
  </conditionalFormatting>
  <conditionalFormatting sqref="AW15">
    <cfRule type="expression" dxfId="3425" priority="242">
      <formula>B$9&gt;=20/24</formula>
    </cfRule>
    <cfRule type="expression" dxfId="3424" priority="243">
      <formula>AND(B$9&gt;=14/24,B$9&lt;20/24)</formula>
    </cfRule>
    <cfRule type="expression" dxfId="3423" priority="244">
      <formula>AND(B$9&gt;=8/24,B$9&lt;14/24)</formula>
    </cfRule>
    <cfRule type="expression" dxfId="3422" priority="245">
      <formula>B$9&lt;8/24</formula>
    </cfRule>
  </conditionalFormatting>
  <conditionalFormatting sqref="BE16:BE21">
    <cfRule type="expression" dxfId="3421" priority="278">
      <formula>BT$9&gt;=20/24</formula>
    </cfRule>
    <cfRule type="expression" dxfId="3420" priority="279">
      <formula>AND(BT$9&gt;=14/24,BT$9&lt;20/24)</formula>
    </cfRule>
    <cfRule type="expression" dxfId="3419" priority="280">
      <formula>AND(BT$9&gt;=8/24,BT$9&lt;14/24)</formula>
    </cfRule>
    <cfRule type="expression" dxfId="3418" priority="281">
      <formula>BT$9&lt;8/24</formula>
    </cfRule>
  </conditionalFormatting>
  <conditionalFormatting sqref="BF15">
    <cfRule type="expression" dxfId="3417" priority="282">
      <formula>AQ$9&gt;=20/24</formula>
    </cfRule>
    <cfRule type="expression" dxfId="3416" priority="283">
      <formula>AND(AQ$9&gt;=14/24,AQ$9&lt;20/24)</formula>
    </cfRule>
    <cfRule type="expression" dxfId="3415" priority="284">
      <formula>AND(AQ$9&gt;=8/24,AQ$9&lt;14/24)</formula>
    </cfRule>
    <cfRule type="expression" dxfId="3414" priority="285">
      <formula>AQ$9&lt;8/24</formula>
    </cfRule>
  </conditionalFormatting>
  <conditionalFormatting sqref="BF16:BF21">
    <cfRule type="expression" dxfId="3413" priority="287">
      <formula>AND(BV$9&gt;=14/24,BV$9&lt;20/24)</formula>
    </cfRule>
    <cfRule type="expression" dxfId="3412" priority="286">
      <formula>BV$9&gt;=20/24</formula>
    </cfRule>
    <cfRule type="expression" dxfId="3411" priority="289">
      <formula>BV$9&lt;8/24</formula>
    </cfRule>
    <cfRule type="expression" dxfId="3410" priority="288">
      <formula>AND(BV$9&gt;=8/24,BV$9&lt;14/24)</formula>
    </cfRule>
  </conditionalFormatting>
  <conditionalFormatting sqref="BG15">
    <cfRule type="expression" dxfId="3409" priority="291">
      <formula>AND(AS$9&gt;=14/24,AS$9&lt;20/24)</formula>
    </cfRule>
    <cfRule type="expression" dxfId="3408" priority="292">
      <formula>AND(AS$9&gt;=8/24,AS$9&lt;14/24)</formula>
    </cfRule>
    <cfRule type="expression" dxfId="3407" priority="293">
      <formula>AS$9&lt;8/24</formula>
    </cfRule>
    <cfRule type="expression" dxfId="3406" priority="290">
      <formula>AS$9&gt;=20/24</formula>
    </cfRule>
  </conditionalFormatting>
  <conditionalFormatting sqref="BG16:BG21">
    <cfRule type="expression" dxfId="3405" priority="294">
      <formula>BX$9&gt;=20/24</formula>
    </cfRule>
    <cfRule type="expression" dxfId="3404" priority="295">
      <formula>AND(BX$9&gt;=14/24,BX$9&lt;20/24)</formula>
    </cfRule>
    <cfRule type="expression" dxfId="3403" priority="296">
      <formula>AND(BX$9&gt;=8/24,BX$9&lt;14/24)</formula>
    </cfRule>
    <cfRule type="expression" dxfId="3402" priority="297">
      <formula>BX$9&lt;8/24</formula>
    </cfRule>
  </conditionalFormatting>
  <conditionalFormatting sqref="BH15:BJ15">
    <cfRule type="expression" dxfId="3401" priority="298">
      <formula>AU$9&gt;=20/24</formula>
    </cfRule>
    <cfRule type="expression" dxfId="3400" priority="299">
      <formula>AND(AU$9&gt;=14/24,AU$9&lt;20/24)</formula>
    </cfRule>
    <cfRule type="expression" dxfId="3399" priority="300">
      <formula>AND(AU$9&gt;=8/24,AU$9&lt;14/24)</formula>
    </cfRule>
    <cfRule type="expression" dxfId="3398" priority="301">
      <formula>AU$9&lt;8/24</formula>
    </cfRule>
  </conditionalFormatting>
  <conditionalFormatting sqref="BH16:BJ21">
    <cfRule type="expression" dxfId="3397" priority="302">
      <formula>BZ$9&gt;=20/24</formula>
    </cfRule>
    <cfRule type="expression" dxfId="3396" priority="303">
      <formula>AND(BZ$9&gt;=14/24,BZ$9&lt;20/24)</formula>
    </cfRule>
    <cfRule type="expression" dxfId="3395" priority="304">
      <formula>AND(BZ$9&gt;=8/24,BZ$9&lt;14/24)</formula>
    </cfRule>
    <cfRule type="expression" dxfId="3394" priority="305">
      <formula>BZ$9&lt;8/24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895E-68C9-4D14-8255-C08184B44EE3}">
  <dimension ref="A1:EJ294"/>
  <sheetViews>
    <sheetView zoomScale="55" zoomScaleNormal="55" workbookViewId="0">
      <pane xSplit="1" ySplit="10" topLeftCell="AL56" activePane="bottomRight" state="frozen"/>
      <selection activeCell="Z63" sqref="Z63"/>
      <selection pane="topRight" activeCell="Z63" sqref="Z63"/>
      <selection pane="bottomLeft" activeCell="Z63" sqref="Z63"/>
      <selection pane="bottomRight" activeCell="AY1" sqref="AY1:BW104857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50" width="11.140625" style="1" customWidth="1"/>
    <col min="51" max="57" width="9.140625" style="1"/>
    <col min="58" max="58" width="11.140625" style="1" customWidth="1"/>
    <col min="59" max="75" width="9.140625" style="1"/>
    <col min="76" max="89" width="11.140625" style="1" customWidth="1"/>
    <col min="90" max="90" width="15.140625" style="1" customWidth="1"/>
    <col min="91" max="109" width="7.42578125" style="1" bestFit="1" customWidth="1"/>
    <col min="110" max="110" width="6.28515625" style="1" bestFit="1" customWidth="1"/>
    <col min="111" max="114" width="7.42578125" style="1" bestFit="1" customWidth="1"/>
    <col min="115" max="16384" width="9.140625" style="1"/>
  </cols>
  <sheetData>
    <row r="1" spans="1:140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CL1" s="2"/>
    </row>
    <row r="2" spans="1:140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CM2" s="13"/>
      <c r="CN2" s="14"/>
      <c r="CO2" s="14"/>
    </row>
    <row r="3" spans="1:140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CL3" s="23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</row>
    <row r="4" spans="1:140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2080/10/11</v>
      </c>
      <c r="C4" s="272"/>
      <c r="D4" s="272"/>
      <c r="E4" s="273" t="str">
        <f ca="1">"2080/"&amp;"10/"&amp;INT(MID(CELL("filename",G6),FIND("]",CELL("filename",G6))+1,200))</f>
        <v>2080/10/11</v>
      </c>
      <c r="F4" s="273"/>
      <c r="G4" s="273"/>
      <c r="H4" s="273" t="str">
        <f ca="1">TEXT(E4,"dddd")</f>
        <v>Friday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CL4" s="28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</row>
    <row r="5" spans="1:140" ht="15.75" hidden="1" customHeight="1" x14ac:dyDescent="0.25">
      <c r="A5" s="29"/>
      <c r="B5" s="30">
        <f t="shared" ref="B5:AE5" si="0">C92</f>
        <v>525.9</v>
      </c>
      <c r="C5" s="30">
        <f t="shared" si="0"/>
        <v>515</v>
      </c>
      <c r="D5" s="30">
        <f t="shared" si="0"/>
        <v>536.1</v>
      </c>
      <c r="E5" s="30">
        <f t="shared" si="0"/>
        <v>550.6</v>
      </c>
      <c r="F5" s="30">
        <f t="shared" si="0"/>
        <v>581</v>
      </c>
      <c r="G5" s="30">
        <f t="shared" si="0"/>
        <v>539.9</v>
      </c>
      <c r="H5" s="30">
        <f t="shared" si="0"/>
        <v>556.20000000000005</v>
      </c>
      <c r="I5" s="30">
        <f t="shared" si="0"/>
        <v>603.69999999999993</v>
      </c>
      <c r="J5" s="30">
        <f t="shared" si="0"/>
        <v>523.29999999999995</v>
      </c>
      <c r="K5" s="30">
        <f t="shared" si="0"/>
        <v>326.39999999999998</v>
      </c>
      <c r="L5" s="30">
        <f t="shared" si="0"/>
        <v>217.8</v>
      </c>
      <c r="M5" s="30">
        <f t="shared" si="0"/>
        <v>369.79999999999995</v>
      </c>
      <c r="N5" s="30">
        <f t="shared" si="0"/>
        <v>520.4</v>
      </c>
      <c r="O5" s="30">
        <f t="shared" si="0"/>
        <v>591.9</v>
      </c>
      <c r="P5" s="30">
        <f t="shared" si="0"/>
        <v>667.7</v>
      </c>
      <c r="Q5" s="30">
        <f t="shared" si="0"/>
        <v>666.80000000000007</v>
      </c>
      <c r="R5" s="30">
        <f t="shared" si="0"/>
        <v>667</v>
      </c>
      <c r="S5" s="30">
        <f t="shared" si="0"/>
        <v>709</v>
      </c>
      <c r="T5" s="30">
        <f t="shared" si="0"/>
        <v>663.5</v>
      </c>
      <c r="U5" s="30">
        <f t="shared" si="0"/>
        <v>662.5</v>
      </c>
      <c r="V5" s="30">
        <f t="shared" si="0"/>
        <v>509</v>
      </c>
      <c r="W5" s="30">
        <f t="shared" si="0"/>
        <v>508.40000000000003</v>
      </c>
      <c r="X5" s="30">
        <f t="shared" si="0"/>
        <v>448</v>
      </c>
      <c r="Y5" s="30">
        <f t="shared" si="0"/>
        <v>253.29999999999998</v>
      </c>
      <c r="Z5" s="30">
        <f t="shared" si="0"/>
        <v>352.2</v>
      </c>
      <c r="AA5" s="30">
        <f t="shared" si="0"/>
        <v>425.6</v>
      </c>
      <c r="AB5" s="30">
        <f t="shared" si="0"/>
        <v>486.90000000000003</v>
      </c>
      <c r="AC5" s="30">
        <f t="shared" si="0"/>
        <v>480.4</v>
      </c>
      <c r="AD5" s="30">
        <f t="shared" si="0"/>
        <v>536.70000000000005</v>
      </c>
      <c r="AE5" s="30">
        <f t="shared" si="0"/>
        <v>534</v>
      </c>
      <c r="AF5" s="30">
        <f>B92</f>
        <v>518.4</v>
      </c>
      <c r="AG5" s="22"/>
      <c r="AH5" s="11"/>
      <c r="AI5" s="12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CL5" s="28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</row>
    <row r="6" spans="1:140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CL6" s="28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</row>
    <row r="7" spans="1:140" ht="16.5" thickBot="1" x14ac:dyDescent="0.3">
      <c r="A7" s="34" t="str">
        <f>"Base Load="&amp;ROUND(MIN($B$7:$AF$7),0)</f>
        <v>Base Load=1133</v>
      </c>
      <c r="B7" s="35">
        <f>B100</f>
        <v>1182.0900000000001</v>
      </c>
      <c r="C7" s="35">
        <f t="shared" ref="C7:AF7" si="1">C100</f>
        <v>1165.29</v>
      </c>
      <c r="D7" s="35">
        <f t="shared" si="1"/>
        <v>1153.79</v>
      </c>
      <c r="E7" s="35">
        <f t="shared" si="1"/>
        <v>1132.99</v>
      </c>
      <c r="F7" s="35">
        <f t="shared" si="1"/>
        <v>1147.49</v>
      </c>
      <c r="G7" s="35">
        <f t="shared" si="1"/>
        <v>1239.8899999999999</v>
      </c>
      <c r="H7" s="35">
        <f t="shared" si="1"/>
        <v>1275.4899999999998</v>
      </c>
      <c r="I7" s="35">
        <f t="shared" si="1"/>
        <v>1339.5900000000001</v>
      </c>
      <c r="J7" s="35">
        <f t="shared" si="1"/>
        <v>1458.8889999999999</v>
      </c>
      <c r="K7" s="35">
        <f t="shared" si="1"/>
        <v>1507.49</v>
      </c>
      <c r="L7" s="35">
        <f t="shared" si="1"/>
        <v>1677.29</v>
      </c>
      <c r="M7" s="35">
        <f t="shared" si="1"/>
        <v>1595.19</v>
      </c>
      <c r="N7" s="35">
        <f t="shared" si="1"/>
        <v>1471.3899999999999</v>
      </c>
      <c r="O7" s="35">
        <f t="shared" si="1"/>
        <v>1378.19</v>
      </c>
      <c r="P7" s="35">
        <f t="shared" si="1"/>
        <v>1405.29</v>
      </c>
      <c r="Q7" s="35">
        <f t="shared" si="1"/>
        <v>1446.28</v>
      </c>
      <c r="R7" s="35">
        <f t="shared" si="1"/>
        <v>1435.69</v>
      </c>
      <c r="S7" s="35">
        <f t="shared" si="1"/>
        <v>1430.8899999999999</v>
      </c>
      <c r="T7" s="35">
        <f t="shared" si="1"/>
        <v>1457.8899999999999</v>
      </c>
      <c r="U7" s="35">
        <f t="shared" si="1"/>
        <v>1383.0900000000001</v>
      </c>
      <c r="V7" s="35">
        <f t="shared" si="1"/>
        <v>1377.0900000000001</v>
      </c>
      <c r="W7" s="35">
        <f t="shared" si="1"/>
        <v>1393.5900000000001</v>
      </c>
      <c r="X7" s="35">
        <f t="shared" si="1"/>
        <v>1554.69</v>
      </c>
      <c r="Y7" s="35">
        <f t="shared" si="1"/>
        <v>1767.4499999999998</v>
      </c>
      <c r="Z7" s="35">
        <f t="shared" si="1"/>
        <v>1745.45</v>
      </c>
      <c r="AA7" s="35">
        <f t="shared" si="1"/>
        <v>1718.19</v>
      </c>
      <c r="AB7" s="35">
        <f t="shared" si="1"/>
        <v>1605.0900000000001</v>
      </c>
      <c r="AC7" s="35">
        <f t="shared" si="1"/>
        <v>1562.29</v>
      </c>
      <c r="AD7" s="35">
        <f t="shared" si="1"/>
        <v>1454.9899999999998</v>
      </c>
      <c r="AE7" s="35">
        <f t="shared" si="1"/>
        <v>1378.5900000000001</v>
      </c>
      <c r="AF7" s="35">
        <f t="shared" si="1"/>
        <v>1278.19</v>
      </c>
      <c r="AG7" s="36"/>
      <c r="AI7" s="37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CL7" s="23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</row>
    <row r="8" spans="1:140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CL8" s="28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</row>
    <row r="9" spans="1:140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CL9" s="28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</row>
    <row r="10" spans="1:140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CL10" s="28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</row>
    <row r="11" spans="1:140" ht="15.75" thickTop="1" x14ac:dyDescent="0.25">
      <c r="A11" s="44" t="s">
        <v>19</v>
      </c>
      <c r="B11" s="45">
        <v>31.6</v>
      </c>
      <c r="C11" s="45">
        <v>31.6</v>
      </c>
      <c r="D11" s="45">
        <v>31.6</v>
      </c>
      <c r="E11" s="45">
        <v>31.8</v>
      </c>
      <c r="F11" s="45">
        <v>31.8</v>
      </c>
      <c r="G11" s="45">
        <v>31.8</v>
      </c>
      <c r="H11" s="45">
        <v>27.2</v>
      </c>
      <c r="I11" s="45">
        <v>27.2</v>
      </c>
      <c r="J11" s="45">
        <v>29.5</v>
      </c>
      <c r="K11" s="45">
        <v>26.6</v>
      </c>
      <c r="L11" s="45">
        <v>26.6</v>
      </c>
      <c r="M11" s="45">
        <v>29.5</v>
      </c>
      <c r="N11" s="45">
        <v>28.8</v>
      </c>
      <c r="O11" s="45">
        <v>21</v>
      </c>
      <c r="P11" s="45">
        <v>26</v>
      </c>
      <c r="Q11" s="45">
        <v>25.39</v>
      </c>
      <c r="R11" s="45">
        <v>29.5</v>
      </c>
      <c r="S11" s="45">
        <v>29.5</v>
      </c>
      <c r="T11" s="45">
        <v>29.5</v>
      </c>
      <c r="U11" s="45">
        <v>29.5</v>
      </c>
      <c r="V11" s="45">
        <v>29.5</v>
      </c>
      <c r="W11" s="45">
        <v>29.5</v>
      </c>
      <c r="X11" s="45">
        <v>29.9</v>
      </c>
      <c r="Y11" s="45">
        <v>25.7</v>
      </c>
      <c r="Z11" s="45">
        <v>25.7</v>
      </c>
      <c r="AA11" s="45">
        <v>25.7</v>
      </c>
      <c r="AB11" s="45">
        <v>25.7</v>
      </c>
      <c r="AC11" s="45">
        <v>25.7</v>
      </c>
      <c r="AD11" s="45">
        <v>25.7</v>
      </c>
      <c r="AE11" s="45">
        <v>25.7</v>
      </c>
      <c r="AF11" s="45">
        <v>25.7</v>
      </c>
      <c r="AG11" s="46">
        <v>86</v>
      </c>
      <c r="AH11" s="47">
        <f t="shared" ref="AH11:AH84" si="2">MAX(B11:AF11)</f>
        <v>31.8</v>
      </c>
      <c r="AI11" s="48">
        <f t="shared" ref="AI11:AI84" si="3">MIN(B11:AF11)</f>
        <v>21</v>
      </c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CL11" s="28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</row>
    <row r="12" spans="1:140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157" t="str">
        <f ca="1">MID(CELL("filename",C7),FIND("]",CELL("filename",C7))+1,600)</f>
        <v>11</v>
      </c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</row>
    <row r="13" spans="1:140" x14ac:dyDescent="0.25">
      <c r="A13" s="44" t="s">
        <v>20</v>
      </c>
      <c r="B13" s="45">
        <v>10.1</v>
      </c>
      <c r="C13" s="45">
        <v>10.1</v>
      </c>
      <c r="D13" s="45">
        <v>10.1</v>
      </c>
      <c r="E13" s="45">
        <v>10.1</v>
      </c>
      <c r="F13" s="45">
        <v>10.1</v>
      </c>
      <c r="G13" s="45">
        <v>10.1</v>
      </c>
      <c r="H13" s="45">
        <v>10.199999999999999</v>
      </c>
      <c r="I13" s="45">
        <v>10.199999999999999</v>
      </c>
      <c r="J13" s="45">
        <v>10.199999999999999</v>
      </c>
      <c r="K13" s="45">
        <v>10.199999999999999</v>
      </c>
      <c r="L13" s="45">
        <v>10.199999999999999</v>
      </c>
      <c r="M13" s="45">
        <v>10.199999999999999</v>
      </c>
      <c r="N13" s="45">
        <v>10.199999999999999</v>
      </c>
      <c r="O13" s="45">
        <v>0</v>
      </c>
      <c r="P13" s="45">
        <v>18</v>
      </c>
      <c r="Q13" s="45">
        <v>11</v>
      </c>
      <c r="R13" s="45">
        <v>11</v>
      </c>
      <c r="S13" s="45">
        <v>11</v>
      </c>
      <c r="T13" s="45">
        <v>11</v>
      </c>
      <c r="U13" s="45">
        <v>11</v>
      </c>
      <c r="V13" s="45">
        <v>11</v>
      </c>
      <c r="W13" s="45">
        <v>11</v>
      </c>
      <c r="X13" s="45">
        <v>11</v>
      </c>
      <c r="Y13" s="45">
        <v>11</v>
      </c>
      <c r="Z13" s="45">
        <v>11</v>
      </c>
      <c r="AA13" s="45">
        <v>11</v>
      </c>
      <c r="AB13" s="45">
        <v>11</v>
      </c>
      <c r="AC13" s="45">
        <v>11</v>
      </c>
      <c r="AD13" s="45">
        <v>11</v>
      </c>
      <c r="AE13" s="45">
        <v>11</v>
      </c>
      <c r="AF13" s="45">
        <v>11</v>
      </c>
      <c r="AG13" s="49">
        <v>54</v>
      </c>
      <c r="AH13" s="47">
        <f t="shared" si="2"/>
        <v>18</v>
      </c>
      <c r="AI13" s="48">
        <f t="shared" si="3"/>
        <v>0</v>
      </c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157" t="str">
        <f ca="1">"Daily Load Curve(Excluding of Export) of Nepal ("&amp;A4&amp;" "&amp;B4&amp;")"</f>
        <v>Daily Load Curve(Excluding of Export) of Nepal (Nepali Date: 2080/10/11)</v>
      </c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</row>
    <row r="14" spans="1:140" ht="15.75" thickBot="1" x14ac:dyDescent="0.3">
      <c r="A14" s="44" t="s">
        <v>21</v>
      </c>
      <c r="B14" s="45">
        <v>13.2</v>
      </c>
      <c r="C14" s="45">
        <v>13.2</v>
      </c>
      <c r="D14" s="45">
        <v>13.2</v>
      </c>
      <c r="E14" s="45">
        <v>17.7</v>
      </c>
      <c r="F14" s="45">
        <v>17.7</v>
      </c>
      <c r="G14" s="45">
        <v>17.7</v>
      </c>
      <c r="H14" s="45">
        <v>17.2</v>
      </c>
      <c r="I14" s="45">
        <v>17.2</v>
      </c>
      <c r="J14" s="45">
        <v>17.2</v>
      </c>
      <c r="K14" s="45">
        <v>17.2</v>
      </c>
      <c r="L14" s="45">
        <v>17.2</v>
      </c>
      <c r="M14" s="45">
        <v>17.2</v>
      </c>
      <c r="N14" s="45">
        <v>17.2</v>
      </c>
      <c r="O14" s="45">
        <v>17.2</v>
      </c>
      <c r="P14" s="45">
        <v>15.8</v>
      </c>
      <c r="Q14" s="45">
        <v>15.8</v>
      </c>
      <c r="R14" s="45">
        <v>15.8</v>
      </c>
      <c r="S14" s="45">
        <v>15.8</v>
      </c>
      <c r="T14" s="45">
        <v>15.8</v>
      </c>
      <c r="U14" s="45">
        <v>15.8</v>
      </c>
      <c r="V14" s="45">
        <v>15.8</v>
      </c>
      <c r="W14" s="45">
        <v>15.8</v>
      </c>
      <c r="X14" s="45">
        <v>15.8</v>
      </c>
      <c r="Y14" s="45">
        <v>15.8</v>
      </c>
      <c r="Z14" s="45">
        <v>15.8</v>
      </c>
      <c r="AA14" s="45">
        <v>15.8</v>
      </c>
      <c r="AB14" s="45">
        <v>15.8</v>
      </c>
      <c r="AC14" s="45">
        <v>15.8</v>
      </c>
      <c r="AD14" s="45">
        <v>15.8</v>
      </c>
      <c r="AE14" s="45">
        <v>15.8</v>
      </c>
      <c r="AF14" s="45">
        <v>15.8</v>
      </c>
      <c r="AG14" s="46">
        <v>52.4</v>
      </c>
      <c r="AH14" s="47">
        <f t="shared" si="2"/>
        <v>17.7</v>
      </c>
      <c r="AI14" s="48">
        <f t="shared" si="3"/>
        <v>13.2</v>
      </c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</row>
    <row r="15" spans="1:140" ht="15.75" thickTop="1" x14ac:dyDescent="0.25">
      <c r="A15" s="44" t="s">
        <v>22</v>
      </c>
      <c r="B15" s="45">
        <v>29.1</v>
      </c>
      <c r="C15" s="45">
        <v>29.1</v>
      </c>
      <c r="D15" s="45">
        <v>29.1</v>
      </c>
      <c r="E15" s="45">
        <v>28.6</v>
      </c>
      <c r="F15" s="45">
        <v>28.6</v>
      </c>
      <c r="G15" s="45">
        <v>28.6</v>
      </c>
      <c r="H15" s="45">
        <v>28.3</v>
      </c>
      <c r="I15" s="45">
        <v>28.3</v>
      </c>
      <c r="J15" s="45">
        <v>28.3</v>
      </c>
      <c r="K15" s="45">
        <v>28.3</v>
      </c>
      <c r="L15" s="45">
        <v>28.3</v>
      </c>
      <c r="M15" s="45">
        <v>28.3</v>
      </c>
      <c r="N15" s="45">
        <v>28.3</v>
      </c>
      <c r="O15" s="45">
        <v>28.3</v>
      </c>
      <c r="P15" s="45">
        <v>28.7</v>
      </c>
      <c r="Q15" s="45">
        <v>28.7</v>
      </c>
      <c r="R15" s="45">
        <v>28.7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45">
        <v>28.7</v>
      </c>
      <c r="AA15" s="45">
        <v>28.7</v>
      </c>
      <c r="AB15" s="45">
        <v>28.7</v>
      </c>
      <c r="AC15" s="45">
        <v>28.7</v>
      </c>
      <c r="AD15" s="45">
        <v>28.7</v>
      </c>
      <c r="AE15" s="45">
        <v>28.7</v>
      </c>
      <c r="AF15" s="45">
        <v>28.7</v>
      </c>
      <c r="AG15" s="49">
        <v>50</v>
      </c>
      <c r="AH15" s="47">
        <f t="shared" si="2"/>
        <v>29.1</v>
      </c>
      <c r="AI15" s="48">
        <f t="shared" si="3"/>
        <v>28.3</v>
      </c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160" t="s">
        <v>245</v>
      </c>
      <c r="CM15" s="161">
        <v>0</v>
      </c>
      <c r="CN15" s="162">
        <v>4.1666666666666664E-2</v>
      </c>
      <c r="CO15" s="163">
        <v>8.3333333333333301E-2</v>
      </c>
      <c r="CP15" s="163">
        <v>0.125</v>
      </c>
      <c r="CQ15" s="163">
        <v>0.16666666666666699</v>
      </c>
      <c r="CR15" s="163">
        <v>0.20833333333333301</v>
      </c>
      <c r="CS15" s="163">
        <v>0.25</v>
      </c>
      <c r="CT15" s="163">
        <v>0.29166666666666669</v>
      </c>
      <c r="CU15" s="164">
        <v>0.33333333333333331</v>
      </c>
      <c r="CV15" s="164">
        <v>0.375</v>
      </c>
      <c r="CW15" s="164">
        <v>0.41666666666666702</v>
      </c>
      <c r="CX15" s="164">
        <v>0.45833333333333298</v>
      </c>
      <c r="CY15" s="164">
        <v>0.5</v>
      </c>
      <c r="CZ15" s="164">
        <v>0.54166666666666696</v>
      </c>
      <c r="DA15" s="164">
        <v>0.58333333333333304</v>
      </c>
      <c r="DB15" s="164">
        <v>0.625</v>
      </c>
      <c r="DC15" s="164">
        <v>0.66666666666666696</v>
      </c>
      <c r="DD15" s="164">
        <v>0.70833333333333304</v>
      </c>
      <c r="DE15" s="164">
        <v>0.75</v>
      </c>
      <c r="DF15" s="164">
        <v>0.79166666666666663</v>
      </c>
      <c r="DG15" s="163">
        <v>0.83333333333333337</v>
      </c>
      <c r="DH15" s="163">
        <v>0.875</v>
      </c>
      <c r="DI15" s="163">
        <v>0.91666666666666696</v>
      </c>
      <c r="DJ15" s="163">
        <v>0.95833333333333304</v>
      </c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</row>
    <row r="16" spans="1:140" x14ac:dyDescent="0.25">
      <c r="A16" s="44" t="s">
        <v>23</v>
      </c>
      <c r="B16" s="45">
        <v>14.8</v>
      </c>
      <c r="C16" s="45">
        <v>14.8</v>
      </c>
      <c r="D16" s="45">
        <v>14.8</v>
      </c>
      <c r="E16" s="45">
        <v>14.8</v>
      </c>
      <c r="F16" s="45">
        <v>14.8</v>
      </c>
      <c r="G16" s="45">
        <v>14.8</v>
      </c>
      <c r="H16" s="45">
        <v>15.1</v>
      </c>
      <c r="I16" s="45">
        <v>15.1</v>
      </c>
      <c r="J16" s="45">
        <v>15.1</v>
      </c>
      <c r="K16" s="45">
        <v>15.1</v>
      </c>
      <c r="L16" s="45">
        <v>15.1</v>
      </c>
      <c r="M16" s="45">
        <v>15.1</v>
      </c>
      <c r="N16" s="45">
        <v>15.1</v>
      </c>
      <c r="O16" s="45">
        <v>15.1</v>
      </c>
      <c r="P16" s="45">
        <v>15.1</v>
      </c>
      <c r="Q16" s="45">
        <v>15.1</v>
      </c>
      <c r="R16" s="45">
        <v>15.1</v>
      </c>
      <c r="S16" s="45">
        <v>15.1</v>
      </c>
      <c r="T16" s="45">
        <v>15.1</v>
      </c>
      <c r="U16" s="45">
        <v>15.1</v>
      </c>
      <c r="V16" s="45">
        <v>15.1</v>
      </c>
      <c r="W16" s="45">
        <v>15.1</v>
      </c>
      <c r="X16" s="45">
        <v>15.1</v>
      </c>
      <c r="Y16" s="45">
        <v>15.1</v>
      </c>
      <c r="Z16" s="45">
        <v>15.1</v>
      </c>
      <c r="AA16" s="45">
        <v>15.1</v>
      </c>
      <c r="AB16" s="45">
        <v>15.1</v>
      </c>
      <c r="AC16" s="45">
        <v>15.1</v>
      </c>
      <c r="AD16" s="45">
        <v>15.1</v>
      </c>
      <c r="AE16" s="45">
        <v>15.1</v>
      </c>
      <c r="AF16" s="45">
        <v>15.1</v>
      </c>
      <c r="AG16" s="49">
        <v>45</v>
      </c>
      <c r="AH16" s="47">
        <f t="shared" si="2"/>
        <v>15.1</v>
      </c>
      <c r="AI16" s="48">
        <f t="shared" si="3"/>
        <v>14.8</v>
      </c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160" t="s">
        <v>7</v>
      </c>
      <c r="CM16" s="227">
        <f t="shared" ref="CM16:CR16" si="4">B58</f>
        <v>476.35</v>
      </c>
      <c r="CN16" s="227">
        <f t="shared" si="4"/>
        <v>467.55</v>
      </c>
      <c r="CO16" s="227">
        <f t="shared" si="4"/>
        <v>478.55</v>
      </c>
      <c r="CP16" s="227">
        <f t="shared" si="4"/>
        <v>482.75</v>
      </c>
      <c r="CQ16" s="227">
        <f t="shared" si="4"/>
        <v>482.75</v>
      </c>
      <c r="CR16" s="227">
        <f t="shared" si="4"/>
        <v>482.75</v>
      </c>
      <c r="CS16" s="227">
        <f>I58</f>
        <v>477.75</v>
      </c>
      <c r="CT16" s="227">
        <f>K58</f>
        <v>477.15</v>
      </c>
      <c r="CU16" s="227">
        <f t="shared" ref="CU16:DD16" si="5">M58</f>
        <v>480.05</v>
      </c>
      <c r="CV16" s="227">
        <f t="shared" si="5"/>
        <v>479.34999999999997</v>
      </c>
      <c r="CW16" s="227">
        <f t="shared" si="5"/>
        <v>454.45</v>
      </c>
      <c r="CX16" s="227">
        <f t="shared" si="5"/>
        <v>476.45</v>
      </c>
      <c r="CY16" s="227">
        <f t="shared" si="5"/>
        <v>477.04</v>
      </c>
      <c r="CZ16" s="227">
        <f t="shared" si="5"/>
        <v>481.15</v>
      </c>
      <c r="DA16" s="227">
        <f t="shared" si="5"/>
        <v>481.15</v>
      </c>
      <c r="DB16" s="227">
        <f t="shared" si="5"/>
        <v>481.15</v>
      </c>
      <c r="DC16" s="227">
        <f t="shared" si="5"/>
        <v>481.15</v>
      </c>
      <c r="DD16" s="227">
        <f t="shared" si="5"/>
        <v>481.15</v>
      </c>
      <c r="DE16" s="227">
        <f>X58</f>
        <v>481.55</v>
      </c>
      <c r="DF16" s="227">
        <f>Z58</f>
        <v>477.34999999999997</v>
      </c>
      <c r="DG16" s="227">
        <f>AB58</f>
        <v>477.34999999999997</v>
      </c>
      <c r="DH16" s="227">
        <f>AD58</f>
        <v>477.34999999999997</v>
      </c>
      <c r="DI16" s="227">
        <f>AE58</f>
        <v>477.34999999999997</v>
      </c>
      <c r="DJ16" s="227">
        <f>AF58</f>
        <v>477.34999999999997</v>
      </c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</row>
    <row r="17" spans="1:140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160" t="s">
        <v>592</v>
      </c>
      <c r="CM17" s="227">
        <f t="shared" ref="CM17:CR17" si="6">B62</f>
        <v>36</v>
      </c>
      <c r="CN17" s="227">
        <f t="shared" si="6"/>
        <v>37.1</v>
      </c>
      <c r="CO17" s="227">
        <f t="shared" si="6"/>
        <v>36</v>
      </c>
      <c r="CP17" s="227">
        <f t="shared" si="6"/>
        <v>36</v>
      </c>
      <c r="CQ17" s="227">
        <f t="shared" si="6"/>
        <v>36</v>
      </c>
      <c r="CR17" s="227">
        <f t="shared" si="6"/>
        <v>36</v>
      </c>
      <c r="CS17" s="227">
        <f>I62</f>
        <v>51</v>
      </c>
      <c r="CT17" s="227">
        <f>K62</f>
        <v>186</v>
      </c>
      <c r="CU17" s="227">
        <f t="shared" ref="CU17:DD17" si="7">M62</f>
        <v>291.10000000000002</v>
      </c>
      <c r="CV17" s="227">
        <f t="shared" si="7"/>
        <v>125.2</v>
      </c>
      <c r="CW17" s="227">
        <f t="shared" si="7"/>
        <v>65.3</v>
      </c>
      <c r="CX17" s="227">
        <f t="shared" si="7"/>
        <v>70.3</v>
      </c>
      <c r="CY17" s="227">
        <f t="shared" si="7"/>
        <v>50.2</v>
      </c>
      <c r="CZ17" s="227">
        <f t="shared" si="7"/>
        <v>35.200000000000003</v>
      </c>
      <c r="DA17" s="227">
        <f t="shared" si="7"/>
        <v>35.200000000000003</v>
      </c>
      <c r="DB17" s="227">
        <f t="shared" si="7"/>
        <v>35.200000000000003</v>
      </c>
      <c r="DC17" s="227">
        <f t="shared" si="7"/>
        <v>35.200000000000003</v>
      </c>
      <c r="DD17" s="227">
        <f t="shared" si="7"/>
        <v>35.200000000000003</v>
      </c>
      <c r="DE17" s="227">
        <f>X62</f>
        <v>75.2</v>
      </c>
      <c r="DF17" s="227">
        <f>Z62</f>
        <v>382.2</v>
      </c>
      <c r="DG17" s="227">
        <f>AB62</f>
        <v>192.2</v>
      </c>
      <c r="DH17" s="227">
        <f>AD62</f>
        <v>152.19999999999999</v>
      </c>
      <c r="DI17" s="227">
        <f>AE62</f>
        <v>92.2</v>
      </c>
      <c r="DJ17" s="227">
        <f>AF62</f>
        <v>72.2</v>
      </c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</row>
    <row r="18" spans="1:140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7.5</v>
      </c>
      <c r="AI18" s="48">
        <f t="shared" si="3"/>
        <v>7.5</v>
      </c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160" t="s">
        <v>593</v>
      </c>
      <c r="CM18" s="227">
        <f t="shared" ref="CM18:CR18" si="8">B76</f>
        <v>151.33999999999997</v>
      </c>
      <c r="CN18" s="227">
        <f t="shared" si="8"/>
        <v>134.73999999999998</v>
      </c>
      <c r="CO18" s="227">
        <f t="shared" si="8"/>
        <v>124.24000000000001</v>
      </c>
      <c r="CP18" s="227">
        <f t="shared" si="8"/>
        <v>78.14</v>
      </c>
      <c r="CQ18" s="227">
        <f t="shared" si="8"/>
        <v>78.14</v>
      </c>
      <c r="CR18" s="227">
        <f t="shared" si="8"/>
        <v>140.13999999999999</v>
      </c>
      <c r="CS18" s="227">
        <f>I76</f>
        <v>254.64</v>
      </c>
      <c r="CT18" s="227">
        <f>K76</f>
        <v>321.04000000000008</v>
      </c>
      <c r="CU18" s="227">
        <f t="shared" ref="CU18:DD18" si="9">M76</f>
        <v>326.24000000000007</v>
      </c>
      <c r="CV18" s="227">
        <f t="shared" si="9"/>
        <v>267.04000000000002</v>
      </c>
      <c r="CW18" s="227">
        <f t="shared" si="9"/>
        <v>238.03999999999996</v>
      </c>
      <c r="CX18" s="227">
        <f t="shared" si="9"/>
        <v>266.64</v>
      </c>
      <c r="CY18" s="227">
        <f t="shared" si="9"/>
        <v>251.33999999999997</v>
      </c>
      <c r="CZ18" s="227">
        <f t="shared" si="9"/>
        <v>252.54</v>
      </c>
      <c r="DA18" s="227">
        <f t="shared" si="9"/>
        <v>247.54</v>
      </c>
      <c r="DB18" s="227">
        <f t="shared" si="9"/>
        <v>233.54</v>
      </c>
      <c r="DC18" s="227">
        <f t="shared" si="9"/>
        <v>205.23999999999998</v>
      </c>
      <c r="DD18" s="227">
        <f t="shared" si="9"/>
        <v>201.23999999999998</v>
      </c>
      <c r="DE18" s="227">
        <f>X76</f>
        <v>214.53999999999996</v>
      </c>
      <c r="DF18" s="227">
        <f>Z76</f>
        <v>352.6</v>
      </c>
      <c r="DG18" s="227">
        <f>AB76</f>
        <v>259.94</v>
      </c>
      <c r="DH18" s="227">
        <f>AD76</f>
        <v>245.03999999999996</v>
      </c>
      <c r="DI18" s="227">
        <f>AE76</f>
        <v>272.34000000000003</v>
      </c>
      <c r="DJ18" s="227">
        <f>AF76</f>
        <v>194.63999999999996</v>
      </c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</row>
    <row r="19" spans="1:140" x14ac:dyDescent="0.25">
      <c r="A19" s="44" t="s">
        <v>262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49">
        <v>38.46</v>
      </c>
      <c r="AH19" s="47">
        <f t="shared" si="2"/>
        <v>13</v>
      </c>
      <c r="AI19" s="48">
        <f t="shared" si="3"/>
        <v>13</v>
      </c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160" t="s">
        <v>594</v>
      </c>
      <c r="CM19" s="227">
        <f t="shared" ref="CM19:CR19" si="10">B92</f>
        <v>518.4</v>
      </c>
      <c r="CN19" s="227">
        <f t="shared" si="10"/>
        <v>525.9</v>
      </c>
      <c r="CO19" s="227">
        <f t="shared" si="10"/>
        <v>515</v>
      </c>
      <c r="CP19" s="227">
        <f t="shared" si="10"/>
        <v>536.1</v>
      </c>
      <c r="CQ19" s="227">
        <f t="shared" si="10"/>
        <v>550.6</v>
      </c>
      <c r="CR19" s="227">
        <f t="shared" si="10"/>
        <v>581</v>
      </c>
      <c r="CS19" s="227">
        <f>I92</f>
        <v>556.20000000000005</v>
      </c>
      <c r="CT19" s="227">
        <f>K92</f>
        <v>523.29999999999995</v>
      </c>
      <c r="CU19" s="227">
        <f t="shared" ref="CU19:DD19" si="11">M92</f>
        <v>217.8</v>
      </c>
      <c r="CV19" s="227">
        <f t="shared" si="11"/>
        <v>369.79999999999995</v>
      </c>
      <c r="CW19" s="227">
        <f t="shared" si="11"/>
        <v>520.4</v>
      </c>
      <c r="CX19" s="227">
        <f t="shared" si="11"/>
        <v>591.9</v>
      </c>
      <c r="CY19" s="227">
        <f t="shared" si="11"/>
        <v>667.7</v>
      </c>
      <c r="CZ19" s="227">
        <f t="shared" si="11"/>
        <v>666.80000000000007</v>
      </c>
      <c r="DA19" s="227">
        <f t="shared" si="11"/>
        <v>667</v>
      </c>
      <c r="DB19" s="227">
        <f t="shared" si="11"/>
        <v>709</v>
      </c>
      <c r="DC19" s="227">
        <f t="shared" si="11"/>
        <v>663.5</v>
      </c>
      <c r="DD19" s="227">
        <f t="shared" si="11"/>
        <v>662.5</v>
      </c>
      <c r="DE19" s="227">
        <f>X92</f>
        <v>508.40000000000003</v>
      </c>
      <c r="DF19" s="227">
        <f>Z92</f>
        <v>253.29999999999998</v>
      </c>
      <c r="DG19" s="227">
        <f>AB92</f>
        <v>425.6</v>
      </c>
      <c r="DH19" s="227">
        <f>AD92</f>
        <v>480.4</v>
      </c>
      <c r="DI19" s="227">
        <f>AE92</f>
        <v>536.70000000000005</v>
      </c>
      <c r="DJ19" s="227">
        <f>AF92</f>
        <v>534</v>
      </c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</row>
    <row r="20" spans="1:140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160" t="s">
        <v>595</v>
      </c>
      <c r="CM20" s="227">
        <f t="shared" ref="CM20:CR20" si="12">B80</f>
        <v>0</v>
      </c>
      <c r="CN20" s="227">
        <f t="shared" si="12"/>
        <v>0</v>
      </c>
      <c r="CO20" s="227">
        <f t="shared" si="12"/>
        <v>0</v>
      </c>
      <c r="CP20" s="227">
        <f t="shared" si="12"/>
        <v>0</v>
      </c>
      <c r="CQ20" s="227">
        <f t="shared" si="12"/>
        <v>0</v>
      </c>
      <c r="CR20" s="227">
        <f t="shared" si="12"/>
        <v>0</v>
      </c>
      <c r="CS20" s="227">
        <f>I80</f>
        <v>0</v>
      </c>
      <c r="CT20" s="227">
        <f>K80</f>
        <v>0</v>
      </c>
      <c r="CU20" s="227">
        <f t="shared" ref="CU20:DD20" si="13">M80</f>
        <v>0</v>
      </c>
      <c r="CV20" s="227">
        <f t="shared" si="13"/>
        <v>0</v>
      </c>
      <c r="CW20" s="227">
        <f t="shared" si="13"/>
        <v>0</v>
      </c>
      <c r="CX20" s="227">
        <f t="shared" si="13"/>
        <v>0</v>
      </c>
      <c r="CY20" s="227">
        <f t="shared" si="13"/>
        <v>0</v>
      </c>
      <c r="CZ20" s="227">
        <f t="shared" si="13"/>
        <v>0</v>
      </c>
      <c r="DA20" s="227">
        <f t="shared" si="13"/>
        <v>0</v>
      </c>
      <c r="DB20" s="227">
        <f t="shared" si="13"/>
        <v>0</v>
      </c>
      <c r="DC20" s="227">
        <f t="shared" si="13"/>
        <v>0</v>
      </c>
      <c r="DD20" s="227">
        <f t="shared" si="13"/>
        <v>0</v>
      </c>
      <c r="DE20" s="227">
        <f>X80</f>
        <v>0</v>
      </c>
      <c r="DF20" s="227">
        <f>Z80</f>
        <v>0</v>
      </c>
      <c r="DG20" s="227">
        <f>AB80</f>
        <v>0</v>
      </c>
      <c r="DH20" s="227">
        <f>AD80</f>
        <v>0</v>
      </c>
      <c r="DI20" s="227">
        <f>AE80</f>
        <v>0</v>
      </c>
      <c r="DJ20" s="227">
        <f>AF80</f>
        <v>0</v>
      </c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</row>
    <row r="21" spans="1:140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160" t="s">
        <v>596</v>
      </c>
      <c r="CM21" s="227">
        <f t="shared" ref="CM21:CR21" si="14">B98</f>
        <v>0</v>
      </c>
      <c r="CN21" s="227">
        <f t="shared" si="14"/>
        <v>0</v>
      </c>
      <c r="CO21" s="227">
        <f t="shared" si="14"/>
        <v>0</v>
      </c>
      <c r="CP21" s="227">
        <f t="shared" si="14"/>
        <v>0</v>
      </c>
      <c r="CQ21" s="227">
        <f t="shared" si="14"/>
        <v>0</v>
      </c>
      <c r="CR21" s="227">
        <f t="shared" si="14"/>
        <v>0</v>
      </c>
      <c r="CS21" s="227">
        <f>I98</f>
        <v>0</v>
      </c>
      <c r="CT21" s="227">
        <f>K98</f>
        <v>0</v>
      </c>
      <c r="CU21" s="227">
        <f t="shared" ref="CU21:DD21" si="15">M98</f>
        <v>280</v>
      </c>
      <c r="CV21" s="227">
        <f t="shared" si="15"/>
        <v>230</v>
      </c>
      <c r="CW21" s="227">
        <f t="shared" si="15"/>
        <v>100</v>
      </c>
      <c r="CX21" s="227">
        <f t="shared" si="15"/>
        <v>0</v>
      </c>
      <c r="CY21" s="227">
        <f t="shared" si="15"/>
        <v>0</v>
      </c>
      <c r="CZ21" s="227">
        <f t="shared" si="15"/>
        <v>0</v>
      </c>
      <c r="DA21" s="227">
        <f t="shared" si="15"/>
        <v>0</v>
      </c>
      <c r="DB21" s="227">
        <f t="shared" si="15"/>
        <v>0</v>
      </c>
      <c r="DC21" s="227">
        <f t="shared" si="15"/>
        <v>0</v>
      </c>
      <c r="DD21" s="227">
        <f t="shared" si="15"/>
        <v>0</v>
      </c>
      <c r="DE21" s="227">
        <f>X98</f>
        <v>280</v>
      </c>
      <c r="DF21" s="227">
        <f>Z98</f>
        <v>280</v>
      </c>
      <c r="DG21" s="227">
        <f>AB98</f>
        <v>250</v>
      </c>
      <c r="DH21" s="227">
        <f>AD98</f>
        <v>100</v>
      </c>
      <c r="DI21" s="227">
        <f>AE98</f>
        <v>0</v>
      </c>
      <c r="DJ21" s="227">
        <f>AF98</f>
        <v>0</v>
      </c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</row>
    <row r="22" spans="1:140" x14ac:dyDescent="0.25">
      <c r="A22" s="44" t="s">
        <v>28</v>
      </c>
      <c r="B22" s="45">
        <v>7.6</v>
      </c>
      <c r="C22" s="45">
        <v>7.6</v>
      </c>
      <c r="D22" s="45">
        <v>7.6</v>
      </c>
      <c r="E22" s="45">
        <v>7.6</v>
      </c>
      <c r="F22" s="45">
        <v>7.6</v>
      </c>
      <c r="G22" s="45">
        <v>7.6</v>
      </c>
      <c r="H22" s="45">
        <v>7.6</v>
      </c>
      <c r="I22" s="45">
        <v>7.6</v>
      </c>
      <c r="J22" s="45">
        <v>7.6</v>
      </c>
      <c r="K22" s="45">
        <v>7.6</v>
      </c>
      <c r="L22" s="45">
        <v>7.6</v>
      </c>
      <c r="M22" s="45">
        <v>7.6</v>
      </c>
      <c r="N22" s="45">
        <v>7.6</v>
      </c>
      <c r="O22" s="45">
        <v>7.6</v>
      </c>
      <c r="P22" s="45">
        <v>7.6</v>
      </c>
      <c r="Q22" s="45">
        <v>7.6</v>
      </c>
      <c r="R22" s="45">
        <v>7.6</v>
      </c>
      <c r="S22" s="45">
        <v>7.6</v>
      </c>
      <c r="T22" s="45">
        <v>7.6</v>
      </c>
      <c r="U22" s="45">
        <v>7.6</v>
      </c>
      <c r="V22" s="45">
        <v>7.6</v>
      </c>
      <c r="W22" s="45">
        <v>7.6</v>
      </c>
      <c r="X22" s="45">
        <v>7.6</v>
      </c>
      <c r="Y22" s="45">
        <v>7.6</v>
      </c>
      <c r="Z22" s="45">
        <v>7.6</v>
      </c>
      <c r="AA22" s="45">
        <v>7.6</v>
      </c>
      <c r="AB22" s="45">
        <v>7.6</v>
      </c>
      <c r="AC22" s="45">
        <v>7.6</v>
      </c>
      <c r="AD22" s="45">
        <v>7.6</v>
      </c>
      <c r="AE22" s="45">
        <v>7.6</v>
      </c>
      <c r="AF22" s="45">
        <v>7.6</v>
      </c>
      <c r="AG22" s="52">
        <v>30</v>
      </c>
      <c r="AH22" s="47">
        <f t="shared" si="2"/>
        <v>7.6</v>
      </c>
      <c r="AI22" s="48">
        <f t="shared" si="3"/>
        <v>7.6</v>
      </c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229" t="s">
        <v>597</v>
      </c>
      <c r="CM22" s="228">
        <f>SUM(CM16:CM21)</f>
        <v>1182.0900000000001</v>
      </c>
      <c r="CN22" s="228">
        <f t="shared" ref="CN22:DJ22" si="16">SUM(CN16:CN21)</f>
        <v>1165.29</v>
      </c>
      <c r="CO22" s="228">
        <f t="shared" si="16"/>
        <v>1153.79</v>
      </c>
      <c r="CP22" s="228">
        <f t="shared" si="16"/>
        <v>1132.99</v>
      </c>
      <c r="CQ22" s="228">
        <f t="shared" si="16"/>
        <v>1147.49</v>
      </c>
      <c r="CR22" s="228">
        <f t="shared" si="16"/>
        <v>1239.8899999999999</v>
      </c>
      <c r="CS22" s="228">
        <f t="shared" si="16"/>
        <v>1339.5900000000001</v>
      </c>
      <c r="CT22" s="228">
        <f t="shared" si="16"/>
        <v>1507.49</v>
      </c>
      <c r="CU22" s="228">
        <f t="shared" si="16"/>
        <v>1595.19</v>
      </c>
      <c r="CV22" s="228">
        <f t="shared" si="16"/>
        <v>1471.3899999999999</v>
      </c>
      <c r="CW22" s="228">
        <f t="shared" si="16"/>
        <v>1378.19</v>
      </c>
      <c r="CX22" s="228">
        <f t="shared" si="16"/>
        <v>1405.29</v>
      </c>
      <c r="CY22" s="228">
        <f t="shared" si="16"/>
        <v>1446.28</v>
      </c>
      <c r="CZ22" s="228">
        <f t="shared" si="16"/>
        <v>1435.69</v>
      </c>
      <c r="DA22" s="228">
        <f t="shared" si="16"/>
        <v>1430.8899999999999</v>
      </c>
      <c r="DB22" s="228">
        <f t="shared" si="16"/>
        <v>1458.8899999999999</v>
      </c>
      <c r="DC22" s="228">
        <f t="shared" si="16"/>
        <v>1385.0900000000001</v>
      </c>
      <c r="DD22" s="228">
        <f t="shared" si="16"/>
        <v>1380.0900000000001</v>
      </c>
      <c r="DE22" s="228">
        <f t="shared" si="16"/>
        <v>1559.69</v>
      </c>
      <c r="DF22" s="228">
        <f t="shared" si="16"/>
        <v>1745.45</v>
      </c>
      <c r="DG22" s="228">
        <f t="shared" si="16"/>
        <v>1605.0900000000001</v>
      </c>
      <c r="DH22" s="228">
        <f t="shared" si="16"/>
        <v>1454.9899999999998</v>
      </c>
      <c r="DI22" s="228">
        <f t="shared" si="16"/>
        <v>1378.5900000000001</v>
      </c>
      <c r="DJ22" s="228">
        <f t="shared" si="16"/>
        <v>1278.19</v>
      </c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</row>
    <row r="23" spans="1:140" x14ac:dyDescent="0.25">
      <c r="A23" s="44" t="s">
        <v>29</v>
      </c>
      <c r="B23" s="45">
        <v>6.2</v>
      </c>
      <c r="C23" s="45">
        <v>6.2</v>
      </c>
      <c r="D23" s="45">
        <v>6.2</v>
      </c>
      <c r="E23" s="45">
        <v>6.2</v>
      </c>
      <c r="F23" s="45">
        <v>6.2</v>
      </c>
      <c r="G23" s="45">
        <v>6.2</v>
      </c>
      <c r="H23" s="45">
        <v>6.2</v>
      </c>
      <c r="I23" s="45">
        <v>6.2</v>
      </c>
      <c r="J23" s="45">
        <v>6.2</v>
      </c>
      <c r="K23" s="45">
        <v>6.2</v>
      </c>
      <c r="L23" s="45">
        <v>6.2</v>
      </c>
      <c r="M23" s="45">
        <v>6.2</v>
      </c>
      <c r="N23" s="45">
        <v>6.2</v>
      </c>
      <c r="O23" s="45">
        <v>6.2</v>
      </c>
      <c r="P23" s="45">
        <v>6.2</v>
      </c>
      <c r="Q23" s="45">
        <v>6.2</v>
      </c>
      <c r="R23" s="45">
        <v>6.2</v>
      </c>
      <c r="S23" s="45">
        <v>6.2</v>
      </c>
      <c r="T23" s="45">
        <v>6.2</v>
      </c>
      <c r="U23" s="45">
        <v>6.2</v>
      </c>
      <c r="V23" s="45">
        <v>6.2</v>
      </c>
      <c r="W23" s="45">
        <v>6.2</v>
      </c>
      <c r="X23" s="45">
        <v>6.2</v>
      </c>
      <c r="Y23" s="45">
        <v>6.2</v>
      </c>
      <c r="Z23" s="45">
        <v>6.2</v>
      </c>
      <c r="AA23" s="45">
        <v>6.2</v>
      </c>
      <c r="AB23" s="45">
        <v>6.2</v>
      </c>
      <c r="AC23" s="45">
        <v>6.2</v>
      </c>
      <c r="AD23" s="45">
        <v>6.2</v>
      </c>
      <c r="AE23" s="45">
        <v>6.2</v>
      </c>
      <c r="AF23" s="45">
        <v>6.2</v>
      </c>
      <c r="AG23" s="49">
        <v>24.2</v>
      </c>
      <c r="AH23" s="47">
        <f t="shared" si="2"/>
        <v>6.2</v>
      </c>
      <c r="AI23" s="48">
        <f t="shared" si="3"/>
        <v>6.2</v>
      </c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229" t="s">
        <v>249</v>
      </c>
      <c r="CM23" s="228">
        <f t="shared" ref="CM23:CR23" si="17">B107*-1</f>
        <v>0</v>
      </c>
      <c r="CN23" s="228">
        <f t="shared" si="17"/>
        <v>0</v>
      </c>
      <c r="CO23" s="228">
        <f t="shared" si="17"/>
        <v>0</v>
      </c>
      <c r="CP23" s="228">
        <f t="shared" si="17"/>
        <v>0</v>
      </c>
      <c r="CQ23" s="228">
        <f t="shared" si="17"/>
        <v>0</v>
      </c>
      <c r="CR23" s="228">
        <f t="shared" si="17"/>
        <v>0</v>
      </c>
      <c r="CS23" s="228">
        <f>I107*-1</f>
        <v>0</v>
      </c>
      <c r="CT23" s="228">
        <f>K107*-1</f>
        <v>0</v>
      </c>
      <c r="CU23" s="228">
        <f t="shared" ref="CU23:DD23" si="18">M107*-1</f>
        <v>0</v>
      </c>
      <c r="CV23" s="228">
        <f t="shared" si="18"/>
        <v>0</v>
      </c>
      <c r="CW23" s="228">
        <f t="shared" si="18"/>
        <v>0</v>
      </c>
      <c r="CX23" s="228">
        <f t="shared" si="18"/>
        <v>0</v>
      </c>
      <c r="CY23" s="228">
        <f t="shared" si="18"/>
        <v>0</v>
      </c>
      <c r="CZ23" s="228">
        <f t="shared" si="18"/>
        <v>0</v>
      </c>
      <c r="DA23" s="228">
        <f t="shared" si="18"/>
        <v>0</v>
      </c>
      <c r="DB23" s="228">
        <f t="shared" si="18"/>
        <v>-1</v>
      </c>
      <c r="DC23" s="228">
        <f t="shared" si="18"/>
        <v>-2</v>
      </c>
      <c r="DD23" s="228">
        <f t="shared" si="18"/>
        <v>-3</v>
      </c>
      <c r="DE23" s="228">
        <f>X107*-1</f>
        <v>-5</v>
      </c>
      <c r="DF23" s="228">
        <f>Z107*-1</f>
        <v>0</v>
      </c>
      <c r="DG23" s="228">
        <f>AB107*-1</f>
        <v>0</v>
      </c>
      <c r="DH23" s="228">
        <f>AD107*-1</f>
        <v>0</v>
      </c>
      <c r="DI23" s="228">
        <f>AE107*-1</f>
        <v>0</v>
      </c>
      <c r="DJ23" s="228">
        <f>AF107*-1</f>
        <v>0</v>
      </c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</row>
    <row r="24" spans="1:140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2"/>
        <v>7.2</v>
      </c>
      <c r="AI24" s="48">
        <f t="shared" si="3"/>
        <v>7.2</v>
      </c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229" t="s">
        <v>598</v>
      </c>
      <c r="CM24" s="228">
        <f>CM22+CM23</f>
        <v>1182.0900000000001</v>
      </c>
      <c r="CN24" s="228">
        <f t="shared" ref="CN24:DJ24" si="19">CN22+CN23</f>
        <v>1165.29</v>
      </c>
      <c r="CO24" s="228">
        <f t="shared" si="19"/>
        <v>1153.79</v>
      </c>
      <c r="CP24" s="228">
        <f t="shared" si="19"/>
        <v>1132.99</v>
      </c>
      <c r="CQ24" s="228">
        <f t="shared" si="19"/>
        <v>1147.49</v>
      </c>
      <c r="CR24" s="228">
        <f t="shared" si="19"/>
        <v>1239.8899999999999</v>
      </c>
      <c r="CS24" s="228">
        <f t="shared" si="19"/>
        <v>1339.5900000000001</v>
      </c>
      <c r="CT24" s="228">
        <f t="shared" si="19"/>
        <v>1507.49</v>
      </c>
      <c r="CU24" s="228">
        <f t="shared" si="19"/>
        <v>1595.19</v>
      </c>
      <c r="CV24" s="228">
        <f t="shared" si="19"/>
        <v>1471.3899999999999</v>
      </c>
      <c r="CW24" s="228">
        <f t="shared" si="19"/>
        <v>1378.19</v>
      </c>
      <c r="CX24" s="228">
        <f t="shared" si="19"/>
        <v>1405.29</v>
      </c>
      <c r="CY24" s="228">
        <f t="shared" si="19"/>
        <v>1446.28</v>
      </c>
      <c r="CZ24" s="228">
        <f t="shared" si="19"/>
        <v>1435.69</v>
      </c>
      <c r="DA24" s="228">
        <f t="shared" si="19"/>
        <v>1430.8899999999999</v>
      </c>
      <c r="DB24" s="228">
        <f t="shared" si="19"/>
        <v>1457.8899999999999</v>
      </c>
      <c r="DC24" s="228">
        <f t="shared" si="19"/>
        <v>1383.0900000000001</v>
      </c>
      <c r="DD24" s="228">
        <f t="shared" si="19"/>
        <v>1377.0900000000001</v>
      </c>
      <c r="DE24" s="228">
        <f t="shared" si="19"/>
        <v>1554.69</v>
      </c>
      <c r="DF24" s="228">
        <f t="shared" si="19"/>
        <v>1745.45</v>
      </c>
      <c r="DG24" s="228">
        <f t="shared" si="19"/>
        <v>1605.0900000000001</v>
      </c>
      <c r="DH24" s="228">
        <f t="shared" si="19"/>
        <v>1454.9899999999998</v>
      </c>
      <c r="DI24" s="228">
        <f t="shared" si="19"/>
        <v>1378.5900000000001</v>
      </c>
      <c r="DJ24" s="228">
        <f t="shared" si="19"/>
        <v>1278.19</v>
      </c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</row>
    <row r="25" spans="1:140" x14ac:dyDescent="0.25">
      <c r="A25" s="44" t="s">
        <v>31</v>
      </c>
      <c r="B25" s="45">
        <v>5.8</v>
      </c>
      <c r="C25" s="45">
        <v>5.8</v>
      </c>
      <c r="D25" s="45">
        <v>5.8</v>
      </c>
      <c r="E25" s="45">
        <v>5.8</v>
      </c>
      <c r="F25" s="45">
        <v>5.8</v>
      </c>
      <c r="G25" s="45">
        <v>5.8</v>
      </c>
      <c r="H25" s="45">
        <v>5.8</v>
      </c>
      <c r="I25" s="45">
        <v>5.8</v>
      </c>
      <c r="J25" s="45">
        <v>5.8</v>
      </c>
      <c r="K25" s="45">
        <v>5.8</v>
      </c>
      <c r="L25" s="45">
        <v>5.8</v>
      </c>
      <c r="M25" s="45">
        <v>5.8</v>
      </c>
      <c r="N25" s="45">
        <v>5.8</v>
      </c>
      <c r="O25" s="45">
        <v>6.3</v>
      </c>
      <c r="P25" s="45">
        <v>6.3</v>
      </c>
      <c r="Q25" s="45">
        <v>6.3</v>
      </c>
      <c r="R25" s="45">
        <v>6.3</v>
      </c>
      <c r="S25" s="45">
        <v>6.3</v>
      </c>
      <c r="T25" s="45">
        <v>6.3</v>
      </c>
      <c r="U25" s="45">
        <v>6.3</v>
      </c>
      <c r="V25" s="45">
        <v>6.3</v>
      </c>
      <c r="W25" s="45">
        <v>6.3</v>
      </c>
      <c r="X25" s="45">
        <v>6.3</v>
      </c>
      <c r="Y25" s="45">
        <v>6.3</v>
      </c>
      <c r="Z25" s="45">
        <v>6.3</v>
      </c>
      <c r="AA25" s="45">
        <v>6.3</v>
      </c>
      <c r="AB25" s="45">
        <v>6.3</v>
      </c>
      <c r="AC25" s="45">
        <v>6.3</v>
      </c>
      <c r="AD25" s="45">
        <v>6.3</v>
      </c>
      <c r="AE25" s="45">
        <v>6.3</v>
      </c>
      <c r="AF25" s="45">
        <v>6.3</v>
      </c>
      <c r="AG25" s="52">
        <v>30</v>
      </c>
      <c r="AH25" s="47">
        <f t="shared" si="2"/>
        <v>6.3</v>
      </c>
      <c r="AI25" s="48">
        <f t="shared" si="3"/>
        <v>5.8</v>
      </c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28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</row>
    <row r="26" spans="1:140" x14ac:dyDescent="0.25">
      <c r="A26" s="44" t="s">
        <v>32</v>
      </c>
      <c r="B26" s="45">
        <v>10</v>
      </c>
      <c r="C26" s="45">
        <v>10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10</v>
      </c>
      <c r="AF26" s="45">
        <v>10</v>
      </c>
      <c r="AG26" s="49">
        <v>25</v>
      </c>
      <c r="AH26" s="47">
        <f t="shared" si="2"/>
        <v>10</v>
      </c>
      <c r="AI26" s="48">
        <f t="shared" si="3"/>
        <v>10</v>
      </c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28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</row>
    <row r="27" spans="1:140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28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</row>
    <row r="28" spans="1:140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28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</row>
    <row r="29" spans="1:140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0</v>
      </c>
      <c r="P29" s="45">
        <v>0</v>
      </c>
      <c r="Q29" s="45">
        <v>8.1999999999999993</v>
      </c>
      <c r="R29" s="45">
        <v>8.1999999999999993</v>
      </c>
      <c r="S29" s="45">
        <v>8.1999999999999993</v>
      </c>
      <c r="T29" s="45">
        <v>8.1999999999999993</v>
      </c>
      <c r="U29" s="45">
        <v>8.1999999999999993</v>
      </c>
      <c r="V29" s="45">
        <v>8.1999999999999993</v>
      </c>
      <c r="W29" s="45">
        <v>8.1999999999999993</v>
      </c>
      <c r="X29" s="45">
        <v>8.1999999999999993</v>
      </c>
      <c r="Y29" s="45">
        <v>8.1999999999999993</v>
      </c>
      <c r="Z29" s="45">
        <v>8.1999999999999993</v>
      </c>
      <c r="AA29" s="45">
        <v>8.1999999999999993</v>
      </c>
      <c r="AB29" s="45">
        <v>8.1999999999999993</v>
      </c>
      <c r="AC29" s="45">
        <v>8.1999999999999993</v>
      </c>
      <c r="AD29" s="45">
        <v>8.1999999999999993</v>
      </c>
      <c r="AE29" s="45">
        <v>8.1999999999999993</v>
      </c>
      <c r="AF29" s="45">
        <v>8.1999999999999993</v>
      </c>
      <c r="AG29" s="49">
        <v>25</v>
      </c>
      <c r="AH29" s="47">
        <f t="shared" si="2"/>
        <v>8.1999999999999993</v>
      </c>
      <c r="AI29" s="48">
        <f t="shared" si="3"/>
        <v>0</v>
      </c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28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</row>
    <row r="30" spans="1:140" x14ac:dyDescent="0.25">
      <c r="A30" s="44" t="s">
        <v>36</v>
      </c>
      <c r="B30" s="45">
        <v>7.3</v>
      </c>
      <c r="C30" s="45">
        <v>7.3</v>
      </c>
      <c r="D30" s="45">
        <v>7.3</v>
      </c>
      <c r="E30" s="45">
        <v>7.3</v>
      </c>
      <c r="F30" s="45">
        <v>7.3</v>
      </c>
      <c r="G30" s="45">
        <v>7.3</v>
      </c>
      <c r="H30" s="45">
        <v>7.3</v>
      </c>
      <c r="I30" s="45">
        <v>7.3</v>
      </c>
      <c r="J30" s="45">
        <v>7.3</v>
      </c>
      <c r="K30" s="45">
        <v>7.3</v>
      </c>
      <c r="L30" s="45">
        <v>7.3</v>
      </c>
      <c r="M30" s="45">
        <v>7.3</v>
      </c>
      <c r="N30" s="45">
        <v>7.3</v>
      </c>
      <c r="O30" s="45">
        <v>7.3</v>
      </c>
      <c r="P30" s="45">
        <v>7.3</v>
      </c>
      <c r="Q30" s="45">
        <v>7.3</v>
      </c>
      <c r="R30" s="45">
        <v>7.3</v>
      </c>
      <c r="S30" s="45">
        <v>7.3</v>
      </c>
      <c r="T30" s="45">
        <v>7.3</v>
      </c>
      <c r="U30" s="45">
        <v>7.3</v>
      </c>
      <c r="V30" s="45">
        <v>7.3</v>
      </c>
      <c r="W30" s="45">
        <v>7.3</v>
      </c>
      <c r="X30" s="45">
        <v>7.3</v>
      </c>
      <c r="Y30" s="45">
        <v>7.3</v>
      </c>
      <c r="Z30" s="45">
        <v>7.3</v>
      </c>
      <c r="AA30" s="45">
        <v>7.3</v>
      </c>
      <c r="AB30" s="45">
        <v>7.3</v>
      </c>
      <c r="AC30" s="45">
        <v>7.3</v>
      </c>
      <c r="AD30" s="45">
        <v>7.3</v>
      </c>
      <c r="AE30" s="45">
        <v>7.3</v>
      </c>
      <c r="AF30" s="45">
        <v>7.3</v>
      </c>
      <c r="AG30" s="49">
        <v>23.5</v>
      </c>
      <c r="AH30" s="47">
        <f t="shared" si="2"/>
        <v>7.3</v>
      </c>
      <c r="AI30" s="48">
        <f t="shared" si="3"/>
        <v>7.3</v>
      </c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28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</row>
    <row r="31" spans="1:140" x14ac:dyDescent="0.25">
      <c r="A31" s="44" t="s">
        <v>37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22.2</v>
      </c>
      <c r="AH31" s="47">
        <f t="shared" si="2"/>
        <v>0</v>
      </c>
      <c r="AI31" s="48">
        <f t="shared" si="3"/>
        <v>0</v>
      </c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28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</row>
    <row r="32" spans="1:140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28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</row>
    <row r="33" spans="1:140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28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</row>
    <row r="34" spans="1:140" x14ac:dyDescent="0.25">
      <c r="A34" s="44" t="s">
        <v>40</v>
      </c>
      <c r="B34" s="45">
        <v>8.8000000000000007</v>
      </c>
      <c r="C34" s="45">
        <v>0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11</v>
      </c>
      <c r="AE34" s="45">
        <v>11</v>
      </c>
      <c r="AF34" s="45">
        <v>11</v>
      </c>
      <c r="AG34" s="49">
        <v>22</v>
      </c>
      <c r="AH34" s="47">
        <f t="shared" si="2"/>
        <v>11</v>
      </c>
      <c r="AI34" s="48">
        <f t="shared" si="3"/>
        <v>0</v>
      </c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28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</row>
    <row r="35" spans="1:140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28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</row>
    <row r="36" spans="1:140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28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</row>
    <row r="37" spans="1:140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28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</row>
    <row r="38" spans="1:140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28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</row>
    <row r="39" spans="1:140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28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</row>
    <row r="40" spans="1:140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28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</row>
    <row r="41" spans="1:140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28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</row>
    <row r="42" spans="1:140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28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</row>
    <row r="43" spans="1:140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28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</row>
    <row r="44" spans="1:140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28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</row>
    <row r="45" spans="1:140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28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</row>
    <row r="46" spans="1:140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28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</row>
    <row r="47" spans="1:140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28"/>
      <c r="CM47" s="24"/>
      <c r="CN47" s="24"/>
      <c r="CO47" s="24"/>
      <c r="CP47" s="24"/>
      <c r="CQ47" s="15"/>
      <c r="CR47" s="21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</row>
    <row r="48" spans="1:140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28"/>
      <c r="CM48" s="24"/>
      <c r="CN48" s="24"/>
      <c r="CO48" s="24"/>
      <c r="CP48" s="24"/>
      <c r="CQ48" s="15"/>
      <c r="CR48" s="21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</row>
    <row r="49" spans="1:140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28"/>
      <c r="CM49" s="24"/>
      <c r="CN49" s="24"/>
      <c r="CO49" s="24"/>
      <c r="CP49" s="24"/>
      <c r="CQ49" s="15"/>
      <c r="CR49" s="21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</row>
    <row r="50" spans="1:140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28"/>
      <c r="CM50" s="24"/>
      <c r="CN50" s="24"/>
      <c r="CO50" s="24"/>
      <c r="CP50" s="24"/>
      <c r="CQ50" s="15"/>
      <c r="CR50" s="21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</row>
    <row r="51" spans="1:140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28"/>
      <c r="CM51" s="24"/>
      <c r="CN51" s="24"/>
      <c r="CO51" s="24"/>
      <c r="CP51" s="24"/>
      <c r="CQ51" s="15"/>
      <c r="CR51" s="21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</row>
    <row r="52" spans="1:140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28"/>
      <c r="CM52" s="24"/>
      <c r="CN52" s="24"/>
      <c r="CO52" s="24"/>
      <c r="CP52" s="24"/>
      <c r="CQ52" s="15"/>
      <c r="CR52" s="21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</row>
    <row r="53" spans="1:140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28"/>
      <c r="CO53" s="24"/>
      <c r="CP53" s="24"/>
      <c r="CQ53" s="15"/>
      <c r="CR53" s="21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</row>
    <row r="54" spans="1:140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28"/>
      <c r="CO54" s="24"/>
      <c r="CP54" s="24"/>
      <c r="CQ54" s="15"/>
      <c r="CR54" s="21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</row>
    <row r="55" spans="1:140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28"/>
      <c r="CO55" s="24"/>
      <c r="CP55" s="24"/>
      <c r="CQ55" s="15"/>
      <c r="CR55" s="21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</row>
    <row r="56" spans="1:140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</row>
    <row r="57" spans="1:140" ht="15.75" thickBot="1" x14ac:dyDescent="0.3">
      <c r="A57" s="58" t="s">
        <v>57</v>
      </c>
      <c r="B57" s="57">
        <v>25.6</v>
      </c>
      <c r="C57" s="57">
        <f>7.8+18.2</f>
        <v>26</v>
      </c>
      <c r="D57" s="57">
        <v>28</v>
      </c>
      <c r="E57" s="57">
        <v>28</v>
      </c>
      <c r="F57" s="57">
        <v>28</v>
      </c>
      <c r="G57" s="57">
        <v>28</v>
      </c>
      <c r="H57" s="57">
        <v>28.1</v>
      </c>
      <c r="I57" s="57">
        <v>25.8</v>
      </c>
      <c r="J57" s="57">
        <v>24.7</v>
      </c>
      <c r="K57" s="57">
        <v>22.1</v>
      </c>
      <c r="L57" s="57">
        <v>22.1</v>
      </c>
      <c r="M57" s="51">
        <f>16.1+6.7</f>
        <v>22.8</v>
      </c>
      <c r="N57" s="51">
        <f>16+6.9</f>
        <v>22.9</v>
      </c>
      <c r="O57" s="51">
        <f>16.9+7.2</f>
        <v>24.099999999999998</v>
      </c>
      <c r="P57" s="51">
        <f>12.1+5.5</f>
        <v>17.600000000000001</v>
      </c>
      <c r="Q57" s="51">
        <f>12.8+6.2</f>
        <v>19</v>
      </c>
      <c r="R57" s="51">
        <v>17.100000000000001</v>
      </c>
      <c r="S57" s="51">
        <v>17.100000000000001</v>
      </c>
      <c r="T57" s="51">
        <v>17.100000000000001</v>
      </c>
      <c r="U57" s="51">
        <v>17.100000000000001</v>
      </c>
      <c r="V57" s="51">
        <v>17.100000000000001</v>
      </c>
      <c r="W57" s="51">
        <v>17.100000000000001</v>
      </c>
      <c r="X57" s="51">
        <v>17.100000000000001</v>
      </c>
      <c r="Y57" s="57">
        <f>4.7+12.9</f>
        <v>17.600000000000001</v>
      </c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"/>
        <v>28.1</v>
      </c>
      <c r="AI57" s="48">
        <f t="shared" si="3"/>
        <v>17.100000000000001</v>
      </c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</row>
    <row r="58" spans="1:140" ht="15.75" thickBot="1" x14ac:dyDescent="0.3">
      <c r="A58" s="59" t="s">
        <v>58</v>
      </c>
      <c r="B58" s="60">
        <f t="shared" ref="B58:C58" si="20">SUM(B11:B56)</f>
        <v>476.35</v>
      </c>
      <c r="C58" s="60">
        <f t="shared" si="20"/>
        <v>467.55</v>
      </c>
      <c r="D58" s="60">
        <f t="shared" ref="D58:AF58" si="21">SUM(D11:D56)</f>
        <v>478.55</v>
      </c>
      <c r="E58" s="60">
        <f t="shared" ref="E58:F58" si="22">SUM(E11:E56)</f>
        <v>482.75</v>
      </c>
      <c r="F58" s="60">
        <f t="shared" si="22"/>
        <v>482.75</v>
      </c>
      <c r="G58" s="60">
        <f t="shared" si="21"/>
        <v>482.75</v>
      </c>
      <c r="H58" s="60">
        <f t="shared" si="21"/>
        <v>477.75</v>
      </c>
      <c r="I58" s="60">
        <f t="shared" si="21"/>
        <v>477.75</v>
      </c>
      <c r="J58" s="60">
        <f t="shared" si="21"/>
        <v>480.05</v>
      </c>
      <c r="K58" s="60">
        <f t="shared" ref="K58" si="23">SUM(K11:K56)</f>
        <v>477.15</v>
      </c>
      <c r="L58" s="60">
        <f t="shared" si="21"/>
        <v>477.15</v>
      </c>
      <c r="M58" s="60">
        <f t="shared" si="21"/>
        <v>480.05</v>
      </c>
      <c r="N58" s="60">
        <f t="shared" si="21"/>
        <v>479.34999999999997</v>
      </c>
      <c r="O58" s="60">
        <f t="shared" si="21"/>
        <v>454.45</v>
      </c>
      <c r="P58" s="60">
        <f t="shared" si="21"/>
        <v>476.45</v>
      </c>
      <c r="Q58" s="60">
        <f t="shared" si="21"/>
        <v>477.04</v>
      </c>
      <c r="R58" s="60">
        <f t="shared" si="21"/>
        <v>481.15</v>
      </c>
      <c r="S58" s="60">
        <f t="shared" ref="S58:T58" si="24">SUM(S11:S56)</f>
        <v>481.15</v>
      </c>
      <c r="T58" s="60">
        <f t="shared" si="24"/>
        <v>481.15</v>
      </c>
      <c r="U58" s="60">
        <f t="shared" ref="U58:V58" si="25">SUM(U11:U56)</f>
        <v>481.15</v>
      </c>
      <c r="V58" s="60">
        <f t="shared" si="25"/>
        <v>481.15</v>
      </c>
      <c r="W58" s="60">
        <f t="shared" ref="W58:X58" si="26">SUM(W11:W56)</f>
        <v>481.15</v>
      </c>
      <c r="X58" s="60">
        <f t="shared" si="26"/>
        <v>481.55</v>
      </c>
      <c r="Y58" s="60">
        <f t="shared" si="21"/>
        <v>477.34999999999997</v>
      </c>
      <c r="Z58" s="60">
        <f t="shared" si="21"/>
        <v>477.34999999999997</v>
      </c>
      <c r="AA58" s="60">
        <f t="shared" si="21"/>
        <v>477.34999999999997</v>
      </c>
      <c r="AB58" s="60">
        <f t="shared" si="21"/>
        <v>477.34999999999997</v>
      </c>
      <c r="AC58" s="60">
        <f t="shared" si="21"/>
        <v>477.34999999999997</v>
      </c>
      <c r="AD58" s="60">
        <f t="shared" si="21"/>
        <v>477.34999999999997</v>
      </c>
      <c r="AE58" s="60">
        <f t="shared" si="21"/>
        <v>477.34999999999997</v>
      </c>
      <c r="AF58" s="60">
        <f t="shared" si="21"/>
        <v>477.34999999999997</v>
      </c>
      <c r="AG58" s="61">
        <f>SUM(AG14:AG56)</f>
        <v>1042.4000000000001</v>
      </c>
      <c r="AH58" s="47">
        <f t="shared" si="2"/>
        <v>482.75</v>
      </c>
      <c r="AI58" s="48">
        <f t="shared" si="3"/>
        <v>454.45</v>
      </c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</row>
    <row r="59" spans="1:140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45</v>
      </c>
      <c r="K59" s="45">
        <v>150</v>
      </c>
      <c r="L59" s="45">
        <v>260</v>
      </c>
      <c r="M59" s="45">
        <v>250</v>
      </c>
      <c r="N59" s="63">
        <v>90</v>
      </c>
      <c r="O59" s="63">
        <v>30</v>
      </c>
      <c r="P59" s="63">
        <v>35</v>
      </c>
      <c r="Q59" s="63">
        <v>15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40</v>
      </c>
      <c r="Y59" s="45">
        <v>180</v>
      </c>
      <c r="Z59" s="45">
        <v>340</v>
      </c>
      <c r="AA59" s="45">
        <v>240</v>
      </c>
      <c r="AB59" s="45">
        <v>150</v>
      </c>
      <c r="AC59" s="45">
        <v>90</v>
      </c>
      <c r="AD59" s="45">
        <v>110</v>
      </c>
      <c r="AE59" s="45">
        <v>50</v>
      </c>
      <c r="AF59" s="45">
        <v>30</v>
      </c>
      <c r="AG59" s="52">
        <v>456</v>
      </c>
      <c r="AH59" s="47">
        <f t="shared" si="2"/>
        <v>340</v>
      </c>
      <c r="AI59" s="48">
        <f t="shared" si="3"/>
        <v>0</v>
      </c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</row>
    <row r="60" spans="1:140" x14ac:dyDescent="0.25">
      <c r="A60" s="64" t="s">
        <v>60</v>
      </c>
      <c r="B60" s="65">
        <v>28</v>
      </c>
      <c r="C60" s="65">
        <v>28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28</v>
      </c>
      <c r="AI60" s="48">
        <f t="shared" si="3"/>
        <v>27</v>
      </c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</row>
    <row r="61" spans="1:140" ht="15.75" thickBot="1" x14ac:dyDescent="0.3">
      <c r="A61" s="66" t="s">
        <v>61</v>
      </c>
      <c r="B61" s="67">
        <v>8</v>
      </c>
      <c r="C61" s="67">
        <v>9.1</v>
      </c>
      <c r="D61" s="67">
        <v>9</v>
      </c>
      <c r="E61" s="67">
        <v>9</v>
      </c>
      <c r="F61" s="67">
        <v>9</v>
      </c>
      <c r="G61" s="67">
        <v>9</v>
      </c>
      <c r="H61" s="67">
        <v>9</v>
      </c>
      <c r="I61" s="67">
        <v>9</v>
      </c>
      <c r="J61" s="67">
        <v>9</v>
      </c>
      <c r="K61" s="67">
        <v>9</v>
      </c>
      <c r="L61" s="67">
        <v>14.2</v>
      </c>
      <c r="M61" s="67">
        <v>14.1</v>
      </c>
      <c r="N61" s="67">
        <v>8.1999999999999993</v>
      </c>
      <c r="O61" s="67">
        <v>8.3000000000000007</v>
      </c>
      <c r="P61" s="67">
        <v>8.3000000000000007</v>
      </c>
      <c r="Q61" s="67">
        <v>8.1999999999999993</v>
      </c>
      <c r="R61" s="67">
        <v>8.1999999999999993</v>
      </c>
      <c r="S61" s="67">
        <v>8.1999999999999993</v>
      </c>
      <c r="T61" s="67">
        <v>8.1999999999999993</v>
      </c>
      <c r="U61" s="67">
        <v>8.1999999999999993</v>
      </c>
      <c r="V61" s="67">
        <v>8.1999999999999993</v>
      </c>
      <c r="W61" s="67">
        <v>8.1999999999999993</v>
      </c>
      <c r="X61" s="67">
        <v>8.1999999999999993</v>
      </c>
      <c r="Y61" s="67">
        <v>15.1</v>
      </c>
      <c r="Z61" s="67">
        <v>15.2</v>
      </c>
      <c r="AA61" s="67">
        <v>15.1</v>
      </c>
      <c r="AB61" s="67">
        <v>15.2</v>
      </c>
      <c r="AC61" s="67">
        <v>15.2</v>
      </c>
      <c r="AD61" s="67">
        <v>15.2</v>
      </c>
      <c r="AE61" s="67">
        <v>15.2</v>
      </c>
      <c r="AF61" s="67">
        <v>15.2</v>
      </c>
      <c r="AG61" s="68">
        <v>22.1</v>
      </c>
      <c r="AH61" s="47">
        <f t="shared" si="2"/>
        <v>15.2</v>
      </c>
      <c r="AI61" s="48">
        <f t="shared" si="3"/>
        <v>8</v>
      </c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</row>
    <row r="62" spans="1:140" ht="15.75" thickBot="1" x14ac:dyDescent="0.3">
      <c r="A62" s="69" t="s">
        <v>62</v>
      </c>
      <c r="B62" s="60">
        <f t="shared" ref="B62:AG62" si="27">SUM(B59:B61)</f>
        <v>36</v>
      </c>
      <c r="C62" s="60">
        <f t="shared" si="27"/>
        <v>37.1</v>
      </c>
      <c r="D62" s="60">
        <f t="shared" si="27"/>
        <v>36</v>
      </c>
      <c r="E62" s="60">
        <f t="shared" ref="E62:F62" si="28">SUM(E59:E61)</f>
        <v>36</v>
      </c>
      <c r="F62" s="60">
        <f t="shared" si="28"/>
        <v>36</v>
      </c>
      <c r="G62" s="60">
        <f t="shared" si="27"/>
        <v>36</v>
      </c>
      <c r="H62" s="60">
        <f t="shared" si="27"/>
        <v>36</v>
      </c>
      <c r="I62" s="60">
        <f t="shared" si="27"/>
        <v>51</v>
      </c>
      <c r="J62" s="60">
        <f t="shared" si="27"/>
        <v>81</v>
      </c>
      <c r="K62" s="60">
        <f t="shared" si="27"/>
        <v>186</v>
      </c>
      <c r="L62" s="60">
        <f t="shared" si="27"/>
        <v>301.2</v>
      </c>
      <c r="M62" s="60">
        <f t="shared" si="27"/>
        <v>291.10000000000002</v>
      </c>
      <c r="N62" s="60">
        <f t="shared" si="27"/>
        <v>125.2</v>
      </c>
      <c r="O62" s="60">
        <f t="shared" si="27"/>
        <v>65.3</v>
      </c>
      <c r="P62" s="60">
        <f t="shared" si="27"/>
        <v>70.3</v>
      </c>
      <c r="Q62" s="60">
        <f t="shared" si="27"/>
        <v>50.2</v>
      </c>
      <c r="R62" s="60">
        <f t="shared" si="27"/>
        <v>35.200000000000003</v>
      </c>
      <c r="S62" s="60">
        <f t="shared" ref="S62:T62" si="29">SUM(S59:S61)</f>
        <v>35.200000000000003</v>
      </c>
      <c r="T62" s="60">
        <f t="shared" si="29"/>
        <v>35.200000000000003</v>
      </c>
      <c r="U62" s="60">
        <f t="shared" ref="U62:V62" si="30">SUM(U59:U61)</f>
        <v>35.200000000000003</v>
      </c>
      <c r="V62" s="60">
        <f t="shared" si="30"/>
        <v>35.200000000000003</v>
      </c>
      <c r="W62" s="60">
        <f t="shared" ref="W62:X62" si="31">SUM(W59:W61)</f>
        <v>35.200000000000003</v>
      </c>
      <c r="X62" s="60">
        <f t="shared" si="31"/>
        <v>75.2</v>
      </c>
      <c r="Y62" s="60">
        <f t="shared" si="27"/>
        <v>222.1</v>
      </c>
      <c r="Z62" s="60">
        <f t="shared" si="27"/>
        <v>382.2</v>
      </c>
      <c r="AA62" s="60">
        <f t="shared" si="27"/>
        <v>282.10000000000002</v>
      </c>
      <c r="AB62" s="60">
        <f t="shared" si="27"/>
        <v>192.2</v>
      </c>
      <c r="AC62" s="60">
        <f t="shared" si="27"/>
        <v>132.19999999999999</v>
      </c>
      <c r="AD62" s="60">
        <f t="shared" si="27"/>
        <v>152.19999999999999</v>
      </c>
      <c r="AE62" s="60">
        <f t="shared" si="27"/>
        <v>92.2</v>
      </c>
      <c r="AF62" s="60">
        <f t="shared" si="27"/>
        <v>72.2</v>
      </c>
      <c r="AG62" s="61">
        <f t="shared" si="27"/>
        <v>538.1</v>
      </c>
      <c r="AH62" s="47">
        <f t="shared" si="2"/>
        <v>382.2</v>
      </c>
      <c r="AI62" s="48">
        <f t="shared" si="3"/>
        <v>35.200000000000003</v>
      </c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</row>
    <row r="63" spans="1:140" x14ac:dyDescent="0.25">
      <c r="A63" s="44" t="s">
        <v>63</v>
      </c>
      <c r="B63" s="45">
        <v>48.7</v>
      </c>
      <c r="C63" s="45">
        <v>30.5</v>
      </c>
      <c r="D63" s="45">
        <v>30.3</v>
      </c>
      <c r="E63" s="45">
        <v>0</v>
      </c>
      <c r="F63" s="45">
        <v>0</v>
      </c>
      <c r="G63" s="45">
        <v>0</v>
      </c>
      <c r="H63" s="45">
        <v>60</v>
      </c>
      <c r="I63" s="45">
        <v>61.1</v>
      </c>
      <c r="J63" s="45">
        <v>90</v>
      </c>
      <c r="K63" s="45">
        <v>111.6</v>
      </c>
      <c r="L63" s="45">
        <v>111</v>
      </c>
      <c r="M63" s="45">
        <v>91</v>
      </c>
      <c r="N63" s="45">
        <v>81.599999999999994</v>
      </c>
      <c r="O63" s="45">
        <v>60.9</v>
      </c>
      <c r="P63" s="45">
        <v>86.1</v>
      </c>
      <c r="Q63" s="45">
        <v>61</v>
      </c>
      <c r="R63" s="45">
        <v>60</v>
      </c>
      <c r="S63" s="45">
        <v>60</v>
      </c>
      <c r="T63" s="45">
        <v>60</v>
      </c>
      <c r="U63" s="45">
        <v>60</v>
      </c>
      <c r="V63" s="45">
        <v>60</v>
      </c>
      <c r="W63" s="45">
        <v>30</v>
      </c>
      <c r="X63" s="45">
        <v>62.8</v>
      </c>
      <c r="Y63" s="45">
        <v>140</v>
      </c>
      <c r="Z63" s="45">
        <v>142.80000000000001</v>
      </c>
      <c r="AA63" s="45">
        <v>136.19999999999999</v>
      </c>
      <c r="AB63" s="45">
        <v>91.2</v>
      </c>
      <c r="AC63" s="45">
        <v>91.2</v>
      </c>
      <c r="AD63" s="45">
        <v>70.400000000000006</v>
      </c>
      <c r="AE63" s="45">
        <v>91.4</v>
      </c>
      <c r="AF63" s="45">
        <v>45</v>
      </c>
      <c r="AG63" s="52">
        <v>144</v>
      </c>
      <c r="AH63" s="47">
        <f t="shared" si="2"/>
        <v>142.80000000000001</v>
      </c>
      <c r="AI63" s="48">
        <f t="shared" si="3"/>
        <v>0</v>
      </c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</row>
    <row r="64" spans="1:140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30</v>
      </c>
      <c r="H64" s="65">
        <v>45.2</v>
      </c>
      <c r="I64" s="65">
        <v>70</v>
      </c>
      <c r="J64" s="65">
        <v>70</v>
      </c>
      <c r="K64" s="65">
        <v>70</v>
      </c>
      <c r="L64" s="65">
        <v>70</v>
      </c>
      <c r="M64" s="65">
        <v>70</v>
      </c>
      <c r="N64" s="65">
        <v>36.5</v>
      </c>
      <c r="O64" s="65">
        <v>36.299999999999997</v>
      </c>
      <c r="P64" s="65">
        <v>36.200000000000003</v>
      </c>
      <c r="Q64" s="65">
        <v>36</v>
      </c>
      <c r="R64" s="65">
        <v>35.299999999999997</v>
      </c>
      <c r="S64" s="65">
        <v>35.299999999999997</v>
      </c>
      <c r="T64" s="65">
        <v>35.299999999999997</v>
      </c>
      <c r="U64" s="65">
        <v>22</v>
      </c>
      <c r="V64" s="65">
        <v>22</v>
      </c>
      <c r="W64" s="65">
        <v>0</v>
      </c>
      <c r="X64" s="65">
        <v>24.4</v>
      </c>
      <c r="Y64" s="45">
        <v>34.799999999999997</v>
      </c>
      <c r="Z64" s="45">
        <v>34.799999999999997</v>
      </c>
      <c r="AA64" s="45">
        <v>34.799999999999997</v>
      </c>
      <c r="AB64" s="45">
        <v>29.8</v>
      </c>
      <c r="AC64" s="45">
        <v>35.4</v>
      </c>
      <c r="AD64" s="45">
        <v>35.4</v>
      </c>
      <c r="AE64" s="45">
        <v>35.4</v>
      </c>
      <c r="AF64" s="45">
        <v>35.4</v>
      </c>
      <c r="AG64" s="55">
        <v>70</v>
      </c>
      <c r="AH64" s="47">
        <f t="shared" si="2"/>
        <v>70</v>
      </c>
      <c r="AI64" s="48">
        <f t="shared" si="3"/>
        <v>0</v>
      </c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</row>
    <row r="65" spans="1:93" x14ac:dyDescent="0.25">
      <c r="A65" s="54" t="s">
        <v>65</v>
      </c>
      <c r="B65" s="65">
        <v>22</v>
      </c>
      <c r="C65" s="65">
        <v>22.1</v>
      </c>
      <c r="D65" s="65">
        <v>15.8</v>
      </c>
      <c r="E65" s="65">
        <v>0</v>
      </c>
      <c r="F65" s="65">
        <v>0</v>
      </c>
      <c r="G65" s="65">
        <v>22</v>
      </c>
      <c r="H65" s="65">
        <v>15.6</v>
      </c>
      <c r="I65" s="65">
        <v>15.5</v>
      </c>
      <c r="J65" s="65">
        <v>32.299999999999997</v>
      </c>
      <c r="K65" s="65">
        <v>36.9</v>
      </c>
      <c r="L65" s="65">
        <v>36.9</v>
      </c>
      <c r="M65" s="65">
        <v>51.5</v>
      </c>
      <c r="N65" s="65">
        <v>51.2</v>
      </c>
      <c r="O65" s="65">
        <v>46.9</v>
      </c>
      <c r="P65" s="65">
        <v>46.6</v>
      </c>
      <c r="Q65" s="65">
        <v>46</v>
      </c>
      <c r="R65" s="65">
        <v>47</v>
      </c>
      <c r="S65" s="65">
        <v>47</v>
      </c>
      <c r="T65" s="65">
        <v>41</v>
      </c>
      <c r="U65" s="65">
        <v>33</v>
      </c>
      <c r="V65" s="65">
        <v>33</v>
      </c>
      <c r="W65" s="65">
        <v>17</v>
      </c>
      <c r="X65" s="65">
        <v>42.1</v>
      </c>
      <c r="Y65" s="45">
        <v>68</v>
      </c>
      <c r="Z65" s="45">
        <v>68.8</v>
      </c>
      <c r="AA65" s="45">
        <v>68.3</v>
      </c>
      <c r="AB65" s="45">
        <v>51.9</v>
      </c>
      <c r="AC65" s="45">
        <v>52.2</v>
      </c>
      <c r="AD65" s="45">
        <v>52.2</v>
      </c>
      <c r="AE65" s="45">
        <v>55.3</v>
      </c>
      <c r="AF65" s="45">
        <v>34</v>
      </c>
      <c r="AG65" s="55">
        <v>69</v>
      </c>
      <c r="AH65" s="47">
        <f t="shared" si="2"/>
        <v>68.8</v>
      </c>
      <c r="AI65" s="48">
        <f t="shared" si="3"/>
        <v>0</v>
      </c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</row>
    <row r="66" spans="1:93" x14ac:dyDescent="0.25">
      <c r="A66" s="54" t="s">
        <v>66</v>
      </c>
      <c r="B66" s="65">
        <v>36.799999999999997</v>
      </c>
      <c r="C66" s="65">
        <v>38.299999999999997</v>
      </c>
      <c r="D66" s="65">
        <v>38.299999999999997</v>
      </c>
      <c r="E66" s="65">
        <v>38.299999999999997</v>
      </c>
      <c r="F66" s="65">
        <v>38.299999999999997</v>
      </c>
      <c r="G66" s="65">
        <v>38.299999999999997</v>
      </c>
      <c r="H66" s="65">
        <v>38.200000000000003</v>
      </c>
      <c r="I66" s="65">
        <v>38.200000000000003</v>
      </c>
      <c r="J66" s="65">
        <v>38.999000000000002</v>
      </c>
      <c r="K66" s="57">
        <v>39.1</v>
      </c>
      <c r="L66" s="57">
        <v>39</v>
      </c>
      <c r="M66" s="65">
        <v>38.799999999999997</v>
      </c>
      <c r="N66" s="65">
        <v>36.799999999999997</v>
      </c>
      <c r="O66" s="65">
        <v>38.799999999999997</v>
      </c>
      <c r="P66" s="65">
        <v>39.799999999999997</v>
      </c>
      <c r="Q66" s="65">
        <v>39.799999999999997</v>
      </c>
      <c r="R66" s="65">
        <v>37.299999999999997</v>
      </c>
      <c r="S66" s="65">
        <v>35</v>
      </c>
      <c r="T66" s="65">
        <v>35</v>
      </c>
      <c r="U66" s="65">
        <v>35</v>
      </c>
      <c r="V66" s="65">
        <v>35</v>
      </c>
      <c r="W66" s="65">
        <v>35</v>
      </c>
      <c r="X66" s="65">
        <v>35</v>
      </c>
      <c r="Y66" s="45">
        <v>35.299999999999997</v>
      </c>
      <c r="Z66" s="45">
        <v>37.299999999999997</v>
      </c>
      <c r="AA66" s="45">
        <v>37.299999999999997</v>
      </c>
      <c r="AB66" s="45">
        <v>37.1</v>
      </c>
      <c r="AC66" s="45">
        <v>37.1</v>
      </c>
      <c r="AD66" s="45">
        <v>37.1</v>
      </c>
      <c r="AE66" s="45">
        <v>40.299999999999997</v>
      </c>
      <c r="AF66" s="45">
        <v>40.299999999999997</v>
      </c>
      <c r="AG66" s="55">
        <v>60</v>
      </c>
      <c r="AH66" s="47">
        <f t="shared" si="2"/>
        <v>40.299999999999997</v>
      </c>
      <c r="AI66" s="48">
        <f t="shared" si="3"/>
        <v>35</v>
      </c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</row>
    <row r="67" spans="1:93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10</v>
      </c>
      <c r="H67" s="65">
        <v>23</v>
      </c>
      <c r="I67" s="65">
        <v>30</v>
      </c>
      <c r="J67" s="65">
        <v>23</v>
      </c>
      <c r="K67" s="65">
        <v>23</v>
      </c>
      <c r="L67" s="57">
        <v>23</v>
      </c>
      <c r="M67" s="65">
        <v>28</v>
      </c>
      <c r="N67" s="65">
        <v>10</v>
      </c>
      <c r="O67" s="65">
        <v>0</v>
      </c>
      <c r="P67" s="65">
        <v>0</v>
      </c>
      <c r="Q67" s="65">
        <v>10</v>
      </c>
      <c r="R67" s="65">
        <v>15</v>
      </c>
      <c r="S67" s="65">
        <v>15</v>
      </c>
      <c r="T67" s="65">
        <v>10</v>
      </c>
      <c r="U67" s="65">
        <v>10</v>
      </c>
      <c r="V67" s="65">
        <v>10</v>
      </c>
      <c r="W67" s="65">
        <v>0</v>
      </c>
      <c r="X67" s="65">
        <v>10</v>
      </c>
      <c r="Y67" s="45">
        <v>22</v>
      </c>
      <c r="Z67" s="45">
        <v>27</v>
      </c>
      <c r="AA67" s="45">
        <v>10</v>
      </c>
      <c r="AB67" s="45">
        <v>10</v>
      </c>
      <c r="AC67" s="45">
        <v>10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30</v>
      </c>
      <c r="AI67" s="48">
        <f t="shared" si="3"/>
        <v>0</v>
      </c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</row>
    <row r="68" spans="1:93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0.6</v>
      </c>
      <c r="L68" s="65">
        <v>2.8</v>
      </c>
      <c r="M68" s="65">
        <v>7.1</v>
      </c>
      <c r="N68" s="65">
        <v>11.1</v>
      </c>
      <c r="O68" s="65">
        <v>15.3</v>
      </c>
      <c r="P68" s="65">
        <v>18.100000000000001</v>
      </c>
      <c r="Q68" s="65">
        <v>18.7</v>
      </c>
      <c r="R68" s="65">
        <v>18.100000000000001</v>
      </c>
      <c r="S68" s="65">
        <v>15</v>
      </c>
      <c r="T68" s="65">
        <v>12</v>
      </c>
      <c r="U68" s="65">
        <v>5</v>
      </c>
      <c r="V68" s="65">
        <v>1</v>
      </c>
      <c r="W68" s="65">
        <v>0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18.7</v>
      </c>
      <c r="AI68" s="48">
        <f t="shared" si="3"/>
        <v>0</v>
      </c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1" t="s">
        <v>377</v>
      </c>
      <c r="AZ68" s="233">
        <f>ROUND(C81,0)</f>
        <v>61</v>
      </c>
      <c r="BA68" s="232">
        <f t="shared" ref="BA68:BD72" si="32">D81</f>
        <v>59.4</v>
      </c>
      <c r="BB68" s="232">
        <f t="shared" si="32"/>
        <v>57.1</v>
      </c>
      <c r="BC68" s="232">
        <f t="shared" si="32"/>
        <v>57.6</v>
      </c>
      <c r="BD68" s="232">
        <f t="shared" si="32"/>
        <v>58</v>
      </c>
      <c r="BE68" s="233">
        <f>I81</f>
        <v>63.2</v>
      </c>
      <c r="BF68" s="233">
        <f>K81</f>
        <v>58.8</v>
      </c>
      <c r="BG68" s="233">
        <f t="shared" ref="BG68:BP72" si="33">M81</f>
        <v>48</v>
      </c>
      <c r="BH68" s="233">
        <f t="shared" si="33"/>
        <v>53.4</v>
      </c>
      <c r="BI68" s="233">
        <f t="shared" si="33"/>
        <v>58.9</v>
      </c>
      <c r="BJ68" s="233">
        <f t="shared" si="33"/>
        <v>70</v>
      </c>
      <c r="BK68" s="233">
        <f t="shared" si="33"/>
        <v>64</v>
      </c>
      <c r="BL68" s="233">
        <f t="shared" si="33"/>
        <v>65.599999999999994</v>
      </c>
      <c r="BM68" s="233">
        <f t="shared" si="33"/>
        <v>72</v>
      </c>
      <c r="BN68" s="233">
        <f t="shared" si="33"/>
        <v>68</v>
      </c>
      <c r="BO68" s="233">
        <f t="shared" si="33"/>
        <v>67</v>
      </c>
      <c r="BP68" s="233">
        <f t="shared" si="33"/>
        <v>66</v>
      </c>
      <c r="BQ68" s="233">
        <f>X81</f>
        <v>63.6</v>
      </c>
      <c r="BR68" s="233">
        <f>Z81</f>
        <v>56.2</v>
      </c>
      <c r="BS68" s="232">
        <f>AB81</f>
        <v>58.1</v>
      </c>
      <c r="BT68" s="232">
        <f>AD81</f>
        <v>67.400000000000006</v>
      </c>
      <c r="BU68" s="232">
        <f>AE81</f>
        <v>62.7</v>
      </c>
      <c r="BV68" s="232">
        <f>AF81</f>
        <v>69</v>
      </c>
      <c r="BW68" s="232">
        <f>B81</f>
        <v>62.2</v>
      </c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</row>
    <row r="69" spans="1:93" x14ac:dyDescent="0.25">
      <c r="A69" s="54" t="s">
        <v>69</v>
      </c>
      <c r="B69" s="65">
        <v>15</v>
      </c>
      <c r="C69" s="65">
        <v>15</v>
      </c>
      <c r="D69" s="65">
        <v>11</v>
      </c>
      <c r="E69" s="65">
        <v>11</v>
      </c>
      <c r="F69" s="65">
        <v>11</v>
      </c>
      <c r="G69" s="65">
        <v>11</v>
      </c>
      <c r="H69" s="65">
        <v>11</v>
      </c>
      <c r="I69" s="65">
        <v>11</v>
      </c>
      <c r="J69" s="65">
        <v>11</v>
      </c>
      <c r="K69" s="65">
        <v>11</v>
      </c>
      <c r="L69" s="65">
        <v>11</v>
      </c>
      <c r="M69" s="65">
        <v>11</v>
      </c>
      <c r="N69" s="65">
        <v>11</v>
      </c>
      <c r="O69" s="65">
        <v>11</v>
      </c>
      <c r="P69" s="65">
        <v>11</v>
      </c>
      <c r="Q69" s="65">
        <v>11</v>
      </c>
      <c r="R69" s="65">
        <v>11</v>
      </c>
      <c r="S69" s="65">
        <v>14</v>
      </c>
      <c r="T69" s="65">
        <v>14</v>
      </c>
      <c r="U69" s="65">
        <v>14</v>
      </c>
      <c r="V69" s="65">
        <v>14</v>
      </c>
      <c r="W69" s="65">
        <v>14</v>
      </c>
      <c r="X69" s="65">
        <v>14</v>
      </c>
      <c r="Y69" s="65">
        <v>14</v>
      </c>
      <c r="Z69" s="65">
        <v>14</v>
      </c>
      <c r="AA69" s="65">
        <v>14</v>
      </c>
      <c r="AB69" s="65">
        <v>14</v>
      </c>
      <c r="AC69" s="65">
        <v>14</v>
      </c>
      <c r="AD69" s="65">
        <v>14</v>
      </c>
      <c r="AE69" s="65">
        <v>14</v>
      </c>
      <c r="AF69" s="65">
        <v>14</v>
      </c>
      <c r="AG69" s="55">
        <v>24</v>
      </c>
      <c r="AH69" s="47">
        <f t="shared" si="2"/>
        <v>15</v>
      </c>
      <c r="AI69" s="48">
        <f t="shared" si="3"/>
        <v>11</v>
      </c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1" t="s">
        <v>604</v>
      </c>
      <c r="AZ69" s="233">
        <f>ROUND(C82,0)</f>
        <v>0</v>
      </c>
      <c r="BA69" s="232">
        <f t="shared" si="32"/>
        <v>0</v>
      </c>
      <c r="BB69" s="232">
        <f t="shared" si="32"/>
        <v>0</v>
      </c>
      <c r="BC69" s="232">
        <f t="shared" si="32"/>
        <v>0</v>
      </c>
      <c r="BD69" s="232">
        <f t="shared" si="32"/>
        <v>0</v>
      </c>
      <c r="BE69" s="233">
        <f t="shared" ref="BE69:BE72" si="34">I82</f>
        <v>0</v>
      </c>
      <c r="BF69" s="233">
        <f t="shared" ref="BF69:BF72" si="35">K82</f>
        <v>0</v>
      </c>
      <c r="BG69" s="233">
        <f t="shared" si="33"/>
        <v>0</v>
      </c>
      <c r="BH69" s="233">
        <f t="shared" si="33"/>
        <v>0</v>
      </c>
      <c r="BI69" s="233">
        <f t="shared" si="33"/>
        <v>0</v>
      </c>
      <c r="BJ69" s="233">
        <f t="shared" si="33"/>
        <v>0</v>
      </c>
      <c r="BK69" s="233">
        <f t="shared" si="33"/>
        <v>0</v>
      </c>
      <c r="BL69" s="233">
        <f t="shared" si="33"/>
        <v>0</v>
      </c>
      <c r="BM69" s="233">
        <f t="shared" si="33"/>
        <v>0</v>
      </c>
      <c r="BN69" s="233">
        <f t="shared" si="33"/>
        <v>0</v>
      </c>
      <c r="BO69" s="233">
        <f t="shared" si="33"/>
        <v>0</v>
      </c>
      <c r="BP69" s="233">
        <f t="shared" si="33"/>
        <v>0</v>
      </c>
      <c r="BQ69" s="233">
        <f t="shared" ref="BQ69:BQ72" si="36">X82</f>
        <v>0</v>
      </c>
      <c r="BR69" s="233">
        <f t="shared" ref="BR69:BR72" si="37">Z82</f>
        <v>0</v>
      </c>
      <c r="BS69" s="232">
        <f t="shared" ref="BS69:BS72" si="38">AB82</f>
        <v>0</v>
      </c>
      <c r="BT69" s="232">
        <f t="shared" ref="BT69:BV72" si="39">AD82</f>
        <v>0</v>
      </c>
      <c r="BU69" s="232">
        <f t="shared" si="39"/>
        <v>0</v>
      </c>
      <c r="BV69" s="232">
        <f t="shared" si="39"/>
        <v>0</v>
      </c>
      <c r="BW69" s="232">
        <f t="shared" ref="BW69:BW72" si="40">B82</f>
        <v>0</v>
      </c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</row>
    <row r="70" spans="1:93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1" t="s">
        <v>605</v>
      </c>
      <c r="AZ70" s="233">
        <f>ROUND(C83,0)</f>
        <v>398</v>
      </c>
      <c r="BA70" s="232">
        <f t="shared" si="32"/>
        <v>391.6</v>
      </c>
      <c r="BB70" s="232">
        <f t="shared" si="32"/>
        <v>376</v>
      </c>
      <c r="BC70" s="232">
        <f t="shared" si="32"/>
        <v>384</v>
      </c>
      <c r="BD70" s="232">
        <f t="shared" si="32"/>
        <v>420</v>
      </c>
      <c r="BE70" s="233">
        <f t="shared" si="34"/>
        <v>395</v>
      </c>
      <c r="BF70" s="233">
        <f t="shared" si="35"/>
        <v>345</v>
      </c>
      <c r="BG70" s="233">
        <f t="shared" si="33"/>
        <v>74</v>
      </c>
      <c r="BH70" s="233">
        <f t="shared" si="33"/>
        <v>218</v>
      </c>
      <c r="BI70" s="233">
        <f t="shared" si="33"/>
        <v>363.5</v>
      </c>
      <c r="BJ70" s="233">
        <f t="shared" si="33"/>
        <v>399.9</v>
      </c>
      <c r="BK70" s="233">
        <f t="shared" si="33"/>
        <v>402</v>
      </c>
      <c r="BL70" s="233">
        <f t="shared" si="33"/>
        <v>395</v>
      </c>
      <c r="BM70" s="233">
        <f t="shared" si="33"/>
        <v>398</v>
      </c>
      <c r="BN70" s="233">
        <f t="shared" si="33"/>
        <v>427</v>
      </c>
      <c r="BO70" s="233">
        <f t="shared" si="33"/>
        <v>440</v>
      </c>
      <c r="BP70" s="233">
        <f t="shared" si="33"/>
        <v>440</v>
      </c>
      <c r="BQ70" s="233">
        <f t="shared" si="36"/>
        <v>379</v>
      </c>
      <c r="BR70" s="233">
        <f t="shared" si="37"/>
        <v>108</v>
      </c>
      <c r="BS70" s="232">
        <f t="shared" si="38"/>
        <v>262.8</v>
      </c>
      <c r="BT70" s="232">
        <f t="shared" si="39"/>
        <v>329</v>
      </c>
      <c r="BU70" s="232">
        <f t="shared" si="39"/>
        <v>396</v>
      </c>
      <c r="BV70" s="232">
        <f t="shared" si="39"/>
        <v>365</v>
      </c>
      <c r="BW70" s="232">
        <f t="shared" si="40"/>
        <v>395.2</v>
      </c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70"/>
      <c r="CO70" s="70"/>
    </row>
    <row r="71" spans="1:93" s="70" customFormat="1" x14ac:dyDescent="0.25">
      <c r="A71" s="54" t="s">
        <v>71</v>
      </c>
      <c r="B71" s="65">
        <v>11.6</v>
      </c>
      <c r="C71" s="65">
        <v>11.6</v>
      </c>
      <c r="D71" s="65">
        <v>11.6</v>
      </c>
      <c r="E71" s="65">
        <v>11.6</v>
      </c>
      <c r="F71" s="65">
        <v>11.6</v>
      </c>
      <c r="G71" s="65">
        <v>11.6</v>
      </c>
      <c r="H71" s="65">
        <v>11.6</v>
      </c>
      <c r="I71" s="65">
        <v>11.6</v>
      </c>
      <c r="J71" s="65">
        <v>11.6</v>
      </c>
      <c r="K71" s="65">
        <v>11.6</v>
      </c>
      <c r="L71" s="65">
        <v>11.6</v>
      </c>
      <c r="M71" s="65">
        <v>11.6</v>
      </c>
      <c r="N71" s="65">
        <v>11.6</v>
      </c>
      <c r="O71" s="65">
        <v>11.6</v>
      </c>
      <c r="P71" s="65">
        <v>11.6</v>
      </c>
      <c r="Q71" s="65">
        <v>11.6</v>
      </c>
      <c r="R71" s="65">
        <v>11.6</v>
      </c>
      <c r="S71" s="65">
        <v>9</v>
      </c>
      <c r="T71" s="65">
        <v>9</v>
      </c>
      <c r="U71" s="65">
        <v>9</v>
      </c>
      <c r="V71" s="65">
        <v>9</v>
      </c>
      <c r="W71" s="65">
        <v>9</v>
      </c>
      <c r="X71" s="65">
        <v>9</v>
      </c>
      <c r="Y71" s="65">
        <v>8.6999999999999993</v>
      </c>
      <c r="Z71" s="65">
        <v>8.6999999999999993</v>
      </c>
      <c r="AA71" s="65">
        <v>8.6999999999999993</v>
      </c>
      <c r="AB71" s="65">
        <v>8.6999999999999993</v>
      </c>
      <c r="AC71" s="65">
        <v>8.6999999999999993</v>
      </c>
      <c r="AD71" s="65">
        <v>8.6999999999999993</v>
      </c>
      <c r="AE71" s="65">
        <v>8.6999999999999993</v>
      </c>
      <c r="AF71" s="65">
        <v>8.6999999999999993</v>
      </c>
      <c r="AG71" s="55">
        <v>14.1</v>
      </c>
      <c r="AH71" s="47">
        <f t="shared" si="2"/>
        <v>11.6</v>
      </c>
      <c r="AI71" s="48">
        <f t="shared" si="3"/>
        <v>8.6999999999999993</v>
      </c>
      <c r="AJ71" s="1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70" t="s">
        <v>606</v>
      </c>
      <c r="AZ71" s="233">
        <f>ROUND(C84,0)</f>
        <v>12</v>
      </c>
      <c r="BA71" s="232">
        <f t="shared" si="32"/>
        <v>13</v>
      </c>
      <c r="BB71" s="232">
        <f t="shared" si="32"/>
        <v>5</v>
      </c>
      <c r="BC71" s="232">
        <f t="shared" si="32"/>
        <v>5</v>
      </c>
      <c r="BD71" s="232">
        <f t="shared" si="32"/>
        <v>5</v>
      </c>
      <c r="BE71" s="233">
        <f t="shared" si="34"/>
        <v>6</v>
      </c>
      <c r="BF71" s="233">
        <f t="shared" si="35"/>
        <v>7</v>
      </c>
      <c r="BG71" s="233">
        <f t="shared" si="33"/>
        <v>5</v>
      </c>
      <c r="BH71" s="233">
        <f t="shared" si="33"/>
        <v>5</v>
      </c>
      <c r="BI71" s="233">
        <f t="shared" si="33"/>
        <v>2</v>
      </c>
      <c r="BJ71" s="233">
        <f t="shared" si="33"/>
        <v>20</v>
      </c>
      <c r="BK71" s="233">
        <f t="shared" si="33"/>
        <v>50</v>
      </c>
      <c r="BL71" s="233">
        <f t="shared" si="33"/>
        <v>48</v>
      </c>
      <c r="BM71" s="233">
        <f t="shared" si="33"/>
        <v>58</v>
      </c>
      <c r="BN71" s="233">
        <f t="shared" si="33"/>
        <v>66</v>
      </c>
      <c r="BO71" s="233">
        <f t="shared" si="33"/>
        <v>20</v>
      </c>
      <c r="BP71" s="233">
        <f t="shared" si="33"/>
        <v>20</v>
      </c>
      <c r="BQ71" s="233">
        <f t="shared" si="36"/>
        <v>5</v>
      </c>
      <c r="BR71" s="233">
        <f t="shared" si="37"/>
        <v>27</v>
      </c>
      <c r="BS71" s="232">
        <f t="shared" si="38"/>
        <v>28</v>
      </c>
      <c r="BT71" s="232">
        <f t="shared" si="39"/>
        <v>33</v>
      </c>
      <c r="BU71" s="232">
        <f t="shared" si="39"/>
        <v>3</v>
      </c>
      <c r="BV71" s="232">
        <f t="shared" si="39"/>
        <v>3</v>
      </c>
      <c r="BW71" s="232">
        <f t="shared" si="40"/>
        <v>12</v>
      </c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1"/>
      <c r="CM71" s="1"/>
      <c r="CN71" s="1"/>
      <c r="CO71" s="1"/>
    </row>
    <row r="72" spans="1:93" x14ac:dyDescent="0.25">
      <c r="A72" s="71" t="s">
        <v>72</v>
      </c>
      <c r="B72" s="65">
        <v>3.2</v>
      </c>
      <c r="C72" s="65">
        <v>3.2</v>
      </c>
      <c r="D72" s="65">
        <v>3.2</v>
      </c>
      <c r="E72" s="65">
        <v>3.2</v>
      </c>
      <c r="F72" s="65">
        <v>3.2</v>
      </c>
      <c r="G72" s="65">
        <v>3.2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3.2</v>
      </c>
      <c r="Y72" s="65">
        <v>3.2</v>
      </c>
      <c r="Z72" s="65">
        <v>3.2</v>
      </c>
      <c r="AA72" s="65">
        <v>3.2</v>
      </c>
      <c r="AB72" s="65">
        <v>3.2</v>
      </c>
      <c r="AC72" s="65">
        <v>3.2</v>
      </c>
      <c r="AD72" s="65">
        <v>3.2</v>
      </c>
      <c r="AE72" s="65">
        <v>3.2</v>
      </c>
      <c r="AF72" s="65">
        <v>3.2</v>
      </c>
      <c r="AG72" s="55">
        <v>14</v>
      </c>
      <c r="AH72" s="47">
        <f t="shared" si="2"/>
        <v>3.2</v>
      </c>
      <c r="AI72" s="48">
        <f t="shared" si="3"/>
        <v>3.2</v>
      </c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1" t="s">
        <v>607</v>
      </c>
      <c r="AZ72" s="233">
        <f>ROUND(C85,0)</f>
        <v>0</v>
      </c>
      <c r="BA72" s="232">
        <f t="shared" si="32"/>
        <v>0</v>
      </c>
      <c r="BB72" s="232">
        <f t="shared" si="32"/>
        <v>98</v>
      </c>
      <c r="BC72" s="232">
        <f t="shared" si="32"/>
        <v>104</v>
      </c>
      <c r="BD72" s="232">
        <f t="shared" si="32"/>
        <v>98</v>
      </c>
      <c r="BE72" s="233">
        <f t="shared" si="34"/>
        <v>92</v>
      </c>
      <c r="BF72" s="233">
        <f t="shared" si="35"/>
        <v>68</v>
      </c>
      <c r="BG72" s="233">
        <f t="shared" si="33"/>
        <v>30.8</v>
      </c>
      <c r="BH72" s="233">
        <f t="shared" si="33"/>
        <v>30</v>
      </c>
      <c r="BI72" s="233">
        <f t="shared" si="33"/>
        <v>26</v>
      </c>
      <c r="BJ72" s="233">
        <f t="shared" si="33"/>
        <v>27</v>
      </c>
      <c r="BK72" s="233">
        <f t="shared" si="33"/>
        <v>80</v>
      </c>
      <c r="BL72" s="233">
        <f t="shared" si="33"/>
        <v>89</v>
      </c>
      <c r="BM72" s="233">
        <f t="shared" si="33"/>
        <v>94</v>
      </c>
      <c r="BN72" s="233">
        <f t="shared" si="33"/>
        <v>104</v>
      </c>
      <c r="BO72" s="233">
        <f t="shared" si="33"/>
        <v>94</v>
      </c>
      <c r="BP72" s="233">
        <f t="shared" si="33"/>
        <v>94</v>
      </c>
      <c r="BQ72" s="233">
        <f t="shared" si="36"/>
        <v>26.8</v>
      </c>
      <c r="BR72" s="233">
        <f t="shared" si="37"/>
        <v>27</v>
      </c>
      <c r="BS72" s="232">
        <f t="shared" si="38"/>
        <v>36.4</v>
      </c>
      <c r="BT72" s="232">
        <f t="shared" si="39"/>
        <v>0</v>
      </c>
      <c r="BU72" s="232">
        <f t="shared" si="39"/>
        <v>25</v>
      </c>
      <c r="BV72" s="232">
        <f t="shared" si="39"/>
        <v>26</v>
      </c>
      <c r="BW72" s="232">
        <f t="shared" si="40"/>
        <v>0</v>
      </c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</row>
    <row r="73" spans="1:93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1" t="s">
        <v>608</v>
      </c>
      <c r="AZ73" s="233">
        <f>ROUND(C91,0)</f>
        <v>55</v>
      </c>
      <c r="BA73" s="233">
        <f>D91</f>
        <v>51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0</v>
      </c>
      <c r="BF73" s="233">
        <f>K91</f>
        <v>44.5</v>
      </c>
      <c r="BG73" s="233">
        <f t="shared" ref="BG73:BP73" si="41">M91</f>
        <v>60</v>
      </c>
      <c r="BH73" s="233">
        <f t="shared" si="41"/>
        <v>63.4</v>
      </c>
      <c r="BI73" s="233">
        <f t="shared" si="41"/>
        <v>70</v>
      </c>
      <c r="BJ73" s="233">
        <f t="shared" si="41"/>
        <v>75</v>
      </c>
      <c r="BK73" s="233">
        <f t="shared" si="41"/>
        <v>71.7</v>
      </c>
      <c r="BL73" s="233">
        <f t="shared" si="41"/>
        <v>69.2</v>
      </c>
      <c r="BM73" s="233">
        <f t="shared" si="41"/>
        <v>45</v>
      </c>
      <c r="BN73" s="233">
        <f t="shared" si="41"/>
        <v>44</v>
      </c>
      <c r="BO73" s="233">
        <f t="shared" si="41"/>
        <v>42.5</v>
      </c>
      <c r="BP73" s="233">
        <f t="shared" si="41"/>
        <v>42.5</v>
      </c>
      <c r="BQ73" s="233">
        <f>X91</f>
        <v>34</v>
      </c>
      <c r="BR73" s="233">
        <f>Z91</f>
        <v>35.1</v>
      </c>
      <c r="BS73" s="233">
        <f>AB91</f>
        <v>40.299999999999997</v>
      </c>
      <c r="BT73" s="233">
        <f>AD91</f>
        <v>51</v>
      </c>
      <c r="BU73" s="233">
        <f>AE91</f>
        <v>50</v>
      </c>
      <c r="BV73" s="233">
        <f>AF91</f>
        <v>71</v>
      </c>
      <c r="BW73" s="233">
        <f>B91</f>
        <v>49</v>
      </c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</row>
    <row r="74" spans="1:93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</row>
    <row r="75" spans="1:93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Z75" s="233">
        <f>VALUE(AZ68)</f>
        <v>61</v>
      </c>
      <c r="BA75" s="233">
        <f t="shared" ref="BA75:BW75" si="42">VALUE(BA68)</f>
        <v>59.4</v>
      </c>
      <c r="BB75" s="233">
        <f t="shared" si="42"/>
        <v>57.1</v>
      </c>
      <c r="BC75" s="233">
        <f t="shared" si="42"/>
        <v>57.6</v>
      </c>
      <c r="BD75" s="233">
        <f t="shared" si="42"/>
        <v>58</v>
      </c>
      <c r="BE75" s="233">
        <f t="shared" si="42"/>
        <v>63.2</v>
      </c>
      <c r="BF75" s="233">
        <f t="shared" si="42"/>
        <v>58.8</v>
      </c>
      <c r="BG75" s="233">
        <f t="shared" si="42"/>
        <v>48</v>
      </c>
      <c r="BH75" s="233">
        <f t="shared" si="42"/>
        <v>53.4</v>
      </c>
      <c r="BI75" s="233">
        <f t="shared" si="42"/>
        <v>58.9</v>
      </c>
      <c r="BJ75" s="233">
        <f t="shared" si="42"/>
        <v>70</v>
      </c>
      <c r="BK75" s="233">
        <f t="shared" si="42"/>
        <v>64</v>
      </c>
      <c r="BL75" s="233">
        <f t="shared" si="42"/>
        <v>65.599999999999994</v>
      </c>
      <c r="BM75" s="233">
        <f t="shared" si="42"/>
        <v>72</v>
      </c>
      <c r="BN75" s="233">
        <f t="shared" si="42"/>
        <v>68</v>
      </c>
      <c r="BO75" s="233">
        <f t="shared" si="42"/>
        <v>67</v>
      </c>
      <c r="BP75" s="233">
        <f t="shared" si="42"/>
        <v>66</v>
      </c>
      <c r="BQ75" s="233">
        <f t="shared" si="42"/>
        <v>63.6</v>
      </c>
      <c r="BR75" s="233">
        <f t="shared" si="42"/>
        <v>56.2</v>
      </c>
      <c r="BS75" s="233">
        <f t="shared" si="42"/>
        <v>58.1</v>
      </c>
      <c r="BT75" s="233">
        <f t="shared" si="42"/>
        <v>67.400000000000006</v>
      </c>
      <c r="BU75" s="233">
        <f t="shared" si="42"/>
        <v>62.7</v>
      </c>
      <c r="BV75" s="233">
        <f t="shared" si="42"/>
        <v>69</v>
      </c>
      <c r="BW75" s="233">
        <f t="shared" si="42"/>
        <v>62.2</v>
      </c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</row>
    <row r="76" spans="1:93" ht="15.75" thickBot="1" x14ac:dyDescent="0.3">
      <c r="A76" s="74" t="s">
        <v>76</v>
      </c>
      <c r="B76" s="60">
        <f t="shared" ref="B76:AG76" si="43">SUM(B63:B75)</f>
        <v>151.33999999999997</v>
      </c>
      <c r="C76" s="60">
        <f t="shared" si="43"/>
        <v>134.73999999999998</v>
      </c>
      <c r="D76" s="60">
        <f t="shared" si="43"/>
        <v>124.24000000000001</v>
      </c>
      <c r="E76" s="60">
        <f t="shared" si="43"/>
        <v>78.14</v>
      </c>
      <c r="F76" s="60">
        <f t="shared" si="43"/>
        <v>78.14</v>
      </c>
      <c r="G76" s="60">
        <f t="shared" si="43"/>
        <v>140.13999999999999</v>
      </c>
      <c r="H76" s="60">
        <f t="shared" si="43"/>
        <v>221.83999999999997</v>
      </c>
      <c r="I76" s="60">
        <f t="shared" si="43"/>
        <v>254.64</v>
      </c>
      <c r="J76" s="60">
        <f t="shared" si="43"/>
        <v>294.13900000000001</v>
      </c>
      <c r="K76" s="60">
        <f t="shared" si="43"/>
        <v>321.04000000000008</v>
      </c>
      <c r="L76" s="60">
        <f t="shared" si="43"/>
        <v>322.54000000000002</v>
      </c>
      <c r="M76" s="60">
        <f t="shared" si="43"/>
        <v>326.24000000000007</v>
      </c>
      <c r="N76" s="60">
        <f t="shared" si="43"/>
        <v>267.04000000000002</v>
      </c>
      <c r="O76" s="60">
        <f t="shared" si="43"/>
        <v>238.03999999999996</v>
      </c>
      <c r="P76" s="60">
        <f t="shared" si="43"/>
        <v>266.64</v>
      </c>
      <c r="Q76" s="60">
        <f t="shared" si="43"/>
        <v>251.33999999999997</v>
      </c>
      <c r="R76" s="60">
        <f t="shared" si="43"/>
        <v>252.54</v>
      </c>
      <c r="S76" s="60">
        <f t="shared" ref="S76:T76" si="44">SUM(S63:S75)</f>
        <v>247.54</v>
      </c>
      <c r="T76" s="60">
        <f t="shared" si="44"/>
        <v>233.54</v>
      </c>
      <c r="U76" s="60">
        <f t="shared" ref="U76:V76" si="45">SUM(U63:U75)</f>
        <v>205.23999999999998</v>
      </c>
      <c r="V76" s="60">
        <f t="shared" si="45"/>
        <v>201.23999999999998</v>
      </c>
      <c r="W76" s="60">
        <f t="shared" ref="W76:X76" si="46">SUM(W63:W75)</f>
        <v>122.24000000000001</v>
      </c>
      <c r="X76" s="60">
        <f t="shared" si="46"/>
        <v>214.53999999999996</v>
      </c>
      <c r="Y76" s="60">
        <f>SUM(Y63:Y75)</f>
        <v>340</v>
      </c>
      <c r="Z76" s="60">
        <f>SUM(Z63:Z75)</f>
        <v>352.6</v>
      </c>
      <c r="AA76" s="60">
        <f t="shared" si="43"/>
        <v>326.54000000000002</v>
      </c>
      <c r="AB76" s="60">
        <f t="shared" si="43"/>
        <v>259.94</v>
      </c>
      <c r="AC76" s="60">
        <f t="shared" si="43"/>
        <v>265.83999999999997</v>
      </c>
      <c r="AD76" s="60">
        <f t="shared" si="43"/>
        <v>245.03999999999996</v>
      </c>
      <c r="AE76" s="60">
        <f t="shared" si="43"/>
        <v>272.34000000000003</v>
      </c>
      <c r="AF76" s="60">
        <f t="shared" si="43"/>
        <v>194.63999999999996</v>
      </c>
      <c r="AG76" s="61">
        <f t="shared" si="43"/>
        <v>489.91</v>
      </c>
      <c r="AH76" s="47">
        <f t="shared" si="2"/>
        <v>352.6</v>
      </c>
      <c r="AI76" s="48">
        <f t="shared" si="3"/>
        <v>78.14</v>
      </c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Z76" s="233">
        <f t="shared" ref="AZ76:BW80" si="47">VALUE(AZ69)</f>
        <v>0</v>
      </c>
      <c r="BA76" s="233">
        <f t="shared" si="47"/>
        <v>0</v>
      </c>
      <c r="BB76" s="233">
        <f t="shared" si="47"/>
        <v>0</v>
      </c>
      <c r="BC76" s="233">
        <f t="shared" si="47"/>
        <v>0</v>
      </c>
      <c r="BD76" s="233">
        <f t="shared" si="47"/>
        <v>0</v>
      </c>
      <c r="BE76" s="233">
        <f t="shared" si="47"/>
        <v>0</v>
      </c>
      <c r="BF76" s="233">
        <f t="shared" si="47"/>
        <v>0</v>
      </c>
      <c r="BG76" s="233">
        <f t="shared" si="47"/>
        <v>0</v>
      </c>
      <c r="BH76" s="233">
        <f t="shared" si="47"/>
        <v>0</v>
      </c>
      <c r="BI76" s="233">
        <f t="shared" si="47"/>
        <v>0</v>
      </c>
      <c r="BJ76" s="233">
        <f t="shared" si="47"/>
        <v>0</v>
      </c>
      <c r="BK76" s="233">
        <f t="shared" si="47"/>
        <v>0</v>
      </c>
      <c r="BL76" s="233">
        <f t="shared" si="47"/>
        <v>0</v>
      </c>
      <c r="BM76" s="233">
        <f t="shared" si="47"/>
        <v>0</v>
      </c>
      <c r="BN76" s="233">
        <f t="shared" si="47"/>
        <v>0</v>
      </c>
      <c r="BO76" s="233">
        <f t="shared" si="47"/>
        <v>0</v>
      </c>
      <c r="BP76" s="233">
        <f t="shared" si="47"/>
        <v>0</v>
      </c>
      <c r="BQ76" s="233">
        <f t="shared" si="47"/>
        <v>0</v>
      </c>
      <c r="BR76" s="233">
        <f t="shared" si="47"/>
        <v>0</v>
      </c>
      <c r="BS76" s="233">
        <f t="shared" si="47"/>
        <v>0</v>
      </c>
      <c r="BT76" s="233">
        <f t="shared" si="47"/>
        <v>0</v>
      </c>
      <c r="BU76" s="233">
        <f t="shared" si="47"/>
        <v>0</v>
      </c>
      <c r="BV76" s="233">
        <f t="shared" si="47"/>
        <v>0</v>
      </c>
      <c r="BW76" s="233">
        <f t="shared" si="47"/>
        <v>0</v>
      </c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</row>
    <row r="77" spans="1:93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Z77" s="233">
        <f t="shared" si="47"/>
        <v>398</v>
      </c>
      <c r="BA77" s="233">
        <f t="shared" si="47"/>
        <v>391.6</v>
      </c>
      <c r="BB77" s="233">
        <f t="shared" si="47"/>
        <v>376</v>
      </c>
      <c r="BC77" s="233">
        <f t="shared" si="47"/>
        <v>384</v>
      </c>
      <c r="BD77" s="233">
        <f t="shared" si="47"/>
        <v>420</v>
      </c>
      <c r="BE77" s="233">
        <f t="shared" si="47"/>
        <v>395</v>
      </c>
      <c r="BF77" s="233">
        <f t="shared" si="47"/>
        <v>345</v>
      </c>
      <c r="BG77" s="233">
        <f t="shared" si="47"/>
        <v>74</v>
      </c>
      <c r="BH77" s="233">
        <f t="shared" si="47"/>
        <v>218</v>
      </c>
      <c r="BI77" s="233">
        <f t="shared" si="47"/>
        <v>363.5</v>
      </c>
      <c r="BJ77" s="233">
        <f t="shared" si="47"/>
        <v>399.9</v>
      </c>
      <c r="BK77" s="233">
        <f t="shared" si="47"/>
        <v>402</v>
      </c>
      <c r="BL77" s="233">
        <f t="shared" si="47"/>
        <v>395</v>
      </c>
      <c r="BM77" s="233">
        <f t="shared" si="47"/>
        <v>398</v>
      </c>
      <c r="BN77" s="233">
        <f t="shared" si="47"/>
        <v>427</v>
      </c>
      <c r="BO77" s="233">
        <f t="shared" si="47"/>
        <v>440</v>
      </c>
      <c r="BP77" s="233">
        <f t="shared" si="47"/>
        <v>440</v>
      </c>
      <c r="BQ77" s="233">
        <f t="shared" si="47"/>
        <v>379</v>
      </c>
      <c r="BR77" s="233">
        <f t="shared" si="47"/>
        <v>108</v>
      </c>
      <c r="BS77" s="233">
        <f t="shared" si="47"/>
        <v>262.8</v>
      </c>
      <c r="BT77" s="233">
        <f t="shared" si="47"/>
        <v>329</v>
      </c>
      <c r="BU77" s="233">
        <f t="shared" si="47"/>
        <v>396</v>
      </c>
      <c r="BV77" s="233">
        <f t="shared" si="47"/>
        <v>365</v>
      </c>
      <c r="BW77" s="233">
        <f t="shared" si="47"/>
        <v>395.2</v>
      </c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</row>
    <row r="78" spans="1:93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Z78" s="233">
        <f t="shared" si="47"/>
        <v>12</v>
      </c>
      <c r="BA78" s="233">
        <f t="shared" si="47"/>
        <v>13</v>
      </c>
      <c r="BB78" s="233">
        <f t="shared" si="47"/>
        <v>5</v>
      </c>
      <c r="BC78" s="233">
        <f t="shared" si="47"/>
        <v>5</v>
      </c>
      <c r="BD78" s="233">
        <f t="shared" si="47"/>
        <v>5</v>
      </c>
      <c r="BE78" s="233">
        <f t="shared" si="47"/>
        <v>6</v>
      </c>
      <c r="BF78" s="233">
        <f t="shared" si="47"/>
        <v>7</v>
      </c>
      <c r="BG78" s="233">
        <f t="shared" si="47"/>
        <v>5</v>
      </c>
      <c r="BH78" s="233">
        <f t="shared" si="47"/>
        <v>5</v>
      </c>
      <c r="BI78" s="233">
        <f t="shared" si="47"/>
        <v>2</v>
      </c>
      <c r="BJ78" s="233">
        <f t="shared" si="47"/>
        <v>20</v>
      </c>
      <c r="BK78" s="233">
        <f t="shared" si="47"/>
        <v>50</v>
      </c>
      <c r="BL78" s="233">
        <f t="shared" si="47"/>
        <v>48</v>
      </c>
      <c r="BM78" s="233">
        <f t="shared" si="47"/>
        <v>58</v>
      </c>
      <c r="BN78" s="233">
        <f t="shared" si="47"/>
        <v>66</v>
      </c>
      <c r="BO78" s="233">
        <f t="shared" si="47"/>
        <v>20</v>
      </c>
      <c r="BP78" s="233">
        <f t="shared" si="47"/>
        <v>20</v>
      </c>
      <c r="BQ78" s="233">
        <f t="shared" si="47"/>
        <v>5</v>
      </c>
      <c r="BR78" s="233">
        <f t="shared" si="47"/>
        <v>27</v>
      </c>
      <c r="BS78" s="233">
        <f t="shared" si="47"/>
        <v>28</v>
      </c>
      <c r="BT78" s="233">
        <f t="shared" si="47"/>
        <v>33</v>
      </c>
      <c r="BU78" s="233">
        <f t="shared" si="47"/>
        <v>3</v>
      </c>
      <c r="BV78" s="233">
        <f t="shared" si="47"/>
        <v>3</v>
      </c>
      <c r="BW78" s="233">
        <f t="shared" si="47"/>
        <v>12</v>
      </c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</row>
    <row r="79" spans="1:93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Z79" s="233">
        <f t="shared" si="47"/>
        <v>0</v>
      </c>
      <c r="BA79" s="233">
        <f t="shared" si="47"/>
        <v>0</v>
      </c>
      <c r="BB79" s="233">
        <f t="shared" si="47"/>
        <v>98</v>
      </c>
      <c r="BC79" s="233">
        <f t="shared" si="47"/>
        <v>104</v>
      </c>
      <c r="BD79" s="233">
        <f t="shared" si="47"/>
        <v>98</v>
      </c>
      <c r="BE79" s="233">
        <f t="shared" si="47"/>
        <v>92</v>
      </c>
      <c r="BF79" s="233">
        <f t="shared" si="47"/>
        <v>68</v>
      </c>
      <c r="BG79" s="233">
        <f t="shared" si="47"/>
        <v>30.8</v>
      </c>
      <c r="BH79" s="233">
        <f t="shared" si="47"/>
        <v>30</v>
      </c>
      <c r="BI79" s="233">
        <f t="shared" si="47"/>
        <v>26</v>
      </c>
      <c r="BJ79" s="233">
        <f t="shared" si="47"/>
        <v>27</v>
      </c>
      <c r="BK79" s="233">
        <f t="shared" si="47"/>
        <v>80</v>
      </c>
      <c r="BL79" s="233">
        <f t="shared" si="47"/>
        <v>89</v>
      </c>
      <c r="BM79" s="233">
        <f t="shared" si="47"/>
        <v>94</v>
      </c>
      <c r="BN79" s="233">
        <f t="shared" si="47"/>
        <v>104</v>
      </c>
      <c r="BO79" s="233">
        <f t="shared" si="47"/>
        <v>94</v>
      </c>
      <c r="BP79" s="233">
        <f t="shared" si="47"/>
        <v>94</v>
      </c>
      <c r="BQ79" s="233">
        <f t="shared" si="47"/>
        <v>26.8</v>
      </c>
      <c r="BR79" s="233">
        <f t="shared" si="47"/>
        <v>27</v>
      </c>
      <c r="BS79" s="233">
        <f t="shared" si="47"/>
        <v>36.4</v>
      </c>
      <c r="BT79" s="233">
        <f t="shared" si="47"/>
        <v>0</v>
      </c>
      <c r="BU79" s="233">
        <f t="shared" si="47"/>
        <v>25</v>
      </c>
      <c r="BV79" s="233">
        <f t="shared" si="47"/>
        <v>26</v>
      </c>
      <c r="BW79" s="233">
        <f t="shared" si="47"/>
        <v>0</v>
      </c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</row>
    <row r="80" spans="1:93" ht="15.75" thickBot="1" x14ac:dyDescent="0.3">
      <c r="A80" s="74" t="s">
        <v>80</v>
      </c>
      <c r="B80" s="60">
        <f t="shared" ref="B80:AF80" si="48">B77+B78+B79</f>
        <v>0</v>
      </c>
      <c r="C80" s="60">
        <f t="shared" si="48"/>
        <v>0</v>
      </c>
      <c r="D80" s="60">
        <f t="shared" si="48"/>
        <v>0</v>
      </c>
      <c r="E80" s="60">
        <f t="shared" si="48"/>
        <v>0</v>
      </c>
      <c r="F80" s="60">
        <f t="shared" si="48"/>
        <v>0</v>
      </c>
      <c r="G80" s="60">
        <f t="shared" si="48"/>
        <v>0</v>
      </c>
      <c r="H80" s="60">
        <f t="shared" si="48"/>
        <v>0</v>
      </c>
      <c r="I80" s="60">
        <f t="shared" si="48"/>
        <v>0</v>
      </c>
      <c r="J80" s="60">
        <f t="shared" si="48"/>
        <v>0</v>
      </c>
      <c r="K80" s="60">
        <f t="shared" si="48"/>
        <v>0</v>
      </c>
      <c r="L80" s="60">
        <f t="shared" si="48"/>
        <v>0</v>
      </c>
      <c r="M80" s="60">
        <f t="shared" si="48"/>
        <v>0</v>
      </c>
      <c r="N80" s="60">
        <f t="shared" si="48"/>
        <v>0</v>
      </c>
      <c r="O80" s="60">
        <f t="shared" si="48"/>
        <v>0</v>
      </c>
      <c r="P80" s="60">
        <f t="shared" si="48"/>
        <v>0</v>
      </c>
      <c r="Q80" s="60">
        <f t="shared" si="48"/>
        <v>0</v>
      </c>
      <c r="R80" s="60">
        <f t="shared" si="48"/>
        <v>0</v>
      </c>
      <c r="S80" s="60">
        <f t="shared" ref="S80:T80" si="49">S77+S78+S79</f>
        <v>0</v>
      </c>
      <c r="T80" s="60">
        <f t="shared" si="49"/>
        <v>0</v>
      </c>
      <c r="U80" s="60">
        <f t="shared" ref="U80:V80" si="50">U77+U78+U79</f>
        <v>0</v>
      </c>
      <c r="V80" s="60">
        <f t="shared" si="50"/>
        <v>0</v>
      </c>
      <c r="W80" s="60">
        <f t="shared" ref="W80:X80" si="51">W77+W78+W79</f>
        <v>0</v>
      </c>
      <c r="X80" s="60">
        <f t="shared" si="51"/>
        <v>0</v>
      </c>
      <c r="Y80" s="60">
        <f>Y77+Y78+Y79</f>
        <v>0</v>
      </c>
      <c r="Z80" s="60">
        <f>Z77+Z78+Z79</f>
        <v>0</v>
      </c>
      <c r="AA80" s="60">
        <f t="shared" si="48"/>
        <v>0</v>
      </c>
      <c r="AB80" s="60">
        <f t="shared" si="48"/>
        <v>0</v>
      </c>
      <c r="AC80" s="60">
        <f t="shared" si="48"/>
        <v>0</v>
      </c>
      <c r="AD80" s="60">
        <f t="shared" si="48"/>
        <v>0</v>
      </c>
      <c r="AE80" s="60">
        <f t="shared" si="48"/>
        <v>0</v>
      </c>
      <c r="AF80" s="60">
        <f t="shared" si="48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Z80" s="233">
        <f t="shared" si="47"/>
        <v>55</v>
      </c>
      <c r="BA80" s="233">
        <f t="shared" si="47"/>
        <v>51</v>
      </c>
      <c r="BB80" s="233">
        <f t="shared" si="47"/>
        <v>0</v>
      </c>
      <c r="BC80" s="233">
        <f t="shared" si="47"/>
        <v>0</v>
      </c>
      <c r="BD80" s="233">
        <f t="shared" si="47"/>
        <v>0</v>
      </c>
      <c r="BE80" s="233">
        <f t="shared" si="47"/>
        <v>0</v>
      </c>
      <c r="BF80" s="233">
        <f t="shared" si="47"/>
        <v>44.5</v>
      </c>
      <c r="BG80" s="233">
        <f t="shared" si="47"/>
        <v>60</v>
      </c>
      <c r="BH80" s="233">
        <f t="shared" si="47"/>
        <v>63.4</v>
      </c>
      <c r="BI80" s="233">
        <f t="shared" si="47"/>
        <v>70</v>
      </c>
      <c r="BJ80" s="233">
        <f t="shared" si="47"/>
        <v>75</v>
      </c>
      <c r="BK80" s="233">
        <f t="shared" si="47"/>
        <v>71.7</v>
      </c>
      <c r="BL80" s="233">
        <f t="shared" si="47"/>
        <v>69.2</v>
      </c>
      <c r="BM80" s="233">
        <f t="shared" si="47"/>
        <v>45</v>
      </c>
      <c r="BN80" s="233">
        <f t="shared" si="47"/>
        <v>44</v>
      </c>
      <c r="BO80" s="233">
        <f t="shared" si="47"/>
        <v>42.5</v>
      </c>
      <c r="BP80" s="233">
        <f t="shared" si="47"/>
        <v>42.5</v>
      </c>
      <c r="BQ80" s="233">
        <f t="shared" si="47"/>
        <v>34</v>
      </c>
      <c r="BR80" s="233">
        <f t="shared" si="47"/>
        <v>35.1</v>
      </c>
      <c r="BS80" s="233">
        <f t="shared" si="47"/>
        <v>40.299999999999997</v>
      </c>
      <c r="BT80" s="233">
        <f t="shared" si="47"/>
        <v>51</v>
      </c>
      <c r="BU80" s="233">
        <f t="shared" si="47"/>
        <v>50</v>
      </c>
      <c r="BV80" s="233">
        <f t="shared" si="47"/>
        <v>71</v>
      </c>
      <c r="BW80" s="233">
        <f t="shared" si="47"/>
        <v>49</v>
      </c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</row>
    <row r="81" spans="1:92" x14ac:dyDescent="0.25">
      <c r="A81" s="44" t="s">
        <v>81</v>
      </c>
      <c r="B81" s="45">
        <v>62.2</v>
      </c>
      <c r="C81" s="45">
        <v>61.1</v>
      </c>
      <c r="D81" s="45">
        <v>59.4</v>
      </c>
      <c r="E81" s="45">
        <v>57.1</v>
      </c>
      <c r="F81" s="45">
        <v>57.6</v>
      </c>
      <c r="G81" s="45">
        <v>58</v>
      </c>
      <c r="H81" s="45">
        <v>62.9</v>
      </c>
      <c r="I81" s="45">
        <v>63.2</v>
      </c>
      <c r="J81" s="45">
        <v>55.3</v>
      </c>
      <c r="K81" s="45">
        <v>58.8</v>
      </c>
      <c r="L81" s="45">
        <v>62.5</v>
      </c>
      <c r="M81" s="45">
        <v>48</v>
      </c>
      <c r="N81" s="45">
        <v>53.4</v>
      </c>
      <c r="O81" s="45">
        <v>58.9</v>
      </c>
      <c r="P81" s="45">
        <v>70</v>
      </c>
      <c r="Q81" s="45">
        <v>64</v>
      </c>
      <c r="R81" s="45">
        <v>65.599999999999994</v>
      </c>
      <c r="S81" s="45">
        <v>72</v>
      </c>
      <c r="T81" s="45">
        <v>68</v>
      </c>
      <c r="U81" s="45">
        <v>67</v>
      </c>
      <c r="V81" s="45">
        <v>66</v>
      </c>
      <c r="W81" s="45">
        <v>65</v>
      </c>
      <c r="X81" s="45">
        <v>63.6</v>
      </c>
      <c r="Y81" s="45">
        <v>68</v>
      </c>
      <c r="Z81" s="45">
        <v>56.2</v>
      </c>
      <c r="AA81" s="45">
        <v>43.6</v>
      </c>
      <c r="AB81" s="45">
        <v>58.1</v>
      </c>
      <c r="AC81" s="45">
        <v>60.1</v>
      </c>
      <c r="AD81" s="45">
        <v>67.400000000000006</v>
      </c>
      <c r="AE81" s="45">
        <v>62.7</v>
      </c>
      <c r="AF81" s="45">
        <v>69</v>
      </c>
      <c r="AG81" s="52"/>
      <c r="AH81" s="47">
        <f t="shared" si="2"/>
        <v>72</v>
      </c>
      <c r="AI81" s="48">
        <f t="shared" si="3"/>
        <v>43.6</v>
      </c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233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</row>
    <row r="82" spans="1:92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233"/>
      <c r="BF82" s="233"/>
      <c r="BG82" s="233"/>
      <c r="BH82" s="233"/>
      <c r="BI82" s="233"/>
      <c r="BJ82" s="233"/>
      <c r="BK82" s="233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</row>
    <row r="83" spans="1:92" x14ac:dyDescent="0.25">
      <c r="A83" s="54" t="s">
        <v>83</v>
      </c>
      <c r="B83" s="65">
        <v>395.2</v>
      </c>
      <c r="C83" s="65">
        <v>397.5</v>
      </c>
      <c r="D83" s="65">
        <v>391.6</v>
      </c>
      <c r="E83" s="65">
        <v>376</v>
      </c>
      <c r="F83" s="65">
        <v>384</v>
      </c>
      <c r="G83" s="65">
        <v>420</v>
      </c>
      <c r="H83" s="65">
        <v>371</v>
      </c>
      <c r="I83" s="65">
        <v>395</v>
      </c>
      <c r="J83" s="65">
        <v>399</v>
      </c>
      <c r="K83" s="65">
        <v>345</v>
      </c>
      <c r="L83" s="65">
        <v>128</v>
      </c>
      <c r="M83" s="65">
        <v>74</v>
      </c>
      <c r="N83" s="65">
        <v>218</v>
      </c>
      <c r="O83" s="65">
        <v>363.5</v>
      </c>
      <c r="P83" s="65">
        <v>399.9</v>
      </c>
      <c r="Q83" s="65">
        <v>402</v>
      </c>
      <c r="R83" s="65">
        <v>395</v>
      </c>
      <c r="S83" s="65">
        <v>398</v>
      </c>
      <c r="T83" s="65">
        <v>427</v>
      </c>
      <c r="U83" s="65">
        <v>440</v>
      </c>
      <c r="V83" s="65">
        <v>440</v>
      </c>
      <c r="W83" s="65">
        <v>378</v>
      </c>
      <c r="X83" s="65">
        <v>379</v>
      </c>
      <c r="Y83" s="65">
        <v>316</v>
      </c>
      <c r="Z83" s="65">
        <v>108</v>
      </c>
      <c r="AA83" s="65">
        <v>220</v>
      </c>
      <c r="AB83" s="65">
        <v>262.8</v>
      </c>
      <c r="AC83" s="65">
        <v>306</v>
      </c>
      <c r="AD83" s="65">
        <v>329</v>
      </c>
      <c r="AE83" s="65">
        <v>396</v>
      </c>
      <c r="AF83" s="65">
        <v>365</v>
      </c>
      <c r="AG83" s="75"/>
      <c r="AH83" s="47">
        <f t="shared" si="2"/>
        <v>440</v>
      </c>
      <c r="AI83" s="48">
        <f t="shared" si="3"/>
        <v>74</v>
      </c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233"/>
      <c r="BF83" s="232"/>
      <c r="BG83" s="232"/>
      <c r="BH83" s="232"/>
      <c r="BI83" s="232"/>
      <c r="BJ83" s="232"/>
      <c r="BK83" s="233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</row>
    <row r="84" spans="1:92" x14ac:dyDescent="0.25">
      <c r="A84" s="54" t="s">
        <v>84</v>
      </c>
      <c r="B84" s="65">
        <v>12</v>
      </c>
      <c r="C84" s="65">
        <v>12</v>
      </c>
      <c r="D84" s="65">
        <v>13</v>
      </c>
      <c r="E84" s="76">
        <v>5</v>
      </c>
      <c r="F84" s="76">
        <v>5</v>
      </c>
      <c r="G84" s="76">
        <v>5</v>
      </c>
      <c r="H84" s="76">
        <v>5</v>
      </c>
      <c r="I84" s="76">
        <v>6</v>
      </c>
      <c r="J84" s="76">
        <v>6</v>
      </c>
      <c r="K84" s="76">
        <v>7</v>
      </c>
      <c r="L84" s="76">
        <v>6</v>
      </c>
      <c r="M84" s="76">
        <v>5</v>
      </c>
      <c r="N84" s="76">
        <v>5</v>
      </c>
      <c r="O84" s="76">
        <v>2</v>
      </c>
      <c r="P84" s="76">
        <v>20</v>
      </c>
      <c r="Q84" s="76">
        <v>50</v>
      </c>
      <c r="R84" s="76">
        <v>48</v>
      </c>
      <c r="S84" s="76">
        <v>58</v>
      </c>
      <c r="T84" s="76">
        <v>66</v>
      </c>
      <c r="U84" s="76">
        <v>20</v>
      </c>
      <c r="V84" s="76">
        <v>20</v>
      </c>
      <c r="W84" s="76">
        <v>10</v>
      </c>
      <c r="X84" s="76">
        <v>5</v>
      </c>
      <c r="Y84" s="76">
        <v>4</v>
      </c>
      <c r="Z84" s="76">
        <v>27</v>
      </c>
      <c r="AA84" s="76">
        <v>26</v>
      </c>
      <c r="AB84" s="76">
        <v>28</v>
      </c>
      <c r="AC84" s="76">
        <v>28</v>
      </c>
      <c r="AD84" s="76">
        <v>33</v>
      </c>
      <c r="AE84" s="76">
        <v>3</v>
      </c>
      <c r="AF84" s="76">
        <v>3</v>
      </c>
      <c r="AG84" s="75"/>
      <c r="AH84" s="47">
        <f t="shared" si="2"/>
        <v>66</v>
      </c>
      <c r="AI84" s="48">
        <f t="shared" si="3"/>
        <v>2</v>
      </c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233"/>
      <c r="BF84" s="232"/>
      <c r="BG84" s="233">
        <f t="array" ref="BG84:BL107">TRANSPOSE(AZ68:BW73)</f>
        <v>61</v>
      </c>
      <c r="BH84" s="233">
        <v>0</v>
      </c>
      <c r="BI84" s="233">
        <v>398</v>
      </c>
      <c r="BJ84" s="233">
        <v>12</v>
      </c>
      <c r="BK84" s="233">
        <v>0</v>
      </c>
      <c r="BL84" s="233">
        <v>55</v>
      </c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</row>
    <row r="85" spans="1:92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98</v>
      </c>
      <c r="F85" s="45">
        <v>104</v>
      </c>
      <c r="G85" s="45">
        <v>98</v>
      </c>
      <c r="H85" s="45">
        <v>101</v>
      </c>
      <c r="I85" s="45">
        <v>92</v>
      </c>
      <c r="J85" s="45">
        <v>106</v>
      </c>
      <c r="K85" s="45">
        <v>68</v>
      </c>
      <c r="L85" s="45">
        <v>56.2</v>
      </c>
      <c r="M85" s="45">
        <v>30.8</v>
      </c>
      <c r="N85" s="45">
        <v>30</v>
      </c>
      <c r="O85" s="45">
        <v>26</v>
      </c>
      <c r="P85" s="45">
        <v>27</v>
      </c>
      <c r="Q85" s="45">
        <v>80</v>
      </c>
      <c r="R85" s="45">
        <v>89</v>
      </c>
      <c r="S85" s="45">
        <v>94</v>
      </c>
      <c r="T85" s="45">
        <v>104</v>
      </c>
      <c r="U85" s="45">
        <v>94</v>
      </c>
      <c r="V85" s="45">
        <v>94</v>
      </c>
      <c r="W85" s="45">
        <v>24</v>
      </c>
      <c r="X85" s="45">
        <v>26.8</v>
      </c>
      <c r="Y85" s="45">
        <v>28</v>
      </c>
      <c r="Z85" s="45">
        <v>27</v>
      </c>
      <c r="AA85" s="45">
        <v>28.2</v>
      </c>
      <c r="AB85" s="45">
        <v>36.4</v>
      </c>
      <c r="AC85" s="45">
        <v>50</v>
      </c>
      <c r="AD85" s="45">
        <v>0</v>
      </c>
      <c r="AE85" s="45">
        <v>25</v>
      </c>
      <c r="AF85" s="45">
        <v>26</v>
      </c>
      <c r="AG85" s="75"/>
      <c r="AH85" s="47">
        <f t="shared" ref="AH85:AH130" si="52">MAX(B85:AF85)</f>
        <v>106</v>
      </c>
      <c r="AI85" s="48">
        <f t="shared" ref="AI85:AI130" si="53">MIN(B85:AF85)</f>
        <v>0</v>
      </c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233"/>
      <c r="BF85" s="232"/>
      <c r="BG85" s="233">
        <v>59.4</v>
      </c>
      <c r="BH85" s="233">
        <v>0</v>
      </c>
      <c r="BI85" s="233">
        <v>391.6</v>
      </c>
      <c r="BJ85" s="233">
        <v>13</v>
      </c>
      <c r="BK85" s="233">
        <v>0</v>
      </c>
      <c r="BL85" s="233">
        <v>51</v>
      </c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</row>
    <row r="86" spans="1:92" x14ac:dyDescent="0.25">
      <c r="A86" s="54" t="s">
        <v>86</v>
      </c>
      <c r="B86" s="77">
        <v>0</v>
      </c>
      <c r="C86" s="77">
        <v>0</v>
      </c>
      <c r="D86" s="77">
        <v>0</v>
      </c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2"/>
        <v>0</v>
      </c>
      <c r="AI86" s="48">
        <f t="shared" si="53"/>
        <v>0</v>
      </c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233"/>
      <c r="BF86" s="232"/>
      <c r="BG86" s="233">
        <v>57.1</v>
      </c>
      <c r="BH86" s="233">
        <v>0</v>
      </c>
      <c r="BI86" s="233">
        <v>376</v>
      </c>
      <c r="BJ86" s="233">
        <v>5</v>
      </c>
      <c r="BK86" s="233">
        <v>98</v>
      </c>
      <c r="BL86" s="233">
        <v>0</v>
      </c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</row>
    <row r="87" spans="1:92" ht="15.75" thickBot="1" x14ac:dyDescent="0.3">
      <c r="A87" s="54" t="s">
        <v>87</v>
      </c>
      <c r="B87" s="77">
        <v>0</v>
      </c>
      <c r="C87" s="77">
        <v>0</v>
      </c>
      <c r="D87" s="77">
        <v>0</v>
      </c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2"/>
        <v>0</v>
      </c>
      <c r="AI87" s="48">
        <f t="shared" si="53"/>
        <v>0</v>
      </c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233"/>
      <c r="BF87" s="233"/>
      <c r="BG87" s="233">
        <v>57.6</v>
      </c>
      <c r="BH87" s="233">
        <v>0</v>
      </c>
      <c r="BI87" s="233">
        <v>384</v>
      </c>
      <c r="BJ87" s="233">
        <v>5</v>
      </c>
      <c r="BK87" s="233">
        <v>104</v>
      </c>
      <c r="BL87" s="233">
        <v>0</v>
      </c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78" t="s">
        <v>88</v>
      </c>
      <c r="CM87" s="78"/>
    </row>
    <row r="88" spans="1:92" x14ac:dyDescent="0.25">
      <c r="A88" s="54" t="s">
        <v>89</v>
      </c>
      <c r="B88" s="77">
        <v>0</v>
      </c>
      <c r="C88" s="77">
        <v>0</v>
      </c>
      <c r="D88" s="77">
        <v>0</v>
      </c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2"/>
        <v>0</v>
      </c>
      <c r="AI88" s="48">
        <f t="shared" si="53"/>
        <v>0</v>
      </c>
      <c r="AK88" s="79"/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3"/>
      <c r="BF88" s="233"/>
      <c r="BG88" s="233">
        <v>58</v>
      </c>
      <c r="BH88" s="233">
        <v>0</v>
      </c>
      <c r="BI88" s="233">
        <v>420</v>
      </c>
      <c r="BJ88" s="233">
        <v>5</v>
      </c>
      <c r="BK88" s="233">
        <v>98</v>
      </c>
      <c r="BL88" s="233">
        <v>0</v>
      </c>
      <c r="BX88" s="234"/>
      <c r="BY88" s="234"/>
      <c r="BZ88" s="234"/>
      <c r="CA88" s="234"/>
      <c r="CB88" s="234"/>
      <c r="CC88" s="234"/>
      <c r="CD88" s="234"/>
      <c r="CE88" s="234"/>
      <c r="CF88" s="234"/>
      <c r="CG88" s="234"/>
      <c r="CH88" s="234"/>
      <c r="CI88" s="234"/>
      <c r="CJ88" s="234"/>
      <c r="CK88" s="234"/>
      <c r="CL88" s="80"/>
      <c r="CM88" s="80"/>
      <c r="CN88" s="81"/>
    </row>
    <row r="89" spans="1:92" x14ac:dyDescent="0.25">
      <c r="A89" s="54" t="s">
        <v>90</v>
      </c>
      <c r="B89" s="77">
        <v>0</v>
      </c>
      <c r="C89" s="77">
        <v>0</v>
      </c>
      <c r="D89" s="77">
        <v>0</v>
      </c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2"/>
        <v>0</v>
      </c>
      <c r="AI89" s="48">
        <f t="shared" si="53"/>
        <v>0</v>
      </c>
      <c r="AK89" s="82" t="s">
        <v>91</v>
      </c>
      <c r="AL89" s="235"/>
      <c r="AM89" s="235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35"/>
      <c r="AY89" s="233"/>
      <c r="BF89" s="233"/>
      <c r="BG89" s="233">
        <v>63.2</v>
      </c>
      <c r="BH89" s="233">
        <v>0</v>
      </c>
      <c r="BI89" s="233">
        <v>395</v>
      </c>
      <c r="BJ89" s="233">
        <v>6</v>
      </c>
      <c r="BK89" s="233">
        <v>92</v>
      </c>
      <c r="BL89" s="233">
        <v>0</v>
      </c>
      <c r="BX89" s="235"/>
      <c r="BY89" s="235"/>
      <c r="BZ89" s="235"/>
      <c r="CA89" s="235"/>
      <c r="CB89" s="235"/>
      <c r="CC89" s="235"/>
      <c r="CD89" s="235"/>
      <c r="CE89" s="235"/>
      <c r="CF89" s="235"/>
      <c r="CG89" s="235"/>
      <c r="CH89" s="235"/>
      <c r="CI89" s="235"/>
      <c r="CJ89" s="235"/>
      <c r="CK89" s="235"/>
      <c r="CL89" s="65"/>
      <c r="CM89" s="76"/>
      <c r="CN89" s="83"/>
    </row>
    <row r="90" spans="1:92" x14ac:dyDescent="0.25">
      <c r="A90" s="84" t="s">
        <v>92</v>
      </c>
      <c r="B90" s="77">
        <v>0</v>
      </c>
      <c r="C90" s="77">
        <v>0</v>
      </c>
      <c r="D90" s="77">
        <v>0</v>
      </c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2"/>
        <v>0</v>
      </c>
      <c r="AI90" s="48">
        <f t="shared" si="53"/>
        <v>0</v>
      </c>
      <c r="AK90" s="82" t="s">
        <v>93</v>
      </c>
      <c r="AL90" s="235"/>
      <c r="AM90" s="235"/>
      <c r="AN90" s="235"/>
      <c r="AO90" s="235"/>
      <c r="AP90" s="235"/>
      <c r="AQ90" s="235"/>
      <c r="AR90" s="235"/>
      <c r="AS90" s="235"/>
      <c r="AT90" s="235"/>
      <c r="AU90" s="235"/>
      <c r="AV90" s="235"/>
      <c r="AW90" s="235"/>
      <c r="AX90" s="235"/>
      <c r="AY90" s="233"/>
      <c r="BF90" s="233"/>
      <c r="BG90" s="233">
        <v>58.8</v>
      </c>
      <c r="BH90" s="233">
        <v>0</v>
      </c>
      <c r="BI90" s="233">
        <v>345</v>
      </c>
      <c r="BJ90" s="233">
        <v>7</v>
      </c>
      <c r="BK90" s="233">
        <v>68</v>
      </c>
      <c r="BL90" s="233">
        <v>44.5</v>
      </c>
      <c r="BX90" s="235"/>
      <c r="BY90" s="235"/>
      <c r="BZ90" s="235"/>
      <c r="CA90" s="235"/>
      <c r="CB90" s="235"/>
      <c r="CC90" s="235"/>
      <c r="CD90" s="235"/>
      <c r="CE90" s="235"/>
      <c r="CF90" s="235"/>
      <c r="CG90" s="235"/>
      <c r="CH90" s="235"/>
      <c r="CI90" s="235"/>
      <c r="CJ90" s="235"/>
      <c r="CK90" s="235"/>
      <c r="CL90" s="76"/>
      <c r="CM90" s="76"/>
      <c r="CN90" s="83"/>
    </row>
    <row r="91" spans="1:92" ht="15.75" thickBot="1" x14ac:dyDescent="0.3">
      <c r="A91" s="84" t="s">
        <v>394</v>
      </c>
      <c r="B91" s="77">
        <v>49</v>
      </c>
      <c r="C91" s="77">
        <v>55.3</v>
      </c>
      <c r="D91" s="77">
        <v>51</v>
      </c>
      <c r="E91" s="77">
        <v>0</v>
      </c>
      <c r="F91" s="77">
        <v>0</v>
      </c>
      <c r="G91" s="77">
        <v>0</v>
      </c>
      <c r="H91" s="77"/>
      <c r="I91" s="77">
        <v>0</v>
      </c>
      <c r="J91" s="77">
        <v>37.4</v>
      </c>
      <c r="K91" s="77">
        <v>44.5</v>
      </c>
      <c r="L91" s="77">
        <v>73.7</v>
      </c>
      <c r="M91" s="77">
        <v>60</v>
      </c>
      <c r="N91" s="77">
        <v>63.4</v>
      </c>
      <c r="O91" s="77">
        <v>70</v>
      </c>
      <c r="P91" s="77">
        <v>75</v>
      </c>
      <c r="Q91" s="77">
        <v>71.7</v>
      </c>
      <c r="R91" s="77">
        <v>69.2</v>
      </c>
      <c r="S91" s="77">
        <v>45</v>
      </c>
      <c r="T91" s="77">
        <v>44</v>
      </c>
      <c r="U91" s="77">
        <v>42.5</v>
      </c>
      <c r="V91" s="77">
        <v>42.5</v>
      </c>
      <c r="W91" s="77">
        <v>32</v>
      </c>
      <c r="X91" s="77">
        <v>34</v>
      </c>
      <c r="Y91" s="77">
        <v>32</v>
      </c>
      <c r="Z91" s="77">
        <v>35.1</v>
      </c>
      <c r="AA91" s="77">
        <v>34.4</v>
      </c>
      <c r="AB91" s="77">
        <v>40.299999999999997</v>
      </c>
      <c r="AC91" s="77">
        <v>42.8</v>
      </c>
      <c r="AD91" s="77">
        <v>51</v>
      </c>
      <c r="AE91" s="77">
        <v>50</v>
      </c>
      <c r="AF91" s="77">
        <v>71</v>
      </c>
      <c r="AG91" s="85"/>
      <c r="AH91" s="47">
        <f t="shared" si="52"/>
        <v>75</v>
      </c>
      <c r="AI91" s="48">
        <f t="shared" si="53"/>
        <v>0</v>
      </c>
      <c r="AK91" s="86"/>
      <c r="AY91" s="233"/>
      <c r="BF91" s="233"/>
      <c r="BG91" s="233">
        <v>48</v>
      </c>
      <c r="BH91" s="233">
        <v>0</v>
      </c>
      <c r="BI91" s="233">
        <v>74</v>
      </c>
      <c r="BJ91" s="233">
        <v>5</v>
      </c>
      <c r="BK91" s="233">
        <v>30.8</v>
      </c>
      <c r="BL91" s="233">
        <v>60</v>
      </c>
      <c r="CL91" s="45"/>
      <c r="CM91" s="45"/>
      <c r="CN91" s="87"/>
    </row>
    <row r="92" spans="1:92" ht="15.75" thickBot="1" x14ac:dyDescent="0.3">
      <c r="A92" s="74" t="s">
        <v>94</v>
      </c>
      <c r="B92" s="60">
        <f t="shared" ref="B92:AF92" si="54">SUMIF(B81:B91,"&gt;0")</f>
        <v>518.4</v>
      </c>
      <c r="C92" s="60">
        <f t="shared" si="54"/>
        <v>525.9</v>
      </c>
      <c r="D92" s="60">
        <f t="shared" si="54"/>
        <v>515</v>
      </c>
      <c r="E92" s="60">
        <f t="shared" si="54"/>
        <v>536.1</v>
      </c>
      <c r="F92" s="60">
        <f t="shared" si="54"/>
        <v>550.6</v>
      </c>
      <c r="G92" s="60">
        <f t="shared" si="54"/>
        <v>581</v>
      </c>
      <c r="H92" s="60">
        <f t="shared" si="54"/>
        <v>539.9</v>
      </c>
      <c r="I92" s="60">
        <f t="shared" si="54"/>
        <v>556.20000000000005</v>
      </c>
      <c r="J92" s="60">
        <f t="shared" si="54"/>
        <v>603.69999999999993</v>
      </c>
      <c r="K92" s="60">
        <f t="shared" si="54"/>
        <v>523.29999999999995</v>
      </c>
      <c r="L92" s="60">
        <f t="shared" si="54"/>
        <v>326.39999999999998</v>
      </c>
      <c r="M92" s="60">
        <f t="shared" si="54"/>
        <v>217.8</v>
      </c>
      <c r="N92" s="60">
        <f t="shared" si="54"/>
        <v>369.79999999999995</v>
      </c>
      <c r="O92" s="60">
        <f t="shared" si="54"/>
        <v>520.4</v>
      </c>
      <c r="P92" s="60">
        <f t="shared" si="54"/>
        <v>591.9</v>
      </c>
      <c r="Q92" s="60">
        <f t="shared" si="54"/>
        <v>667.7</v>
      </c>
      <c r="R92" s="60">
        <f t="shared" si="54"/>
        <v>666.80000000000007</v>
      </c>
      <c r="S92" s="60">
        <f t="shared" ref="S92:T92" si="55">SUMIF(S81:S91,"&gt;0")</f>
        <v>667</v>
      </c>
      <c r="T92" s="60">
        <f t="shared" si="55"/>
        <v>709</v>
      </c>
      <c r="U92" s="60">
        <f t="shared" ref="U92:V92" si="56">SUMIF(U81:U91,"&gt;0")</f>
        <v>663.5</v>
      </c>
      <c r="V92" s="60">
        <f t="shared" si="56"/>
        <v>662.5</v>
      </c>
      <c r="W92" s="60">
        <f t="shared" ref="W92:X92" si="57">SUMIF(W81:W91,"&gt;0")</f>
        <v>509</v>
      </c>
      <c r="X92" s="60">
        <f t="shared" si="57"/>
        <v>508.40000000000003</v>
      </c>
      <c r="Y92" s="60">
        <f>SUMIF(Y81:Y91,"&gt;0")</f>
        <v>448</v>
      </c>
      <c r="Z92" s="60">
        <f>SUMIF(Z81:Z91,"&gt;0")</f>
        <v>253.29999999999998</v>
      </c>
      <c r="AA92" s="60">
        <f t="shared" si="54"/>
        <v>352.2</v>
      </c>
      <c r="AB92" s="60">
        <f t="shared" si="54"/>
        <v>425.6</v>
      </c>
      <c r="AC92" s="60">
        <f t="shared" si="54"/>
        <v>486.90000000000003</v>
      </c>
      <c r="AD92" s="60">
        <f t="shared" si="54"/>
        <v>480.4</v>
      </c>
      <c r="AE92" s="60">
        <f t="shared" si="54"/>
        <v>536.70000000000005</v>
      </c>
      <c r="AF92" s="60">
        <f t="shared" si="54"/>
        <v>534</v>
      </c>
      <c r="AG92" s="88">
        <f>SUM(AG81:AG91)</f>
        <v>0</v>
      </c>
      <c r="AH92" s="47">
        <f t="shared" si="52"/>
        <v>709</v>
      </c>
      <c r="AI92" s="48">
        <f t="shared" si="53"/>
        <v>217.8</v>
      </c>
      <c r="AK92" s="86"/>
      <c r="AY92" s="233"/>
      <c r="BF92" s="233"/>
      <c r="BG92" s="233">
        <v>53.4</v>
      </c>
      <c r="BH92" s="233">
        <v>0</v>
      </c>
      <c r="BI92" s="233">
        <v>218</v>
      </c>
      <c r="BJ92" s="233">
        <v>5</v>
      </c>
      <c r="BK92" s="233">
        <v>30</v>
      </c>
      <c r="BL92" s="233">
        <v>63.4</v>
      </c>
      <c r="CL92" s="77"/>
      <c r="CM92" s="89"/>
      <c r="CN92" s="257"/>
    </row>
    <row r="93" spans="1:92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2"/>
        <v>0</v>
      </c>
      <c r="AI93" s="48">
        <f t="shared" si="53"/>
        <v>0</v>
      </c>
      <c r="AK93" s="86"/>
      <c r="BF93" s="233"/>
      <c r="BG93" s="233">
        <v>58.9</v>
      </c>
      <c r="BH93" s="233">
        <v>0</v>
      </c>
      <c r="BI93" s="233">
        <v>363.5</v>
      </c>
      <c r="BJ93" s="233">
        <v>2</v>
      </c>
      <c r="BK93" s="233">
        <v>26</v>
      </c>
      <c r="BL93" s="233">
        <v>70</v>
      </c>
      <c r="CL93" s="77"/>
      <c r="CM93" s="77"/>
      <c r="CN93" s="258"/>
    </row>
    <row r="94" spans="1:92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2"/>
        <v>0</v>
      </c>
      <c r="AI94" s="48">
        <f t="shared" si="53"/>
        <v>0</v>
      </c>
      <c r="AK94" s="91"/>
      <c r="AL94" s="236"/>
      <c r="AM94" s="236"/>
      <c r="AN94" s="236"/>
      <c r="AO94" s="236"/>
      <c r="AP94" s="236"/>
      <c r="AQ94" s="236"/>
      <c r="AR94" s="236"/>
      <c r="AS94" s="236"/>
      <c r="AT94" s="236"/>
      <c r="AU94" s="236"/>
      <c r="AV94" s="236"/>
      <c r="AW94" s="236"/>
      <c r="AX94" s="236"/>
      <c r="BF94" s="233"/>
      <c r="BG94" s="233">
        <v>70</v>
      </c>
      <c r="BH94" s="233">
        <v>0</v>
      </c>
      <c r="BI94" s="233">
        <v>399.9</v>
      </c>
      <c r="BJ94" s="233">
        <v>20</v>
      </c>
      <c r="BK94" s="233">
        <v>27</v>
      </c>
      <c r="BL94" s="233">
        <v>75</v>
      </c>
      <c r="BX94" s="236"/>
      <c r="BY94" s="236"/>
      <c r="BZ94" s="236"/>
      <c r="CA94" s="236"/>
      <c r="CB94" s="236"/>
      <c r="CC94" s="236"/>
      <c r="CD94" s="236"/>
      <c r="CE94" s="236"/>
      <c r="CF94" s="236"/>
      <c r="CG94" s="236"/>
      <c r="CH94" s="236"/>
      <c r="CI94" s="236"/>
      <c r="CJ94" s="236"/>
      <c r="CK94" s="236"/>
      <c r="CL94" s="92"/>
      <c r="CM94" s="92"/>
      <c r="CN94" s="93"/>
    </row>
    <row r="95" spans="1:92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2"/>
        <v>0</v>
      </c>
      <c r="AI95" s="48">
        <f t="shared" si="53"/>
        <v>0</v>
      </c>
      <c r="BF95" s="233"/>
      <c r="BG95" s="233">
        <v>64</v>
      </c>
      <c r="BH95" s="233">
        <v>0</v>
      </c>
      <c r="BI95" s="233">
        <v>402</v>
      </c>
      <c r="BJ95" s="233">
        <v>50</v>
      </c>
      <c r="BK95" s="233">
        <v>80</v>
      </c>
      <c r="BL95" s="233">
        <v>71.7</v>
      </c>
    </row>
    <row r="96" spans="1:92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2"/>
        <v>0</v>
      </c>
      <c r="AI96" s="48">
        <f t="shared" si="53"/>
        <v>0</v>
      </c>
      <c r="BF96" s="233"/>
      <c r="BG96" s="233">
        <v>65.599999999999994</v>
      </c>
      <c r="BH96" s="233">
        <v>0</v>
      </c>
      <c r="BI96" s="233">
        <v>395</v>
      </c>
      <c r="BJ96" s="233">
        <v>48</v>
      </c>
      <c r="BK96" s="233">
        <v>89</v>
      </c>
      <c r="BL96" s="233">
        <v>69.2</v>
      </c>
    </row>
    <row r="97" spans="1:89" ht="15.75" thickBot="1" x14ac:dyDescent="0.3">
      <c r="A97" s="74" t="s">
        <v>99</v>
      </c>
      <c r="B97" s="95">
        <f t="shared" ref="B97:AG97" si="58">B58+B62+B80+B76+B92+B96</f>
        <v>1182.0900000000001</v>
      </c>
      <c r="C97" s="95">
        <f t="shared" si="58"/>
        <v>1165.29</v>
      </c>
      <c r="D97" s="95">
        <f t="shared" si="58"/>
        <v>1153.79</v>
      </c>
      <c r="E97" s="95">
        <f t="shared" si="58"/>
        <v>1132.99</v>
      </c>
      <c r="F97" s="95">
        <f t="shared" si="58"/>
        <v>1147.49</v>
      </c>
      <c r="G97" s="95">
        <f t="shared" si="58"/>
        <v>1239.8899999999999</v>
      </c>
      <c r="H97" s="95">
        <f t="shared" si="58"/>
        <v>1275.4899999999998</v>
      </c>
      <c r="I97" s="95">
        <f t="shared" si="58"/>
        <v>1339.5900000000001</v>
      </c>
      <c r="J97" s="95">
        <f t="shared" si="58"/>
        <v>1458.8889999999999</v>
      </c>
      <c r="K97" s="95">
        <f t="shared" si="58"/>
        <v>1507.49</v>
      </c>
      <c r="L97" s="95">
        <f t="shared" si="58"/>
        <v>1427.29</v>
      </c>
      <c r="M97" s="95">
        <f t="shared" si="58"/>
        <v>1315.19</v>
      </c>
      <c r="N97" s="95">
        <f t="shared" si="58"/>
        <v>1241.3899999999999</v>
      </c>
      <c r="O97" s="95">
        <f t="shared" si="58"/>
        <v>1278.19</v>
      </c>
      <c r="P97" s="95">
        <f t="shared" si="58"/>
        <v>1405.29</v>
      </c>
      <c r="Q97" s="95">
        <f t="shared" si="58"/>
        <v>1446.28</v>
      </c>
      <c r="R97" s="95">
        <f t="shared" si="58"/>
        <v>1435.69</v>
      </c>
      <c r="S97" s="95">
        <f t="shared" ref="S97:T97" si="59">S58+S62+S80+S76+S92+S96</f>
        <v>1430.8899999999999</v>
      </c>
      <c r="T97" s="95">
        <f t="shared" si="59"/>
        <v>1458.8899999999999</v>
      </c>
      <c r="U97" s="95">
        <f t="shared" ref="U97:V97" si="60">U58+U62+U80+U76+U92+U96</f>
        <v>1385.0900000000001</v>
      </c>
      <c r="V97" s="95">
        <f t="shared" si="60"/>
        <v>1380.0900000000001</v>
      </c>
      <c r="W97" s="95">
        <f t="shared" ref="W97:X97" si="61">W58+W62+W80+W76+W92+W96</f>
        <v>1147.5900000000001</v>
      </c>
      <c r="X97" s="95">
        <f t="shared" si="61"/>
        <v>1279.69</v>
      </c>
      <c r="Y97" s="95">
        <f>Y58+Y62+Y80+Y76+Y92+Y96</f>
        <v>1487.4499999999998</v>
      </c>
      <c r="Z97" s="95">
        <f>Z58+Z62+Z80+Z76+Z92+Z96</f>
        <v>1465.45</v>
      </c>
      <c r="AA97" s="95">
        <f t="shared" si="58"/>
        <v>1438.19</v>
      </c>
      <c r="AB97" s="95">
        <f t="shared" si="58"/>
        <v>1355.0900000000001</v>
      </c>
      <c r="AC97" s="95">
        <f t="shared" si="58"/>
        <v>1362.29</v>
      </c>
      <c r="AD97" s="95">
        <f t="shared" si="58"/>
        <v>1354.9899999999998</v>
      </c>
      <c r="AE97" s="95">
        <f t="shared" si="58"/>
        <v>1378.5900000000001</v>
      </c>
      <c r="AF97" s="95">
        <f t="shared" si="58"/>
        <v>1278.19</v>
      </c>
      <c r="AG97" s="61">
        <f t="shared" si="58"/>
        <v>2231.81</v>
      </c>
      <c r="AH97" s="47">
        <f t="shared" si="52"/>
        <v>1507.49</v>
      </c>
      <c r="AI97" s="48">
        <f t="shared" si="53"/>
        <v>1132.99</v>
      </c>
      <c r="BF97" s="233"/>
      <c r="BG97" s="233">
        <v>72</v>
      </c>
      <c r="BH97" s="233">
        <v>0</v>
      </c>
      <c r="BI97" s="233">
        <v>398</v>
      </c>
      <c r="BJ97" s="233">
        <v>58</v>
      </c>
      <c r="BK97" s="233">
        <v>94</v>
      </c>
      <c r="BL97" s="233">
        <v>45</v>
      </c>
    </row>
    <row r="98" spans="1:89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250</v>
      </c>
      <c r="M98" s="97">
        <v>280</v>
      </c>
      <c r="N98" s="97">
        <v>230</v>
      </c>
      <c r="O98" s="97">
        <v>100</v>
      </c>
      <c r="P98" s="97"/>
      <c r="Q98" s="97"/>
      <c r="R98" s="97"/>
      <c r="S98" s="97"/>
      <c r="T98" s="97"/>
      <c r="U98" s="97"/>
      <c r="V98" s="97"/>
      <c r="W98" s="97">
        <v>250</v>
      </c>
      <c r="X98" s="97">
        <v>280</v>
      </c>
      <c r="Y98" s="97">
        <v>280</v>
      </c>
      <c r="Z98" s="97">
        <v>280</v>
      </c>
      <c r="AA98" s="97">
        <v>280</v>
      </c>
      <c r="AB98" s="97">
        <v>250</v>
      </c>
      <c r="AC98" s="97">
        <v>200</v>
      </c>
      <c r="AD98" s="97">
        <v>100</v>
      </c>
      <c r="AE98" s="97"/>
      <c r="AF98" s="97"/>
      <c r="AG98" s="88"/>
      <c r="AH98" s="47">
        <f t="shared" si="52"/>
        <v>280</v>
      </c>
      <c r="AI98" s="48">
        <f t="shared" si="53"/>
        <v>100</v>
      </c>
      <c r="BF98" s="233"/>
      <c r="BG98" s="233">
        <v>68</v>
      </c>
      <c r="BH98" s="233">
        <v>0</v>
      </c>
      <c r="BI98" s="233">
        <v>427</v>
      </c>
      <c r="BJ98" s="233">
        <v>66</v>
      </c>
      <c r="BK98" s="233">
        <v>104</v>
      </c>
      <c r="BL98" s="233">
        <v>44</v>
      </c>
    </row>
    <row r="99" spans="1:89" ht="15.75" thickBot="1" x14ac:dyDescent="0.3">
      <c r="A99" s="74" t="s">
        <v>101</v>
      </c>
      <c r="B99" s="95">
        <f t="shared" ref="B99:AF99" si="62">B97+B98</f>
        <v>1182.0900000000001</v>
      </c>
      <c r="C99" s="95">
        <f t="shared" si="62"/>
        <v>1165.29</v>
      </c>
      <c r="D99" s="95">
        <f t="shared" si="62"/>
        <v>1153.79</v>
      </c>
      <c r="E99" s="95">
        <f t="shared" si="62"/>
        <v>1132.99</v>
      </c>
      <c r="F99" s="95">
        <f t="shared" si="62"/>
        <v>1147.49</v>
      </c>
      <c r="G99" s="95">
        <f t="shared" si="62"/>
        <v>1239.8899999999999</v>
      </c>
      <c r="H99" s="95">
        <f t="shared" si="62"/>
        <v>1275.4899999999998</v>
      </c>
      <c r="I99" s="95">
        <f t="shared" si="62"/>
        <v>1339.5900000000001</v>
      </c>
      <c r="J99" s="95">
        <f t="shared" si="62"/>
        <v>1458.8889999999999</v>
      </c>
      <c r="K99" s="95">
        <f t="shared" si="62"/>
        <v>1507.49</v>
      </c>
      <c r="L99" s="95">
        <f t="shared" si="62"/>
        <v>1677.29</v>
      </c>
      <c r="M99" s="95">
        <f t="shared" si="62"/>
        <v>1595.19</v>
      </c>
      <c r="N99" s="95">
        <f t="shared" si="62"/>
        <v>1471.3899999999999</v>
      </c>
      <c r="O99" s="95">
        <f t="shared" si="62"/>
        <v>1378.19</v>
      </c>
      <c r="P99" s="95">
        <f t="shared" si="62"/>
        <v>1405.29</v>
      </c>
      <c r="Q99" s="95">
        <f t="shared" si="62"/>
        <v>1446.28</v>
      </c>
      <c r="R99" s="95">
        <f t="shared" si="62"/>
        <v>1435.69</v>
      </c>
      <c r="S99" s="95">
        <f t="shared" ref="S99:T99" si="63">S97+S98</f>
        <v>1430.8899999999999</v>
      </c>
      <c r="T99" s="95">
        <f t="shared" si="63"/>
        <v>1458.8899999999999</v>
      </c>
      <c r="U99" s="95">
        <f t="shared" ref="U99:V99" si="64">U97+U98</f>
        <v>1385.0900000000001</v>
      </c>
      <c r="V99" s="95">
        <f t="shared" si="64"/>
        <v>1380.0900000000001</v>
      </c>
      <c r="W99" s="95">
        <f t="shared" ref="W99:X99" si="65">W97+W98</f>
        <v>1397.5900000000001</v>
      </c>
      <c r="X99" s="95">
        <f t="shared" si="65"/>
        <v>1559.69</v>
      </c>
      <c r="Y99" s="95">
        <f>Y97+Y98</f>
        <v>1767.4499999999998</v>
      </c>
      <c r="Z99" s="95">
        <f>Z97+Z98</f>
        <v>1745.45</v>
      </c>
      <c r="AA99" s="95">
        <f t="shared" si="62"/>
        <v>1718.19</v>
      </c>
      <c r="AB99" s="95">
        <f t="shared" si="62"/>
        <v>1605.0900000000001</v>
      </c>
      <c r="AC99" s="95">
        <f t="shared" si="62"/>
        <v>1562.29</v>
      </c>
      <c r="AD99" s="95">
        <f t="shared" si="62"/>
        <v>1454.9899999999998</v>
      </c>
      <c r="AE99" s="95">
        <f t="shared" si="62"/>
        <v>1378.5900000000001</v>
      </c>
      <c r="AF99" s="95">
        <f t="shared" si="62"/>
        <v>1278.19</v>
      </c>
      <c r="AG99" s="88">
        <f>AG96+AG92+AG80+AG76+AG58+AG98</f>
        <v>1693.71</v>
      </c>
      <c r="AH99" s="47">
        <f t="shared" si="52"/>
        <v>1767.4499999999998</v>
      </c>
      <c r="AI99" s="48">
        <f t="shared" si="53"/>
        <v>1132.99</v>
      </c>
      <c r="BF99" s="233"/>
      <c r="BG99" s="233">
        <v>67</v>
      </c>
      <c r="BH99" s="233">
        <v>0</v>
      </c>
      <c r="BI99" s="233">
        <v>440</v>
      </c>
      <c r="BJ99" s="233">
        <v>20</v>
      </c>
      <c r="BK99" s="233">
        <v>94</v>
      </c>
      <c r="BL99" s="233">
        <v>42.5</v>
      </c>
    </row>
    <row r="100" spans="1:89" ht="15.75" thickBot="1" x14ac:dyDescent="0.3">
      <c r="A100" s="74" t="s">
        <v>102</v>
      </c>
      <c r="B100" s="95">
        <f t="shared" ref="B100:M100" si="66">B99-(B107)</f>
        <v>1182.0900000000001</v>
      </c>
      <c r="C100" s="95">
        <f t="shared" si="66"/>
        <v>1165.29</v>
      </c>
      <c r="D100" s="95">
        <f t="shared" si="66"/>
        <v>1153.79</v>
      </c>
      <c r="E100" s="95">
        <f t="shared" si="66"/>
        <v>1132.99</v>
      </c>
      <c r="F100" s="95">
        <f t="shared" si="66"/>
        <v>1147.49</v>
      </c>
      <c r="G100" s="95">
        <f t="shared" si="66"/>
        <v>1239.8899999999999</v>
      </c>
      <c r="H100" s="95">
        <f t="shared" si="66"/>
        <v>1275.4899999999998</v>
      </c>
      <c r="I100" s="95">
        <f t="shared" si="66"/>
        <v>1339.5900000000001</v>
      </c>
      <c r="J100" s="95">
        <f t="shared" si="66"/>
        <v>1458.8889999999999</v>
      </c>
      <c r="K100" s="95">
        <f t="shared" si="66"/>
        <v>1507.49</v>
      </c>
      <c r="L100" s="95">
        <f t="shared" si="66"/>
        <v>1677.29</v>
      </c>
      <c r="M100" s="95">
        <f t="shared" si="66"/>
        <v>1595.19</v>
      </c>
      <c r="N100" s="95">
        <f>N99-(N107)</f>
        <v>1471.3899999999999</v>
      </c>
      <c r="O100" s="95">
        <f t="shared" ref="O100:AF100" si="67">O99-(O107)</f>
        <v>1378.19</v>
      </c>
      <c r="P100" s="95">
        <f t="shared" si="67"/>
        <v>1405.29</v>
      </c>
      <c r="Q100" s="95">
        <f t="shared" si="67"/>
        <v>1446.28</v>
      </c>
      <c r="R100" s="95">
        <f t="shared" si="67"/>
        <v>1435.69</v>
      </c>
      <c r="S100" s="95">
        <f t="shared" ref="S100:T100" si="68">S99-(S107)</f>
        <v>1430.8899999999999</v>
      </c>
      <c r="T100" s="95">
        <f t="shared" si="68"/>
        <v>1457.8899999999999</v>
      </c>
      <c r="U100" s="95">
        <f t="shared" ref="U100:V100" si="69">U99-(U107)</f>
        <v>1383.0900000000001</v>
      </c>
      <c r="V100" s="95">
        <f t="shared" si="69"/>
        <v>1377.0900000000001</v>
      </c>
      <c r="W100" s="95">
        <f t="shared" ref="W100:X100" si="70">W99-(W107)</f>
        <v>1393.5900000000001</v>
      </c>
      <c r="X100" s="95">
        <f t="shared" si="70"/>
        <v>1554.69</v>
      </c>
      <c r="Y100" s="95">
        <f t="shared" si="67"/>
        <v>1767.4499999999998</v>
      </c>
      <c r="Z100" s="95">
        <f t="shared" si="67"/>
        <v>1745.45</v>
      </c>
      <c r="AA100" s="95">
        <f t="shared" si="67"/>
        <v>1718.19</v>
      </c>
      <c r="AB100" s="95">
        <f t="shared" si="67"/>
        <v>1605.0900000000001</v>
      </c>
      <c r="AC100" s="95">
        <f t="shared" si="67"/>
        <v>1562.29</v>
      </c>
      <c r="AD100" s="95">
        <f t="shared" si="67"/>
        <v>1454.9899999999998</v>
      </c>
      <c r="AE100" s="95">
        <f t="shared" si="67"/>
        <v>1378.5900000000001</v>
      </c>
      <c r="AF100" s="95">
        <f t="shared" si="67"/>
        <v>1278.19</v>
      </c>
      <c r="AG100" s="88"/>
      <c r="AH100" s="47">
        <f t="shared" si="52"/>
        <v>1767.4499999999998</v>
      </c>
      <c r="AI100" s="48">
        <f t="shared" si="53"/>
        <v>1132.99</v>
      </c>
      <c r="BF100" s="233"/>
      <c r="BG100" s="233">
        <v>66</v>
      </c>
      <c r="BH100" s="233">
        <v>0</v>
      </c>
      <c r="BI100" s="233">
        <v>440</v>
      </c>
      <c r="BJ100" s="233">
        <v>20</v>
      </c>
      <c r="BK100" s="233">
        <v>94</v>
      </c>
      <c r="BL100" s="233">
        <v>42.5</v>
      </c>
    </row>
    <row r="101" spans="1:89" x14ac:dyDescent="0.25">
      <c r="A101" s="44" t="s">
        <v>84</v>
      </c>
      <c r="B101" s="76">
        <f t="shared" ref="B101:AF101" si="71">IF(B84&lt;0,B84*-1,0)</f>
        <v>0</v>
      </c>
      <c r="C101" s="76">
        <f t="shared" si="71"/>
        <v>0</v>
      </c>
      <c r="D101" s="76">
        <f t="shared" si="71"/>
        <v>0</v>
      </c>
      <c r="E101" s="76">
        <f t="shared" si="71"/>
        <v>0</v>
      </c>
      <c r="F101" s="76">
        <f t="shared" si="71"/>
        <v>0</v>
      </c>
      <c r="G101" s="76">
        <f t="shared" si="71"/>
        <v>0</v>
      </c>
      <c r="H101" s="76">
        <f t="shared" si="71"/>
        <v>0</v>
      </c>
      <c r="I101" s="76">
        <f t="shared" si="71"/>
        <v>0</v>
      </c>
      <c r="J101" s="76">
        <f t="shared" si="71"/>
        <v>0</v>
      </c>
      <c r="K101" s="76">
        <f t="shared" si="71"/>
        <v>0</v>
      </c>
      <c r="L101" s="76">
        <f t="shared" si="71"/>
        <v>0</v>
      </c>
      <c r="M101" s="76">
        <f t="shared" si="71"/>
        <v>0</v>
      </c>
      <c r="N101" s="76">
        <f t="shared" si="71"/>
        <v>0</v>
      </c>
      <c r="O101" s="76">
        <f t="shared" si="71"/>
        <v>0</v>
      </c>
      <c r="P101" s="76">
        <f t="shared" si="71"/>
        <v>0</v>
      </c>
      <c r="Q101" s="76">
        <f t="shared" si="71"/>
        <v>0</v>
      </c>
      <c r="R101" s="76">
        <f t="shared" si="71"/>
        <v>0</v>
      </c>
      <c r="S101" s="76">
        <f t="shared" ref="S101:T101" si="72">IF(S84&lt;0,S84*-1,0)</f>
        <v>0</v>
      </c>
      <c r="T101" s="76">
        <f t="shared" si="72"/>
        <v>0</v>
      </c>
      <c r="U101" s="76">
        <f t="shared" ref="U101:V101" si="73">IF(U84&lt;0,U84*-1,0)</f>
        <v>0</v>
      </c>
      <c r="V101" s="76">
        <f t="shared" si="73"/>
        <v>0</v>
      </c>
      <c r="W101" s="76">
        <f t="shared" ref="W101:X101" si="74">IF(W84&lt;0,W84*-1,0)</f>
        <v>0</v>
      </c>
      <c r="X101" s="76">
        <f t="shared" si="74"/>
        <v>0</v>
      </c>
      <c r="Y101" s="76">
        <f t="shared" si="71"/>
        <v>0</v>
      </c>
      <c r="Z101" s="76">
        <f t="shared" si="71"/>
        <v>0</v>
      </c>
      <c r="AA101" s="76">
        <f t="shared" si="71"/>
        <v>0</v>
      </c>
      <c r="AB101" s="76">
        <f t="shared" si="71"/>
        <v>0</v>
      </c>
      <c r="AC101" s="76">
        <f t="shared" si="71"/>
        <v>0</v>
      </c>
      <c r="AD101" s="76">
        <f t="shared" si="71"/>
        <v>0</v>
      </c>
      <c r="AE101" s="76">
        <f t="shared" si="71"/>
        <v>0</v>
      </c>
      <c r="AF101" s="76">
        <f t="shared" si="71"/>
        <v>0</v>
      </c>
      <c r="AG101" s="52"/>
      <c r="AH101" s="47">
        <f t="shared" si="52"/>
        <v>0</v>
      </c>
      <c r="AI101" s="48">
        <f t="shared" si="53"/>
        <v>0</v>
      </c>
      <c r="BF101" s="232"/>
      <c r="BG101" s="233">
        <v>63.6</v>
      </c>
      <c r="BH101" s="233">
        <v>0</v>
      </c>
      <c r="BI101" s="233">
        <v>379</v>
      </c>
      <c r="BJ101" s="233">
        <v>5</v>
      </c>
      <c r="BK101" s="233">
        <v>26.8</v>
      </c>
      <c r="BL101" s="233">
        <v>34</v>
      </c>
    </row>
    <row r="102" spans="1:89" x14ac:dyDescent="0.25">
      <c r="A102" s="54" t="s">
        <v>82</v>
      </c>
      <c r="B102" s="76">
        <f t="shared" ref="B102:AF102" si="75">IF(B82&lt;0,B82*-1,0)</f>
        <v>0</v>
      </c>
      <c r="C102" s="76">
        <f t="shared" si="75"/>
        <v>0</v>
      </c>
      <c r="D102" s="76">
        <f t="shared" si="75"/>
        <v>0</v>
      </c>
      <c r="E102" s="76">
        <f t="shared" si="75"/>
        <v>0</v>
      </c>
      <c r="F102" s="76">
        <f t="shared" si="75"/>
        <v>0</v>
      </c>
      <c r="G102" s="76">
        <f t="shared" si="75"/>
        <v>0</v>
      </c>
      <c r="H102" s="76">
        <f t="shared" si="75"/>
        <v>0</v>
      </c>
      <c r="I102" s="76">
        <f t="shared" si="75"/>
        <v>0</v>
      </c>
      <c r="J102" s="76">
        <f t="shared" si="75"/>
        <v>0</v>
      </c>
      <c r="K102" s="76">
        <f t="shared" si="75"/>
        <v>0</v>
      </c>
      <c r="L102" s="76">
        <f t="shared" si="75"/>
        <v>0</v>
      </c>
      <c r="M102" s="76">
        <f t="shared" si="75"/>
        <v>0</v>
      </c>
      <c r="N102" s="76">
        <f t="shared" si="75"/>
        <v>0</v>
      </c>
      <c r="O102" s="76">
        <f t="shared" si="75"/>
        <v>0</v>
      </c>
      <c r="P102" s="76">
        <f t="shared" si="75"/>
        <v>0</v>
      </c>
      <c r="Q102" s="76">
        <f t="shared" si="75"/>
        <v>0</v>
      </c>
      <c r="R102" s="76">
        <f t="shared" si="75"/>
        <v>0</v>
      </c>
      <c r="S102" s="76">
        <f t="shared" ref="S102:T102" si="76">IF(S82&lt;0,S82*-1,0)</f>
        <v>0</v>
      </c>
      <c r="T102" s="76">
        <f t="shared" si="76"/>
        <v>0</v>
      </c>
      <c r="U102" s="76">
        <f t="shared" ref="U102:V102" si="77">IF(U82&lt;0,U82*-1,0)</f>
        <v>0</v>
      </c>
      <c r="V102" s="76">
        <f t="shared" si="77"/>
        <v>0</v>
      </c>
      <c r="W102" s="76">
        <f t="shared" ref="W102:X102" si="78">IF(W82&lt;0,W82*-1,0)</f>
        <v>0</v>
      </c>
      <c r="X102" s="76">
        <f t="shared" si="78"/>
        <v>0</v>
      </c>
      <c r="Y102" s="76">
        <f t="shared" si="75"/>
        <v>0</v>
      </c>
      <c r="Z102" s="76">
        <f t="shared" si="75"/>
        <v>0</v>
      </c>
      <c r="AA102" s="76">
        <f t="shared" si="75"/>
        <v>0</v>
      </c>
      <c r="AB102" s="76">
        <f t="shared" si="75"/>
        <v>0</v>
      </c>
      <c r="AC102" s="76">
        <f t="shared" si="75"/>
        <v>0</v>
      </c>
      <c r="AD102" s="76">
        <f t="shared" si="75"/>
        <v>0</v>
      </c>
      <c r="AE102" s="76">
        <f t="shared" si="75"/>
        <v>0</v>
      </c>
      <c r="AF102" s="76">
        <f t="shared" si="75"/>
        <v>0</v>
      </c>
      <c r="AG102" s="55"/>
      <c r="AH102" s="47">
        <f t="shared" si="52"/>
        <v>0</v>
      </c>
      <c r="AI102" s="48">
        <f t="shared" si="53"/>
        <v>0</v>
      </c>
      <c r="BF102" s="232"/>
      <c r="BG102" s="233">
        <v>56.2</v>
      </c>
      <c r="BH102" s="233">
        <v>0</v>
      </c>
      <c r="BI102" s="233">
        <v>108</v>
      </c>
      <c r="BJ102" s="233">
        <v>27</v>
      </c>
      <c r="BK102" s="233">
        <v>27</v>
      </c>
      <c r="BL102" s="233">
        <v>35.1</v>
      </c>
    </row>
    <row r="103" spans="1:89" x14ac:dyDescent="0.25">
      <c r="A103" s="84" t="s">
        <v>103</v>
      </c>
      <c r="B103" s="76">
        <f t="shared" ref="B103:AF103" si="79">IF(B85&lt;0,B85*-1,0)</f>
        <v>0</v>
      </c>
      <c r="C103" s="76">
        <f t="shared" si="79"/>
        <v>0</v>
      </c>
      <c r="D103" s="76">
        <f t="shared" si="79"/>
        <v>0</v>
      </c>
      <c r="E103" s="76">
        <f t="shared" si="79"/>
        <v>0</v>
      </c>
      <c r="F103" s="76">
        <f t="shared" si="79"/>
        <v>0</v>
      </c>
      <c r="G103" s="76">
        <f t="shared" si="79"/>
        <v>0</v>
      </c>
      <c r="H103" s="76">
        <f t="shared" si="79"/>
        <v>0</v>
      </c>
      <c r="I103" s="76">
        <f t="shared" si="79"/>
        <v>0</v>
      </c>
      <c r="J103" s="76">
        <f t="shared" si="79"/>
        <v>0</v>
      </c>
      <c r="K103" s="76">
        <f t="shared" si="79"/>
        <v>0</v>
      </c>
      <c r="L103" s="76">
        <f t="shared" si="79"/>
        <v>0</v>
      </c>
      <c r="M103" s="76">
        <f t="shared" si="79"/>
        <v>0</v>
      </c>
      <c r="N103" s="76">
        <f t="shared" si="79"/>
        <v>0</v>
      </c>
      <c r="O103" s="76">
        <f t="shared" si="79"/>
        <v>0</v>
      </c>
      <c r="P103" s="76">
        <f t="shared" si="79"/>
        <v>0</v>
      </c>
      <c r="Q103" s="76">
        <f t="shared" si="79"/>
        <v>0</v>
      </c>
      <c r="R103" s="76">
        <f t="shared" si="79"/>
        <v>0</v>
      </c>
      <c r="S103" s="76">
        <f t="shared" ref="S103:T103" si="80">IF(S85&lt;0,S85*-1,0)</f>
        <v>0</v>
      </c>
      <c r="T103" s="76">
        <f t="shared" si="80"/>
        <v>0</v>
      </c>
      <c r="U103" s="76">
        <f t="shared" ref="U103:V103" si="81">IF(U85&lt;0,U85*-1,0)</f>
        <v>0</v>
      </c>
      <c r="V103" s="76">
        <f t="shared" si="81"/>
        <v>0</v>
      </c>
      <c r="W103" s="76">
        <f t="shared" ref="W103:X103" si="82">IF(W85&lt;0,W85*-1,0)</f>
        <v>0</v>
      </c>
      <c r="X103" s="76">
        <f t="shared" si="82"/>
        <v>0</v>
      </c>
      <c r="Y103" s="76">
        <f t="shared" si="79"/>
        <v>0</v>
      </c>
      <c r="Z103" s="76">
        <f t="shared" si="79"/>
        <v>0</v>
      </c>
      <c r="AA103" s="76">
        <f t="shared" si="79"/>
        <v>0</v>
      </c>
      <c r="AB103" s="76">
        <f t="shared" si="79"/>
        <v>0</v>
      </c>
      <c r="AC103" s="76">
        <f t="shared" si="79"/>
        <v>0</v>
      </c>
      <c r="AD103" s="76">
        <f t="shared" si="79"/>
        <v>0</v>
      </c>
      <c r="AE103" s="76">
        <f t="shared" si="79"/>
        <v>0</v>
      </c>
      <c r="AF103" s="76">
        <f t="shared" si="79"/>
        <v>0</v>
      </c>
      <c r="AG103" s="98"/>
      <c r="AH103" s="47">
        <f t="shared" si="52"/>
        <v>0</v>
      </c>
      <c r="AI103" s="48">
        <f t="shared" si="53"/>
        <v>0</v>
      </c>
      <c r="BF103" s="232"/>
      <c r="BG103" s="233">
        <v>58.1</v>
      </c>
      <c r="BH103" s="233">
        <v>0</v>
      </c>
      <c r="BI103" s="233">
        <v>262.8</v>
      </c>
      <c r="BJ103" s="233">
        <v>28</v>
      </c>
      <c r="BK103" s="233">
        <v>36.4</v>
      </c>
      <c r="BL103" s="233">
        <v>40.299999999999997</v>
      </c>
    </row>
    <row r="104" spans="1:89" x14ac:dyDescent="0.25">
      <c r="A104" s="84" t="s">
        <v>104</v>
      </c>
      <c r="B104" s="76">
        <f t="shared" ref="B104:AF104" si="83">IF(B83&lt;0,B83*-1,0)</f>
        <v>0</v>
      </c>
      <c r="C104" s="76">
        <f t="shared" si="83"/>
        <v>0</v>
      </c>
      <c r="D104" s="76">
        <f t="shared" si="83"/>
        <v>0</v>
      </c>
      <c r="E104" s="76">
        <f t="shared" si="83"/>
        <v>0</v>
      </c>
      <c r="F104" s="76">
        <f t="shared" si="83"/>
        <v>0</v>
      </c>
      <c r="G104" s="76">
        <f t="shared" si="83"/>
        <v>0</v>
      </c>
      <c r="H104" s="76">
        <f t="shared" si="83"/>
        <v>0</v>
      </c>
      <c r="I104" s="76">
        <f t="shared" si="83"/>
        <v>0</v>
      </c>
      <c r="J104" s="76">
        <f t="shared" si="83"/>
        <v>0</v>
      </c>
      <c r="K104" s="76">
        <f t="shared" si="83"/>
        <v>0</v>
      </c>
      <c r="L104" s="76">
        <f t="shared" si="83"/>
        <v>0</v>
      </c>
      <c r="M104" s="76">
        <f t="shared" si="83"/>
        <v>0</v>
      </c>
      <c r="N104" s="76">
        <f t="shared" si="83"/>
        <v>0</v>
      </c>
      <c r="O104" s="76">
        <f t="shared" si="83"/>
        <v>0</v>
      </c>
      <c r="P104" s="76">
        <f t="shared" si="83"/>
        <v>0</v>
      </c>
      <c r="Q104" s="76">
        <f t="shared" si="83"/>
        <v>0</v>
      </c>
      <c r="R104" s="76">
        <f t="shared" si="83"/>
        <v>0</v>
      </c>
      <c r="S104" s="76">
        <f t="shared" ref="S104:T104" si="84">IF(S83&lt;0,S83*-1,0)</f>
        <v>0</v>
      </c>
      <c r="T104" s="76">
        <f t="shared" si="84"/>
        <v>0</v>
      </c>
      <c r="U104" s="76">
        <f t="shared" ref="U104:V104" si="85">IF(U83&lt;0,U83*-1,0)</f>
        <v>0</v>
      </c>
      <c r="V104" s="76">
        <f t="shared" si="85"/>
        <v>0</v>
      </c>
      <c r="W104" s="76">
        <f t="shared" ref="W104:X104" si="86">IF(W83&lt;0,W83*-1,0)</f>
        <v>0</v>
      </c>
      <c r="X104" s="76">
        <f t="shared" si="86"/>
        <v>0</v>
      </c>
      <c r="Y104" s="76">
        <f t="shared" si="83"/>
        <v>0</v>
      </c>
      <c r="Z104" s="76">
        <f t="shared" si="83"/>
        <v>0</v>
      </c>
      <c r="AA104" s="76">
        <f t="shared" si="83"/>
        <v>0</v>
      </c>
      <c r="AB104" s="76">
        <f t="shared" si="83"/>
        <v>0</v>
      </c>
      <c r="AC104" s="76">
        <f t="shared" si="83"/>
        <v>0</v>
      </c>
      <c r="AD104" s="76">
        <f t="shared" si="83"/>
        <v>0</v>
      </c>
      <c r="AE104" s="76">
        <f t="shared" si="83"/>
        <v>0</v>
      </c>
      <c r="AF104" s="76">
        <f t="shared" si="83"/>
        <v>0</v>
      </c>
      <c r="AG104" s="98"/>
      <c r="AH104" s="47">
        <f t="shared" si="52"/>
        <v>0</v>
      </c>
      <c r="AI104" s="48">
        <f t="shared" si="53"/>
        <v>0</v>
      </c>
      <c r="BF104" s="232"/>
      <c r="BG104" s="233">
        <v>67.400000000000006</v>
      </c>
      <c r="BH104" s="233">
        <v>0</v>
      </c>
      <c r="BI104" s="233">
        <v>329</v>
      </c>
      <c r="BJ104" s="233">
        <v>33</v>
      </c>
      <c r="BK104" s="233">
        <v>0</v>
      </c>
      <c r="BL104" s="233">
        <v>51</v>
      </c>
    </row>
    <row r="105" spans="1:89" x14ac:dyDescent="0.25">
      <c r="A105" s="84" t="s">
        <v>81</v>
      </c>
      <c r="B105" s="76">
        <f t="shared" ref="B105:AF105" si="87">IF(B81&lt;0,B81*-1,0)</f>
        <v>0</v>
      </c>
      <c r="C105" s="76">
        <f t="shared" si="87"/>
        <v>0</v>
      </c>
      <c r="D105" s="76">
        <f t="shared" si="87"/>
        <v>0</v>
      </c>
      <c r="E105" s="76">
        <f t="shared" si="87"/>
        <v>0</v>
      </c>
      <c r="F105" s="76">
        <f t="shared" si="87"/>
        <v>0</v>
      </c>
      <c r="G105" s="76">
        <f t="shared" si="87"/>
        <v>0</v>
      </c>
      <c r="H105" s="76">
        <f t="shared" si="87"/>
        <v>0</v>
      </c>
      <c r="I105" s="76">
        <f t="shared" si="87"/>
        <v>0</v>
      </c>
      <c r="J105" s="76">
        <f t="shared" si="87"/>
        <v>0</v>
      </c>
      <c r="K105" s="76">
        <f t="shared" si="87"/>
        <v>0</v>
      </c>
      <c r="L105" s="76">
        <f t="shared" si="87"/>
        <v>0</v>
      </c>
      <c r="M105" s="76">
        <f t="shared" si="87"/>
        <v>0</v>
      </c>
      <c r="N105" s="76">
        <f t="shared" si="87"/>
        <v>0</v>
      </c>
      <c r="O105" s="76">
        <f t="shared" si="87"/>
        <v>0</v>
      </c>
      <c r="P105" s="76">
        <f t="shared" si="87"/>
        <v>0</v>
      </c>
      <c r="Q105" s="76">
        <f t="shared" si="87"/>
        <v>0</v>
      </c>
      <c r="R105" s="76">
        <f t="shared" si="87"/>
        <v>0</v>
      </c>
      <c r="S105" s="76">
        <f t="shared" ref="S105:T105" si="88">IF(S81&lt;0,S81*-1,0)</f>
        <v>0</v>
      </c>
      <c r="T105" s="76">
        <f t="shared" si="88"/>
        <v>0</v>
      </c>
      <c r="U105" s="76">
        <f t="shared" ref="U105:V105" si="89">IF(U81&lt;0,U81*-1,0)</f>
        <v>0</v>
      </c>
      <c r="V105" s="76">
        <f t="shared" si="89"/>
        <v>0</v>
      </c>
      <c r="W105" s="76">
        <f t="shared" ref="W105:X105" si="90">IF(W81&lt;0,W81*-1,0)</f>
        <v>0</v>
      </c>
      <c r="X105" s="76">
        <f t="shared" si="90"/>
        <v>0</v>
      </c>
      <c r="Y105" s="76">
        <f t="shared" si="87"/>
        <v>0</v>
      </c>
      <c r="Z105" s="76">
        <f t="shared" si="87"/>
        <v>0</v>
      </c>
      <c r="AA105" s="76">
        <f t="shared" si="87"/>
        <v>0</v>
      </c>
      <c r="AB105" s="76">
        <f t="shared" si="87"/>
        <v>0</v>
      </c>
      <c r="AC105" s="76">
        <f t="shared" si="87"/>
        <v>0</v>
      </c>
      <c r="AD105" s="76">
        <f t="shared" si="87"/>
        <v>0</v>
      </c>
      <c r="AE105" s="76">
        <f t="shared" si="87"/>
        <v>0</v>
      </c>
      <c r="AF105" s="76">
        <f t="shared" si="87"/>
        <v>0</v>
      </c>
      <c r="AG105" s="98"/>
      <c r="AH105" s="47">
        <f t="shared" si="52"/>
        <v>0</v>
      </c>
      <c r="AI105" s="48">
        <f t="shared" si="53"/>
        <v>0</v>
      </c>
      <c r="BF105" s="232"/>
      <c r="BG105" s="233">
        <v>62.7</v>
      </c>
      <c r="BH105" s="233">
        <v>0</v>
      </c>
      <c r="BI105" s="233">
        <v>396</v>
      </c>
      <c r="BJ105" s="233">
        <v>3</v>
      </c>
      <c r="BK105" s="233">
        <v>25</v>
      </c>
      <c r="BL105" s="233">
        <v>50</v>
      </c>
    </row>
    <row r="106" spans="1:89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1</v>
      </c>
      <c r="U106" s="94">
        <v>2</v>
      </c>
      <c r="V106" s="94">
        <v>3</v>
      </c>
      <c r="W106" s="94">
        <v>4</v>
      </c>
      <c r="X106" s="94">
        <v>5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2"/>
        <v>5</v>
      </c>
      <c r="AI106" s="48">
        <f t="shared" si="53"/>
        <v>0</v>
      </c>
      <c r="BG106" s="233">
        <v>69</v>
      </c>
      <c r="BH106" s="233">
        <v>0</v>
      </c>
      <c r="BI106" s="233">
        <v>365</v>
      </c>
      <c r="BJ106" s="233">
        <v>3</v>
      </c>
      <c r="BK106" s="233">
        <v>26</v>
      </c>
      <c r="BL106" s="233">
        <v>71</v>
      </c>
    </row>
    <row r="107" spans="1:89" ht="15.75" thickBot="1" x14ac:dyDescent="0.3">
      <c r="A107" s="99" t="s">
        <v>106</v>
      </c>
      <c r="B107" s="60">
        <f t="shared" ref="B107:C107" si="91">SUM(B101:B106)</f>
        <v>0</v>
      </c>
      <c r="C107" s="60">
        <f t="shared" si="91"/>
        <v>0</v>
      </c>
      <c r="D107" s="60">
        <f t="shared" ref="D107:AF107" si="92">SUM(D101:D106)</f>
        <v>0</v>
      </c>
      <c r="E107" s="60">
        <f t="shared" si="92"/>
        <v>0</v>
      </c>
      <c r="F107" s="60">
        <f t="shared" si="92"/>
        <v>0</v>
      </c>
      <c r="G107" s="60">
        <f t="shared" si="92"/>
        <v>0</v>
      </c>
      <c r="H107" s="60">
        <f t="shared" si="92"/>
        <v>0</v>
      </c>
      <c r="I107" s="60">
        <f t="shared" si="92"/>
        <v>0</v>
      </c>
      <c r="J107" s="60">
        <f t="shared" si="92"/>
        <v>0</v>
      </c>
      <c r="K107" s="60">
        <f t="shared" si="92"/>
        <v>0</v>
      </c>
      <c r="L107" s="60">
        <f t="shared" si="92"/>
        <v>0</v>
      </c>
      <c r="M107" s="60">
        <f t="shared" si="92"/>
        <v>0</v>
      </c>
      <c r="N107" s="60">
        <f t="shared" si="92"/>
        <v>0</v>
      </c>
      <c r="O107" s="60">
        <f t="shared" si="92"/>
        <v>0</v>
      </c>
      <c r="P107" s="60">
        <f t="shared" si="92"/>
        <v>0</v>
      </c>
      <c r="Q107" s="60">
        <f t="shared" si="92"/>
        <v>0</v>
      </c>
      <c r="R107" s="60">
        <f t="shared" si="92"/>
        <v>0</v>
      </c>
      <c r="S107" s="60">
        <f t="shared" ref="S107:T107" si="93">SUM(S101:S106)</f>
        <v>0</v>
      </c>
      <c r="T107" s="60">
        <f t="shared" si="93"/>
        <v>1</v>
      </c>
      <c r="U107" s="60">
        <f t="shared" ref="U107:V107" si="94">SUM(U101:U106)</f>
        <v>2</v>
      </c>
      <c r="V107" s="60">
        <f t="shared" si="94"/>
        <v>3</v>
      </c>
      <c r="W107" s="60">
        <f t="shared" ref="W107:X107" si="95">SUM(W101:W106)</f>
        <v>4</v>
      </c>
      <c r="X107" s="60">
        <f t="shared" si="95"/>
        <v>5</v>
      </c>
      <c r="Y107" s="60">
        <f t="shared" si="92"/>
        <v>0</v>
      </c>
      <c r="Z107" s="60">
        <f t="shared" si="92"/>
        <v>0</v>
      </c>
      <c r="AA107" s="60">
        <f t="shared" si="92"/>
        <v>0</v>
      </c>
      <c r="AB107" s="60">
        <f t="shared" si="92"/>
        <v>0</v>
      </c>
      <c r="AC107" s="60">
        <f t="shared" si="92"/>
        <v>0</v>
      </c>
      <c r="AD107" s="60">
        <f t="shared" si="92"/>
        <v>0</v>
      </c>
      <c r="AE107" s="60">
        <f t="shared" si="92"/>
        <v>0</v>
      </c>
      <c r="AF107" s="60">
        <f t="shared" si="92"/>
        <v>0</v>
      </c>
      <c r="AG107" s="88"/>
      <c r="AH107" s="47">
        <f t="shared" si="52"/>
        <v>5</v>
      </c>
      <c r="AI107" s="48">
        <f t="shared" si="53"/>
        <v>0</v>
      </c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BG107" s="233">
        <v>62.2</v>
      </c>
      <c r="BH107" s="233">
        <v>0</v>
      </c>
      <c r="BI107" s="233">
        <v>395.2</v>
      </c>
      <c r="BJ107" s="233">
        <v>12</v>
      </c>
      <c r="BK107" s="233">
        <v>0</v>
      </c>
      <c r="BL107" s="233">
        <v>49</v>
      </c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</row>
    <row r="108" spans="1:89" ht="15.75" thickBot="1" x14ac:dyDescent="0.3">
      <c r="A108" s="74" t="s">
        <v>107</v>
      </c>
      <c r="B108" s="60">
        <f t="shared" ref="B108:AF108" si="96">B92-B107</f>
        <v>518.4</v>
      </c>
      <c r="C108" s="60">
        <f t="shared" si="96"/>
        <v>525.9</v>
      </c>
      <c r="D108" s="60">
        <f t="shared" si="96"/>
        <v>515</v>
      </c>
      <c r="E108" s="60">
        <f t="shared" si="96"/>
        <v>536.1</v>
      </c>
      <c r="F108" s="60">
        <f t="shared" si="96"/>
        <v>550.6</v>
      </c>
      <c r="G108" s="60">
        <f t="shared" si="96"/>
        <v>581</v>
      </c>
      <c r="H108" s="60">
        <f t="shared" si="96"/>
        <v>539.9</v>
      </c>
      <c r="I108" s="60">
        <f t="shared" si="96"/>
        <v>556.20000000000005</v>
      </c>
      <c r="J108" s="60">
        <f t="shared" si="96"/>
        <v>603.69999999999993</v>
      </c>
      <c r="K108" s="60">
        <f t="shared" si="96"/>
        <v>523.29999999999995</v>
      </c>
      <c r="L108" s="60">
        <f t="shared" si="96"/>
        <v>326.39999999999998</v>
      </c>
      <c r="M108" s="60">
        <f t="shared" si="96"/>
        <v>217.8</v>
      </c>
      <c r="N108" s="60">
        <f t="shared" si="96"/>
        <v>369.79999999999995</v>
      </c>
      <c r="O108" s="60">
        <f t="shared" si="96"/>
        <v>520.4</v>
      </c>
      <c r="P108" s="60">
        <f t="shared" si="96"/>
        <v>591.9</v>
      </c>
      <c r="Q108" s="60">
        <f t="shared" si="96"/>
        <v>667.7</v>
      </c>
      <c r="R108" s="60">
        <f t="shared" si="96"/>
        <v>666.80000000000007</v>
      </c>
      <c r="S108" s="60">
        <f t="shared" ref="S108:T108" si="97">S92-S107</f>
        <v>667</v>
      </c>
      <c r="T108" s="60">
        <f t="shared" si="97"/>
        <v>708</v>
      </c>
      <c r="U108" s="60">
        <f t="shared" ref="U108:V108" si="98">U92-U107</f>
        <v>661.5</v>
      </c>
      <c r="V108" s="60">
        <f t="shared" si="98"/>
        <v>659.5</v>
      </c>
      <c r="W108" s="60">
        <f t="shared" ref="W108:X108" si="99">W92-W107</f>
        <v>505</v>
      </c>
      <c r="X108" s="60">
        <f t="shared" si="99"/>
        <v>503.40000000000003</v>
      </c>
      <c r="Y108" s="60">
        <f>Y92-Y107</f>
        <v>448</v>
      </c>
      <c r="Z108" s="60">
        <f>Z92-Z107</f>
        <v>253.29999999999998</v>
      </c>
      <c r="AA108" s="60">
        <f t="shared" si="96"/>
        <v>352.2</v>
      </c>
      <c r="AB108" s="60">
        <f t="shared" si="96"/>
        <v>425.6</v>
      </c>
      <c r="AC108" s="60">
        <f t="shared" si="96"/>
        <v>486.90000000000003</v>
      </c>
      <c r="AD108" s="60">
        <f t="shared" si="96"/>
        <v>480.4</v>
      </c>
      <c r="AE108" s="60">
        <f t="shared" si="96"/>
        <v>536.70000000000005</v>
      </c>
      <c r="AF108" s="60">
        <f t="shared" si="96"/>
        <v>534</v>
      </c>
      <c r="AG108" s="88"/>
      <c r="AH108" s="47">
        <f t="shared" si="52"/>
        <v>708</v>
      </c>
      <c r="AI108" s="48">
        <f t="shared" si="53"/>
        <v>217.8</v>
      </c>
    </row>
    <row r="109" spans="1:89" x14ac:dyDescent="0.25">
      <c r="A109" s="100" t="s">
        <v>108</v>
      </c>
      <c r="B109" s="101">
        <v>50.027000000000001</v>
      </c>
      <c r="C109" s="101">
        <v>50.002000000000002</v>
      </c>
      <c r="D109" s="101">
        <v>50.058999999999997</v>
      </c>
      <c r="E109" s="101">
        <v>50.003</v>
      </c>
      <c r="F109" s="101">
        <v>49.973999999999997</v>
      </c>
      <c r="G109" s="101">
        <v>49.945999999999998</v>
      </c>
      <c r="H109" s="101">
        <v>50.03</v>
      </c>
      <c r="I109" s="101">
        <v>49.930999999999997</v>
      </c>
      <c r="J109" s="101">
        <v>50.03</v>
      </c>
      <c r="K109" s="101">
        <v>50.003999999999998</v>
      </c>
      <c r="L109" s="101">
        <v>49.911999999999999</v>
      </c>
      <c r="M109" s="101">
        <v>50.055999999999997</v>
      </c>
      <c r="N109" s="101">
        <v>50.122</v>
      </c>
      <c r="O109" s="101">
        <v>50.002000000000002</v>
      </c>
      <c r="P109" s="101">
        <v>50.006999999999998</v>
      </c>
      <c r="Q109" s="101">
        <v>49.901000000000003</v>
      </c>
      <c r="R109" s="101">
        <v>49.912999999999997</v>
      </c>
      <c r="S109" s="101">
        <v>50.04</v>
      </c>
      <c r="T109" s="101">
        <v>50.04</v>
      </c>
      <c r="U109" s="101">
        <v>49.9</v>
      </c>
      <c r="V109" s="101">
        <v>49.9</v>
      </c>
      <c r="W109" s="101">
        <v>49.91</v>
      </c>
      <c r="X109" s="101">
        <v>50.073</v>
      </c>
      <c r="Y109" s="101">
        <v>50.03</v>
      </c>
      <c r="Z109" s="101">
        <v>49.872</v>
      </c>
      <c r="AA109" s="101">
        <v>49.899000000000001</v>
      </c>
      <c r="AB109" s="101">
        <v>50.078000000000003</v>
      </c>
      <c r="AC109" s="101">
        <v>50.003999999999998</v>
      </c>
      <c r="AD109" s="101">
        <v>50.05</v>
      </c>
      <c r="AE109" s="101">
        <v>50.03</v>
      </c>
      <c r="AF109" s="101">
        <v>50.006</v>
      </c>
      <c r="AG109" s="102"/>
      <c r="AH109" s="47">
        <f t="shared" si="52"/>
        <v>50.122</v>
      </c>
      <c r="AI109" s="48">
        <f t="shared" si="53"/>
        <v>49.872</v>
      </c>
    </row>
    <row r="110" spans="1:89" x14ac:dyDescent="0.25">
      <c r="A110" s="103" t="s">
        <v>109</v>
      </c>
      <c r="B110" s="65">
        <v>127.7</v>
      </c>
      <c r="C110" s="65">
        <v>127.9</v>
      </c>
      <c r="D110" s="65">
        <v>128.19999999999999</v>
      </c>
      <c r="E110" s="65">
        <v>129</v>
      </c>
      <c r="F110" s="65">
        <v>128</v>
      </c>
      <c r="G110" s="65">
        <v>127</v>
      </c>
      <c r="H110" s="65">
        <v>129.1</v>
      </c>
      <c r="I110" s="65">
        <v>127.5</v>
      </c>
      <c r="J110" s="65">
        <v>126.9</v>
      </c>
      <c r="K110" s="65">
        <v>128.19999999999999</v>
      </c>
      <c r="L110" s="65">
        <v>126.4</v>
      </c>
      <c r="M110" s="65">
        <v>127.5</v>
      </c>
      <c r="N110" s="65">
        <v>127.7</v>
      </c>
      <c r="O110" s="65">
        <v>126.1</v>
      </c>
      <c r="P110" s="65">
        <v>125.2</v>
      </c>
      <c r="Q110" s="65">
        <v>126.1</v>
      </c>
      <c r="R110" s="65">
        <v>126.1</v>
      </c>
      <c r="S110" s="65">
        <v>126.1</v>
      </c>
      <c r="T110" s="65">
        <v>125</v>
      </c>
      <c r="U110" s="65">
        <v>125</v>
      </c>
      <c r="V110" s="65">
        <v>125</v>
      </c>
      <c r="W110" s="65">
        <v>125</v>
      </c>
      <c r="X110" s="65">
        <v>127.4</v>
      </c>
      <c r="Y110" s="65">
        <v>126.3</v>
      </c>
      <c r="Z110" s="65">
        <v>125.8</v>
      </c>
      <c r="AA110" s="65">
        <v>127</v>
      </c>
      <c r="AB110" s="65">
        <v>129.19999999999999</v>
      </c>
      <c r="AC110" s="65">
        <v>130</v>
      </c>
      <c r="AD110" s="65">
        <v>127.9</v>
      </c>
      <c r="AE110" s="65">
        <v>127.4</v>
      </c>
      <c r="AF110" s="65">
        <v>128.19999999999999</v>
      </c>
      <c r="AG110" s="104"/>
      <c r="AH110" s="47">
        <f t="shared" si="52"/>
        <v>130</v>
      </c>
      <c r="AI110" s="48">
        <f t="shared" si="53"/>
        <v>125</v>
      </c>
    </row>
    <row r="111" spans="1:89" x14ac:dyDescent="0.25">
      <c r="A111" s="103" t="s">
        <v>110</v>
      </c>
      <c r="B111" s="65">
        <v>131.6</v>
      </c>
      <c r="C111" s="65">
        <v>132</v>
      </c>
      <c r="D111" s="65">
        <v>132.1</v>
      </c>
      <c r="E111" s="65">
        <v>132.1</v>
      </c>
      <c r="F111" s="65">
        <v>131</v>
      </c>
      <c r="G111" s="65">
        <v>130.5</v>
      </c>
      <c r="H111" s="65">
        <v>132.1</v>
      </c>
      <c r="I111" s="65">
        <v>130.19999999999999</v>
      </c>
      <c r="J111" s="65">
        <v>129</v>
      </c>
      <c r="K111" s="65">
        <v>129.30000000000001</v>
      </c>
      <c r="L111" s="65">
        <v>127.4</v>
      </c>
      <c r="M111" s="65">
        <v>128.5</v>
      </c>
      <c r="N111" s="65">
        <v>128.9</v>
      </c>
      <c r="O111" s="65">
        <v>127.4</v>
      </c>
      <c r="P111" s="65">
        <v>127.3</v>
      </c>
      <c r="Q111" s="65">
        <v>128.1</v>
      </c>
      <c r="R111" s="65">
        <v>128.69999999999999</v>
      </c>
      <c r="S111" s="65">
        <v>128.69999999999999</v>
      </c>
      <c r="T111" s="65">
        <v>127</v>
      </c>
      <c r="U111" s="65">
        <v>127</v>
      </c>
      <c r="V111" s="65">
        <v>127</v>
      </c>
      <c r="W111" s="65">
        <v>127</v>
      </c>
      <c r="X111" s="65">
        <v>129</v>
      </c>
      <c r="Y111" s="65">
        <v>127.3</v>
      </c>
      <c r="Z111" s="65">
        <v>127.7</v>
      </c>
      <c r="AA111" s="65">
        <v>128.69999999999999</v>
      </c>
      <c r="AB111" s="65">
        <v>131.69999999999999</v>
      </c>
      <c r="AC111" s="65">
        <v>131.4</v>
      </c>
      <c r="AD111" s="65">
        <v>129.5</v>
      </c>
      <c r="AE111" s="65">
        <v>130.69999999999999</v>
      </c>
      <c r="AF111" s="65">
        <v>131.80000000000001</v>
      </c>
      <c r="AG111" s="104"/>
      <c r="AH111" s="47">
        <f t="shared" si="52"/>
        <v>132.1</v>
      </c>
      <c r="AI111" s="48">
        <f t="shared" si="53"/>
        <v>127</v>
      </c>
    </row>
    <row r="112" spans="1:89" x14ac:dyDescent="0.25">
      <c r="A112" s="103" t="s">
        <v>111</v>
      </c>
      <c r="B112" s="65">
        <v>129</v>
      </c>
      <c r="C112" s="65">
        <v>131.80000000000001</v>
      </c>
      <c r="D112" s="65">
        <v>131.6</v>
      </c>
      <c r="E112" s="65">
        <v>127.5</v>
      </c>
      <c r="F112" s="65">
        <v>127.8</v>
      </c>
      <c r="G112" s="65">
        <v>127.5</v>
      </c>
      <c r="H112" s="65">
        <v>127</v>
      </c>
      <c r="I112" s="65">
        <v>128.30000000000001</v>
      </c>
      <c r="J112" s="65">
        <v>126.4</v>
      </c>
      <c r="K112" s="65">
        <v>130.5</v>
      </c>
      <c r="L112" s="65">
        <v>126.2</v>
      </c>
      <c r="M112" s="65">
        <v>131.4</v>
      </c>
      <c r="N112" s="65">
        <v>129.9</v>
      </c>
      <c r="O112" s="65">
        <v>126.5</v>
      </c>
      <c r="P112" s="65">
        <v>127</v>
      </c>
      <c r="Q112" s="65">
        <v>128.4</v>
      </c>
      <c r="R112" s="65">
        <v>130.5</v>
      </c>
      <c r="S112" s="65">
        <v>130.5</v>
      </c>
      <c r="T112" s="65">
        <v>128</v>
      </c>
      <c r="U112" s="65">
        <v>128</v>
      </c>
      <c r="V112" s="65">
        <v>128</v>
      </c>
      <c r="W112" s="65">
        <v>128</v>
      </c>
      <c r="X112" s="65">
        <v>130.1</v>
      </c>
      <c r="Y112" s="65">
        <v>129.6</v>
      </c>
      <c r="Z112" s="65"/>
      <c r="AA112" s="65"/>
      <c r="AB112" s="65">
        <v>131.4</v>
      </c>
      <c r="AC112" s="65">
        <v>130</v>
      </c>
      <c r="AD112" s="65">
        <v>126.7</v>
      </c>
      <c r="AE112" s="65">
        <v>130.6</v>
      </c>
      <c r="AF112" s="65">
        <v>129.69999999999999</v>
      </c>
      <c r="AG112" s="104"/>
      <c r="AH112" s="47">
        <f t="shared" si="52"/>
        <v>131.80000000000001</v>
      </c>
      <c r="AI112" s="48">
        <f t="shared" si="53"/>
        <v>126.2</v>
      </c>
    </row>
    <row r="113" spans="1:35" x14ac:dyDescent="0.25">
      <c r="A113" s="105" t="s">
        <v>112</v>
      </c>
      <c r="B113" s="65">
        <v>131.19999999999999</v>
      </c>
      <c r="C113" s="65">
        <v>133.5</v>
      </c>
      <c r="D113" s="65">
        <v>133.6</v>
      </c>
      <c r="E113" s="65">
        <v>131</v>
      </c>
      <c r="F113" s="65">
        <v>131.1</v>
      </c>
      <c r="G113" s="65">
        <v>130.69999999999999</v>
      </c>
      <c r="H113" s="65">
        <v>130.1</v>
      </c>
      <c r="I113" s="65">
        <v>130.4</v>
      </c>
      <c r="J113" s="65">
        <v>129.69999999999999</v>
      </c>
      <c r="K113" s="65">
        <v>132.9</v>
      </c>
      <c r="L113" s="65">
        <v>128</v>
      </c>
      <c r="M113" s="65">
        <v>131.9</v>
      </c>
      <c r="N113" s="65">
        <v>130.19999999999999</v>
      </c>
      <c r="O113" s="65">
        <v>127.8</v>
      </c>
      <c r="P113" s="65">
        <v>127.7</v>
      </c>
      <c r="Q113" s="65">
        <v>129.4</v>
      </c>
      <c r="R113" s="65">
        <v>133.1</v>
      </c>
      <c r="S113" s="65">
        <v>133.1</v>
      </c>
      <c r="T113" s="65">
        <v>130</v>
      </c>
      <c r="U113" s="65">
        <v>130</v>
      </c>
      <c r="V113" s="65">
        <v>130</v>
      </c>
      <c r="W113" s="65">
        <v>130</v>
      </c>
      <c r="X113" s="65">
        <v>127.8</v>
      </c>
      <c r="Y113" s="65">
        <v>128.9</v>
      </c>
      <c r="Z113" s="65"/>
      <c r="AA113" s="65"/>
      <c r="AB113" s="65">
        <v>132.9</v>
      </c>
      <c r="AC113" s="65">
        <v>131.9</v>
      </c>
      <c r="AD113" s="65">
        <v>129.80000000000001</v>
      </c>
      <c r="AE113" s="65">
        <v>133.6</v>
      </c>
      <c r="AF113" s="65">
        <v>133.9</v>
      </c>
      <c r="AG113" s="104"/>
      <c r="AH113" s="47">
        <f t="shared" si="52"/>
        <v>133.9</v>
      </c>
      <c r="AI113" s="48">
        <f t="shared" si="53"/>
        <v>127.7</v>
      </c>
    </row>
    <row r="114" spans="1:35" x14ac:dyDescent="0.25">
      <c r="A114" s="105" t="s">
        <v>113</v>
      </c>
      <c r="B114" s="106">
        <v>132</v>
      </c>
      <c r="C114" s="106">
        <v>132.80000000000001</v>
      </c>
      <c r="D114" s="106">
        <v>131.6</v>
      </c>
      <c r="E114" s="106">
        <v>130.80000000000001</v>
      </c>
      <c r="F114" s="106">
        <v>130</v>
      </c>
      <c r="G114" s="106">
        <v>131.19999999999999</v>
      </c>
      <c r="H114" s="106">
        <v>133.6</v>
      </c>
      <c r="I114" s="106">
        <v>132</v>
      </c>
      <c r="J114" s="106">
        <v>134.1</v>
      </c>
      <c r="K114" s="106">
        <v>134.6</v>
      </c>
      <c r="L114" s="106">
        <v>134.30000000000001</v>
      </c>
      <c r="M114" s="106">
        <v>134</v>
      </c>
      <c r="N114" s="106">
        <v>133.4</v>
      </c>
      <c r="O114" s="106">
        <v>132.4</v>
      </c>
      <c r="P114" s="106">
        <v>133.6</v>
      </c>
      <c r="Q114" s="106">
        <v>133.5</v>
      </c>
      <c r="R114" s="106">
        <v>133.4</v>
      </c>
      <c r="S114" s="106">
        <v>133.4</v>
      </c>
      <c r="T114" s="106">
        <v>132</v>
      </c>
      <c r="U114" s="106">
        <v>132</v>
      </c>
      <c r="V114" s="106">
        <v>132</v>
      </c>
      <c r="W114" s="106">
        <v>132</v>
      </c>
      <c r="X114" s="106">
        <v>133.6</v>
      </c>
      <c r="Y114" s="106">
        <v>134</v>
      </c>
      <c r="Z114" s="106">
        <v>133.80000000000001</v>
      </c>
      <c r="AA114" s="106">
        <v>134.80000000000001</v>
      </c>
      <c r="AB114" s="106">
        <v>136.9</v>
      </c>
      <c r="AC114" s="106">
        <v>136.69999999999999</v>
      </c>
      <c r="AD114" s="106">
        <v>135.5</v>
      </c>
      <c r="AE114" s="106">
        <v>134.1</v>
      </c>
      <c r="AF114" s="106">
        <v>134.30000000000001</v>
      </c>
      <c r="AG114" s="107"/>
      <c r="AH114" s="47">
        <f t="shared" si="52"/>
        <v>136.9</v>
      </c>
      <c r="AI114" s="48">
        <f t="shared" si="53"/>
        <v>130</v>
      </c>
    </row>
    <row r="115" spans="1:35" x14ac:dyDescent="0.25">
      <c r="A115" s="103" t="s">
        <v>114</v>
      </c>
      <c r="B115" s="65">
        <v>135.1</v>
      </c>
      <c r="C115" s="65">
        <v>125.8</v>
      </c>
      <c r="D115" s="65">
        <v>125.5</v>
      </c>
      <c r="E115" s="65">
        <v>127</v>
      </c>
      <c r="F115" s="65">
        <v>127.6</v>
      </c>
      <c r="G115" s="65">
        <v>129.19999999999999</v>
      </c>
      <c r="H115" s="65">
        <v>124.4</v>
      </c>
      <c r="I115" s="65">
        <v>127.3</v>
      </c>
      <c r="J115" s="65">
        <v>135.80000000000001</v>
      </c>
      <c r="K115" s="65">
        <v>134.5</v>
      </c>
      <c r="L115" s="65">
        <v>130.5</v>
      </c>
      <c r="M115" s="65">
        <v>128.80000000000001</v>
      </c>
      <c r="N115" s="65">
        <v>130.80000000000001</v>
      </c>
      <c r="O115" s="65">
        <v>130.4</v>
      </c>
      <c r="P115" s="65">
        <v>127.3</v>
      </c>
      <c r="Q115" s="65">
        <v>130.9</v>
      </c>
      <c r="R115" s="65">
        <v>133.30000000000001</v>
      </c>
      <c r="S115" s="65">
        <v>133.30000000000001</v>
      </c>
      <c r="T115" s="65">
        <v>127</v>
      </c>
      <c r="U115" s="65">
        <v>127</v>
      </c>
      <c r="V115" s="65">
        <v>127</v>
      </c>
      <c r="W115" s="65">
        <v>127</v>
      </c>
      <c r="X115" s="65">
        <v>132</v>
      </c>
      <c r="Y115" s="65">
        <v>129.19999999999999</v>
      </c>
      <c r="Z115" s="65">
        <v>131</v>
      </c>
      <c r="AA115" s="65">
        <v>134.69999999999999</v>
      </c>
      <c r="AB115" s="65">
        <v>135.30000000000001</v>
      </c>
      <c r="AC115" s="65">
        <v>134.6</v>
      </c>
      <c r="AD115" s="65">
        <v>134.30000000000001</v>
      </c>
      <c r="AE115" s="65">
        <v>133.80000000000001</v>
      </c>
      <c r="AF115" s="65">
        <v>130.19999999999999</v>
      </c>
      <c r="AG115" s="104"/>
      <c r="AH115" s="47">
        <f t="shared" si="52"/>
        <v>135.80000000000001</v>
      </c>
      <c r="AI115" s="48">
        <f t="shared" si="53"/>
        <v>124.4</v>
      </c>
    </row>
    <row r="116" spans="1:35" ht="15.75" thickBot="1" x14ac:dyDescent="0.3">
      <c r="A116" s="103" t="s">
        <v>115</v>
      </c>
      <c r="B116" s="92">
        <v>66.2</v>
      </c>
      <c r="C116" s="92">
        <v>66.5</v>
      </c>
      <c r="D116" s="92">
        <v>66.7</v>
      </c>
      <c r="E116" s="92">
        <v>66.7</v>
      </c>
      <c r="F116" s="92">
        <v>66.2</v>
      </c>
      <c r="G116" s="92">
        <v>66</v>
      </c>
      <c r="H116" s="92">
        <v>66.7</v>
      </c>
      <c r="I116" s="92">
        <v>65.7</v>
      </c>
      <c r="J116" s="92">
        <v>64.599999999999994</v>
      </c>
      <c r="K116" s="92">
        <v>65.099999999999994</v>
      </c>
      <c r="L116" s="92">
        <v>63.9</v>
      </c>
      <c r="M116" s="92">
        <v>64.3</v>
      </c>
      <c r="N116" s="92">
        <v>64.5</v>
      </c>
      <c r="O116" s="92">
        <v>63.6</v>
      </c>
      <c r="P116" s="92">
        <v>63.7</v>
      </c>
      <c r="Q116" s="92">
        <v>64</v>
      </c>
      <c r="R116" s="92">
        <v>64.3</v>
      </c>
      <c r="S116" s="92">
        <v>64.3</v>
      </c>
      <c r="T116" s="92">
        <v>64.3</v>
      </c>
      <c r="U116" s="92">
        <v>64.3</v>
      </c>
      <c r="V116" s="92">
        <v>64.3</v>
      </c>
      <c r="W116" s="92">
        <v>64.3</v>
      </c>
      <c r="X116" s="92">
        <v>64.8</v>
      </c>
      <c r="Y116" s="92">
        <v>63.9</v>
      </c>
      <c r="Z116" s="92">
        <v>64.3</v>
      </c>
      <c r="AA116" s="92">
        <v>65.8</v>
      </c>
      <c r="AB116" s="92">
        <v>65.8</v>
      </c>
      <c r="AC116" s="92">
        <v>65.599999999999994</v>
      </c>
      <c r="AD116" s="92">
        <v>64.900000000000006</v>
      </c>
      <c r="AE116" s="92" t="s">
        <v>599</v>
      </c>
      <c r="AF116" s="92">
        <v>66.2</v>
      </c>
      <c r="AG116" s="108"/>
      <c r="AH116" s="47">
        <f t="shared" si="52"/>
        <v>66.7</v>
      </c>
      <c r="AI116" s="48">
        <f t="shared" si="53"/>
        <v>63.6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2"/>
        <v>0</v>
      </c>
      <c r="AI117" s="48">
        <f t="shared" si="53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149.09699999999998</v>
      </c>
      <c r="C118" s="111">
        <f>SUM(C22,C28,C31:C32,C66,C68:C69,C71,C73,C119:C123,C155,C161,C167,C176,C178,C190,C197,C200:C201,C208,C210,C212,C216:C218,C220:C222,C227,C233:C234,C236:C238,C246,C251)</f>
        <v>147.899</v>
      </c>
      <c r="D118" s="111">
        <f t="shared" ref="D118:O118" si="100">SUM(D22,D28,D31:D32,D66,D68:D69,D71,D73,D119:D123,D155,D161,D167,D176,D178,D190,D197,D200:D201,D208,D210,D212,D216:D218,D220:D222,D227,D233:D234,D236:D238,D246,D251)</f>
        <v>136.81299999999999</v>
      </c>
      <c r="E118" s="111">
        <f t="shared" si="100"/>
        <v>140.53999999999996</v>
      </c>
      <c r="F118" s="111">
        <f t="shared" si="100"/>
        <v>141.648</v>
      </c>
      <c r="G118" s="111">
        <f t="shared" si="100"/>
        <v>176.328</v>
      </c>
      <c r="H118" s="111">
        <f t="shared" si="100"/>
        <v>203.74799999999999</v>
      </c>
      <c r="I118" s="111">
        <f t="shared" si="100"/>
        <v>239.69200000000001</v>
      </c>
      <c r="J118" s="111">
        <f t="shared" si="100"/>
        <v>307.19099999999997</v>
      </c>
      <c r="K118" s="111">
        <f t="shared" si="100"/>
        <v>349.16</v>
      </c>
      <c r="L118" s="111">
        <f t="shared" si="100"/>
        <v>384.42400000000004</v>
      </c>
      <c r="M118" s="111">
        <f t="shared" si="100"/>
        <v>367.53999999999996</v>
      </c>
      <c r="N118" s="111">
        <f t="shared" si="100"/>
        <v>352.44</v>
      </c>
      <c r="O118" s="111">
        <f t="shared" si="100"/>
        <v>362.71999999999997</v>
      </c>
      <c r="P118" s="111">
        <v>42</v>
      </c>
      <c r="Q118" s="111">
        <f t="shared" ref="Q118:AF118" si="101">SUM(Q22,Q28,Q31:Q32,Q66,Q68:Q69,Q71,Q73,Q119:Q123,Q155,Q161,Q167,Q176,Q178,Q190,Q197,Q200:Q201,Q208,Q210,Q212,Q216:Q218,Q220:Q222,Q227,Q233:Q234,Q236:Q238,Q246,Q251)</f>
        <v>328.52000000000004</v>
      </c>
      <c r="R118" s="111">
        <f t="shared" si="101"/>
        <v>322.95999999999998</v>
      </c>
      <c r="S118" s="111">
        <f t="shared" ref="S118:T118" si="102">SUM(S22,S28,S31:S32,S66,S68:S69,S71,S73,S119:S123,S155,S161,S167,S176,S178,S190,S197,S200:S201,S208,S210,S212,S216:S218,S220:S222,S227,S233:S234,S236:S238,S246,S251)</f>
        <v>318.95999999999998</v>
      </c>
      <c r="T118" s="111">
        <f t="shared" si="102"/>
        <v>294.54000000000002</v>
      </c>
      <c r="U118" s="111">
        <f t="shared" si="101"/>
        <v>291.54000000000002</v>
      </c>
      <c r="V118" s="111">
        <f t="shared" si="101"/>
        <v>314.15100000000001</v>
      </c>
      <c r="W118" s="111">
        <f t="shared" ref="W118:X118" si="103">SUM(W22,W28,W31:W32,W66,W68:W69,W71,W73,W119:W123,W155,W161,W167,W176,W178,W190,W197,W200:W201,W208,W210,W212,W216:W218,W220:W222,W227,W233:W234,W236:W238,W246,W251)</f>
        <v>313.15100000000001</v>
      </c>
      <c r="X118" s="111">
        <f t="shared" si="103"/>
        <v>363.65300000000002</v>
      </c>
      <c r="Y118" s="111">
        <f t="shared" ref="Y118:Z118" si="104">SUM(Y20,Y26,Y37:Y38,Y66,Y68:Y69,Y71,Y73,Y119:Y123,Y148,Y154,Y160,Y169,Y171,Y183,Y190,Y193:Y194,Y201,Y203,Y205,Y209:Y211,Y213:Y215,Y220,Y226:Y227,Y229:Y231,Y239,Y244)</f>
        <v>445.90000000000003</v>
      </c>
      <c r="Z118" s="111">
        <f t="shared" si="104"/>
        <v>449.26100000000002</v>
      </c>
      <c r="AA118" s="111">
        <f t="shared" si="101"/>
        <v>417.15299999999996</v>
      </c>
      <c r="AB118" s="111">
        <f t="shared" si="101"/>
        <v>384.52500000000003</v>
      </c>
      <c r="AC118" s="111">
        <f t="shared" si="101"/>
        <v>370.14</v>
      </c>
      <c r="AD118" s="111">
        <f t="shared" si="101"/>
        <v>351.34</v>
      </c>
      <c r="AE118" s="111">
        <f t="shared" si="101"/>
        <v>254.54000000000002</v>
      </c>
      <c r="AF118" s="111">
        <f t="shared" si="101"/>
        <v>197.86</v>
      </c>
      <c r="AG118" s="112"/>
      <c r="AH118" s="47">
        <f t="shared" si="52"/>
        <v>449.26100000000002</v>
      </c>
      <c r="AI118" s="48">
        <f t="shared" si="53"/>
        <v>42</v>
      </c>
    </row>
    <row r="119" spans="1:35" x14ac:dyDescent="0.25">
      <c r="A119" s="172" t="s">
        <v>118</v>
      </c>
      <c r="B119" s="113">
        <v>4.7</v>
      </c>
      <c r="C119" s="113">
        <v>2.8</v>
      </c>
      <c r="D119" s="113">
        <v>-1.3</v>
      </c>
      <c r="E119" s="113">
        <v>-21.1</v>
      </c>
      <c r="F119" s="113">
        <v>-22.4</v>
      </c>
      <c r="G119" s="113">
        <v>-15.6</v>
      </c>
      <c r="H119" s="113">
        <v>3.1</v>
      </c>
      <c r="I119" s="113">
        <v>6.7</v>
      </c>
      <c r="J119" s="113">
        <v>18</v>
      </c>
      <c r="K119" s="113">
        <v>24.8</v>
      </c>
      <c r="L119" s="113">
        <v>40.6</v>
      </c>
      <c r="M119" s="113">
        <v>42.5</v>
      </c>
      <c r="N119" s="113">
        <v>35.4</v>
      </c>
      <c r="O119" s="113">
        <v>29.4</v>
      </c>
      <c r="P119" s="113">
        <v>40.200000000000003</v>
      </c>
      <c r="Q119" s="113">
        <v>36.799999999999997</v>
      </c>
      <c r="R119" s="113">
        <v>35.299999999999997</v>
      </c>
      <c r="S119" s="113">
        <v>35.299999999999997</v>
      </c>
      <c r="T119" s="113">
        <v>26</v>
      </c>
      <c r="U119" s="113">
        <v>24</v>
      </c>
      <c r="V119" s="113">
        <v>14.3</v>
      </c>
      <c r="W119" s="113">
        <v>14.3</v>
      </c>
      <c r="X119" s="113">
        <v>20.399999999999999</v>
      </c>
      <c r="Y119" s="113">
        <v>40.4</v>
      </c>
      <c r="Z119" s="113">
        <v>43.3</v>
      </c>
      <c r="AA119" s="113">
        <v>41.9</v>
      </c>
      <c r="AB119" s="113">
        <v>33.700000000000003</v>
      </c>
      <c r="AC119" s="113">
        <v>35.799999999999997</v>
      </c>
      <c r="AD119" s="113">
        <v>33</v>
      </c>
      <c r="AE119" s="113">
        <v>23.6</v>
      </c>
      <c r="AF119" s="113">
        <v>18.2</v>
      </c>
      <c r="AG119" s="114">
        <v>75</v>
      </c>
      <c r="AH119" s="47">
        <f t="shared" si="52"/>
        <v>43.3</v>
      </c>
      <c r="AI119" s="48">
        <f t="shared" si="53"/>
        <v>-22.4</v>
      </c>
    </row>
    <row r="120" spans="1:35" x14ac:dyDescent="0.25">
      <c r="A120" s="173" t="s">
        <v>119</v>
      </c>
      <c r="B120" s="115">
        <v>1.4</v>
      </c>
      <c r="C120" s="115">
        <v>1.1000000000000001</v>
      </c>
      <c r="D120" s="115">
        <v>-6.1</v>
      </c>
      <c r="E120" s="115">
        <v>-33.700000000000003</v>
      </c>
      <c r="F120" s="115">
        <v>-34.4</v>
      </c>
      <c r="G120" s="115">
        <v>-24.4</v>
      </c>
      <c r="H120" s="115">
        <v>1.3</v>
      </c>
      <c r="I120" s="115">
        <v>7.3</v>
      </c>
      <c r="J120" s="115">
        <v>21.3</v>
      </c>
      <c r="K120" s="115">
        <v>35.1</v>
      </c>
      <c r="L120" s="115">
        <v>55.7</v>
      </c>
      <c r="M120" s="115">
        <v>59.3</v>
      </c>
      <c r="N120" s="115">
        <v>48</v>
      </c>
      <c r="O120" s="115">
        <v>40.4</v>
      </c>
      <c r="P120" s="115">
        <v>48.6</v>
      </c>
      <c r="Q120" s="115">
        <v>43.4</v>
      </c>
      <c r="R120" s="115">
        <v>41.9</v>
      </c>
      <c r="S120" s="115">
        <v>41.9</v>
      </c>
      <c r="T120" s="115">
        <v>28</v>
      </c>
      <c r="U120" s="115">
        <v>25</v>
      </c>
      <c r="V120" s="115">
        <v>13.1</v>
      </c>
      <c r="W120" s="115">
        <v>13.1</v>
      </c>
      <c r="X120" s="115">
        <v>28.3</v>
      </c>
      <c r="Y120" s="115">
        <v>53.2</v>
      </c>
      <c r="Z120" s="115">
        <v>57.4</v>
      </c>
      <c r="AA120" s="115">
        <v>56.5</v>
      </c>
      <c r="AB120" s="115">
        <v>45.1</v>
      </c>
      <c r="AC120" s="115">
        <v>47.4</v>
      </c>
      <c r="AD120" s="115">
        <v>40.4</v>
      </c>
      <c r="AE120" s="115">
        <v>26.6</v>
      </c>
      <c r="AF120" s="115">
        <v>20.7</v>
      </c>
      <c r="AG120" s="114">
        <v>240</v>
      </c>
      <c r="AH120" s="47">
        <f t="shared" si="52"/>
        <v>59.3</v>
      </c>
      <c r="AI120" s="48">
        <f t="shared" si="53"/>
        <v>-34.4</v>
      </c>
    </row>
    <row r="121" spans="1:35" x14ac:dyDescent="0.25">
      <c r="A121" s="173" t="s">
        <v>120</v>
      </c>
      <c r="B121" s="115">
        <v>-39</v>
      </c>
      <c r="C121" s="115">
        <v>-39.700000000000003</v>
      </c>
      <c r="D121" s="115">
        <v>-38.700000000000003</v>
      </c>
      <c r="E121" s="115">
        <v>-9.5</v>
      </c>
      <c r="F121" s="115">
        <v>-9.9</v>
      </c>
      <c r="G121" s="115">
        <v>-6.3</v>
      </c>
      <c r="H121" s="115">
        <v>-1.8</v>
      </c>
      <c r="I121" s="115">
        <v>6</v>
      </c>
      <c r="J121" s="115">
        <v>19.399999999999999</v>
      </c>
      <c r="K121" s="115">
        <v>32.200000000000003</v>
      </c>
      <c r="L121" s="115">
        <v>35</v>
      </c>
      <c r="M121" s="115">
        <f>15+18</f>
        <v>33</v>
      </c>
      <c r="N121" s="115">
        <f>16+19</f>
        <v>35</v>
      </c>
      <c r="O121" s="115">
        <f>18+21</f>
        <v>39</v>
      </c>
      <c r="P121" s="115">
        <f>10+12.8</f>
        <v>22.8</v>
      </c>
      <c r="Q121" s="115">
        <f>6.4+7.9</f>
        <v>14.3</v>
      </c>
      <c r="R121" s="115">
        <f>7+8.6</f>
        <v>15.6</v>
      </c>
      <c r="S121" s="115">
        <f>7+8.6</f>
        <v>15.6</v>
      </c>
      <c r="T121" s="115">
        <v>18</v>
      </c>
      <c r="U121" s="115">
        <v>23</v>
      </c>
      <c r="V121" s="115">
        <v>42</v>
      </c>
      <c r="W121" s="115">
        <v>42</v>
      </c>
      <c r="X121" s="115">
        <v>50</v>
      </c>
      <c r="Y121" s="115">
        <v>61</v>
      </c>
      <c r="Z121" s="115">
        <v>58.2</v>
      </c>
      <c r="AA121" s="115">
        <v>48</v>
      </c>
      <c r="AB121" s="115">
        <v>48</v>
      </c>
      <c r="AC121" s="115">
        <v>47</v>
      </c>
      <c r="AD121" s="115">
        <v>39</v>
      </c>
      <c r="AE121" s="115">
        <v>-8</v>
      </c>
      <c r="AF121" s="115">
        <v>-28</v>
      </c>
      <c r="AG121" s="114">
        <v>240</v>
      </c>
      <c r="AH121" s="47">
        <f t="shared" si="52"/>
        <v>61</v>
      </c>
      <c r="AI121" s="48">
        <f t="shared" si="53"/>
        <v>-39.700000000000003</v>
      </c>
    </row>
    <row r="122" spans="1:35" ht="15.75" thickBot="1" x14ac:dyDescent="0.3">
      <c r="A122" s="173" t="s">
        <v>121</v>
      </c>
      <c r="B122" s="115">
        <v>-18</v>
      </c>
      <c r="C122" s="115">
        <v>-18.8</v>
      </c>
      <c r="D122" s="115">
        <v>-5.9</v>
      </c>
      <c r="E122" s="115">
        <v>-3.6</v>
      </c>
      <c r="F122" s="115">
        <v>-3.7</v>
      </c>
      <c r="G122" s="115">
        <v>-0.9</v>
      </c>
      <c r="H122" s="115">
        <v>5.6</v>
      </c>
      <c r="I122" s="115">
        <v>8.4</v>
      </c>
      <c r="J122" s="115">
        <v>11.8</v>
      </c>
      <c r="K122" s="115">
        <v>25.9</v>
      </c>
      <c r="L122" s="115">
        <v>27.9</v>
      </c>
      <c r="M122" s="115">
        <v>24.9</v>
      </c>
      <c r="N122" s="115">
        <v>24.2</v>
      </c>
      <c r="O122" s="115">
        <v>26.4</v>
      </c>
      <c r="P122" s="115">
        <v>12.5</v>
      </c>
      <c r="Q122" s="115">
        <v>10.3</v>
      </c>
      <c r="R122" s="115">
        <v>7.9</v>
      </c>
      <c r="S122" s="115">
        <v>8.9</v>
      </c>
      <c r="T122" s="115">
        <v>8</v>
      </c>
      <c r="U122" s="115">
        <v>12</v>
      </c>
      <c r="V122" s="115">
        <v>22.1</v>
      </c>
      <c r="W122" s="115">
        <v>22.1</v>
      </c>
      <c r="X122" s="115">
        <v>25.6</v>
      </c>
      <c r="Y122" s="115">
        <v>31.1</v>
      </c>
      <c r="Z122" s="115">
        <v>31</v>
      </c>
      <c r="AA122" s="115">
        <v>29.4</v>
      </c>
      <c r="AB122" s="115">
        <v>27.5</v>
      </c>
      <c r="AC122" s="115">
        <v>26</v>
      </c>
      <c r="AD122" s="115">
        <v>17</v>
      </c>
      <c r="AE122" s="115">
        <v>8</v>
      </c>
      <c r="AF122" s="115">
        <v>1.5</v>
      </c>
      <c r="AG122" s="114">
        <v>60</v>
      </c>
      <c r="AH122" s="47">
        <f t="shared" si="52"/>
        <v>31.1</v>
      </c>
      <c r="AI122" s="48">
        <f t="shared" si="53"/>
        <v>-18.8</v>
      </c>
    </row>
    <row r="123" spans="1:35" x14ac:dyDescent="0.25">
      <c r="A123" s="172" t="s">
        <v>259</v>
      </c>
      <c r="B123" s="117">
        <f>67.1*1.67</f>
        <v>112.05699999999999</v>
      </c>
      <c r="C123" s="117">
        <f>67.7*1.67</f>
        <v>113.059</v>
      </c>
      <c r="D123" s="117">
        <f>61.9*1.67</f>
        <v>103.37299999999999</v>
      </c>
      <c r="E123" s="117">
        <f>1.64*75</f>
        <v>122.99999999999999</v>
      </c>
      <c r="F123" s="117">
        <f>1.64*77.2</f>
        <v>126.608</v>
      </c>
      <c r="G123" s="117">
        <f>1.64*84.2</f>
        <v>138.08799999999999</v>
      </c>
      <c r="H123" s="117">
        <f>1.64*67.2</f>
        <v>110.208</v>
      </c>
      <c r="I123" s="117">
        <f>1.64*76.8</f>
        <v>125.95199999999998</v>
      </c>
      <c r="J123" s="117">
        <f>1.64*91.8</f>
        <v>150.55199999999999</v>
      </c>
      <c r="K123" s="117">
        <f>1.64*88</f>
        <v>144.32</v>
      </c>
      <c r="L123" s="117">
        <f>1.64*83.1</f>
        <v>136.28399999999999</v>
      </c>
      <c r="M123" s="117">
        <f>70*1.64</f>
        <v>114.8</v>
      </c>
      <c r="N123" s="117">
        <f>70*1.64</f>
        <v>114.8</v>
      </c>
      <c r="O123" s="117">
        <f>77*1.64</f>
        <v>126.27999999999999</v>
      </c>
      <c r="P123" s="117">
        <f>78*1.64</f>
        <v>127.91999999999999</v>
      </c>
      <c r="Q123" s="117">
        <f>72*1.64</f>
        <v>118.08</v>
      </c>
      <c r="R123" s="117">
        <f>73*1.64</f>
        <v>119.72</v>
      </c>
      <c r="S123" s="117">
        <f>73*1.64</f>
        <v>119.72</v>
      </c>
      <c r="T123" s="117">
        <v>120</v>
      </c>
      <c r="U123" s="117">
        <v>120</v>
      </c>
      <c r="V123" s="117">
        <f>83.3*1.67</f>
        <v>139.11099999999999</v>
      </c>
      <c r="W123" s="117">
        <f t="shared" ref="W123" si="105">83.3*1.67</f>
        <v>139.11099999999999</v>
      </c>
      <c r="X123" s="117">
        <f>93.9*1.67</f>
        <v>156.81300000000002</v>
      </c>
      <c r="Y123" s="117">
        <v>167</v>
      </c>
      <c r="Z123" s="117">
        <f>98.3*1.67</f>
        <v>164.161</v>
      </c>
      <c r="AA123" s="117">
        <f>93.9*1.67</f>
        <v>156.81300000000002</v>
      </c>
      <c r="AB123" s="117">
        <f>89.5*1.63</f>
        <v>145.88499999999999</v>
      </c>
      <c r="AC123" s="117">
        <f>81*1.6</f>
        <v>129.6</v>
      </c>
      <c r="AD123" s="117">
        <f>86*1.6</f>
        <v>137.6</v>
      </c>
      <c r="AE123" s="117">
        <f>73*1.6</f>
        <v>116.80000000000001</v>
      </c>
      <c r="AF123" s="117">
        <f>61.2*1.6</f>
        <v>97.920000000000016</v>
      </c>
      <c r="AG123" s="118">
        <v>120</v>
      </c>
      <c r="AH123" s="47">
        <f t="shared" si="52"/>
        <v>167</v>
      </c>
      <c r="AI123" s="48">
        <f t="shared" si="53"/>
        <v>97.920000000000016</v>
      </c>
    </row>
    <row r="124" spans="1:35" x14ac:dyDescent="0.25">
      <c r="A124" s="173" t="s">
        <v>258</v>
      </c>
      <c r="B124" s="117">
        <v>79.400000000000006</v>
      </c>
      <c r="C124" s="117">
        <v>79.2</v>
      </c>
      <c r="D124" s="117">
        <v>77.8</v>
      </c>
      <c r="E124" s="117">
        <v>85.9</v>
      </c>
      <c r="F124" s="117">
        <v>86.6</v>
      </c>
      <c r="G124" s="117">
        <v>92.2</v>
      </c>
      <c r="H124" s="117">
        <v>78.900000000000006</v>
      </c>
      <c r="I124" s="117">
        <v>86.5</v>
      </c>
      <c r="J124" s="117">
        <v>97.1</v>
      </c>
      <c r="K124" s="117">
        <v>95.6</v>
      </c>
      <c r="L124" s="117">
        <v>89.4</v>
      </c>
      <c r="M124" s="117">
        <v>79</v>
      </c>
      <c r="N124" s="117">
        <v>78.900000000000006</v>
      </c>
      <c r="O124" s="117">
        <v>84.5</v>
      </c>
      <c r="P124" s="117">
        <v>85</v>
      </c>
      <c r="Q124" s="117">
        <v>81</v>
      </c>
      <c r="R124" s="117">
        <v>81.099999999999994</v>
      </c>
      <c r="S124" s="117">
        <v>81.099999999999994</v>
      </c>
      <c r="T124" s="117">
        <v>88</v>
      </c>
      <c r="U124" s="117">
        <v>93</v>
      </c>
      <c r="V124" s="117">
        <v>93.3</v>
      </c>
      <c r="W124" s="117">
        <v>93.3</v>
      </c>
      <c r="X124" s="117">
        <v>101</v>
      </c>
      <c r="Y124" s="117">
        <v>104.1</v>
      </c>
      <c r="Z124" s="117">
        <v>102.2</v>
      </c>
      <c r="AA124" s="117">
        <v>98.9</v>
      </c>
      <c r="AB124" s="117">
        <v>96.2</v>
      </c>
      <c r="AC124" s="117">
        <v>90</v>
      </c>
      <c r="AD124" s="117">
        <v>92</v>
      </c>
      <c r="AE124" s="117">
        <v>84</v>
      </c>
      <c r="AF124" s="117">
        <v>76</v>
      </c>
      <c r="AG124" s="118"/>
      <c r="AH124" s="47"/>
      <c r="AI124" s="48"/>
    </row>
    <row r="125" spans="1:35" x14ac:dyDescent="0.25">
      <c r="A125" s="173" t="s">
        <v>255</v>
      </c>
      <c r="B125" s="117">
        <v>58</v>
      </c>
      <c r="C125" s="117">
        <v>64.8</v>
      </c>
      <c r="D125" s="117">
        <v>68.099999999999994</v>
      </c>
      <c r="E125" s="117">
        <v>28.7</v>
      </c>
      <c r="F125" s="117">
        <v>27.8</v>
      </c>
      <c r="G125" s="117">
        <v>77</v>
      </c>
      <c r="H125" s="117">
        <v>40.4</v>
      </c>
      <c r="I125" s="117">
        <v>35.5</v>
      </c>
      <c r="J125" s="117">
        <v>20.100000000000001</v>
      </c>
      <c r="K125" s="117">
        <v>-10.7</v>
      </c>
      <c r="L125" s="117">
        <v>-28.5</v>
      </c>
      <c r="M125" s="117">
        <v>-38</v>
      </c>
      <c r="N125" s="117">
        <v>-28.8</v>
      </c>
      <c r="O125" s="117">
        <v>-14.6</v>
      </c>
      <c r="P125" s="117">
        <v>-5.0999999999999996</v>
      </c>
      <c r="Q125" s="117">
        <v>-2</v>
      </c>
      <c r="R125" s="117">
        <v>5</v>
      </c>
      <c r="S125" s="117">
        <v>5</v>
      </c>
      <c r="T125" s="117">
        <v>20</v>
      </c>
      <c r="U125" s="117">
        <v>22</v>
      </c>
      <c r="V125" s="117">
        <v>15.5</v>
      </c>
      <c r="W125" s="117">
        <v>15.5</v>
      </c>
      <c r="X125" s="117">
        <v>0.2</v>
      </c>
      <c r="Y125" s="117">
        <v>-33.9</v>
      </c>
      <c r="Z125" s="117">
        <v>-39.700000000000003</v>
      </c>
      <c r="AA125" s="117">
        <v>-28.6</v>
      </c>
      <c r="AB125" s="117">
        <v>-26</v>
      </c>
      <c r="AC125" s="117">
        <v>-27</v>
      </c>
      <c r="AD125" s="117">
        <v>-13.2</v>
      </c>
      <c r="AE125" s="117">
        <v>31</v>
      </c>
      <c r="AF125" s="117">
        <v>43.2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100.5</v>
      </c>
      <c r="C126" s="117">
        <v>98.9</v>
      </c>
      <c r="D126" s="117">
        <v>101.4</v>
      </c>
      <c r="E126" s="117">
        <v>84.6</v>
      </c>
      <c r="F126" s="117">
        <v>83.3</v>
      </c>
      <c r="G126" s="117">
        <v>96.1</v>
      </c>
      <c r="H126" s="117">
        <v>72.599999999999994</v>
      </c>
      <c r="I126" s="117">
        <v>80.3</v>
      </c>
      <c r="J126" s="117">
        <v>92.1</v>
      </c>
      <c r="K126" s="117">
        <v>79.099999999999994</v>
      </c>
      <c r="L126" s="117">
        <v>66.8</v>
      </c>
      <c r="M126" s="117">
        <v>55.3</v>
      </c>
      <c r="N126" s="117">
        <v>59.4</v>
      </c>
      <c r="O126" s="117">
        <v>72.599999999999994</v>
      </c>
      <c r="P126" s="117">
        <v>74.599999999999994</v>
      </c>
      <c r="Q126" s="117">
        <v>69.599999999999994</v>
      </c>
      <c r="R126" s="117">
        <v>71.7</v>
      </c>
      <c r="S126" s="117">
        <v>71.7</v>
      </c>
      <c r="T126" s="117">
        <v>78</v>
      </c>
      <c r="U126" s="117">
        <v>85</v>
      </c>
      <c r="V126" s="117">
        <v>80</v>
      </c>
      <c r="W126" s="117">
        <v>80</v>
      </c>
      <c r="X126" s="117">
        <v>85.9</v>
      </c>
      <c r="Y126" s="117">
        <v>78.8</v>
      </c>
      <c r="Z126" s="117"/>
      <c r="AA126" s="117">
        <v>67.8</v>
      </c>
      <c r="AB126" s="117">
        <v>76.3</v>
      </c>
      <c r="AC126" s="117">
        <v>79.3</v>
      </c>
      <c r="AD126" s="117">
        <v>72</v>
      </c>
      <c r="AE126" s="117">
        <v>91</v>
      </c>
      <c r="AF126" s="117">
        <v>86</v>
      </c>
      <c r="AG126" s="114"/>
      <c r="AH126" s="47">
        <f t="shared" si="52"/>
        <v>101.4</v>
      </c>
      <c r="AI126" s="48">
        <f t="shared" si="53"/>
        <v>55.3</v>
      </c>
    </row>
    <row r="127" spans="1:35" x14ac:dyDescent="0.25">
      <c r="A127" s="172" t="s">
        <v>587</v>
      </c>
      <c r="B127" s="117">
        <v>16.8</v>
      </c>
      <c r="C127" s="117">
        <v>19.2</v>
      </c>
      <c r="D127" s="117">
        <v>22.3</v>
      </c>
      <c r="E127" s="117">
        <v>47.9</v>
      </c>
      <c r="F127" s="117">
        <v>48.3</v>
      </c>
      <c r="G127" s="117">
        <v>55.6</v>
      </c>
      <c r="H127" s="117">
        <v>31.6</v>
      </c>
      <c r="I127" s="117">
        <v>32.799999999999997</v>
      </c>
      <c r="J127" s="117">
        <v>24.5</v>
      </c>
      <c r="K127" s="117">
        <v>12.5</v>
      </c>
      <c r="L127" s="117">
        <v>-4.9000000000000004</v>
      </c>
      <c r="M127" s="117">
        <v>-6.8</v>
      </c>
      <c r="N127" s="117">
        <v>-5.2</v>
      </c>
      <c r="O127" s="117">
        <v>-1.2</v>
      </c>
      <c r="P127" s="117">
        <v>-7.7</v>
      </c>
      <c r="Q127" s="117">
        <v>-6.4</v>
      </c>
      <c r="R127" s="117">
        <v>-8.4</v>
      </c>
      <c r="S127" s="117">
        <v>-8.4</v>
      </c>
      <c r="T127" s="117">
        <v>-2</v>
      </c>
      <c r="U127" s="117">
        <v>0</v>
      </c>
      <c r="V127" s="117">
        <v>4.5999999999999996</v>
      </c>
      <c r="W127" s="117">
        <v>4.5999999999999996</v>
      </c>
      <c r="X127" s="117">
        <v>4.4000000000000004</v>
      </c>
      <c r="Y127" s="117">
        <v>-10.199999999999999</v>
      </c>
      <c r="Z127" s="117">
        <v>-11.6</v>
      </c>
      <c r="AA127" s="117">
        <v>-6.5</v>
      </c>
      <c r="AB127" s="117">
        <v>-4.8</v>
      </c>
      <c r="AC127" s="117">
        <v>0</v>
      </c>
      <c r="AD127" s="117">
        <v>0</v>
      </c>
      <c r="AE127" s="117">
        <v>12</v>
      </c>
      <c r="AF127" s="117">
        <v>14</v>
      </c>
      <c r="AG127" s="114"/>
      <c r="AH127" s="47">
        <f t="shared" si="52"/>
        <v>55.6</v>
      </c>
      <c r="AI127" s="48">
        <f t="shared" si="53"/>
        <v>-11.6</v>
      </c>
    </row>
    <row r="128" spans="1:35" x14ac:dyDescent="0.25">
      <c r="A128" s="173" t="s">
        <v>123</v>
      </c>
      <c r="B128" s="106">
        <v>-3.7</v>
      </c>
      <c r="C128" s="106">
        <v>-4.2</v>
      </c>
      <c r="D128" s="106">
        <v>-2.7</v>
      </c>
      <c r="E128" s="106">
        <v>-2.7</v>
      </c>
      <c r="F128" s="106">
        <v>-1.6</v>
      </c>
      <c r="G128" s="106">
        <v>-5.3</v>
      </c>
      <c r="H128" s="106">
        <v>-9.3000000000000007</v>
      </c>
      <c r="I128" s="106">
        <v>-18.100000000000001</v>
      </c>
      <c r="J128" s="106">
        <v>-28.8</v>
      </c>
      <c r="K128" s="106">
        <v>-31.3</v>
      </c>
      <c r="L128" s="106">
        <v>-33.4</v>
      </c>
      <c r="M128" s="106">
        <v>-33</v>
      </c>
      <c r="N128" s="106">
        <v>-26.3</v>
      </c>
      <c r="O128" s="106">
        <v>-19.3</v>
      </c>
      <c r="P128" s="106">
        <v>-25.9</v>
      </c>
      <c r="Q128" s="106">
        <v>-24.9</v>
      </c>
      <c r="R128" s="106">
        <v>-15.6</v>
      </c>
      <c r="S128" s="106">
        <v>-15.6</v>
      </c>
      <c r="T128" s="106">
        <v>-11</v>
      </c>
      <c r="U128" s="106">
        <v>-11</v>
      </c>
      <c r="V128" s="106">
        <v>-30.1</v>
      </c>
      <c r="W128" s="106">
        <v>-30.1</v>
      </c>
      <c r="X128" s="106">
        <v>-49.6</v>
      </c>
      <c r="Y128" s="106">
        <v>-54.6</v>
      </c>
      <c r="Z128" s="106"/>
      <c r="AA128" s="106"/>
      <c r="AB128" s="106">
        <v>-30.7</v>
      </c>
      <c r="AC128" s="106">
        <v>-27</v>
      </c>
      <c r="AD128" s="106">
        <v>-23</v>
      </c>
      <c r="AE128" s="106">
        <v>-13</v>
      </c>
      <c r="AF128" s="106">
        <v>-10</v>
      </c>
      <c r="AG128" s="114"/>
      <c r="AH128" s="47">
        <f t="shared" si="52"/>
        <v>-1.6</v>
      </c>
      <c r="AI128" s="48">
        <f t="shared" si="53"/>
        <v>-54.6</v>
      </c>
    </row>
    <row r="129" spans="1:89" x14ac:dyDescent="0.25">
      <c r="A129" s="173" t="s">
        <v>260</v>
      </c>
      <c r="B129" s="106">
        <v>20.2</v>
      </c>
      <c r="C129" s="106">
        <v>19.2</v>
      </c>
      <c r="D129" s="106">
        <v>17.2</v>
      </c>
      <c r="E129" s="106">
        <v>18.5</v>
      </c>
      <c r="F129" s="106">
        <v>19</v>
      </c>
      <c r="G129" s="106">
        <v>22</v>
      </c>
      <c r="H129" s="106">
        <v>23.3</v>
      </c>
      <c r="I129" s="106">
        <v>25</v>
      </c>
      <c r="J129" s="106">
        <v>22.1</v>
      </c>
      <c r="K129" s="106">
        <v>12.2</v>
      </c>
      <c r="L129" s="106">
        <v>12.7</v>
      </c>
      <c r="M129" s="106">
        <v>12.7</v>
      </c>
      <c r="N129" s="106">
        <v>12.9</v>
      </c>
      <c r="O129" s="106">
        <v>8.8000000000000007</v>
      </c>
      <c r="P129" s="106">
        <v>20.5</v>
      </c>
      <c r="Q129" s="106">
        <v>25.2</v>
      </c>
      <c r="R129" s="106">
        <v>24.2</v>
      </c>
      <c r="S129" s="106">
        <v>24.2</v>
      </c>
      <c r="T129" s="106">
        <v>24</v>
      </c>
      <c r="U129" s="106">
        <v>26</v>
      </c>
      <c r="V129" s="106">
        <v>10.9</v>
      </c>
      <c r="W129" s="106">
        <v>10.9</v>
      </c>
      <c r="X129" s="106">
        <v>10.1</v>
      </c>
      <c r="Y129" s="106">
        <v>11.6</v>
      </c>
      <c r="Z129" s="106">
        <v>11</v>
      </c>
      <c r="AA129" s="106">
        <v>10.7</v>
      </c>
      <c r="AB129" s="106">
        <v>8</v>
      </c>
      <c r="AC129" s="106">
        <v>17</v>
      </c>
      <c r="AD129" s="106">
        <v>17</v>
      </c>
      <c r="AE129" s="106">
        <v>15</v>
      </c>
      <c r="AF129" s="106">
        <v>21</v>
      </c>
      <c r="AG129" s="114"/>
      <c r="AH129" s="47">
        <f t="shared" si="52"/>
        <v>26</v>
      </c>
      <c r="AI129" s="48">
        <f t="shared" si="53"/>
        <v>8</v>
      </c>
    </row>
    <row r="130" spans="1:89" ht="15.75" thickBot="1" x14ac:dyDescent="0.3">
      <c r="A130" s="173" t="s">
        <v>257</v>
      </c>
      <c r="B130" s="106">
        <v>85.6</v>
      </c>
      <c r="C130" s="106">
        <v>82.1</v>
      </c>
      <c r="D130" s="106">
        <v>79.099999999999994</v>
      </c>
      <c r="E130" s="106">
        <v>81.400000000000006</v>
      </c>
      <c r="F130" s="106">
        <v>77.7</v>
      </c>
      <c r="G130" s="106">
        <v>83.5</v>
      </c>
      <c r="H130" s="106">
        <v>83.9</v>
      </c>
      <c r="I130" s="106">
        <v>88.3</v>
      </c>
      <c r="J130" s="106">
        <v>98</v>
      </c>
      <c r="K130" s="106">
        <v>92.9</v>
      </c>
      <c r="L130" s="106">
        <v>95.6</v>
      </c>
      <c r="M130" s="106">
        <v>74.400000000000006</v>
      </c>
      <c r="N130" s="106">
        <v>66.5</v>
      </c>
      <c r="O130" s="106">
        <v>91.2</v>
      </c>
      <c r="P130" s="106">
        <v>104.8</v>
      </c>
      <c r="Q130" s="106">
        <v>102.74</v>
      </c>
      <c r="R130" s="106">
        <v>93.3</v>
      </c>
      <c r="S130" s="106">
        <v>93.3</v>
      </c>
      <c r="T130" s="106">
        <v>96</v>
      </c>
      <c r="U130" s="106">
        <v>96</v>
      </c>
      <c r="V130" s="106">
        <v>75.3</v>
      </c>
      <c r="W130" s="106">
        <v>75.3</v>
      </c>
      <c r="X130" s="106">
        <v>88.6</v>
      </c>
      <c r="Y130" s="106">
        <v>102.3</v>
      </c>
      <c r="Z130" s="106"/>
      <c r="AA130" s="106">
        <v>86.5</v>
      </c>
      <c r="AB130" s="106">
        <v>91.2</v>
      </c>
      <c r="AC130" s="106">
        <v>96.4</v>
      </c>
      <c r="AD130" s="106">
        <v>107</v>
      </c>
      <c r="AE130" s="106">
        <v>101.2</v>
      </c>
      <c r="AF130" s="106">
        <v>87</v>
      </c>
      <c r="AG130" s="114"/>
      <c r="AH130" s="47">
        <f t="shared" si="52"/>
        <v>107</v>
      </c>
      <c r="AI130" s="48">
        <f t="shared" si="53"/>
        <v>66.5</v>
      </c>
    </row>
    <row r="131" spans="1:89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89" x14ac:dyDescent="0.25">
      <c r="A132" s="185" t="s">
        <v>367</v>
      </c>
      <c r="B132" s="147">
        <v>1984.35</v>
      </c>
      <c r="C132" s="147">
        <v>1984.6</v>
      </c>
      <c r="D132" s="147">
        <v>1984.8</v>
      </c>
      <c r="E132" s="147">
        <v>1985</v>
      </c>
      <c r="F132" s="147">
        <v>1985.22</v>
      </c>
      <c r="G132" s="147">
        <v>1895.42</v>
      </c>
      <c r="H132" s="147"/>
      <c r="I132" s="147">
        <v>1985.62</v>
      </c>
      <c r="J132" s="147"/>
      <c r="K132" s="147">
        <v>1985.64</v>
      </c>
      <c r="L132" s="147"/>
      <c r="M132" s="106">
        <v>1985.1</v>
      </c>
      <c r="N132" s="106">
        <v>1984.65</v>
      </c>
      <c r="O132" s="106">
        <v>1984.71</v>
      </c>
      <c r="P132" s="106">
        <v>1984.77</v>
      </c>
      <c r="Q132" s="106">
        <v>1984.85</v>
      </c>
      <c r="R132" s="106">
        <v>1985.01</v>
      </c>
      <c r="S132" s="147">
        <v>1985.22</v>
      </c>
      <c r="T132" s="147">
        <v>1985.4</v>
      </c>
      <c r="U132" s="147">
        <v>1985.6</v>
      </c>
      <c r="V132" s="147">
        <v>1985.65</v>
      </c>
      <c r="W132" s="147"/>
      <c r="X132" s="147">
        <v>1985.76</v>
      </c>
      <c r="Y132" s="147"/>
      <c r="Z132" s="147">
        <v>1985.4</v>
      </c>
      <c r="AA132" s="147"/>
      <c r="AB132" s="147">
        <v>1984.8</v>
      </c>
      <c r="AC132" s="147"/>
      <c r="AD132" s="147">
        <v>1984.63</v>
      </c>
      <c r="AE132" s="147">
        <v>1984.6</v>
      </c>
      <c r="AF132" s="148">
        <v>1984.78</v>
      </c>
      <c r="AG132" s="149"/>
      <c r="AH132" s="47"/>
      <c r="AI132" s="48"/>
    </row>
    <row r="133" spans="1:89" x14ac:dyDescent="0.25">
      <c r="A133" s="185" t="s">
        <v>238</v>
      </c>
      <c r="B133" s="150">
        <v>521.70000000000005</v>
      </c>
      <c r="C133" s="150">
        <v>521.79999999999995</v>
      </c>
      <c r="D133" s="150">
        <v>521.94000000000005</v>
      </c>
      <c r="E133" s="150">
        <v>522.12</v>
      </c>
      <c r="F133" s="150">
        <v>522.4</v>
      </c>
      <c r="G133" s="150">
        <v>522.70000000000005</v>
      </c>
      <c r="H133" s="150"/>
      <c r="I133" s="150">
        <v>522.74</v>
      </c>
      <c r="J133" s="150"/>
      <c r="K133" s="150">
        <v>522.55999999999995</v>
      </c>
      <c r="L133" s="150"/>
      <c r="M133" s="106">
        <v>522.24</v>
      </c>
      <c r="N133" s="106">
        <v>521.96</v>
      </c>
      <c r="O133" s="106">
        <v>521.88</v>
      </c>
      <c r="P133" s="106">
        <v>521.79999999999995</v>
      </c>
      <c r="Q133" s="106">
        <v>521.65</v>
      </c>
      <c r="R133" s="106">
        <v>521.6</v>
      </c>
      <c r="S133" s="150">
        <v>521.58000000000004</v>
      </c>
      <c r="T133" s="150">
        <v>521.52</v>
      </c>
      <c r="U133" s="150">
        <v>521.46</v>
      </c>
      <c r="V133" s="150">
        <v>521.4</v>
      </c>
      <c r="W133" s="150"/>
      <c r="X133" s="150">
        <v>521.46</v>
      </c>
      <c r="Y133" s="150"/>
      <c r="Z133" s="150">
        <v>521.04999999999995</v>
      </c>
      <c r="AA133" s="150"/>
      <c r="AB133" s="150">
        <v>520.51</v>
      </c>
      <c r="AC133" s="150"/>
      <c r="AD133" s="150">
        <v>520.28</v>
      </c>
      <c r="AE133" s="150">
        <v>519.91999999999996</v>
      </c>
      <c r="AF133" s="151">
        <v>519.73</v>
      </c>
      <c r="AG133" s="149"/>
      <c r="AH133" s="47"/>
      <c r="AI133" s="48"/>
    </row>
    <row r="134" spans="1:89" x14ac:dyDescent="0.25">
      <c r="A134" s="185" t="s">
        <v>239</v>
      </c>
      <c r="B134" s="150">
        <v>623.20000000000005</v>
      </c>
      <c r="C134" s="150">
        <v>623.70000000000005</v>
      </c>
      <c r="D134" s="150">
        <v>624.07000000000005</v>
      </c>
      <c r="E134" s="150">
        <v>624.35</v>
      </c>
      <c r="F134" s="150">
        <v>624.54999999999995</v>
      </c>
      <c r="G134" s="150">
        <v>624.78</v>
      </c>
      <c r="H134" s="150"/>
      <c r="I134" s="150">
        <v>624.62</v>
      </c>
      <c r="J134" s="150"/>
      <c r="K134" s="150">
        <v>624</v>
      </c>
      <c r="L134" s="150"/>
      <c r="M134" s="106">
        <v>623.19000000000005</v>
      </c>
      <c r="N134" s="106">
        <v>622.72</v>
      </c>
      <c r="O134" s="106">
        <v>622.64</v>
      </c>
      <c r="P134" s="106">
        <v>622.54999999999995</v>
      </c>
      <c r="Q134" s="106">
        <v>622.4</v>
      </c>
      <c r="R134" s="106">
        <v>622.32000000000005</v>
      </c>
      <c r="S134" s="150">
        <v>622.21400000000006</v>
      </c>
      <c r="T134" s="150">
        <v>622.20000000000005</v>
      </c>
      <c r="U134" s="150">
        <v>622.25</v>
      </c>
      <c r="V134" s="150">
        <v>622.5</v>
      </c>
      <c r="W134" s="150"/>
      <c r="X134" s="150">
        <v>622.80999999999995</v>
      </c>
      <c r="Y134" s="150"/>
      <c r="Z134" s="150">
        <v>622.79999999999995</v>
      </c>
      <c r="AA134" s="150"/>
      <c r="AB134" s="150">
        <v>622.75</v>
      </c>
      <c r="AC134" s="150"/>
      <c r="AD134" s="150">
        <v>622.73</v>
      </c>
      <c r="AE134" s="150">
        <v>622.59</v>
      </c>
      <c r="AF134" s="151">
        <v>622.48</v>
      </c>
      <c r="AG134" s="149"/>
      <c r="AH134" s="47"/>
      <c r="AI134" s="48"/>
    </row>
    <row r="135" spans="1:89" x14ac:dyDescent="0.25">
      <c r="A135" s="185" t="s">
        <v>240</v>
      </c>
      <c r="B135" s="150">
        <v>335.61</v>
      </c>
      <c r="C135" s="150">
        <v>335.9</v>
      </c>
      <c r="D135" s="150">
        <v>336.11</v>
      </c>
      <c r="E135" s="150">
        <v>336.35</v>
      </c>
      <c r="F135" s="150">
        <v>336.6</v>
      </c>
      <c r="G135" s="150">
        <v>336.82</v>
      </c>
      <c r="H135" s="150"/>
      <c r="I135" s="150">
        <v>336.89</v>
      </c>
      <c r="J135" s="150"/>
      <c r="K135" s="150">
        <v>336.86</v>
      </c>
      <c r="L135" s="150"/>
      <c r="M135" s="106">
        <v>336.56</v>
      </c>
      <c r="N135" s="106">
        <v>336.25</v>
      </c>
      <c r="O135" s="106">
        <v>335.9</v>
      </c>
      <c r="P135" s="106">
        <v>335.49</v>
      </c>
      <c r="Q135" s="106">
        <v>335.49</v>
      </c>
      <c r="R135" s="106">
        <v>335.71</v>
      </c>
      <c r="S135" s="150">
        <v>335.89</v>
      </c>
      <c r="T135" s="150">
        <v>335.91</v>
      </c>
      <c r="U135" s="150">
        <v>335.92</v>
      </c>
      <c r="V135" s="150">
        <v>335.95</v>
      </c>
      <c r="W135" s="150"/>
      <c r="X135" s="150">
        <v>336.05</v>
      </c>
      <c r="Y135" s="150"/>
      <c r="Z135" s="150">
        <v>335.9</v>
      </c>
      <c r="AA135" s="150"/>
      <c r="AB135" s="150">
        <v>335.54</v>
      </c>
      <c r="AC135" s="150"/>
      <c r="AD135" s="150">
        <v>335.38</v>
      </c>
      <c r="AE135" s="150">
        <v>334.96</v>
      </c>
      <c r="AF135" s="151">
        <v>334.76</v>
      </c>
      <c r="AG135" s="149"/>
      <c r="AH135" s="47"/>
      <c r="AI135" s="48"/>
    </row>
    <row r="136" spans="1:89" x14ac:dyDescent="0.25">
      <c r="A136" s="185" t="s">
        <v>384</v>
      </c>
      <c r="B136" s="150">
        <v>884.9</v>
      </c>
      <c r="C136" s="150">
        <v>885.6</v>
      </c>
      <c r="D136" s="150">
        <v>886</v>
      </c>
      <c r="E136" s="150">
        <v>886.7</v>
      </c>
      <c r="F136" s="150">
        <v>887</v>
      </c>
      <c r="G136" s="150">
        <v>887.4</v>
      </c>
      <c r="H136" s="150"/>
      <c r="I136" s="150">
        <v>886.9</v>
      </c>
      <c r="J136" s="150"/>
      <c r="K136" s="150">
        <v>886</v>
      </c>
      <c r="L136" s="150"/>
      <c r="M136" s="106">
        <v>885</v>
      </c>
      <c r="N136" s="106">
        <v>884.1</v>
      </c>
      <c r="O136" s="106">
        <v>884.5</v>
      </c>
      <c r="P136" s="106">
        <v>885.1</v>
      </c>
      <c r="Q136" s="106">
        <v>885.1</v>
      </c>
      <c r="R136" s="106">
        <v>884.7</v>
      </c>
      <c r="S136" s="150">
        <v>884.3</v>
      </c>
      <c r="T136" s="150">
        <v>884.1</v>
      </c>
      <c r="U136" s="150">
        <v>883.9</v>
      </c>
      <c r="V136" s="150">
        <v>883.8</v>
      </c>
      <c r="W136" s="150"/>
      <c r="X136" s="150">
        <v>884.4</v>
      </c>
      <c r="Y136" s="150"/>
      <c r="Z136" s="150">
        <v>883.6</v>
      </c>
      <c r="AA136" s="150"/>
      <c r="AB136" s="150">
        <v>882.9</v>
      </c>
      <c r="AC136" s="150">
        <v>882.8</v>
      </c>
      <c r="AD136" s="150">
        <v>882.7</v>
      </c>
      <c r="AE136" s="150">
        <v>882.5</v>
      </c>
      <c r="AF136" s="151">
        <v>883</v>
      </c>
      <c r="AG136" s="149"/>
      <c r="AH136" s="47"/>
      <c r="AI136" s="48"/>
    </row>
    <row r="137" spans="1:89" ht="15.75" thickBot="1" x14ac:dyDescent="0.3">
      <c r="A137" s="185" t="s">
        <v>241</v>
      </c>
      <c r="B137" s="152">
        <v>1519.3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06"/>
      <c r="N137" s="106"/>
      <c r="O137" s="106"/>
      <c r="P137" s="106"/>
      <c r="Q137" s="106"/>
      <c r="R137" s="106"/>
      <c r="S137" s="152">
        <v>1519.33</v>
      </c>
      <c r="T137" s="152"/>
      <c r="U137" s="152"/>
      <c r="V137" s="152"/>
      <c r="W137" s="152"/>
      <c r="X137" s="152"/>
      <c r="Y137" s="152"/>
      <c r="Z137" s="152">
        <v>1519.34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89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</row>
    <row r="139" spans="1:89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</row>
    <row r="140" spans="1:89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</row>
    <row r="141" spans="1:89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</row>
    <row r="142" spans="1:89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</row>
    <row r="143" spans="1:89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</row>
    <row r="144" spans="1:89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</row>
    <row r="145" spans="1:89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</row>
    <row r="146" spans="1:89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</row>
    <row r="147" spans="1:89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</row>
    <row r="148" spans="1:89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</row>
    <row r="149" spans="1:89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</row>
    <row r="150" spans="1:89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</row>
    <row r="151" spans="1:89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</row>
    <row r="152" spans="1:89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</row>
    <row r="153" spans="1:89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</row>
    <row r="154" spans="1:89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</row>
    <row r="155" spans="1:89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</row>
    <row r="156" spans="1:89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</row>
    <row r="157" spans="1:89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</row>
    <row r="158" spans="1:89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</row>
    <row r="159" spans="1:89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</row>
    <row r="160" spans="1:89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</row>
    <row r="161" spans="1:89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</row>
    <row r="162" spans="1:89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</row>
    <row r="163" spans="1:89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</row>
    <row r="164" spans="1:89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</row>
    <row r="165" spans="1:89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</row>
    <row r="166" spans="1:89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</row>
    <row r="167" spans="1:89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</row>
    <row r="168" spans="1:89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</row>
    <row r="169" spans="1:89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</row>
    <row r="170" spans="1:89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</row>
    <row r="171" spans="1:89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</row>
    <row r="172" spans="1:89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</row>
    <row r="173" spans="1:89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</row>
    <row r="174" spans="1:89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</row>
    <row r="175" spans="1:89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</row>
    <row r="176" spans="1:89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</row>
    <row r="177" spans="1:89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</row>
    <row r="178" spans="1:89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</row>
    <row r="179" spans="1:89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</row>
    <row r="180" spans="1:89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</row>
    <row r="181" spans="1:89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</row>
    <row r="182" spans="1:89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</row>
    <row r="183" spans="1:89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</row>
    <row r="184" spans="1:89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</row>
    <row r="185" spans="1:89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</row>
    <row r="186" spans="1:89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</row>
    <row r="187" spans="1:89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</row>
    <row r="188" spans="1:89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</row>
    <row r="189" spans="1:89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</row>
    <row r="190" spans="1:89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</row>
    <row r="191" spans="1:89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</row>
    <row r="192" spans="1:89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</row>
    <row r="193" spans="1:89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</row>
    <row r="194" spans="1:89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</row>
    <row r="195" spans="1:89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</row>
    <row r="196" spans="1:89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</row>
    <row r="197" spans="1:89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</row>
    <row r="198" spans="1:89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</row>
    <row r="199" spans="1:89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</row>
    <row r="200" spans="1:89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</row>
    <row r="201" spans="1:89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</row>
    <row r="202" spans="1:89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</row>
    <row r="203" spans="1:89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</row>
    <row r="204" spans="1:89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</row>
    <row r="205" spans="1:89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</row>
    <row r="206" spans="1:89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</row>
    <row r="207" spans="1:89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</row>
    <row r="208" spans="1:89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</row>
    <row r="209" spans="1:89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</row>
    <row r="210" spans="1:89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</row>
    <row r="211" spans="1:89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</row>
    <row r="212" spans="1:89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</row>
    <row r="213" spans="1:89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</row>
    <row r="214" spans="1:89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</row>
    <row r="215" spans="1:89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</row>
    <row r="216" spans="1:89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</row>
    <row r="217" spans="1:89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</row>
    <row r="218" spans="1:89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</row>
    <row r="219" spans="1:89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</row>
    <row r="220" spans="1:89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</row>
    <row r="221" spans="1:89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</row>
    <row r="222" spans="1:89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</row>
    <row r="223" spans="1:89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</row>
    <row r="224" spans="1:89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</row>
    <row r="225" spans="1:89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</row>
    <row r="226" spans="1:89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</row>
    <row r="227" spans="1:89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</row>
    <row r="228" spans="1:89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</row>
    <row r="229" spans="1:89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</row>
    <row r="230" spans="1:89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</row>
    <row r="231" spans="1:89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</row>
    <row r="232" spans="1:89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</row>
    <row r="233" spans="1:89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</row>
    <row r="234" spans="1:89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</row>
    <row r="235" spans="1:89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</row>
    <row r="236" spans="1:89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</row>
    <row r="237" spans="1:89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</row>
    <row r="238" spans="1:89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</row>
    <row r="239" spans="1:89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</row>
    <row r="240" spans="1:89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</row>
    <row r="241" spans="1:89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</row>
    <row r="242" spans="1:89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</row>
    <row r="243" spans="1:89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</row>
    <row r="244" spans="1:89" ht="15.75" thickBot="1" x14ac:dyDescent="0.3">
      <c r="A244" s="132" t="s">
        <v>230</v>
      </c>
      <c r="B244" s="133">
        <f t="shared" ref="B244:AG244" si="106">SUM(B139:B243)</f>
        <v>0</v>
      </c>
      <c r="C244" s="134">
        <f t="shared" si="106"/>
        <v>0</v>
      </c>
      <c r="D244" s="134">
        <f t="shared" si="106"/>
        <v>0</v>
      </c>
      <c r="E244" s="134">
        <f t="shared" si="106"/>
        <v>0</v>
      </c>
      <c r="F244" s="134">
        <f t="shared" si="106"/>
        <v>0</v>
      </c>
      <c r="G244" s="134">
        <f t="shared" si="106"/>
        <v>0</v>
      </c>
      <c r="H244" s="134">
        <f t="shared" si="106"/>
        <v>0</v>
      </c>
      <c r="I244" s="134">
        <f t="shared" si="106"/>
        <v>0</v>
      </c>
      <c r="J244" s="134">
        <f t="shared" si="106"/>
        <v>0</v>
      </c>
      <c r="K244" s="134">
        <f t="shared" si="106"/>
        <v>0</v>
      </c>
      <c r="L244" s="134">
        <f t="shared" si="106"/>
        <v>0</v>
      </c>
      <c r="M244" s="134">
        <f t="shared" si="106"/>
        <v>0</v>
      </c>
      <c r="N244" s="134">
        <f t="shared" si="106"/>
        <v>0</v>
      </c>
      <c r="O244" s="134">
        <f t="shared" si="106"/>
        <v>0</v>
      </c>
      <c r="P244" s="134">
        <f t="shared" si="106"/>
        <v>0</v>
      </c>
      <c r="Q244" s="134">
        <f t="shared" si="106"/>
        <v>0</v>
      </c>
      <c r="R244" s="134">
        <f t="shared" si="106"/>
        <v>0</v>
      </c>
      <c r="S244" s="134">
        <f t="shared" si="106"/>
        <v>0</v>
      </c>
      <c r="T244" s="134">
        <f t="shared" si="106"/>
        <v>0</v>
      </c>
      <c r="U244" s="134">
        <f t="shared" si="106"/>
        <v>0</v>
      </c>
      <c r="V244" s="134">
        <f t="shared" si="106"/>
        <v>0</v>
      </c>
      <c r="W244" s="134">
        <f t="shared" si="106"/>
        <v>0</v>
      </c>
      <c r="X244" s="134">
        <f t="shared" si="106"/>
        <v>0</v>
      </c>
      <c r="Y244" s="134">
        <f t="shared" si="106"/>
        <v>0</v>
      </c>
      <c r="Z244" s="134">
        <f t="shared" si="106"/>
        <v>0</v>
      </c>
      <c r="AA244" s="134">
        <f t="shared" si="106"/>
        <v>0</v>
      </c>
      <c r="AB244" s="134">
        <f t="shared" si="106"/>
        <v>0</v>
      </c>
      <c r="AC244" s="134">
        <f t="shared" si="106"/>
        <v>0</v>
      </c>
      <c r="AD244" s="134">
        <f t="shared" si="106"/>
        <v>0</v>
      </c>
      <c r="AE244" s="134">
        <f t="shared" si="106"/>
        <v>0</v>
      </c>
      <c r="AF244" s="135">
        <f t="shared" si="106"/>
        <v>0</v>
      </c>
      <c r="AG244" s="136">
        <f t="shared" si="106"/>
        <v>412.72299999999984</v>
      </c>
      <c r="AH244" s="47"/>
      <c r="AI244" s="48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</row>
    <row r="245" spans="1:89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</row>
    <row r="246" spans="1:89" x14ac:dyDescent="0.25">
      <c r="A246" s="100" t="s">
        <v>231</v>
      </c>
      <c r="B246" s="138">
        <f t="shared" ref="B246:B251" si="107">AF246</f>
        <v>0.3</v>
      </c>
      <c r="C246" s="138">
        <v>0.3</v>
      </c>
      <c r="D246" s="138">
        <f t="shared" ref="D246:S251" si="108">C246</f>
        <v>0.3</v>
      </c>
      <c r="E246" s="138">
        <f t="shared" si="108"/>
        <v>0.3</v>
      </c>
      <c r="F246" s="138">
        <f t="shared" si="108"/>
        <v>0.3</v>
      </c>
      <c r="G246" s="138">
        <f t="shared" si="108"/>
        <v>0.3</v>
      </c>
      <c r="H246" s="138">
        <f t="shared" si="108"/>
        <v>0.3</v>
      </c>
      <c r="I246" s="138">
        <f t="shared" si="108"/>
        <v>0.3</v>
      </c>
      <c r="J246" s="138">
        <f t="shared" si="108"/>
        <v>0.3</v>
      </c>
      <c r="K246" s="138">
        <f t="shared" si="108"/>
        <v>0.3</v>
      </c>
      <c r="L246" s="138">
        <f t="shared" si="108"/>
        <v>0.3</v>
      </c>
      <c r="M246" s="138">
        <f t="shared" si="108"/>
        <v>0.3</v>
      </c>
      <c r="N246" s="138">
        <f t="shared" si="108"/>
        <v>0.3</v>
      </c>
      <c r="O246" s="138">
        <f t="shared" si="108"/>
        <v>0.3</v>
      </c>
      <c r="P246" s="138">
        <f t="shared" si="108"/>
        <v>0.3</v>
      </c>
      <c r="Q246" s="138">
        <f t="shared" si="108"/>
        <v>0.3</v>
      </c>
      <c r="R246" s="138">
        <f t="shared" si="108"/>
        <v>0.3</v>
      </c>
      <c r="S246" s="138">
        <f t="shared" si="108"/>
        <v>0.3</v>
      </c>
      <c r="T246" s="138">
        <f t="shared" ref="T246:AF251" si="109">S246</f>
        <v>0.3</v>
      </c>
      <c r="U246" s="138">
        <f t="shared" si="109"/>
        <v>0.3</v>
      </c>
      <c r="V246" s="138">
        <f t="shared" si="109"/>
        <v>0.3</v>
      </c>
      <c r="W246" s="138">
        <f t="shared" si="109"/>
        <v>0.3</v>
      </c>
      <c r="X246" s="138">
        <f t="shared" si="109"/>
        <v>0.3</v>
      </c>
      <c r="Y246" s="138">
        <f t="shared" si="109"/>
        <v>0.3</v>
      </c>
      <c r="Z246" s="138">
        <f t="shared" si="109"/>
        <v>0.3</v>
      </c>
      <c r="AA246" s="138">
        <f t="shared" si="109"/>
        <v>0.3</v>
      </c>
      <c r="AB246" s="138">
        <f t="shared" si="109"/>
        <v>0.3</v>
      </c>
      <c r="AC246" s="138">
        <f t="shared" si="109"/>
        <v>0.3</v>
      </c>
      <c r="AD246" s="138">
        <f t="shared" si="109"/>
        <v>0.3</v>
      </c>
      <c r="AE246" s="138">
        <f t="shared" si="109"/>
        <v>0.3</v>
      </c>
      <c r="AF246" s="138">
        <f t="shared" si="109"/>
        <v>0.3</v>
      </c>
      <c r="AG246" s="139">
        <v>2.4</v>
      </c>
      <c r="AH246" s="47"/>
      <c r="AI246" s="48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</row>
    <row r="247" spans="1:89" x14ac:dyDescent="0.25">
      <c r="A247" s="103" t="s">
        <v>232</v>
      </c>
      <c r="B247" s="126">
        <f t="shared" si="107"/>
        <v>0.4</v>
      </c>
      <c r="C247" s="126">
        <v>0.4</v>
      </c>
      <c r="D247" s="126">
        <f t="shared" si="108"/>
        <v>0.4</v>
      </c>
      <c r="E247" s="126">
        <f t="shared" si="108"/>
        <v>0.4</v>
      </c>
      <c r="F247" s="126">
        <f t="shared" si="108"/>
        <v>0.4</v>
      </c>
      <c r="G247" s="126">
        <f t="shared" si="108"/>
        <v>0.4</v>
      </c>
      <c r="H247" s="126">
        <f t="shared" si="108"/>
        <v>0.4</v>
      </c>
      <c r="I247" s="126">
        <f t="shared" si="108"/>
        <v>0.4</v>
      </c>
      <c r="J247" s="126">
        <f t="shared" si="108"/>
        <v>0.4</v>
      </c>
      <c r="K247" s="126">
        <f t="shared" si="108"/>
        <v>0.4</v>
      </c>
      <c r="L247" s="126">
        <f t="shared" si="108"/>
        <v>0.4</v>
      </c>
      <c r="M247" s="126">
        <f t="shared" si="108"/>
        <v>0.4</v>
      </c>
      <c r="N247" s="126">
        <f t="shared" si="108"/>
        <v>0.4</v>
      </c>
      <c r="O247" s="126">
        <f t="shared" si="108"/>
        <v>0.4</v>
      </c>
      <c r="P247" s="126">
        <f t="shared" si="108"/>
        <v>0.4</v>
      </c>
      <c r="Q247" s="126">
        <f t="shared" si="108"/>
        <v>0.4</v>
      </c>
      <c r="R247" s="126">
        <f t="shared" si="108"/>
        <v>0.4</v>
      </c>
      <c r="S247" s="126">
        <f t="shared" si="108"/>
        <v>0.4</v>
      </c>
      <c r="T247" s="126">
        <f t="shared" si="109"/>
        <v>0.4</v>
      </c>
      <c r="U247" s="126">
        <f t="shared" si="109"/>
        <v>0.4</v>
      </c>
      <c r="V247" s="126">
        <f t="shared" si="109"/>
        <v>0.4</v>
      </c>
      <c r="W247" s="126">
        <f t="shared" si="109"/>
        <v>0.4</v>
      </c>
      <c r="X247" s="126">
        <f t="shared" si="109"/>
        <v>0.4</v>
      </c>
      <c r="Y247" s="126">
        <f t="shared" si="109"/>
        <v>0.4</v>
      </c>
      <c r="Z247" s="126">
        <f t="shared" si="109"/>
        <v>0.4</v>
      </c>
      <c r="AA247" s="126">
        <f t="shared" si="109"/>
        <v>0.4</v>
      </c>
      <c r="AB247" s="126">
        <f t="shared" si="109"/>
        <v>0.4</v>
      </c>
      <c r="AC247" s="126">
        <f t="shared" si="109"/>
        <v>0.4</v>
      </c>
      <c r="AD247" s="126">
        <f t="shared" si="109"/>
        <v>0.4</v>
      </c>
      <c r="AE247" s="126">
        <f t="shared" si="109"/>
        <v>0.4</v>
      </c>
      <c r="AF247" s="126">
        <f t="shared" si="109"/>
        <v>0.4</v>
      </c>
      <c r="AG247" s="140">
        <v>2</v>
      </c>
      <c r="AH247" s="47"/>
      <c r="AI247" s="48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</row>
    <row r="248" spans="1:89" x14ac:dyDescent="0.25">
      <c r="A248" s="103" t="s">
        <v>233</v>
      </c>
      <c r="B248" s="126">
        <f t="shared" si="107"/>
        <v>1.5</v>
      </c>
      <c r="C248" s="126">
        <v>1.5</v>
      </c>
      <c r="D248" s="126">
        <f t="shared" si="108"/>
        <v>1.5</v>
      </c>
      <c r="E248" s="126">
        <f t="shared" si="108"/>
        <v>1.5</v>
      </c>
      <c r="F248" s="126">
        <f t="shared" si="108"/>
        <v>1.5</v>
      </c>
      <c r="G248" s="126">
        <f t="shared" si="108"/>
        <v>1.5</v>
      </c>
      <c r="H248" s="126">
        <f t="shared" si="108"/>
        <v>1.5</v>
      </c>
      <c r="I248" s="126">
        <f t="shared" si="108"/>
        <v>1.5</v>
      </c>
      <c r="J248" s="126">
        <f t="shared" si="108"/>
        <v>1.5</v>
      </c>
      <c r="K248" s="126">
        <f t="shared" si="108"/>
        <v>1.5</v>
      </c>
      <c r="L248" s="126">
        <f t="shared" si="108"/>
        <v>1.5</v>
      </c>
      <c r="M248" s="126">
        <f t="shared" si="108"/>
        <v>1.5</v>
      </c>
      <c r="N248" s="126">
        <f t="shared" si="108"/>
        <v>1.5</v>
      </c>
      <c r="O248" s="126">
        <f t="shared" si="108"/>
        <v>1.5</v>
      </c>
      <c r="P248" s="126">
        <f t="shared" si="108"/>
        <v>1.5</v>
      </c>
      <c r="Q248" s="126">
        <f t="shared" si="108"/>
        <v>1.5</v>
      </c>
      <c r="R248" s="126">
        <f t="shared" si="108"/>
        <v>1.5</v>
      </c>
      <c r="S248" s="126">
        <f t="shared" si="108"/>
        <v>1.5</v>
      </c>
      <c r="T248" s="126">
        <f t="shared" si="109"/>
        <v>1.5</v>
      </c>
      <c r="U248" s="126">
        <f t="shared" si="109"/>
        <v>1.5</v>
      </c>
      <c r="V248" s="126">
        <f t="shared" si="109"/>
        <v>1.5</v>
      </c>
      <c r="W248" s="126">
        <f t="shared" si="109"/>
        <v>1.5</v>
      </c>
      <c r="X248" s="126">
        <f t="shared" si="109"/>
        <v>1.5</v>
      </c>
      <c r="Y248" s="126">
        <f t="shared" si="109"/>
        <v>1.5</v>
      </c>
      <c r="Z248" s="126">
        <f t="shared" si="109"/>
        <v>1.5</v>
      </c>
      <c r="AA248" s="126">
        <f t="shared" si="109"/>
        <v>1.5</v>
      </c>
      <c r="AB248" s="126">
        <f t="shared" si="109"/>
        <v>1.5</v>
      </c>
      <c r="AC248" s="126">
        <f t="shared" si="109"/>
        <v>1.5</v>
      </c>
      <c r="AD248" s="126">
        <f t="shared" si="109"/>
        <v>1.5</v>
      </c>
      <c r="AE248" s="126">
        <f t="shared" si="109"/>
        <v>1.5</v>
      </c>
      <c r="AF248" s="126">
        <f t="shared" si="109"/>
        <v>1.5</v>
      </c>
      <c r="AG248" s="140">
        <v>1.5</v>
      </c>
      <c r="AH248" s="47"/>
      <c r="AI248" s="48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</row>
    <row r="249" spans="1:89" x14ac:dyDescent="0.25">
      <c r="A249" s="103" t="s">
        <v>234</v>
      </c>
      <c r="B249" s="126">
        <f t="shared" si="107"/>
        <v>0.3</v>
      </c>
      <c r="C249" s="126">
        <v>0.3</v>
      </c>
      <c r="D249" s="126">
        <f t="shared" si="108"/>
        <v>0.3</v>
      </c>
      <c r="E249" s="126">
        <f t="shared" si="108"/>
        <v>0.3</v>
      </c>
      <c r="F249" s="126">
        <f t="shared" si="108"/>
        <v>0.3</v>
      </c>
      <c r="G249" s="126">
        <f t="shared" si="108"/>
        <v>0.3</v>
      </c>
      <c r="H249" s="126">
        <f t="shared" si="108"/>
        <v>0.3</v>
      </c>
      <c r="I249" s="126">
        <f t="shared" si="108"/>
        <v>0.3</v>
      </c>
      <c r="J249" s="126">
        <f t="shared" si="108"/>
        <v>0.3</v>
      </c>
      <c r="K249" s="126">
        <f t="shared" si="108"/>
        <v>0.3</v>
      </c>
      <c r="L249" s="126">
        <f t="shared" si="108"/>
        <v>0.3</v>
      </c>
      <c r="M249" s="126">
        <f t="shared" si="108"/>
        <v>0.3</v>
      </c>
      <c r="N249" s="126">
        <f t="shared" si="108"/>
        <v>0.3</v>
      </c>
      <c r="O249" s="126">
        <f t="shared" si="108"/>
        <v>0.3</v>
      </c>
      <c r="P249" s="126">
        <f t="shared" si="108"/>
        <v>0.3</v>
      </c>
      <c r="Q249" s="126">
        <f t="shared" si="108"/>
        <v>0.3</v>
      </c>
      <c r="R249" s="126">
        <f t="shared" si="108"/>
        <v>0.3</v>
      </c>
      <c r="S249" s="126">
        <f t="shared" si="108"/>
        <v>0.3</v>
      </c>
      <c r="T249" s="126">
        <f t="shared" si="109"/>
        <v>0.3</v>
      </c>
      <c r="U249" s="126">
        <f t="shared" si="109"/>
        <v>0.3</v>
      </c>
      <c r="V249" s="126">
        <f t="shared" si="109"/>
        <v>0.3</v>
      </c>
      <c r="W249" s="126">
        <f t="shared" si="109"/>
        <v>0.3</v>
      </c>
      <c r="X249" s="126">
        <f t="shared" si="109"/>
        <v>0.3</v>
      </c>
      <c r="Y249" s="126">
        <f t="shared" si="109"/>
        <v>0.3</v>
      </c>
      <c r="Z249" s="126">
        <f t="shared" si="109"/>
        <v>0.3</v>
      </c>
      <c r="AA249" s="126">
        <f t="shared" si="109"/>
        <v>0.3</v>
      </c>
      <c r="AB249" s="126">
        <f t="shared" si="109"/>
        <v>0.3</v>
      </c>
      <c r="AC249" s="126">
        <f t="shared" si="109"/>
        <v>0.3</v>
      </c>
      <c r="AD249" s="126">
        <f t="shared" si="109"/>
        <v>0.3</v>
      </c>
      <c r="AE249" s="126">
        <f t="shared" si="109"/>
        <v>0.3</v>
      </c>
      <c r="AF249" s="126">
        <f t="shared" si="109"/>
        <v>0.3</v>
      </c>
      <c r="AG249" s="140">
        <v>1</v>
      </c>
      <c r="AH249" s="47"/>
      <c r="AI249" s="48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</row>
    <row r="250" spans="1:89" x14ac:dyDescent="0.25">
      <c r="A250" s="103" t="s">
        <v>235</v>
      </c>
      <c r="B250" s="126">
        <f t="shared" si="107"/>
        <v>0.4</v>
      </c>
      <c r="C250" s="126">
        <v>0.4</v>
      </c>
      <c r="D250" s="126">
        <f t="shared" si="108"/>
        <v>0.4</v>
      </c>
      <c r="E250" s="126">
        <f t="shared" si="108"/>
        <v>0.4</v>
      </c>
      <c r="F250" s="126">
        <f t="shared" si="108"/>
        <v>0.4</v>
      </c>
      <c r="G250" s="126">
        <f t="shared" si="108"/>
        <v>0.4</v>
      </c>
      <c r="H250" s="126">
        <f t="shared" si="108"/>
        <v>0.4</v>
      </c>
      <c r="I250" s="126">
        <f t="shared" si="108"/>
        <v>0.4</v>
      </c>
      <c r="J250" s="126">
        <f t="shared" si="108"/>
        <v>0.4</v>
      </c>
      <c r="K250" s="126">
        <f t="shared" si="108"/>
        <v>0.4</v>
      </c>
      <c r="L250" s="126">
        <f t="shared" si="108"/>
        <v>0.4</v>
      </c>
      <c r="M250" s="126">
        <f t="shared" si="108"/>
        <v>0.4</v>
      </c>
      <c r="N250" s="126">
        <f t="shared" si="108"/>
        <v>0.4</v>
      </c>
      <c r="O250" s="126">
        <f t="shared" si="108"/>
        <v>0.4</v>
      </c>
      <c r="P250" s="126">
        <f t="shared" si="108"/>
        <v>0.4</v>
      </c>
      <c r="Q250" s="126">
        <f t="shared" si="108"/>
        <v>0.4</v>
      </c>
      <c r="R250" s="126">
        <f t="shared" si="108"/>
        <v>0.4</v>
      </c>
      <c r="S250" s="126">
        <f t="shared" si="108"/>
        <v>0.4</v>
      </c>
      <c r="T250" s="126">
        <f t="shared" si="109"/>
        <v>0.4</v>
      </c>
      <c r="U250" s="126">
        <f t="shared" si="109"/>
        <v>0.4</v>
      </c>
      <c r="V250" s="126">
        <f t="shared" si="109"/>
        <v>0.4</v>
      </c>
      <c r="W250" s="126">
        <f t="shared" si="109"/>
        <v>0.4</v>
      </c>
      <c r="X250" s="126">
        <f t="shared" si="109"/>
        <v>0.4</v>
      </c>
      <c r="Y250" s="126">
        <f t="shared" si="109"/>
        <v>0.4</v>
      </c>
      <c r="Z250" s="126">
        <f t="shared" si="109"/>
        <v>0.4</v>
      </c>
      <c r="AA250" s="126">
        <f t="shared" si="109"/>
        <v>0.4</v>
      </c>
      <c r="AB250" s="126">
        <f t="shared" si="109"/>
        <v>0.4</v>
      </c>
      <c r="AC250" s="126">
        <f t="shared" si="109"/>
        <v>0.4</v>
      </c>
      <c r="AD250" s="126">
        <f t="shared" si="109"/>
        <v>0.4</v>
      </c>
      <c r="AE250" s="126">
        <f t="shared" si="109"/>
        <v>0.4</v>
      </c>
      <c r="AF250" s="126">
        <f t="shared" si="109"/>
        <v>0.4</v>
      </c>
      <c r="AG250" s="140">
        <v>1</v>
      </c>
      <c r="AH250" s="47"/>
      <c r="AI250" s="48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</row>
    <row r="251" spans="1:89" ht="15.75" thickBot="1" x14ac:dyDescent="0.3">
      <c r="A251" s="116" t="s">
        <v>236</v>
      </c>
      <c r="B251" s="130">
        <f t="shared" si="107"/>
        <v>0.64</v>
      </c>
      <c r="C251" s="130">
        <v>0.64</v>
      </c>
      <c r="D251" s="130">
        <f t="shared" si="108"/>
        <v>0.64</v>
      </c>
      <c r="E251" s="130">
        <f t="shared" si="108"/>
        <v>0.64</v>
      </c>
      <c r="F251" s="130">
        <f t="shared" si="108"/>
        <v>0.64</v>
      </c>
      <c r="G251" s="130">
        <f t="shared" si="108"/>
        <v>0.64</v>
      </c>
      <c r="H251" s="130">
        <f t="shared" si="108"/>
        <v>0.64</v>
      </c>
      <c r="I251" s="130">
        <f t="shared" si="108"/>
        <v>0.64</v>
      </c>
      <c r="J251" s="130">
        <f t="shared" si="108"/>
        <v>0.64</v>
      </c>
      <c r="K251" s="130">
        <f t="shared" si="108"/>
        <v>0.64</v>
      </c>
      <c r="L251" s="130">
        <f t="shared" si="108"/>
        <v>0.64</v>
      </c>
      <c r="M251" s="130">
        <f t="shared" si="108"/>
        <v>0.64</v>
      </c>
      <c r="N251" s="130">
        <f t="shared" si="108"/>
        <v>0.64</v>
      </c>
      <c r="O251" s="130">
        <f t="shared" si="108"/>
        <v>0.64</v>
      </c>
      <c r="P251" s="130">
        <f t="shared" si="108"/>
        <v>0.64</v>
      </c>
      <c r="Q251" s="130">
        <f t="shared" si="108"/>
        <v>0.64</v>
      </c>
      <c r="R251" s="130">
        <f t="shared" si="108"/>
        <v>0.64</v>
      </c>
      <c r="S251" s="130">
        <f t="shared" si="108"/>
        <v>0.64</v>
      </c>
      <c r="T251" s="130">
        <f t="shared" si="109"/>
        <v>0.64</v>
      </c>
      <c r="U251" s="130">
        <f t="shared" si="109"/>
        <v>0.64</v>
      </c>
      <c r="V251" s="130">
        <f t="shared" si="109"/>
        <v>0.64</v>
      </c>
      <c r="W251" s="130">
        <f t="shared" si="109"/>
        <v>0.64</v>
      </c>
      <c r="X251" s="130">
        <f t="shared" si="109"/>
        <v>0.64</v>
      </c>
      <c r="Y251" s="130">
        <f t="shared" si="109"/>
        <v>0.64</v>
      </c>
      <c r="Z251" s="130">
        <f t="shared" si="109"/>
        <v>0.64</v>
      </c>
      <c r="AA251" s="130">
        <f t="shared" si="109"/>
        <v>0.64</v>
      </c>
      <c r="AB251" s="130">
        <f t="shared" si="109"/>
        <v>0.64</v>
      </c>
      <c r="AC251" s="130">
        <f t="shared" si="109"/>
        <v>0.64</v>
      </c>
      <c r="AD251" s="130">
        <f t="shared" si="109"/>
        <v>0.64</v>
      </c>
      <c r="AE251" s="130">
        <f t="shared" si="109"/>
        <v>0.64</v>
      </c>
      <c r="AF251" s="130">
        <f t="shared" si="109"/>
        <v>0.64</v>
      </c>
      <c r="AG251" s="141">
        <v>0.66</v>
      </c>
      <c r="AH251" s="47"/>
      <c r="AI251" s="48"/>
    </row>
    <row r="252" spans="1:89" ht="15.75" thickBot="1" x14ac:dyDescent="0.3">
      <c r="A252" s="142" t="s">
        <v>75</v>
      </c>
      <c r="B252" s="134">
        <f t="shared" ref="B252:AG252" si="110">SUM(B246:B251)</f>
        <v>3.54</v>
      </c>
      <c r="C252" s="134">
        <f t="shared" si="110"/>
        <v>3.54</v>
      </c>
      <c r="D252" s="134">
        <f t="shared" si="110"/>
        <v>3.54</v>
      </c>
      <c r="E252" s="134">
        <f t="shared" si="110"/>
        <v>3.54</v>
      </c>
      <c r="F252" s="134">
        <f t="shared" si="110"/>
        <v>3.54</v>
      </c>
      <c r="G252" s="134">
        <f t="shared" si="110"/>
        <v>3.54</v>
      </c>
      <c r="H252" s="134">
        <f t="shared" si="110"/>
        <v>3.54</v>
      </c>
      <c r="I252" s="134">
        <f t="shared" si="110"/>
        <v>3.54</v>
      </c>
      <c r="J252" s="134">
        <f t="shared" si="110"/>
        <v>3.54</v>
      </c>
      <c r="K252" s="134">
        <f t="shared" si="110"/>
        <v>3.54</v>
      </c>
      <c r="L252" s="134">
        <f t="shared" si="110"/>
        <v>3.54</v>
      </c>
      <c r="M252" s="134">
        <f t="shared" si="110"/>
        <v>3.54</v>
      </c>
      <c r="N252" s="134">
        <f t="shared" si="110"/>
        <v>3.54</v>
      </c>
      <c r="O252" s="134">
        <f t="shared" si="110"/>
        <v>3.54</v>
      </c>
      <c r="P252" s="134">
        <f t="shared" si="110"/>
        <v>3.54</v>
      </c>
      <c r="Q252" s="134">
        <f t="shared" si="110"/>
        <v>3.54</v>
      </c>
      <c r="R252" s="134">
        <f t="shared" si="110"/>
        <v>3.54</v>
      </c>
      <c r="S252" s="134">
        <f t="shared" si="110"/>
        <v>3.54</v>
      </c>
      <c r="T252" s="134">
        <f t="shared" si="110"/>
        <v>3.54</v>
      </c>
      <c r="U252" s="134">
        <f t="shared" si="110"/>
        <v>3.54</v>
      </c>
      <c r="V252" s="134">
        <f t="shared" si="110"/>
        <v>3.54</v>
      </c>
      <c r="W252" s="134">
        <f t="shared" si="110"/>
        <v>3.54</v>
      </c>
      <c r="X252" s="134">
        <f t="shared" si="110"/>
        <v>3.54</v>
      </c>
      <c r="Y252" s="134">
        <f t="shared" si="110"/>
        <v>3.54</v>
      </c>
      <c r="Z252" s="134">
        <f t="shared" si="110"/>
        <v>3.54</v>
      </c>
      <c r="AA252" s="134">
        <f t="shared" si="110"/>
        <v>3.54</v>
      </c>
      <c r="AB252" s="134">
        <f t="shared" si="110"/>
        <v>3.54</v>
      </c>
      <c r="AC252" s="134">
        <f t="shared" si="110"/>
        <v>3.54</v>
      </c>
      <c r="AD252" s="134">
        <f t="shared" si="110"/>
        <v>3.54</v>
      </c>
      <c r="AE252" s="134">
        <f t="shared" si="110"/>
        <v>3.54</v>
      </c>
      <c r="AF252" s="134">
        <f t="shared" si="110"/>
        <v>3.54</v>
      </c>
      <c r="AG252" s="143">
        <f t="shared" si="110"/>
        <v>8.56</v>
      </c>
      <c r="AH252" s="47"/>
      <c r="AI252" s="48"/>
    </row>
    <row r="253" spans="1:89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89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89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89" x14ac:dyDescent="0.25">
      <c r="A256" s="154" t="s">
        <v>242</v>
      </c>
      <c r="B256" s="155">
        <f>MAX(G99:N99)</f>
        <v>1677.29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CN92:C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393" priority="156">
      <formula>$AH11=0</formula>
    </cfRule>
  </conditionalFormatting>
  <conditionalFormatting sqref="A132:A253">
    <cfRule type="expression" dxfId="3392" priority="157">
      <formula>$AH132=0</formula>
    </cfRule>
  </conditionalFormatting>
  <conditionalFormatting sqref="B8 M8 S8 AB8">
    <cfRule type="expression" dxfId="3391" priority="208">
      <formula>AND(C$9&gt;=8/24,C$9&lt;14/24)</formula>
    </cfRule>
    <cfRule type="expression" dxfId="3390" priority="207">
      <formula>AND(C$9&gt;=14/24,C$9&lt;20/24)</formula>
    </cfRule>
    <cfRule type="expression" dxfId="3389" priority="209">
      <formula>C$9&lt;8/24</formula>
    </cfRule>
  </conditionalFormatting>
  <conditionalFormatting sqref="B11:D18 E12:O18 P13:AF18">
    <cfRule type="expression" dxfId="3388" priority="87">
      <formula>B11&gt;$AG11</formula>
    </cfRule>
  </conditionalFormatting>
  <conditionalFormatting sqref="B11:D52 E12:O52 P13:AF52">
    <cfRule type="expression" dxfId="3387" priority="91">
      <formula>B$9&lt;8/24</formula>
    </cfRule>
    <cfRule type="expression" dxfId="3386" priority="90">
      <formula>AND(B$9&gt;=8/24,B$9&lt;14/24)</formula>
    </cfRule>
    <cfRule type="expression" dxfId="3385" priority="88">
      <formula>B$9&gt;=20/24</formula>
    </cfRule>
    <cfRule type="expression" dxfId="3384" priority="89">
      <formula>AND(B$9&gt;=14/24,B$9&lt;20/24)</formula>
    </cfRule>
  </conditionalFormatting>
  <conditionalFormatting sqref="B59:F61">
    <cfRule type="expression" dxfId="3383" priority="102">
      <formula>B$9&gt;=20/24</formula>
    </cfRule>
    <cfRule type="expression" dxfId="3382" priority="105">
      <formula>B$9&lt;8/24</formula>
    </cfRule>
    <cfRule type="expression" dxfId="3381" priority="104">
      <formula>AND(B$9&gt;=8/24,B$9&lt;14/24)</formula>
    </cfRule>
    <cfRule type="expression" dxfId="3380" priority="103">
      <formula>AND(B$9&gt;=14/24,B$9&lt;20/24)</formula>
    </cfRule>
  </conditionalFormatting>
  <conditionalFormatting sqref="B62:F68 G63:G68 H68:I68">
    <cfRule type="expression" dxfId="3379" priority="108">
      <formula>AND(B$9&gt;=14/24,B$9&lt;20/24)</formula>
    </cfRule>
    <cfRule type="expression" dxfId="3378" priority="109">
      <formula>AND(B$9&gt;=8/24,B$9&lt;14/24)</formula>
    </cfRule>
    <cfRule type="expression" dxfId="3377" priority="110">
      <formula>B$9&lt;8/24</formula>
    </cfRule>
    <cfRule type="expression" dxfId="3376" priority="107">
      <formula>B$9&gt;=20/24</formula>
    </cfRule>
  </conditionalFormatting>
  <conditionalFormatting sqref="B57:G57">
    <cfRule type="expression" dxfId="3375" priority="119">
      <formula>B$9&lt;8/24</formula>
    </cfRule>
  </conditionalFormatting>
  <conditionalFormatting sqref="B9:AF10">
    <cfRule type="expression" dxfId="3374" priority="161">
      <formula>B$9&lt;8/24</formula>
    </cfRule>
    <cfRule type="expression" dxfId="3373" priority="160">
      <formula>AND(B$9&gt;=8/24,B$9&lt;14/24)</formula>
    </cfRule>
    <cfRule type="expression" dxfId="3372" priority="159">
      <formula>AND(B$9&gt;=14/24,B$9&lt;20/24)</formula>
    </cfRule>
    <cfRule type="expression" dxfId="3371" priority="158">
      <formula>B$9&gt;=20/24</formula>
    </cfRule>
  </conditionalFormatting>
  <conditionalFormatting sqref="B19:AF54">
    <cfRule type="expression" dxfId="3370" priority="77">
      <formula>B19&gt;$AG19</formula>
    </cfRule>
  </conditionalFormatting>
  <conditionalFormatting sqref="B53:AF54">
    <cfRule type="expression" dxfId="3369" priority="74">
      <formula>AND(B$9&gt;=14/24,B$9&lt;20/24)</formula>
    </cfRule>
    <cfRule type="expression" dxfId="3368" priority="73">
      <formula>B$9&gt;=20/24</formula>
    </cfRule>
    <cfRule type="expression" dxfId="3367" priority="76">
      <formula>B$9&lt;8/24</formula>
    </cfRule>
    <cfRule type="expression" dxfId="3366" priority="75">
      <formula>AND(B$9&gt;=8/24,B$9&lt;14/24)</formula>
    </cfRule>
  </conditionalFormatting>
  <conditionalFormatting sqref="B55:AF55">
    <cfRule type="expression" dxfId="3365" priority="97">
      <formula>B55&gt;$AG55</formula>
    </cfRule>
  </conditionalFormatting>
  <conditionalFormatting sqref="B63:AF80">
    <cfRule type="expression" dxfId="3364" priority="82">
      <formula>B63&gt;$AG63</formula>
    </cfRule>
  </conditionalFormatting>
  <conditionalFormatting sqref="B69:AF74">
    <cfRule type="expression" dxfId="3363" priority="113">
      <formula>AND(B$9&gt;=8/24,B$9&lt;14/24)</formula>
    </cfRule>
    <cfRule type="expression" dxfId="3362" priority="112">
      <formula>AND(B$9&gt;=14/24,B$9&lt;20/24)</formula>
    </cfRule>
    <cfRule type="expression" dxfId="3361" priority="111">
      <formula>B$9&gt;=20/24</formula>
    </cfRule>
    <cfRule type="expression" dxfId="3360" priority="114">
      <formula>B$9&lt;8/24</formula>
    </cfRule>
  </conditionalFormatting>
  <conditionalFormatting sqref="B71:AF74">
    <cfRule type="expression" dxfId="3359" priority="84">
      <formula>AND(B$9&gt;=14/24,B$9&lt;20/24)</formula>
    </cfRule>
    <cfRule type="expression" dxfId="3358" priority="83">
      <formula>B$9&gt;=20/24</formula>
    </cfRule>
    <cfRule type="expression" dxfId="3357" priority="86">
      <formula>B$9&lt;8/24</formula>
    </cfRule>
    <cfRule type="expression" dxfId="3356" priority="85">
      <formula>AND(B$9&gt;=8/24,B$9&lt;14/24)</formula>
    </cfRule>
  </conditionalFormatting>
  <conditionalFormatting sqref="B77:AF80">
    <cfRule type="expression" dxfId="3355" priority="101">
      <formula>B$9&lt;8/24</formula>
    </cfRule>
    <cfRule type="expression" dxfId="3354" priority="100">
      <formula>AND(B$9&gt;=8/24,B$9&lt;14/24)</formula>
    </cfRule>
    <cfRule type="expression" dxfId="3353" priority="99">
      <formula>AND(B$9&gt;=14/24,B$9&lt;20/24)</formula>
    </cfRule>
    <cfRule type="expression" dxfId="3352" priority="98">
      <formula>B$9&gt;=20/24</formula>
    </cfRule>
  </conditionalFormatting>
  <conditionalFormatting sqref="B81:AF99">
    <cfRule type="expression" dxfId="3351" priority="79">
      <formula>AND(B$9&gt;=14/24,B$9&lt;20/24)</formula>
    </cfRule>
    <cfRule type="expression" dxfId="3350" priority="80">
      <formula>AND(B$9&gt;=8/24,B$9&lt;14/24)</formula>
    </cfRule>
    <cfRule type="expression" dxfId="3349" priority="81">
      <formula>B$9&lt;8/24</formula>
    </cfRule>
    <cfRule type="expression" dxfId="3348" priority="78">
      <formula>B$9&gt;=20/24</formula>
    </cfRule>
  </conditionalFormatting>
  <conditionalFormatting sqref="B101:AF117">
    <cfRule type="expression" dxfId="3347" priority="71">
      <formula>AND(B$9&gt;=8/24,B$9&lt;14/24)</formula>
    </cfRule>
    <cfRule type="expression" dxfId="3346" priority="72">
      <formula>B$9&lt;8/24</formula>
    </cfRule>
    <cfRule type="expression" dxfId="3345" priority="70">
      <formula>AND(B$9&gt;=14/24,B$9&lt;20/24)</formula>
    </cfRule>
    <cfRule type="expression" dxfId="3344" priority="69">
      <formula>B$9&gt;=20/24</formula>
    </cfRule>
  </conditionalFormatting>
  <conditionalFormatting sqref="B119:AF137">
    <cfRule type="expression" dxfId="3343" priority="68">
      <formula>B$9&lt;8/24</formula>
    </cfRule>
    <cfRule type="expression" dxfId="3342" priority="66">
      <formula>AND(B$9&gt;=14/24,B$9&lt;20/24)</formula>
    </cfRule>
    <cfRule type="expression" dxfId="3341" priority="65">
      <formula>B$9&gt;=20/24</formula>
    </cfRule>
    <cfRule type="expression" dxfId="3340" priority="67">
      <formula>AND(B$9&gt;=8/24,B$9&lt;14/24)</formula>
    </cfRule>
  </conditionalFormatting>
  <conditionalFormatting sqref="B244:AF244 B246:B252 D246:AF252">
    <cfRule type="expression" dxfId="3339" priority="202">
      <formula>AND(B$9&gt;=8/24,B$9&lt;14/24)</formula>
    </cfRule>
    <cfRule type="expression" dxfId="3338" priority="201">
      <formula>AND(B$9&gt;=14/24,B$9&lt;20/24)</formula>
    </cfRule>
    <cfRule type="expression" dxfId="3337" priority="200">
      <formula>B$9&gt;=20/24</formula>
    </cfRule>
    <cfRule type="expression" dxfId="3336" priority="203">
      <formula>B$9&lt;8/24</formula>
    </cfRule>
  </conditionalFormatting>
  <conditionalFormatting sqref="B62:AG62">
    <cfRule type="expression" dxfId="3335" priority="106">
      <formula>B62&gt;$AG62</formula>
    </cfRule>
  </conditionalFormatting>
  <conditionalFormatting sqref="E11:R11 S11:AF12 P12:R12">
    <cfRule type="expression" dxfId="3334" priority="125">
      <formula>E$9&gt;=20/24</formula>
    </cfRule>
    <cfRule type="expression" dxfId="3333" priority="126">
      <formula>AND(E$9&gt;=14/24,E$9&lt;20/24)</formula>
    </cfRule>
    <cfRule type="expression" dxfId="3332" priority="128">
      <formula>E$9&lt;8/24</formula>
    </cfRule>
    <cfRule type="expression" dxfId="3331" priority="124">
      <formula>E11&gt;$AG11</formula>
    </cfRule>
    <cfRule type="expression" dxfId="3330" priority="127">
      <formula>AND(E$9&gt;=8/24,E$9&lt;14/24)</formula>
    </cfRule>
  </conditionalFormatting>
  <conditionalFormatting sqref="G63:I67 J64:J67 K67">
    <cfRule type="expression" dxfId="3329" priority="121">
      <formula>AND(G$9&gt;=14/24,G$9&lt;20/24)</formula>
    </cfRule>
    <cfRule type="expression" dxfId="3328" priority="122">
      <formula>AND(G$9&gt;=8/24,G$9&lt;14/24)</formula>
    </cfRule>
    <cfRule type="expression" dxfId="3327" priority="123">
      <formula>G$9&lt;8/24</formula>
    </cfRule>
    <cfRule type="expression" dxfId="3326" priority="120">
      <formula>G$9&gt;=20/24</formula>
    </cfRule>
  </conditionalFormatting>
  <conditionalFormatting sqref="G63:L65">
    <cfRule type="expression" dxfId="3325" priority="148">
      <formula>G$9&gt;=20/24</formula>
    </cfRule>
    <cfRule type="expression" dxfId="3324" priority="150">
      <formula>AND(G$9&gt;=8/24,G$9&lt;14/24)</formula>
    </cfRule>
    <cfRule type="expression" dxfId="3323" priority="151">
      <formula>G$9&lt;8/24</formula>
    </cfRule>
    <cfRule type="expression" dxfId="3322" priority="149">
      <formula>AND(G$9&gt;=14/24,G$9&lt;20/24)</formula>
    </cfRule>
  </conditionalFormatting>
  <conditionalFormatting sqref="G68:X68">
    <cfRule type="expression" dxfId="3321" priority="115">
      <formula>G$9&gt;=20/24</formula>
    </cfRule>
    <cfRule type="expression" dxfId="3320" priority="116">
      <formula>AND(G$9&gt;=14/24,G$9&lt;20/24)</formula>
    </cfRule>
    <cfRule type="expression" dxfId="3319" priority="117">
      <formula>AND(G$9&gt;=8/24,G$9&lt;14/24)</formula>
    </cfRule>
    <cfRule type="expression" dxfId="3318" priority="118">
      <formula>G$9&lt;8/24</formula>
    </cfRule>
  </conditionalFormatting>
  <conditionalFormatting sqref="G59:AF62">
    <cfRule type="expression" dxfId="3317" priority="134">
      <formula>G$9&gt;=20/24</formula>
    </cfRule>
    <cfRule type="expression" dxfId="3316" priority="137">
      <formula>G$9&lt;8/24</formula>
    </cfRule>
    <cfRule type="expression" dxfId="3315" priority="135">
      <formula>AND(G$9&gt;=14/24,G$9&lt;20/24)</formula>
    </cfRule>
    <cfRule type="expression" dxfId="3314" priority="136">
      <formula>AND(G$9&gt;=8/24,G$9&lt;14/24)</formula>
    </cfRule>
  </conditionalFormatting>
  <conditionalFormatting sqref="H55:X56 B55:G57 Y55:AF55">
    <cfRule type="expression" dxfId="3313" priority="93">
      <formula>B$9&gt;=20/24</formula>
    </cfRule>
  </conditionalFormatting>
  <conditionalFormatting sqref="H56:X56 G56:G57 B56:F61">
    <cfRule type="expression" dxfId="3312" priority="92">
      <formula>B56&gt;$AG56</formula>
    </cfRule>
  </conditionalFormatting>
  <conditionalFormatting sqref="H57:X57">
    <cfRule type="expression" dxfId="3311" priority="133">
      <formula>H$9&lt;8/24</formula>
    </cfRule>
  </conditionalFormatting>
  <conditionalFormatting sqref="M63:X67">
    <cfRule type="expression" dxfId="3310" priority="152">
      <formula>M$9&gt;=20/24</formula>
    </cfRule>
    <cfRule type="expression" dxfId="3309" priority="153">
      <formula>AND(M$9&gt;=14/24,M$9&lt;20/24)</formula>
    </cfRule>
    <cfRule type="expression" dxfId="3308" priority="154">
      <formula>AND(M$9&gt;=8/24,M$9&lt;14/24)</formula>
    </cfRule>
    <cfRule type="expression" dxfId="3307" priority="155">
      <formula>M$9&lt;8/24</formula>
    </cfRule>
  </conditionalFormatting>
  <conditionalFormatting sqref="O3:P3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306" priority="206">
      <formula>C$9&gt;=20/24</formula>
    </cfRule>
  </conditionalFormatting>
  <conditionalFormatting sqref="S8">
    <cfRule type="expression" dxfId="3305" priority="196">
      <formula>U$9&lt;8/24</formula>
    </cfRule>
    <cfRule type="expression" dxfId="3304" priority="194">
      <formula>AND(U$9&gt;=14/24,U$9&lt;20/24)</formula>
    </cfRule>
    <cfRule type="expression" dxfId="3303" priority="193">
      <formula>U$9&gt;=20/24</formula>
    </cfRule>
    <cfRule type="expression" dxfId="3302" priority="195">
      <formula>AND(U$9&gt;=8/24,U$9&lt;14/24)</formula>
    </cfRule>
  </conditionalFormatting>
  <conditionalFormatting sqref="V3 AB3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Y55:AF55 B55:X56">
    <cfRule type="expression" dxfId="3301" priority="96">
      <formula>B$9&lt;8/24</formula>
    </cfRule>
  </conditionalFormatting>
  <conditionalFormatting sqref="Y55:AF55 H55:X56 B55:G57">
    <cfRule type="expression" dxfId="3300" priority="94">
      <formula>AND(B$9&gt;=14/24,B$9&lt;20/24)</formula>
    </cfRule>
    <cfRule type="expression" dxfId="3299" priority="95">
      <formula>AND(B$9&gt;=8/24,B$9&lt;14/24)</formula>
    </cfRule>
  </conditionalFormatting>
  <conditionalFormatting sqref="Y56:AF57 H57:X57">
    <cfRule type="expression" dxfId="3298" priority="130">
      <formula>H$9&gt;=20/24</formula>
    </cfRule>
    <cfRule type="expression" dxfId="3297" priority="131">
      <formula>AND(H$9&gt;=14/24,H$9&lt;20/24)</formula>
    </cfRule>
    <cfRule type="expression" dxfId="3296" priority="132">
      <formula>AND(H$9&gt;=8/24,H$9&lt;14/24)</formula>
    </cfRule>
  </conditionalFormatting>
  <conditionalFormatting sqref="Y56:AF57">
    <cfRule type="expression" dxfId="3295" priority="142">
      <formula>Y$9&lt;8/24</formula>
    </cfRule>
  </conditionalFormatting>
  <conditionalFormatting sqref="Y56:AF61 H57:J57 K57:X61 G58:J61">
    <cfRule type="expression" dxfId="3294" priority="129">
      <formula>G56&gt;$AG56</formula>
    </cfRule>
  </conditionalFormatting>
  <conditionalFormatting sqref="Y63:AF68">
    <cfRule type="expression" dxfId="3293" priority="138">
      <formula>Y$9&gt;=20/24</formula>
    </cfRule>
    <cfRule type="expression" dxfId="3292" priority="139">
      <formula>AND(Y$9&gt;=14/24,Y$9&lt;20/24)</formula>
    </cfRule>
    <cfRule type="expression" dxfId="3291" priority="140">
      <formula>AND(Y$9&gt;=8/24,Y$9&lt;14/24)</formula>
    </cfRule>
    <cfRule type="expression" dxfId="3290" priority="141">
      <formula>Y$9&lt;8/24</formula>
    </cfRule>
  </conditionalFormatting>
  <conditionalFormatting sqref="AB8">
    <cfRule type="expression" dxfId="3289" priority="190">
      <formula>AND(AD$9&gt;=14/24,AD$9&lt;20/24)</formula>
    </cfRule>
    <cfRule type="expression" dxfId="3288" priority="191">
      <formula>AND(AD$9&gt;=8/24,AD$9&lt;14/24)</formula>
    </cfRule>
    <cfRule type="expression" dxfId="3287" priority="192">
      <formula>AD$9&lt;8/24</formula>
    </cfRule>
    <cfRule type="expression" dxfId="3286" priority="189">
      <formula>AD$9&gt;=20/24</formula>
    </cfRule>
  </conditionalFormatting>
  <conditionalFormatting sqref="AG58">
    <cfRule type="expression" dxfId="3285" priority="184">
      <formula>AG58&gt;$AG58</formula>
    </cfRule>
  </conditionalFormatting>
  <conditionalFormatting sqref="AG62">
    <cfRule type="expression" dxfId="3284" priority="169">
      <formula>AND(AG$9&gt;=8/24,AG$9&lt;14/24)</formula>
    </cfRule>
    <cfRule type="expression" dxfId="3283" priority="168">
      <formula>AND(AG$9&gt;=14/24,AG$9&lt;20/24)</formula>
    </cfRule>
    <cfRule type="expression" dxfId="3282" priority="167">
      <formula>AG$9&gt;=20/24</formula>
    </cfRule>
    <cfRule type="expression" dxfId="3281" priority="170">
      <formula>AG$9&lt;8/24</formula>
    </cfRule>
  </conditionalFormatting>
  <conditionalFormatting sqref="AG75:AG76 AG80">
    <cfRule type="expression" dxfId="3280" priority="162">
      <formula>AG75&gt;$AG75</formula>
    </cfRule>
  </conditionalFormatting>
  <conditionalFormatting sqref="AG80">
    <cfRule type="expression" dxfId="3279" priority="164">
      <formula>AND(AG$9&gt;=14/24,AG$9&lt;20/24)</formula>
    </cfRule>
    <cfRule type="expression" dxfId="3278" priority="165">
      <formula>AND(AG$9&gt;=8/24,AG$9&lt;14/24)</formula>
    </cfRule>
    <cfRule type="expression" dxfId="3277" priority="166">
      <formula>AG$9&lt;8/24</formula>
    </cfRule>
    <cfRule type="expression" dxfId="3276" priority="163">
      <formula>AG$9&gt;=20/24</formula>
    </cfRule>
  </conditionalFormatting>
  <conditionalFormatting sqref="AG97">
    <cfRule type="expression" dxfId="3275" priority="187">
      <formula>AND(AG$9&gt;=8/24,AG$9&lt;14/24)</formula>
    </cfRule>
    <cfRule type="expression" dxfId="3274" priority="188">
      <formula>AG$9&lt;8/24</formula>
    </cfRule>
    <cfRule type="expression" dxfId="3273" priority="186">
      <formula>AND(AG$9&gt;=14/24,AG$9&lt;20/24)</formula>
    </cfRule>
    <cfRule type="expression" dxfId="3272" priority="185">
      <formula>AG$9&gt;=20/24</formula>
    </cfRule>
  </conditionalFormatting>
  <conditionalFormatting sqref="CL4:CL6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CL2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CL38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CL44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CL47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CL48 CL45:CL46 CL7:CL11 CL26:CL37 CL39:CL43 CL54:CL55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CL49:CL5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CL52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CL5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CL89:CM93">
    <cfRule type="expression" dxfId="3271" priority="210">
      <formula>AJ$9&gt;=20/24</formula>
    </cfRule>
    <cfRule type="expression" dxfId="3270" priority="211">
      <formula>AND(AJ$9&gt;=14/24,AJ$9&lt;20/24)</formula>
    </cfRule>
    <cfRule type="expression" dxfId="3269" priority="213">
      <formula>AJ$9&lt;8/24</formula>
    </cfRule>
    <cfRule type="expression" dxfId="3268" priority="212">
      <formula>AND(AJ$9&gt;=8/24,AJ$9&lt;14/24)</formula>
    </cfRule>
  </conditionalFormatting>
  <conditionalFormatting sqref="CL88:CN88 CL94:CN94">
    <cfRule type="expression" dxfId="3267" priority="177">
      <formula>CL$9&gt;=20/24</formula>
    </cfRule>
    <cfRule type="expression" dxfId="3266" priority="180">
      <formula>CL$9&lt;8/24</formula>
    </cfRule>
    <cfRule type="expression" dxfId="3265" priority="179">
      <formula>AND(CL$9&gt;=8/24,CL$9&lt;14/24)</formula>
    </cfRule>
    <cfRule type="expression" dxfId="3264" priority="178">
      <formula>AND(CL$9&gt;=14/24,CL$9&lt;20/24)</formula>
    </cfRule>
  </conditionalFormatting>
  <conditionalFormatting sqref="CM15:CM21 CN16:CR21">
    <cfRule type="expression" dxfId="3263" priority="16">
      <formula>CX$9&lt;8/24</formula>
    </cfRule>
    <cfRule type="expression" dxfId="3262" priority="13">
      <formula>CX$9&gt;=20/24</formula>
    </cfRule>
    <cfRule type="expression" dxfId="3261" priority="15">
      <formula>AND(CX$9&gt;=8/24,CX$9&lt;14/24)</formula>
    </cfRule>
    <cfRule type="expression" dxfId="3260" priority="14">
      <formula>AND(CX$9&gt;=14/24,CX$9&lt;20/24)</formula>
    </cfRule>
  </conditionalFormatting>
  <conditionalFormatting sqref="CN89:CN92">
    <cfRule type="expression" dxfId="3259" priority="176">
      <formula>CN$9&lt;8/24</formula>
    </cfRule>
    <cfRule type="expression" dxfId="3258" priority="175">
      <formula>AND(CN$9&gt;=8/24,CN$9&lt;14/24)</formula>
    </cfRule>
    <cfRule type="expression" dxfId="3257" priority="174">
      <formula>AND(CN$9&gt;=14/24,CN$9&lt;20/24)</formula>
    </cfRule>
    <cfRule type="expression" dxfId="3256" priority="173">
      <formula>CN$9&gt;=20/24</formula>
    </cfRule>
  </conditionalFormatting>
  <conditionalFormatting sqref="CN15:CR15">
    <cfRule type="expression" dxfId="3255" priority="1">
      <formula>U$9&gt;=20/24</formula>
    </cfRule>
    <cfRule type="expression" dxfId="3254" priority="3">
      <formula>AND(U$9&gt;=8/24,U$9&lt;14/24)</formula>
    </cfRule>
    <cfRule type="expression" dxfId="3253" priority="2">
      <formula>AND(U$9&gt;=14/24,U$9&lt;20/24)</formula>
    </cfRule>
    <cfRule type="expression" dxfId="3252" priority="4">
      <formula>U$9&lt;8/24</formula>
    </cfRule>
  </conditionalFormatting>
  <conditionalFormatting sqref="CS15">
    <cfRule type="expression" dxfId="3251" priority="12">
      <formula>AA$9&lt;8/24</formula>
    </cfRule>
    <cfRule type="expression" dxfId="3250" priority="10">
      <formula>AND(AA$9&gt;=14/24,AA$9&lt;20/24)</formula>
    </cfRule>
    <cfRule type="expression" dxfId="3249" priority="9">
      <formula>AA$9&gt;=20/24</formula>
    </cfRule>
    <cfRule type="expression" dxfId="3248" priority="11">
      <formula>AND(AA$9&gt;=8/24,AA$9&lt;14/24)</formula>
    </cfRule>
  </conditionalFormatting>
  <conditionalFormatting sqref="CS16:CS21">
    <cfRule type="expression" dxfId="3247" priority="19">
      <formula>AND(DE$9&gt;=8/24,DE$9&lt;14/24)</formula>
    </cfRule>
    <cfRule type="expression" dxfId="3246" priority="18">
      <formula>AND(DE$9&gt;=14/24,DE$9&lt;20/24)</formula>
    </cfRule>
    <cfRule type="expression" dxfId="3245" priority="17">
      <formula>DE$9&gt;=20/24</formula>
    </cfRule>
    <cfRule type="expression" dxfId="3244" priority="20">
      <formula>DE$9&lt;8/24</formula>
    </cfRule>
  </conditionalFormatting>
  <conditionalFormatting sqref="CT15 CX15:DD15">
    <cfRule type="expression" dxfId="3243" priority="23">
      <formula>AND(AC$9&gt;=8/24,AC$9&lt;14/24)</formula>
    </cfRule>
    <cfRule type="expression" dxfId="3242" priority="22">
      <formula>AND(AC$9&gt;=14/24,AC$9&lt;20/24)</formula>
    </cfRule>
    <cfRule type="expression" dxfId="3241" priority="21">
      <formula>AC$9&gt;=20/24</formula>
    </cfRule>
    <cfRule type="expression" dxfId="3240" priority="24">
      <formula>AC$9&lt;8/24</formula>
    </cfRule>
  </conditionalFormatting>
  <conditionalFormatting sqref="CT16:CT21">
    <cfRule type="expression" dxfId="3239" priority="26">
      <formula>AND(DG$9&gt;=14/24,DG$9&lt;20/24)</formula>
    </cfRule>
    <cfRule type="expression" dxfId="3238" priority="25">
      <formula>DG$9&gt;=20/24</formula>
    </cfRule>
    <cfRule type="expression" dxfId="3237" priority="28">
      <formula>DG$9&lt;8/24</formula>
    </cfRule>
    <cfRule type="expression" dxfId="3236" priority="27">
      <formula>AND(DG$9&gt;=8/24,DG$9&lt;14/24)</formula>
    </cfRule>
  </conditionalFormatting>
  <conditionalFormatting sqref="CU15:CV15">
    <cfRule type="expression" dxfId="3235" priority="362">
      <formula>AE$9&lt;8/24</formula>
    </cfRule>
    <cfRule type="expression" dxfId="3234" priority="359">
      <formula>AE$9&gt;=20/24</formula>
    </cfRule>
    <cfRule type="expression" dxfId="3233" priority="360">
      <formula>AND(AE$9&gt;=14/24,AE$9&lt;20/24)</formula>
    </cfRule>
    <cfRule type="expression" dxfId="3232" priority="361">
      <formula>AND(AE$9&gt;=8/24,AE$9&lt;14/24)</formula>
    </cfRule>
  </conditionalFormatting>
  <conditionalFormatting sqref="CU16:DD21">
    <cfRule type="expression" dxfId="3231" priority="33">
      <formula>DI$9&gt;=20/24</formula>
    </cfRule>
    <cfRule type="expression" dxfId="3230" priority="34">
      <formula>AND(DI$9&gt;=14/24,DI$9&lt;20/24)</formula>
    </cfRule>
    <cfRule type="expression" dxfId="3229" priority="35">
      <formula>AND(DI$9&gt;=8/24,DI$9&lt;14/24)</formula>
    </cfRule>
    <cfRule type="expression" dxfId="3228" priority="36">
      <formula>DI$9&lt;8/24</formula>
    </cfRule>
  </conditionalFormatting>
  <conditionalFormatting sqref="CW15">
    <cfRule type="expression" dxfId="3227" priority="8">
      <formula>B$9&lt;8/24</formula>
    </cfRule>
    <cfRule type="expression" dxfId="3226" priority="7">
      <formula>AND(B$9&gt;=8/24,B$9&lt;14/24)</formula>
    </cfRule>
    <cfRule type="expression" dxfId="3225" priority="6">
      <formula>AND(B$9&gt;=14/24,B$9&lt;20/24)</formula>
    </cfRule>
    <cfRule type="expression" dxfId="3224" priority="5">
      <formula>B$9&gt;=20/24</formula>
    </cfRule>
  </conditionalFormatting>
  <conditionalFormatting sqref="DE15">
    <cfRule type="expression" dxfId="3223" priority="32">
      <formula>CO$9&lt;8/24</formula>
    </cfRule>
    <cfRule type="expression" dxfId="3222" priority="29">
      <formula>CO$9&gt;=20/24</formula>
    </cfRule>
    <cfRule type="expression" dxfId="3221" priority="30">
      <formula>AND(CO$9&gt;=14/24,CO$9&lt;20/24)</formula>
    </cfRule>
    <cfRule type="expression" dxfId="3220" priority="31">
      <formula>AND(CO$9&gt;=8/24,CO$9&lt;14/24)</formula>
    </cfRule>
  </conditionalFormatting>
  <conditionalFormatting sqref="DE16:DE21">
    <cfRule type="expression" dxfId="3219" priority="37">
      <formula>DT$9&gt;=20/24</formula>
    </cfRule>
    <cfRule type="expression" dxfId="3218" priority="38">
      <formula>AND(DT$9&gt;=14/24,DT$9&lt;20/24)</formula>
    </cfRule>
    <cfRule type="expression" dxfId="3217" priority="39">
      <formula>AND(DT$9&gt;=8/24,DT$9&lt;14/24)</formula>
    </cfRule>
    <cfRule type="expression" dxfId="3216" priority="40">
      <formula>DT$9&lt;8/24</formula>
    </cfRule>
  </conditionalFormatting>
  <conditionalFormatting sqref="DF15">
    <cfRule type="expression" dxfId="3215" priority="41">
      <formula>CQ$9&gt;=20/24</formula>
    </cfRule>
    <cfRule type="expression" dxfId="3214" priority="42">
      <formula>AND(CQ$9&gt;=14/24,CQ$9&lt;20/24)</formula>
    </cfRule>
    <cfRule type="expression" dxfId="3213" priority="43">
      <formula>AND(CQ$9&gt;=8/24,CQ$9&lt;14/24)</formula>
    </cfRule>
    <cfRule type="expression" dxfId="3212" priority="44">
      <formula>CQ$9&lt;8/24</formula>
    </cfRule>
  </conditionalFormatting>
  <conditionalFormatting sqref="DF16:DF21">
    <cfRule type="expression" dxfId="3211" priority="45">
      <formula>DV$9&gt;=20/24</formula>
    </cfRule>
    <cfRule type="expression" dxfId="3210" priority="46">
      <formula>AND(DV$9&gt;=14/24,DV$9&lt;20/24)</formula>
    </cfRule>
    <cfRule type="expression" dxfId="3209" priority="47">
      <formula>AND(DV$9&gt;=8/24,DV$9&lt;14/24)</formula>
    </cfRule>
    <cfRule type="expression" dxfId="3208" priority="48">
      <formula>DV$9&lt;8/24</formula>
    </cfRule>
  </conditionalFormatting>
  <conditionalFormatting sqref="DG15">
    <cfRule type="expression" dxfId="3207" priority="49">
      <formula>CS$9&gt;=20/24</formula>
    </cfRule>
    <cfRule type="expression" dxfId="3206" priority="51">
      <formula>AND(CS$9&gt;=8/24,CS$9&lt;14/24)</formula>
    </cfRule>
    <cfRule type="expression" dxfId="3205" priority="52">
      <formula>CS$9&lt;8/24</formula>
    </cfRule>
    <cfRule type="expression" dxfId="3204" priority="50">
      <formula>AND(CS$9&gt;=14/24,CS$9&lt;20/24)</formula>
    </cfRule>
  </conditionalFormatting>
  <conditionalFormatting sqref="DG16:DG21">
    <cfRule type="expression" dxfId="3203" priority="53">
      <formula>DX$9&gt;=20/24</formula>
    </cfRule>
    <cfRule type="expression" dxfId="3202" priority="56">
      <formula>DX$9&lt;8/24</formula>
    </cfRule>
    <cfRule type="expression" dxfId="3201" priority="55">
      <formula>AND(DX$9&gt;=8/24,DX$9&lt;14/24)</formula>
    </cfRule>
    <cfRule type="expression" dxfId="3200" priority="54">
      <formula>AND(DX$9&gt;=14/24,DX$9&lt;20/24)</formula>
    </cfRule>
  </conditionalFormatting>
  <conditionalFormatting sqref="DH15:DJ15">
    <cfRule type="expression" dxfId="3199" priority="60">
      <formula>CU$9&lt;8/24</formula>
    </cfRule>
    <cfRule type="expression" dxfId="3198" priority="59">
      <formula>AND(CU$9&gt;=8/24,CU$9&lt;14/24)</formula>
    </cfRule>
    <cfRule type="expression" dxfId="3197" priority="58">
      <formula>AND(CU$9&gt;=14/24,CU$9&lt;20/24)</formula>
    </cfRule>
    <cfRule type="expression" dxfId="3196" priority="57">
      <formula>CU$9&gt;=20/24</formula>
    </cfRule>
  </conditionalFormatting>
  <conditionalFormatting sqref="DH16:DJ21">
    <cfRule type="expression" dxfId="3195" priority="61">
      <formula>DZ$9&gt;=20/24</formula>
    </cfRule>
    <cfRule type="expression" dxfId="3194" priority="62">
      <formula>AND(DZ$9&gt;=14/24,DZ$9&lt;20/24)</formula>
    </cfRule>
    <cfRule type="expression" dxfId="3193" priority="63">
      <formula>AND(DZ$9&gt;=8/24,DZ$9&lt;14/24)</formula>
    </cfRule>
    <cfRule type="expression" dxfId="3192" priority="64">
      <formula>DZ$9&lt;8/24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8637-8CAA-419E-ADF0-D385F14E1C52}">
  <dimension ref="A1:CJ294"/>
  <sheetViews>
    <sheetView zoomScaleNormal="100" workbookViewId="0">
      <pane xSplit="1" ySplit="10" topLeftCell="M72" activePane="bottomRight" state="frozen"/>
      <selection activeCell="Z63" sqref="Z63"/>
      <selection pane="topRight" activeCell="Z63" sqref="Z63"/>
      <selection pane="bottomLeft" activeCell="Z63" sqref="Z63"/>
      <selection pane="bottomRight" activeCell="Z105" sqref="Z10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8" width="7.140625" style="1" customWidth="1"/>
    <col min="19" max="19" width="9.42578125" style="1" customWidth="1"/>
    <col min="20" max="20" width="7.28515625" style="1" customWidth="1"/>
    <col min="21" max="21" width="7.42578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2080/10/12</v>
      </c>
      <c r="C4" s="272"/>
      <c r="D4" s="272"/>
      <c r="E4" s="273" t="str">
        <f ca="1">"2080/"&amp;"10/"&amp;INT(MID(CELL("filename",G6),FIND("]",CELL("filename",G6))+1,200))</f>
        <v>2080/10/12</v>
      </c>
      <c r="F4" s="273"/>
      <c r="G4" s="273"/>
      <c r="H4" s="273" t="str">
        <f ca="1">TEXT(E4,"dddd")</f>
        <v>Saturday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531.4</v>
      </c>
      <c r="C5" s="30">
        <f t="shared" si="0"/>
        <v>539.59999999999991</v>
      </c>
      <c r="D5" s="30">
        <f t="shared" si="0"/>
        <v>530.9</v>
      </c>
      <c r="E5" s="30">
        <f t="shared" si="0"/>
        <v>530.69999999999993</v>
      </c>
      <c r="F5" s="30">
        <f t="shared" si="0"/>
        <v>564</v>
      </c>
      <c r="G5" s="30">
        <f t="shared" si="0"/>
        <v>576.70000000000005</v>
      </c>
      <c r="H5" s="30">
        <f t="shared" si="0"/>
        <v>560.6</v>
      </c>
      <c r="I5" s="30">
        <f t="shared" si="0"/>
        <v>597.70000000000005</v>
      </c>
      <c r="J5" s="30">
        <f t="shared" si="0"/>
        <v>451.3</v>
      </c>
      <c r="K5" s="30">
        <f t="shared" si="0"/>
        <v>303.5</v>
      </c>
      <c r="L5" s="30">
        <f t="shared" si="0"/>
        <v>223</v>
      </c>
      <c r="M5" s="30">
        <f t="shared" si="0"/>
        <v>294.3</v>
      </c>
      <c r="N5" s="30">
        <f t="shared" si="0"/>
        <v>461.29999999999995</v>
      </c>
      <c r="O5" s="30">
        <f t="shared" si="0"/>
        <v>488.9</v>
      </c>
      <c r="P5" s="30">
        <f t="shared" si="0"/>
        <v>553</v>
      </c>
      <c r="Q5" s="30">
        <f t="shared" si="0"/>
        <v>598.99999999999989</v>
      </c>
      <c r="R5" s="30">
        <f t="shared" si="0"/>
        <v>534.4</v>
      </c>
      <c r="S5" s="30">
        <f t="shared" si="0"/>
        <v>610</v>
      </c>
      <c r="T5" s="30">
        <f t="shared" si="0"/>
        <v>588.1</v>
      </c>
      <c r="U5" s="30">
        <f t="shared" si="0"/>
        <v>619.79999999999995</v>
      </c>
      <c r="V5" s="30">
        <f t="shared" si="0"/>
        <v>598.20000000000005</v>
      </c>
      <c r="W5" s="30">
        <f t="shared" si="0"/>
        <v>606</v>
      </c>
      <c r="X5" s="30">
        <f t="shared" si="0"/>
        <v>460.1</v>
      </c>
      <c r="Y5" s="30">
        <f t="shared" si="0"/>
        <v>284.7</v>
      </c>
      <c r="Z5" s="30">
        <f t="shared" si="0"/>
        <v>297.40000000000003</v>
      </c>
      <c r="AA5" s="30">
        <f t="shared" si="0"/>
        <v>370.8</v>
      </c>
      <c r="AB5" s="30">
        <f t="shared" si="0"/>
        <v>471.3</v>
      </c>
      <c r="AC5" s="30">
        <f t="shared" si="0"/>
        <v>480.2</v>
      </c>
      <c r="AD5" s="30">
        <f t="shared" si="0"/>
        <v>553.20000000000005</v>
      </c>
      <c r="AE5" s="30">
        <f t="shared" si="0"/>
        <v>560.5</v>
      </c>
      <c r="AF5" s="30">
        <f>B92</f>
        <v>560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Load=1147</v>
      </c>
      <c r="B7" s="35">
        <f>B100</f>
        <v>1232.0899999999999</v>
      </c>
      <c r="C7" s="35">
        <f t="shared" ref="C7:AF7" si="1">C100</f>
        <v>1157.19</v>
      </c>
      <c r="D7" s="35">
        <f t="shared" si="1"/>
        <v>1156.0899999999997</v>
      </c>
      <c r="E7" s="35">
        <f t="shared" si="1"/>
        <v>1147.4899999999998</v>
      </c>
      <c r="F7" s="35">
        <f t="shared" si="1"/>
        <v>1171.4899999999998</v>
      </c>
      <c r="G7" s="35">
        <f t="shared" si="1"/>
        <v>1239.79</v>
      </c>
      <c r="H7" s="35">
        <f t="shared" si="1"/>
        <v>1282.99</v>
      </c>
      <c r="I7" s="35">
        <f t="shared" si="1"/>
        <v>1335.29</v>
      </c>
      <c r="J7" s="35">
        <f t="shared" si="1"/>
        <v>1415.79</v>
      </c>
      <c r="K7" s="35">
        <f t="shared" si="1"/>
        <v>1511.6899999999998</v>
      </c>
      <c r="L7" s="35">
        <f t="shared" si="1"/>
        <v>1671.09</v>
      </c>
      <c r="M7" s="35">
        <f t="shared" si="1"/>
        <v>1681.29</v>
      </c>
      <c r="N7" s="35">
        <f t="shared" si="1"/>
        <v>1671.59</v>
      </c>
      <c r="O7" s="35">
        <f t="shared" si="1"/>
        <v>1499.49</v>
      </c>
      <c r="P7" s="35">
        <f t="shared" si="1"/>
        <v>1429.69</v>
      </c>
      <c r="Q7" s="35">
        <f t="shared" si="1"/>
        <v>1317.3899999999999</v>
      </c>
      <c r="R7" s="35">
        <f t="shared" si="1"/>
        <v>1356.19</v>
      </c>
      <c r="S7" s="35">
        <f t="shared" si="1"/>
        <v>1328.29</v>
      </c>
      <c r="T7" s="35">
        <f t="shared" si="1"/>
        <v>1352.99</v>
      </c>
      <c r="U7" s="35">
        <f t="shared" si="1"/>
        <v>1295.99</v>
      </c>
      <c r="V7" s="35">
        <f t="shared" si="1"/>
        <v>1321.99</v>
      </c>
      <c r="W7" s="35">
        <f t="shared" si="1"/>
        <v>1304.49</v>
      </c>
      <c r="X7" s="35">
        <f t="shared" si="1"/>
        <v>1490.49</v>
      </c>
      <c r="Y7" s="35">
        <f t="shared" si="1"/>
        <v>1635.15</v>
      </c>
      <c r="Z7" s="35">
        <f t="shared" si="1"/>
        <v>1773.25</v>
      </c>
      <c r="AA7" s="35">
        <f t="shared" si="1"/>
        <v>1720.99</v>
      </c>
      <c r="AB7" s="35">
        <f t="shared" si="1"/>
        <v>1700.09</v>
      </c>
      <c r="AC7" s="35">
        <f t="shared" si="1"/>
        <v>1650.19</v>
      </c>
      <c r="AD7" s="35">
        <f t="shared" si="1"/>
        <v>1591.29</v>
      </c>
      <c r="AE7" s="35">
        <f t="shared" si="1"/>
        <v>1259.2900000000002</v>
      </c>
      <c r="AF7" s="35">
        <f t="shared" si="1"/>
        <v>1202.0900000000001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25.7</v>
      </c>
      <c r="C11" s="45">
        <v>25.7</v>
      </c>
      <c r="D11" s="45">
        <v>25.7</v>
      </c>
      <c r="E11" s="45">
        <v>25.7</v>
      </c>
      <c r="F11" s="45">
        <v>25.7</v>
      </c>
      <c r="G11" s="45">
        <v>25.7</v>
      </c>
      <c r="H11" s="45">
        <v>25.7</v>
      </c>
      <c r="I11" s="45">
        <v>25.7</v>
      </c>
      <c r="J11" s="45">
        <v>25.7</v>
      </c>
      <c r="K11" s="45">
        <v>25.7</v>
      </c>
      <c r="L11" s="45">
        <v>25.7</v>
      </c>
      <c r="M11" s="45">
        <v>26.6</v>
      </c>
      <c r="N11" s="45">
        <v>26.6</v>
      </c>
      <c r="O11" s="45">
        <v>26.6</v>
      </c>
      <c r="P11" s="45">
        <v>26.6</v>
      </c>
      <c r="Q11" s="45">
        <v>26.6</v>
      </c>
      <c r="R11" s="45">
        <v>26.6</v>
      </c>
      <c r="S11" s="45">
        <v>26.6</v>
      </c>
      <c r="T11" s="45">
        <v>26.6</v>
      </c>
      <c r="U11" s="45">
        <v>27.8</v>
      </c>
      <c r="V11" s="45">
        <v>27.8</v>
      </c>
      <c r="W11" s="45">
        <v>27.8</v>
      </c>
      <c r="X11" s="45">
        <v>27.8</v>
      </c>
      <c r="Y11" s="45">
        <v>27.8</v>
      </c>
      <c r="Z11" s="45">
        <v>27.8</v>
      </c>
      <c r="AA11" s="45">
        <v>27.8</v>
      </c>
      <c r="AB11" s="45">
        <v>27.5</v>
      </c>
      <c r="AC11" s="45">
        <v>27.5</v>
      </c>
      <c r="AD11" s="45">
        <v>26.6</v>
      </c>
      <c r="AE11" s="45">
        <v>27.2</v>
      </c>
      <c r="AF11" s="45">
        <v>27.2</v>
      </c>
      <c r="AG11" s="46">
        <v>86</v>
      </c>
      <c r="AH11" s="47">
        <f t="shared" ref="AH11:AH84" si="2">MAX(B11:AF11)</f>
        <v>27.8</v>
      </c>
      <c r="AI11" s="48">
        <f t="shared" ref="AI11:AI84" si="3">MIN(B11:AF11)</f>
        <v>25.7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12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11</v>
      </c>
      <c r="C13" s="45">
        <v>11</v>
      </c>
      <c r="D13" s="45">
        <v>11</v>
      </c>
      <c r="E13" s="45">
        <v>11</v>
      </c>
      <c r="F13" s="45">
        <v>11</v>
      </c>
      <c r="G13" s="45">
        <v>11</v>
      </c>
      <c r="H13" s="45">
        <v>11</v>
      </c>
      <c r="I13" s="45">
        <v>11</v>
      </c>
      <c r="J13" s="45">
        <v>11</v>
      </c>
      <c r="K13" s="45">
        <v>11</v>
      </c>
      <c r="L13" s="45">
        <v>11</v>
      </c>
      <c r="M13" s="45">
        <v>11</v>
      </c>
      <c r="N13" s="45">
        <v>11</v>
      </c>
      <c r="O13" s="45">
        <v>11</v>
      </c>
      <c r="P13" s="45">
        <v>11</v>
      </c>
      <c r="Q13" s="45">
        <v>11</v>
      </c>
      <c r="R13" s="45">
        <v>11</v>
      </c>
      <c r="S13" s="45">
        <v>11</v>
      </c>
      <c r="T13" s="45">
        <v>11</v>
      </c>
      <c r="U13" s="45">
        <v>11</v>
      </c>
      <c r="V13" s="45">
        <v>11</v>
      </c>
      <c r="W13" s="45">
        <v>11</v>
      </c>
      <c r="X13" s="45">
        <v>11</v>
      </c>
      <c r="Y13" s="45">
        <v>11</v>
      </c>
      <c r="Z13" s="45">
        <v>11</v>
      </c>
      <c r="AA13" s="45">
        <v>11</v>
      </c>
      <c r="AB13" s="45">
        <v>11</v>
      </c>
      <c r="AC13" s="45">
        <v>11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11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2080/10/12)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15.8</v>
      </c>
      <c r="C14" s="45">
        <v>15.8</v>
      </c>
      <c r="D14" s="45">
        <v>15.8</v>
      </c>
      <c r="E14" s="45">
        <v>15.8</v>
      </c>
      <c r="F14" s="45">
        <v>15.8</v>
      </c>
      <c r="G14" s="45">
        <v>15.8</v>
      </c>
      <c r="H14" s="45">
        <v>15.8</v>
      </c>
      <c r="I14" s="45">
        <v>15.8</v>
      </c>
      <c r="J14" s="45">
        <v>15.8</v>
      </c>
      <c r="K14" s="45">
        <v>15.8</v>
      </c>
      <c r="L14" s="45">
        <v>15.8</v>
      </c>
      <c r="M14" s="45">
        <v>15.8</v>
      </c>
      <c r="N14" s="45">
        <v>15.8</v>
      </c>
      <c r="O14" s="45">
        <v>15.8</v>
      </c>
      <c r="P14" s="45">
        <v>15.8</v>
      </c>
      <c r="Q14" s="45">
        <v>15.8</v>
      </c>
      <c r="R14" s="45">
        <v>15.8</v>
      </c>
      <c r="S14" s="45">
        <v>15.8</v>
      </c>
      <c r="T14" s="45">
        <v>15.8</v>
      </c>
      <c r="U14" s="45">
        <v>14.7</v>
      </c>
      <c r="V14" s="45">
        <v>14.7</v>
      </c>
      <c r="W14" s="45">
        <v>14.7</v>
      </c>
      <c r="X14" s="45">
        <v>14.7</v>
      </c>
      <c r="Y14" s="45">
        <v>14.7</v>
      </c>
      <c r="Z14" s="45">
        <v>14.7</v>
      </c>
      <c r="AA14" s="45">
        <v>14.7</v>
      </c>
      <c r="AB14" s="45">
        <v>14.7</v>
      </c>
      <c r="AC14" s="45">
        <v>14.7</v>
      </c>
      <c r="AD14" s="45">
        <v>15.1</v>
      </c>
      <c r="AE14" s="45">
        <v>15.2</v>
      </c>
      <c r="AF14" s="45">
        <v>15.2</v>
      </c>
      <c r="AG14" s="46">
        <v>52.4</v>
      </c>
      <c r="AH14" s="47">
        <f t="shared" si="2"/>
        <v>15.8</v>
      </c>
      <c r="AI14" s="48">
        <f t="shared" si="3"/>
        <v>14.7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28.7</v>
      </c>
      <c r="C15" s="45">
        <v>28.7</v>
      </c>
      <c r="D15" s="45">
        <v>28.7</v>
      </c>
      <c r="E15" s="45">
        <v>28.7</v>
      </c>
      <c r="F15" s="45">
        <v>28.7</v>
      </c>
      <c r="G15" s="45">
        <v>28.7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28.7</v>
      </c>
      <c r="R15" s="45">
        <v>28.7</v>
      </c>
      <c r="S15" s="45">
        <v>26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45">
        <v>25</v>
      </c>
      <c r="Z15" s="45">
        <v>25</v>
      </c>
      <c r="AA15" s="45">
        <v>25</v>
      </c>
      <c r="AB15" s="45">
        <v>25</v>
      </c>
      <c r="AC15" s="45">
        <v>25</v>
      </c>
      <c r="AD15" s="45">
        <v>29</v>
      </c>
      <c r="AE15" s="45">
        <v>28.6</v>
      </c>
      <c r="AF15" s="45">
        <v>28.6</v>
      </c>
      <c r="AG15" s="49">
        <v>50</v>
      </c>
      <c r="AH15" s="47">
        <f t="shared" si="2"/>
        <v>29</v>
      </c>
      <c r="AI15" s="48">
        <f t="shared" si="3"/>
        <v>25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15.1</v>
      </c>
      <c r="C16" s="45">
        <v>15.1</v>
      </c>
      <c r="D16" s="45">
        <v>15.1</v>
      </c>
      <c r="E16" s="45">
        <v>15.1</v>
      </c>
      <c r="F16" s="45">
        <v>15.1</v>
      </c>
      <c r="G16" s="45">
        <v>15.1</v>
      </c>
      <c r="H16" s="45">
        <v>15.1</v>
      </c>
      <c r="I16" s="45">
        <v>15.1</v>
      </c>
      <c r="J16" s="45">
        <v>15.1</v>
      </c>
      <c r="K16" s="45">
        <v>15.1</v>
      </c>
      <c r="L16" s="45">
        <v>15.1</v>
      </c>
      <c r="M16" s="45">
        <v>15.1</v>
      </c>
      <c r="N16" s="45">
        <v>15.1</v>
      </c>
      <c r="O16" s="45">
        <v>15.1</v>
      </c>
      <c r="P16" s="45">
        <v>15.1</v>
      </c>
      <c r="Q16" s="45">
        <v>15.1</v>
      </c>
      <c r="R16" s="45">
        <v>15.1</v>
      </c>
      <c r="S16" s="45">
        <v>15.1</v>
      </c>
      <c r="T16" s="45">
        <v>15.1</v>
      </c>
      <c r="U16" s="45">
        <v>17.600000000000001</v>
      </c>
      <c r="V16" s="45">
        <v>17.600000000000001</v>
      </c>
      <c r="W16" s="45">
        <v>17.600000000000001</v>
      </c>
      <c r="X16" s="45">
        <v>17.600000000000001</v>
      </c>
      <c r="Y16" s="45">
        <v>17.600000000000001</v>
      </c>
      <c r="Z16" s="45">
        <v>17.600000000000001</v>
      </c>
      <c r="AA16" s="45">
        <v>17.600000000000001</v>
      </c>
      <c r="AB16" s="45">
        <v>17.600000000000001</v>
      </c>
      <c r="AC16" s="45">
        <v>17.600000000000001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17.600000000000001</v>
      </c>
      <c r="AI16" s="48">
        <f t="shared" si="3"/>
        <v>15.1</v>
      </c>
      <c r="AK16" s="50"/>
      <c r="AL16" s="160" t="s">
        <v>7</v>
      </c>
      <c r="AM16" s="227">
        <f t="shared" ref="AM16:AR16" si="4">B58</f>
        <v>477.34999999999997</v>
      </c>
      <c r="AN16" s="227">
        <f t="shared" si="4"/>
        <v>477.34999999999997</v>
      </c>
      <c r="AO16" s="227">
        <f t="shared" si="4"/>
        <v>477.34999999999997</v>
      </c>
      <c r="AP16" s="227">
        <f t="shared" si="4"/>
        <v>477.34999999999997</v>
      </c>
      <c r="AQ16" s="227">
        <f t="shared" si="4"/>
        <v>477.34999999999997</v>
      </c>
      <c r="AR16" s="227">
        <f t="shared" si="4"/>
        <v>477.34999999999997</v>
      </c>
      <c r="AS16" s="227">
        <f>I58</f>
        <v>477.34999999999997</v>
      </c>
      <c r="AT16" s="227">
        <f>K58</f>
        <v>477.34999999999997</v>
      </c>
      <c r="AU16" s="227">
        <f t="shared" ref="AU16:BD16" si="5">M58</f>
        <v>478.24999999999994</v>
      </c>
      <c r="AV16" s="227">
        <f t="shared" si="5"/>
        <v>452.24999999999994</v>
      </c>
      <c r="AW16" s="227">
        <f t="shared" si="5"/>
        <v>452.24999999999994</v>
      </c>
      <c r="AX16" s="227">
        <f t="shared" si="5"/>
        <v>477.15</v>
      </c>
      <c r="AY16" s="227">
        <f t="shared" si="5"/>
        <v>477.15</v>
      </c>
      <c r="AZ16" s="227">
        <f t="shared" si="5"/>
        <v>477.15</v>
      </c>
      <c r="BA16" s="227">
        <f t="shared" si="5"/>
        <v>474.45</v>
      </c>
      <c r="BB16" s="227">
        <f t="shared" si="5"/>
        <v>473.45</v>
      </c>
      <c r="BC16" s="227">
        <f t="shared" si="5"/>
        <v>474.35</v>
      </c>
      <c r="BD16" s="227">
        <f t="shared" si="5"/>
        <v>468.05</v>
      </c>
      <c r="BE16" s="227">
        <f>X58</f>
        <v>468.05</v>
      </c>
      <c r="BF16" s="227">
        <f>Z58</f>
        <v>468.05</v>
      </c>
      <c r="BG16" s="227">
        <f>AB58</f>
        <v>476.05</v>
      </c>
      <c r="BH16" s="227">
        <f>AD58</f>
        <v>477.75000000000006</v>
      </c>
      <c r="BI16" s="227">
        <f>AE58</f>
        <v>478.05000000000007</v>
      </c>
      <c r="BJ16" s="227">
        <f>AF58</f>
        <v>478.05000000000007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0</v>
      </c>
      <c r="O17" s="45">
        <v>0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0</v>
      </c>
      <c r="AK17" s="50"/>
      <c r="AL17" s="160" t="s">
        <v>592</v>
      </c>
      <c r="AM17" s="227">
        <f t="shared" ref="AM17:AR17" si="6">B62</f>
        <v>42.2</v>
      </c>
      <c r="AN17" s="227">
        <f t="shared" si="6"/>
        <v>42.2</v>
      </c>
      <c r="AO17" s="227">
        <f t="shared" si="6"/>
        <v>35.6</v>
      </c>
      <c r="AP17" s="227">
        <f t="shared" si="6"/>
        <v>35.6</v>
      </c>
      <c r="AQ17" s="227">
        <f t="shared" si="6"/>
        <v>35.6</v>
      </c>
      <c r="AR17" s="227">
        <f t="shared" si="6"/>
        <v>50.6</v>
      </c>
      <c r="AS17" s="227">
        <f>I62</f>
        <v>65.599999999999994</v>
      </c>
      <c r="AT17" s="227">
        <f>K62</f>
        <v>145.69999999999999</v>
      </c>
      <c r="AU17" s="227">
        <f t="shared" ref="AU17:BD17" si="7">M62</f>
        <v>397.2</v>
      </c>
      <c r="AV17" s="227">
        <f t="shared" si="7"/>
        <v>287.2</v>
      </c>
      <c r="AW17" s="227">
        <f t="shared" si="7"/>
        <v>52.2</v>
      </c>
      <c r="AX17" s="227">
        <f t="shared" si="7"/>
        <v>35.200000000000003</v>
      </c>
      <c r="AY17" s="227">
        <f t="shared" si="7"/>
        <v>35.200000000000003</v>
      </c>
      <c r="AZ17" s="227">
        <f t="shared" si="7"/>
        <v>35.200000000000003</v>
      </c>
      <c r="BA17" s="227">
        <f t="shared" si="7"/>
        <v>65.2</v>
      </c>
      <c r="BB17" s="227">
        <f t="shared" si="7"/>
        <v>65.2</v>
      </c>
      <c r="BC17" s="227">
        <f t="shared" si="7"/>
        <v>35.200000000000003</v>
      </c>
      <c r="BD17" s="227">
        <f t="shared" si="7"/>
        <v>50.2</v>
      </c>
      <c r="BE17" s="227">
        <f>X62</f>
        <v>65.2</v>
      </c>
      <c r="BF17" s="227">
        <f>Z62</f>
        <v>430.2</v>
      </c>
      <c r="BG17" s="227">
        <f>AB62</f>
        <v>342.2</v>
      </c>
      <c r="BH17" s="227">
        <f>AD62</f>
        <v>175.2</v>
      </c>
      <c r="BI17" s="227">
        <f>AE62</f>
        <v>50.2</v>
      </c>
      <c r="BJ17" s="227">
        <f>AF62</f>
        <v>35.200000000000003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</v>
      </c>
      <c r="V18" s="45">
        <v>7</v>
      </c>
      <c r="W18" s="45">
        <v>7</v>
      </c>
      <c r="X18" s="45">
        <v>7</v>
      </c>
      <c r="Y18" s="45">
        <v>7</v>
      </c>
      <c r="Z18" s="45">
        <v>7</v>
      </c>
      <c r="AA18" s="45">
        <v>7</v>
      </c>
      <c r="AB18" s="45">
        <v>7</v>
      </c>
      <c r="AC18" s="45">
        <v>7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7.5</v>
      </c>
      <c r="AI18" s="48">
        <f t="shared" si="3"/>
        <v>7</v>
      </c>
      <c r="AK18" s="50"/>
      <c r="AL18" s="160" t="s">
        <v>593</v>
      </c>
      <c r="AM18" s="227">
        <f t="shared" ref="AM18:AR18" si="8">B76</f>
        <v>152.53999999999996</v>
      </c>
      <c r="AN18" s="227">
        <f t="shared" si="8"/>
        <v>106.24000000000001</v>
      </c>
      <c r="AO18" s="227">
        <f t="shared" si="8"/>
        <v>103.54</v>
      </c>
      <c r="AP18" s="227">
        <f t="shared" si="8"/>
        <v>103.64000000000001</v>
      </c>
      <c r="AQ18" s="227">
        <f t="shared" si="8"/>
        <v>127.84000000000002</v>
      </c>
      <c r="AR18" s="227">
        <f t="shared" si="8"/>
        <v>147.83999999999997</v>
      </c>
      <c r="AS18" s="227">
        <f>I76</f>
        <v>231.73999999999998</v>
      </c>
      <c r="AT18" s="227">
        <f>K76</f>
        <v>257.33999999999997</v>
      </c>
      <c r="AU18" s="227">
        <f t="shared" ref="AU18:BD18" si="9">M76</f>
        <v>282.83999999999997</v>
      </c>
      <c r="AV18" s="227">
        <f t="shared" si="9"/>
        <v>317.83999999999997</v>
      </c>
      <c r="AW18" s="227">
        <f t="shared" si="9"/>
        <v>283.74000000000007</v>
      </c>
      <c r="AX18" s="227">
        <f t="shared" si="9"/>
        <v>278.44</v>
      </c>
      <c r="AY18" s="227">
        <f t="shared" si="9"/>
        <v>253.04</v>
      </c>
      <c r="AZ18" s="227">
        <f t="shared" si="9"/>
        <v>164.84</v>
      </c>
      <c r="BA18" s="227">
        <f t="shared" si="9"/>
        <v>174.24</v>
      </c>
      <c r="BB18" s="227">
        <f t="shared" si="9"/>
        <v>124.34000000000002</v>
      </c>
      <c r="BC18" s="227">
        <f t="shared" si="9"/>
        <v>118.34000000000002</v>
      </c>
      <c r="BD18" s="227">
        <f t="shared" si="9"/>
        <v>103.94000000000001</v>
      </c>
      <c r="BE18" s="227">
        <f>X76</f>
        <v>151.23999999999998</v>
      </c>
      <c r="BF18" s="227">
        <f>Z76</f>
        <v>340.29999999999995</v>
      </c>
      <c r="BG18" s="227">
        <f>AB76</f>
        <v>261.04000000000002</v>
      </c>
      <c r="BH18" s="227">
        <f>AD76</f>
        <v>209.14000000000001</v>
      </c>
      <c r="BI18" s="227">
        <f>AE76</f>
        <v>179.83999999999997</v>
      </c>
      <c r="BJ18" s="227">
        <f>AF76</f>
        <v>128.34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2"/>
        <v>13</v>
      </c>
      <c r="AI19" s="48">
        <f t="shared" si="3"/>
        <v>11.8</v>
      </c>
      <c r="AK19" s="50"/>
      <c r="AL19" s="160" t="s">
        <v>594</v>
      </c>
      <c r="AM19" s="227">
        <f t="shared" ref="AM19:AR19" si="10">B92</f>
        <v>560</v>
      </c>
      <c r="AN19" s="227">
        <f t="shared" si="10"/>
        <v>531.4</v>
      </c>
      <c r="AO19" s="227">
        <f t="shared" si="10"/>
        <v>539.59999999999991</v>
      </c>
      <c r="AP19" s="227">
        <f t="shared" si="10"/>
        <v>530.9</v>
      </c>
      <c r="AQ19" s="227">
        <f t="shared" si="10"/>
        <v>530.69999999999993</v>
      </c>
      <c r="AR19" s="227">
        <f t="shared" si="10"/>
        <v>564</v>
      </c>
      <c r="AS19" s="227">
        <f>I92</f>
        <v>560.6</v>
      </c>
      <c r="AT19" s="227">
        <f>K92</f>
        <v>451.3</v>
      </c>
      <c r="AU19" s="227">
        <f t="shared" ref="AU19:BD19" si="11">M92</f>
        <v>223</v>
      </c>
      <c r="AV19" s="227">
        <f t="shared" si="11"/>
        <v>294.3</v>
      </c>
      <c r="AW19" s="227">
        <f t="shared" si="11"/>
        <v>461.29999999999995</v>
      </c>
      <c r="AX19" s="227">
        <f t="shared" si="11"/>
        <v>488.9</v>
      </c>
      <c r="AY19" s="227">
        <f t="shared" si="11"/>
        <v>553</v>
      </c>
      <c r="AZ19" s="227">
        <f t="shared" si="11"/>
        <v>598.99999999999989</v>
      </c>
      <c r="BA19" s="227">
        <f t="shared" si="11"/>
        <v>534.4</v>
      </c>
      <c r="BB19" s="227">
        <f t="shared" si="11"/>
        <v>610</v>
      </c>
      <c r="BC19" s="227">
        <f t="shared" si="11"/>
        <v>588.1</v>
      </c>
      <c r="BD19" s="227">
        <f t="shared" si="11"/>
        <v>619.79999999999995</v>
      </c>
      <c r="BE19" s="227">
        <f>X92</f>
        <v>606</v>
      </c>
      <c r="BF19" s="227">
        <f>Z92</f>
        <v>284.7</v>
      </c>
      <c r="BG19" s="227">
        <f>AB92</f>
        <v>370.8</v>
      </c>
      <c r="BH19" s="227">
        <f>AD92</f>
        <v>480.2</v>
      </c>
      <c r="BI19" s="227">
        <f>AE92</f>
        <v>553.20000000000005</v>
      </c>
      <c r="BJ19" s="227">
        <f>AF92</f>
        <v>560.5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160" t="s">
        <v>595</v>
      </c>
      <c r="AM20" s="227">
        <f t="shared" ref="AM20:AR20" si="12">B80</f>
        <v>0</v>
      </c>
      <c r="AN20" s="227">
        <f t="shared" si="12"/>
        <v>0</v>
      </c>
      <c r="AO20" s="227">
        <f t="shared" si="12"/>
        <v>0</v>
      </c>
      <c r="AP20" s="227">
        <f t="shared" si="12"/>
        <v>0</v>
      </c>
      <c r="AQ20" s="227">
        <f t="shared" si="12"/>
        <v>0</v>
      </c>
      <c r="AR20" s="227">
        <f t="shared" si="12"/>
        <v>0</v>
      </c>
      <c r="AS20" s="227">
        <f>I80</f>
        <v>0</v>
      </c>
      <c r="AT20" s="227">
        <f>K80</f>
        <v>0</v>
      </c>
      <c r="AU20" s="227">
        <f t="shared" ref="AU20:BD20" si="13">M80</f>
        <v>0</v>
      </c>
      <c r="AV20" s="227">
        <f t="shared" si="13"/>
        <v>0</v>
      </c>
      <c r="AW20" s="227">
        <f t="shared" si="13"/>
        <v>0</v>
      </c>
      <c r="AX20" s="227">
        <f t="shared" si="13"/>
        <v>0</v>
      </c>
      <c r="AY20" s="227">
        <f t="shared" si="13"/>
        <v>0</v>
      </c>
      <c r="AZ20" s="227">
        <f t="shared" si="13"/>
        <v>0</v>
      </c>
      <c r="BA20" s="227">
        <f t="shared" si="13"/>
        <v>0</v>
      </c>
      <c r="BB20" s="227">
        <f t="shared" si="13"/>
        <v>0</v>
      </c>
      <c r="BC20" s="227">
        <f t="shared" si="13"/>
        <v>0</v>
      </c>
      <c r="BD20" s="227">
        <f t="shared" si="13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160" t="s">
        <v>596</v>
      </c>
      <c r="AM21" s="227">
        <f t="shared" ref="AM21:AR21" si="14">B98</f>
        <v>0</v>
      </c>
      <c r="AN21" s="227">
        <f t="shared" si="14"/>
        <v>0</v>
      </c>
      <c r="AO21" s="227">
        <f t="shared" si="14"/>
        <v>0</v>
      </c>
      <c r="AP21" s="227">
        <f t="shared" si="14"/>
        <v>0</v>
      </c>
      <c r="AQ21" s="227">
        <f t="shared" si="14"/>
        <v>0</v>
      </c>
      <c r="AR21" s="227">
        <f t="shared" si="14"/>
        <v>0</v>
      </c>
      <c r="AS21" s="227">
        <f>I98</f>
        <v>0</v>
      </c>
      <c r="AT21" s="227">
        <f>K98</f>
        <v>180</v>
      </c>
      <c r="AU21" s="227">
        <f t="shared" ref="AU21:BD21" si="15">M98</f>
        <v>300</v>
      </c>
      <c r="AV21" s="227">
        <f t="shared" si="15"/>
        <v>320</v>
      </c>
      <c r="AW21" s="227">
        <f t="shared" si="15"/>
        <v>250</v>
      </c>
      <c r="AX21" s="227">
        <f t="shared" si="15"/>
        <v>150</v>
      </c>
      <c r="AY21" s="227">
        <f t="shared" si="15"/>
        <v>0</v>
      </c>
      <c r="AZ21" s="227">
        <f t="shared" si="15"/>
        <v>80</v>
      </c>
      <c r="BA21" s="227">
        <f t="shared" si="15"/>
        <v>80</v>
      </c>
      <c r="BB21" s="227">
        <f t="shared" si="15"/>
        <v>80</v>
      </c>
      <c r="BC21" s="227">
        <f t="shared" si="15"/>
        <v>80</v>
      </c>
      <c r="BD21" s="227">
        <f t="shared" si="15"/>
        <v>80</v>
      </c>
      <c r="BE21" s="227">
        <f>X98</f>
        <v>200</v>
      </c>
      <c r="BF21" s="227">
        <f>Z98</f>
        <v>250</v>
      </c>
      <c r="BG21" s="227">
        <f>AB98</f>
        <v>250</v>
      </c>
      <c r="BH21" s="227">
        <f>AD98</f>
        <v>250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7.6</v>
      </c>
      <c r="C22" s="45">
        <v>7.6</v>
      </c>
      <c r="D22" s="45">
        <v>7.6</v>
      </c>
      <c r="E22" s="45">
        <v>7.6</v>
      </c>
      <c r="F22" s="45">
        <v>7.6</v>
      </c>
      <c r="G22" s="45">
        <v>7.6</v>
      </c>
      <c r="H22" s="45">
        <v>7.6</v>
      </c>
      <c r="I22" s="45">
        <v>7.6</v>
      </c>
      <c r="J22" s="45">
        <v>7.6</v>
      </c>
      <c r="K22" s="45">
        <v>7.6</v>
      </c>
      <c r="L22" s="45">
        <v>7.6</v>
      </c>
      <c r="M22" s="45">
        <v>7.6</v>
      </c>
      <c r="N22" s="45">
        <v>7.6</v>
      </c>
      <c r="O22" s="45">
        <v>7.6</v>
      </c>
      <c r="P22" s="45">
        <v>7.6</v>
      </c>
      <c r="Q22" s="45">
        <v>7.6</v>
      </c>
      <c r="R22" s="45">
        <v>7.6</v>
      </c>
      <c r="S22" s="45">
        <v>7.6</v>
      </c>
      <c r="T22" s="45">
        <v>7.6</v>
      </c>
      <c r="U22" s="45">
        <v>7.6</v>
      </c>
      <c r="V22" s="45">
        <v>7.6</v>
      </c>
      <c r="W22" s="45">
        <v>7.6</v>
      </c>
      <c r="X22" s="45">
        <v>7.6</v>
      </c>
      <c r="Y22" s="45">
        <v>7.6</v>
      </c>
      <c r="Z22" s="45">
        <v>7.6</v>
      </c>
      <c r="AA22" s="45">
        <v>7.6</v>
      </c>
      <c r="AB22" s="45">
        <v>7.6</v>
      </c>
      <c r="AC22" s="45">
        <v>7.6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7.8</v>
      </c>
      <c r="AI22" s="48">
        <f t="shared" si="3"/>
        <v>7.6</v>
      </c>
      <c r="AK22" s="50"/>
      <c r="AL22" s="229" t="s">
        <v>597</v>
      </c>
      <c r="AM22" s="228">
        <f>SUM(AM16:AM21)</f>
        <v>1232.0899999999999</v>
      </c>
      <c r="AN22" s="228">
        <f t="shared" ref="AN22:BJ22" si="16">SUM(AN16:AN21)</f>
        <v>1157.19</v>
      </c>
      <c r="AO22" s="228">
        <f t="shared" si="16"/>
        <v>1156.0899999999997</v>
      </c>
      <c r="AP22" s="228">
        <f t="shared" si="16"/>
        <v>1147.4899999999998</v>
      </c>
      <c r="AQ22" s="228">
        <f t="shared" si="16"/>
        <v>1171.4899999999998</v>
      </c>
      <c r="AR22" s="228">
        <f t="shared" si="16"/>
        <v>1239.79</v>
      </c>
      <c r="AS22" s="228">
        <f t="shared" si="16"/>
        <v>1335.29</v>
      </c>
      <c r="AT22" s="228">
        <f t="shared" si="16"/>
        <v>1511.6899999999998</v>
      </c>
      <c r="AU22" s="228">
        <f t="shared" si="16"/>
        <v>1681.29</v>
      </c>
      <c r="AV22" s="228">
        <f t="shared" si="16"/>
        <v>1671.59</v>
      </c>
      <c r="AW22" s="228">
        <f t="shared" si="16"/>
        <v>1499.49</v>
      </c>
      <c r="AX22" s="228">
        <f t="shared" si="16"/>
        <v>1429.69</v>
      </c>
      <c r="AY22" s="228">
        <f t="shared" si="16"/>
        <v>1318.3899999999999</v>
      </c>
      <c r="AZ22" s="228">
        <f t="shared" si="16"/>
        <v>1356.19</v>
      </c>
      <c r="BA22" s="228">
        <f t="shared" si="16"/>
        <v>1328.29</v>
      </c>
      <c r="BB22" s="228">
        <f t="shared" si="16"/>
        <v>1352.99</v>
      </c>
      <c r="BC22" s="228">
        <f t="shared" si="16"/>
        <v>1295.99</v>
      </c>
      <c r="BD22" s="228">
        <f t="shared" si="16"/>
        <v>1321.99</v>
      </c>
      <c r="BE22" s="228">
        <f t="shared" si="16"/>
        <v>1490.49</v>
      </c>
      <c r="BF22" s="228">
        <f t="shared" si="16"/>
        <v>1773.25</v>
      </c>
      <c r="BG22" s="228">
        <f t="shared" si="16"/>
        <v>1700.09</v>
      </c>
      <c r="BH22" s="228">
        <f t="shared" si="16"/>
        <v>1592.29</v>
      </c>
      <c r="BI22" s="228">
        <f t="shared" si="16"/>
        <v>1261.2900000000002</v>
      </c>
      <c r="BJ22" s="228">
        <f t="shared" si="16"/>
        <v>1202.0900000000001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6.2</v>
      </c>
      <c r="C23" s="45">
        <v>6.2</v>
      </c>
      <c r="D23" s="45">
        <v>6.2</v>
      </c>
      <c r="E23" s="45">
        <v>6.2</v>
      </c>
      <c r="F23" s="45">
        <v>6.2</v>
      </c>
      <c r="G23" s="45">
        <v>6.2</v>
      </c>
      <c r="H23" s="45">
        <v>6.2</v>
      </c>
      <c r="I23" s="45">
        <v>6.2</v>
      </c>
      <c r="J23" s="45">
        <v>6.2</v>
      </c>
      <c r="K23" s="45">
        <v>6.2</v>
      </c>
      <c r="L23" s="45">
        <v>6.2</v>
      </c>
      <c r="M23" s="45">
        <v>6.2</v>
      </c>
      <c r="N23" s="45">
        <v>6.2</v>
      </c>
      <c r="O23" s="45">
        <v>6.2</v>
      </c>
      <c r="P23" s="45">
        <v>6.2</v>
      </c>
      <c r="Q23" s="45">
        <v>6.2</v>
      </c>
      <c r="R23" s="45">
        <v>6.2</v>
      </c>
      <c r="S23" s="45">
        <v>6.2</v>
      </c>
      <c r="T23" s="45">
        <v>6.2</v>
      </c>
      <c r="U23" s="45">
        <v>6.2</v>
      </c>
      <c r="V23" s="45">
        <v>6.2</v>
      </c>
      <c r="W23" s="45">
        <v>6.2</v>
      </c>
      <c r="X23" s="45">
        <v>6.2</v>
      </c>
      <c r="Y23" s="45">
        <v>6.2</v>
      </c>
      <c r="Z23" s="45">
        <v>6.2</v>
      </c>
      <c r="AA23" s="45">
        <v>6.2</v>
      </c>
      <c r="AB23" s="45">
        <v>6.2</v>
      </c>
      <c r="AC23" s="45">
        <v>6.2</v>
      </c>
      <c r="AD23" s="45">
        <v>6.2</v>
      </c>
      <c r="AE23" s="45">
        <v>6.2</v>
      </c>
      <c r="AF23" s="45">
        <v>6.2</v>
      </c>
      <c r="AG23" s="49">
        <v>24.2</v>
      </c>
      <c r="AH23" s="47">
        <f t="shared" si="2"/>
        <v>6.2</v>
      </c>
      <c r="AI23" s="48">
        <f t="shared" si="3"/>
        <v>6.2</v>
      </c>
      <c r="AK23" s="50"/>
      <c r="AL23" s="229" t="s">
        <v>249</v>
      </c>
      <c r="AM23" s="228">
        <f t="shared" ref="AM23:AR23" si="17">B107*-1</f>
        <v>0</v>
      </c>
      <c r="AN23" s="228">
        <f t="shared" si="17"/>
        <v>0</v>
      </c>
      <c r="AO23" s="228">
        <f t="shared" si="17"/>
        <v>0</v>
      </c>
      <c r="AP23" s="228">
        <f t="shared" si="17"/>
        <v>0</v>
      </c>
      <c r="AQ23" s="228">
        <f t="shared" si="17"/>
        <v>0</v>
      </c>
      <c r="AR23" s="228">
        <f t="shared" si="17"/>
        <v>0</v>
      </c>
      <c r="AS23" s="228">
        <f>I107*-1</f>
        <v>0</v>
      </c>
      <c r="AT23" s="228">
        <f>K107*-1</f>
        <v>0</v>
      </c>
      <c r="AU23" s="228">
        <f t="shared" ref="AU23:BD23" si="18">M107*-1</f>
        <v>0</v>
      </c>
      <c r="AV23" s="228">
        <f t="shared" si="18"/>
        <v>0</v>
      </c>
      <c r="AW23" s="228">
        <f t="shared" si="18"/>
        <v>0</v>
      </c>
      <c r="AX23" s="228">
        <f t="shared" si="18"/>
        <v>0</v>
      </c>
      <c r="AY23" s="228">
        <f t="shared" si="18"/>
        <v>-1</v>
      </c>
      <c r="AZ23" s="228">
        <f t="shared" si="18"/>
        <v>0</v>
      </c>
      <c r="BA23" s="228">
        <f t="shared" si="18"/>
        <v>0</v>
      </c>
      <c r="BB23" s="228">
        <f t="shared" si="18"/>
        <v>0</v>
      </c>
      <c r="BC23" s="228">
        <f t="shared" si="18"/>
        <v>0</v>
      </c>
      <c r="BD23" s="228">
        <f t="shared" si="18"/>
        <v>0</v>
      </c>
      <c r="BE23" s="228">
        <f>X107*-1</f>
        <v>0</v>
      </c>
      <c r="BF23" s="228">
        <f>Z107*-1</f>
        <v>0</v>
      </c>
      <c r="BG23" s="228">
        <f>AB107*-1</f>
        <v>0</v>
      </c>
      <c r="BH23" s="228">
        <f>AD107*-1</f>
        <v>-1</v>
      </c>
      <c r="BI23" s="228">
        <f>AE107*-1</f>
        <v>-2</v>
      </c>
      <c r="BJ23" s="228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7.3</v>
      </c>
      <c r="AE24" s="45">
        <v>7.3</v>
      </c>
      <c r="AF24" s="45">
        <v>7.3</v>
      </c>
      <c r="AG24" s="49">
        <v>28</v>
      </c>
      <c r="AH24" s="47">
        <f t="shared" si="2"/>
        <v>7.3</v>
      </c>
      <c r="AI24" s="48">
        <f t="shared" si="3"/>
        <v>7.2</v>
      </c>
      <c r="AK24" s="50"/>
      <c r="AL24" s="229" t="s">
        <v>598</v>
      </c>
      <c r="AM24" s="228">
        <f>AM22+AM23</f>
        <v>1232.0899999999999</v>
      </c>
      <c r="AN24" s="228">
        <f t="shared" ref="AN24:BJ24" si="19">AN22+AN23</f>
        <v>1157.19</v>
      </c>
      <c r="AO24" s="228">
        <f t="shared" si="19"/>
        <v>1156.0899999999997</v>
      </c>
      <c r="AP24" s="228">
        <f t="shared" si="19"/>
        <v>1147.4899999999998</v>
      </c>
      <c r="AQ24" s="228">
        <f t="shared" si="19"/>
        <v>1171.4899999999998</v>
      </c>
      <c r="AR24" s="228">
        <f t="shared" si="19"/>
        <v>1239.79</v>
      </c>
      <c r="AS24" s="228">
        <f t="shared" si="19"/>
        <v>1335.29</v>
      </c>
      <c r="AT24" s="228">
        <f t="shared" si="19"/>
        <v>1511.6899999999998</v>
      </c>
      <c r="AU24" s="228">
        <f t="shared" si="19"/>
        <v>1681.29</v>
      </c>
      <c r="AV24" s="228">
        <f t="shared" si="19"/>
        <v>1671.59</v>
      </c>
      <c r="AW24" s="228">
        <f t="shared" si="19"/>
        <v>1499.49</v>
      </c>
      <c r="AX24" s="228">
        <f t="shared" si="19"/>
        <v>1429.69</v>
      </c>
      <c r="AY24" s="228">
        <f t="shared" si="19"/>
        <v>1317.3899999999999</v>
      </c>
      <c r="AZ24" s="228">
        <f t="shared" si="19"/>
        <v>1356.19</v>
      </c>
      <c r="BA24" s="228">
        <f t="shared" si="19"/>
        <v>1328.29</v>
      </c>
      <c r="BB24" s="228">
        <f t="shared" si="19"/>
        <v>1352.99</v>
      </c>
      <c r="BC24" s="228">
        <f t="shared" si="19"/>
        <v>1295.99</v>
      </c>
      <c r="BD24" s="228">
        <f t="shared" si="19"/>
        <v>1321.99</v>
      </c>
      <c r="BE24" s="228">
        <f t="shared" si="19"/>
        <v>1490.49</v>
      </c>
      <c r="BF24" s="228">
        <f t="shared" si="19"/>
        <v>1773.25</v>
      </c>
      <c r="BG24" s="228">
        <f t="shared" si="19"/>
        <v>1700.09</v>
      </c>
      <c r="BH24" s="228">
        <f t="shared" si="19"/>
        <v>1591.29</v>
      </c>
      <c r="BI24" s="228">
        <f t="shared" si="19"/>
        <v>1259.2900000000002</v>
      </c>
      <c r="BJ24" s="228">
        <f t="shared" si="19"/>
        <v>1202.0900000000001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6.3</v>
      </c>
      <c r="C25" s="45">
        <v>6.3</v>
      </c>
      <c r="D25" s="45">
        <v>6.3</v>
      </c>
      <c r="E25" s="45">
        <v>6.3</v>
      </c>
      <c r="F25" s="45">
        <v>6.3</v>
      </c>
      <c r="G25" s="45">
        <v>6.3</v>
      </c>
      <c r="H25" s="45">
        <v>6.3</v>
      </c>
      <c r="I25" s="45">
        <v>6.3</v>
      </c>
      <c r="J25" s="45">
        <v>6.3</v>
      </c>
      <c r="K25" s="45">
        <v>6.3</v>
      </c>
      <c r="L25" s="45">
        <v>6.3</v>
      </c>
      <c r="M25" s="45">
        <v>6.3</v>
      </c>
      <c r="N25" s="45">
        <v>6.3</v>
      </c>
      <c r="O25" s="45">
        <v>6.3</v>
      </c>
      <c r="P25" s="45">
        <v>6.3</v>
      </c>
      <c r="Q25" s="45">
        <v>6.3</v>
      </c>
      <c r="R25" s="45">
        <v>6.3</v>
      </c>
      <c r="S25" s="45">
        <v>6.3</v>
      </c>
      <c r="T25" s="45">
        <v>6.3</v>
      </c>
      <c r="U25" s="45">
        <v>6.3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5.3</v>
      </c>
      <c r="AC25" s="45">
        <v>5.3</v>
      </c>
      <c r="AD25" s="45">
        <v>5.3</v>
      </c>
      <c r="AE25" s="45">
        <v>5.3</v>
      </c>
      <c r="AF25" s="45">
        <v>5.3</v>
      </c>
      <c r="AG25" s="52">
        <v>30</v>
      </c>
      <c r="AH25" s="47">
        <f t="shared" si="2"/>
        <v>6.3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10</v>
      </c>
      <c r="C26" s="45">
        <v>10</v>
      </c>
      <c r="D26" s="45">
        <v>10</v>
      </c>
      <c r="E26" s="45">
        <v>10</v>
      </c>
      <c r="F26" s="45">
        <v>10</v>
      </c>
      <c r="G26" s="45">
        <v>10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0</v>
      </c>
      <c r="O26" s="45">
        <v>0</v>
      </c>
      <c r="P26" s="45">
        <v>8.9</v>
      </c>
      <c r="Q26" s="45">
        <v>8.9</v>
      </c>
      <c r="R26" s="45">
        <v>8.9</v>
      </c>
      <c r="S26" s="45">
        <v>8.9</v>
      </c>
      <c r="T26" s="45">
        <v>8.9</v>
      </c>
      <c r="U26" s="45">
        <v>8.9</v>
      </c>
      <c r="V26" s="45">
        <v>8.9</v>
      </c>
      <c r="W26" s="45">
        <v>8.9</v>
      </c>
      <c r="X26" s="45">
        <v>8.9</v>
      </c>
      <c r="Y26" s="45">
        <v>8.9</v>
      </c>
      <c r="Z26" s="45">
        <v>8.9</v>
      </c>
      <c r="AA26" s="45">
        <v>8.9</v>
      </c>
      <c r="AB26" s="45">
        <v>8.9</v>
      </c>
      <c r="AC26" s="45">
        <v>8.9</v>
      </c>
      <c r="AD26" s="45">
        <v>8.4</v>
      </c>
      <c r="AE26" s="45">
        <v>8.4</v>
      </c>
      <c r="AF26" s="45">
        <v>8.4</v>
      </c>
      <c r="AG26" s="49">
        <v>25</v>
      </c>
      <c r="AH26" s="47">
        <f t="shared" si="2"/>
        <v>10</v>
      </c>
      <c r="AI26" s="48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8.1999999999999993</v>
      </c>
      <c r="C29" s="45">
        <v>8.1999999999999993</v>
      </c>
      <c r="D29" s="45">
        <v>8.1999999999999993</v>
      </c>
      <c r="E29" s="45">
        <v>8.1999999999999993</v>
      </c>
      <c r="F29" s="45">
        <v>8.1999999999999993</v>
      </c>
      <c r="G29" s="45">
        <v>8.1999999999999993</v>
      </c>
      <c r="H29" s="45">
        <v>8.1999999999999993</v>
      </c>
      <c r="I29" s="45">
        <v>8.1999999999999993</v>
      </c>
      <c r="J29" s="45">
        <v>8.1999999999999993</v>
      </c>
      <c r="K29" s="45">
        <v>8.1999999999999993</v>
      </c>
      <c r="L29" s="45">
        <v>8.1999999999999993</v>
      </c>
      <c r="M29" s="45">
        <v>8.1999999999999993</v>
      </c>
      <c r="N29" s="45">
        <v>8.1999999999999993</v>
      </c>
      <c r="O29" s="45">
        <v>8.1999999999999993</v>
      </c>
      <c r="P29" s="45">
        <v>8.1999999999999993</v>
      </c>
      <c r="Q29" s="45">
        <v>8.1999999999999993</v>
      </c>
      <c r="R29" s="45">
        <v>8.1999999999999993</v>
      </c>
      <c r="S29" s="45">
        <v>8.1999999999999993</v>
      </c>
      <c r="T29" s="45">
        <v>8.1999999999999993</v>
      </c>
      <c r="U29" s="45">
        <v>8.1999999999999993</v>
      </c>
      <c r="V29" s="45">
        <v>8.1999999999999993</v>
      </c>
      <c r="W29" s="45">
        <v>8.1999999999999993</v>
      </c>
      <c r="X29" s="45">
        <v>8.1999999999999993</v>
      </c>
      <c r="Y29" s="45">
        <v>8.1999999999999993</v>
      </c>
      <c r="Z29" s="45">
        <v>8.1999999999999993</v>
      </c>
      <c r="AA29" s="45">
        <v>8.1999999999999993</v>
      </c>
      <c r="AB29" s="45">
        <v>8.1999999999999993</v>
      </c>
      <c r="AC29" s="45">
        <v>8.1999999999999993</v>
      </c>
      <c r="AD29" s="45">
        <v>6.9</v>
      </c>
      <c r="AE29" s="45">
        <v>6.9</v>
      </c>
      <c r="AF29" s="45">
        <v>6.9</v>
      </c>
      <c r="AG29" s="49">
        <v>25</v>
      </c>
      <c r="AH29" s="47">
        <f t="shared" si="2"/>
        <v>8.1999999999999993</v>
      </c>
      <c r="AI29" s="48">
        <f t="shared" si="3"/>
        <v>6.9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7.3</v>
      </c>
      <c r="C30" s="45">
        <v>7.3</v>
      </c>
      <c r="D30" s="45">
        <v>7.3</v>
      </c>
      <c r="E30" s="45">
        <v>7.3</v>
      </c>
      <c r="F30" s="45">
        <v>7.3</v>
      </c>
      <c r="G30" s="45">
        <v>7.3</v>
      </c>
      <c r="H30" s="45">
        <v>7.3</v>
      </c>
      <c r="I30" s="45">
        <v>7.3</v>
      </c>
      <c r="J30" s="45">
        <v>7.3</v>
      </c>
      <c r="K30" s="45">
        <v>7.3</v>
      </c>
      <c r="L30" s="45">
        <v>7.3</v>
      </c>
      <c r="M30" s="45">
        <v>7.3</v>
      </c>
      <c r="N30" s="45">
        <v>7.3</v>
      </c>
      <c r="O30" s="45">
        <v>7.3</v>
      </c>
      <c r="P30" s="45">
        <v>7.3</v>
      </c>
      <c r="Q30" s="45">
        <v>7.3</v>
      </c>
      <c r="R30" s="45">
        <v>7.3</v>
      </c>
      <c r="S30" s="45">
        <v>7.3</v>
      </c>
      <c r="T30" s="45">
        <v>7.3</v>
      </c>
      <c r="U30" s="45">
        <v>7.3</v>
      </c>
      <c r="V30" s="45">
        <v>7.3</v>
      </c>
      <c r="W30" s="45">
        <v>7.3</v>
      </c>
      <c r="X30" s="45">
        <v>7.3</v>
      </c>
      <c r="Y30" s="45">
        <v>7.3</v>
      </c>
      <c r="Z30" s="45">
        <v>7.3</v>
      </c>
      <c r="AA30" s="45">
        <v>7.3</v>
      </c>
      <c r="AB30" s="45">
        <v>7.3</v>
      </c>
      <c r="AC30" s="45">
        <v>7.3</v>
      </c>
      <c r="AD30" s="45">
        <v>7.8</v>
      </c>
      <c r="AE30" s="45">
        <v>7.8</v>
      </c>
      <c r="AF30" s="45">
        <v>7.8</v>
      </c>
      <c r="AG30" s="49">
        <v>23.5</v>
      </c>
      <c r="AH30" s="47">
        <f t="shared" si="2"/>
        <v>7.8</v>
      </c>
      <c r="AI30" s="48">
        <f t="shared" si="3"/>
        <v>7.3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2"/>
        <v>3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11</v>
      </c>
      <c r="C34" s="45">
        <v>11</v>
      </c>
      <c r="D34" s="45">
        <v>11</v>
      </c>
      <c r="E34" s="45">
        <v>11</v>
      </c>
      <c r="F34" s="45">
        <v>11</v>
      </c>
      <c r="G34" s="45">
        <v>11</v>
      </c>
      <c r="H34" s="45">
        <v>11</v>
      </c>
      <c r="I34" s="45">
        <v>11</v>
      </c>
      <c r="J34" s="45">
        <v>11</v>
      </c>
      <c r="K34" s="45">
        <v>11</v>
      </c>
      <c r="L34" s="45">
        <v>11</v>
      </c>
      <c r="M34" s="45">
        <v>11</v>
      </c>
      <c r="N34" s="45">
        <v>11</v>
      </c>
      <c r="O34" s="45">
        <v>11</v>
      </c>
      <c r="P34" s="45">
        <v>11</v>
      </c>
      <c r="Q34" s="45">
        <v>11</v>
      </c>
      <c r="R34" s="45">
        <v>11</v>
      </c>
      <c r="S34" s="45">
        <v>11</v>
      </c>
      <c r="T34" s="45">
        <v>11</v>
      </c>
      <c r="U34" s="45">
        <v>11</v>
      </c>
      <c r="V34" s="45">
        <v>11</v>
      </c>
      <c r="W34" s="45">
        <v>11</v>
      </c>
      <c r="X34" s="45">
        <v>11</v>
      </c>
      <c r="Y34" s="45">
        <v>11</v>
      </c>
      <c r="Z34" s="45">
        <v>11</v>
      </c>
      <c r="AA34" s="45">
        <v>11</v>
      </c>
      <c r="AB34" s="45">
        <v>11</v>
      </c>
      <c r="AC34" s="45">
        <v>11</v>
      </c>
      <c r="AD34" s="45">
        <v>12.5</v>
      </c>
      <c r="AE34" s="45">
        <v>12.5</v>
      </c>
      <c r="AF34" s="45">
        <v>12.5</v>
      </c>
      <c r="AG34" s="49">
        <v>22</v>
      </c>
      <c r="AH34" s="47">
        <f t="shared" si="2"/>
        <v>12.5</v>
      </c>
      <c r="AI34" s="48">
        <f t="shared" si="3"/>
        <v>11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>
        <f>5.3+12.8</f>
        <v>18.100000000000001</v>
      </c>
      <c r="N57" s="51">
        <f>3.9+8.1</f>
        <v>12</v>
      </c>
      <c r="O57" s="51">
        <f>6.9+17.2</f>
        <v>24.1</v>
      </c>
      <c r="P57" s="51">
        <f>6.9+18.1</f>
        <v>25</v>
      </c>
      <c r="Q57" s="51">
        <f>6.9+18.1</f>
        <v>25</v>
      </c>
      <c r="R57" s="51">
        <f>8.1+17.9</f>
        <v>26</v>
      </c>
      <c r="S57" s="51">
        <v>22.3</v>
      </c>
      <c r="T57" s="51">
        <v>22.3</v>
      </c>
      <c r="U57" s="51">
        <v>22.3</v>
      </c>
      <c r="V57" s="51">
        <v>21.2</v>
      </c>
      <c r="W57" s="51">
        <v>21.4</v>
      </c>
      <c r="X57" s="51">
        <v>19.8</v>
      </c>
      <c r="Y57" s="51">
        <v>18.600000000000001</v>
      </c>
      <c r="Z57" s="57">
        <v>17.3</v>
      </c>
      <c r="AA57" s="57">
        <v>17.3</v>
      </c>
      <c r="AB57" s="57">
        <f>12.5+4.7</f>
        <v>17.2</v>
      </c>
      <c r="AC57" s="57">
        <f>11.3+4.9</f>
        <v>16.200000000000003</v>
      </c>
      <c r="AD57" s="57">
        <f>5.4+12.2</f>
        <v>17.600000000000001</v>
      </c>
      <c r="AE57" s="57">
        <f>5.9+13.8</f>
        <v>19.700000000000003</v>
      </c>
      <c r="AF57" s="57">
        <f>5.9+13.6</f>
        <v>19.5</v>
      </c>
      <c r="AG57" s="55">
        <v>240</v>
      </c>
      <c r="AH57" s="47">
        <f t="shared" si="2"/>
        <v>26</v>
      </c>
      <c r="AI57" s="48">
        <f t="shared" si="3"/>
        <v>12</v>
      </c>
      <c r="AK57" s="50"/>
    </row>
    <row r="58" spans="1:88" ht="15.75" thickBot="1" x14ac:dyDescent="0.3">
      <c r="A58" s="59" t="s">
        <v>58</v>
      </c>
      <c r="B58" s="60">
        <f t="shared" ref="B58:C58" si="20">SUM(B11:B56)</f>
        <v>477.34999999999997</v>
      </c>
      <c r="C58" s="60">
        <f t="shared" si="20"/>
        <v>477.34999999999997</v>
      </c>
      <c r="D58" s="60">
        <f t="shared" ref="D58:AF58" si="21">SUM(D11:D56)</f>
        <v>477.34999999999997</v>
      </c>
      <c r="E58" s="60">
        <f t="shared" si="21"/>
        <v>477.34999999999997</v>
      </c>
      <c r="F58" s="60">
        <f t="shared" si="21"/>
        <v>477.34999999999997</v>
      </c>
      <c r="G58" s="60">
        <f t="shared" si="21"/>
        <v>477.34999999999997</v>
      </c>
      <c r="H58" s="60">
        <f>SUM(H11:H56)</f>
        <v>477.34999999999997</v>
      </c>
      <c r="I58" s="60">
        <f t="shared" si="21"/>
        <v>477.34999999999997</v>
      </c>
      <c r="J58" s="60">
        <f t="shared" si="21"/>
        <v>477.34999999999997</v>
      </c>
      <c r="K58" s="60">
        <f t="shared" si="21"/>
        <v>477.34999999999997</v>
      </c>
      <c r="L58" s="60">
        <f t="shared" si="21"/>
        <v>477.34999999999997</v>
      </c>
      <c r="M58" s="60">
        <f t="shared" si="21"/>
        <v>478.24999999999994</v>
      </c>
      <c r="N58" s="60">
        <f t="shared" si="21"/>
        <v>452.24999999999994</v>
      </c>
      <c r="O58" s="60">
        <f t="shared" si="21"/>
        <v>452.24999999999994</v>
      </c>
      <c r="P58" s="60">
        <f t="shared" si="21"/>
        <v>477.15</v>
      </c>
      <c r="Q58" s="60">
        <f t="shared" ref="Q58" si="22">SUM(Q11:Q56)</f>
        <v>477.15</v>
      </c>
      <c r="R58" s="60">
        <f t="shared" si="21"/>
        <v>477.15</v>
      </c>
      <c r="S58" s="60">
        <f t="shared" si="21"/>
        <v>474.45</v>
      </c>
      <c r="T58" s="60">
        <f t="shared" si="21"/>
        <v>473.45</v>
      </c>
      <c r="U58" s="60">
        <f t="shared" si="21"/>
        <v>474.35</v>
      </c>
      <c r="V58" s="60">
        <f t="shared" si="21"/>
        <v>468.05</v>
      </c>
      <c r="W58" s="60">
        <f t="shared" si="21"/>
        <v>468.05</v>
      </c>
      <c r="X58" s="60">
        <f t="shared" si="21"/>
        <v>468.05</v>
      </c>
      <c r="Y58" s="60">
        <f t="shared" si="21"/>
        <v>468.05</v>
      </c>
      <c r="Z58" s="60">
        <f t="shared" si="21"/>
        <v>468.05</v>
      </c>
      <c r="AA58" s="60">
        <f t="shared" si="21"/>
        <v>468.05</v>
      </c>
      <c r="AB58" s="60">
        <f t="shared" si="21"/>
        <v>476.05</v>
      </c>
      <c r="AC58" s="60">
        <f t="shared" si="21"/>
        <v>476.05</v>
      </c>
      <c r="AD58" s="60">
        <f t="shared" ref="AD58:AE58" si="23">SUM(AD11:AD56)</f>
        <v>477.75000000000006</v>
      </c>
      <c r="AE58" s="60">
        <f t="shared" si="23"/>
        <v>478.05000000000007</v>
      </c>
      <c r="AF58" s="60">
        <f t="shared" si="21"/>
        <v>478.05000000000007</v>
      </c>
      <c r="AG58" s="61">
        <f>SUM(AG14:AG56)</f>
        <v>1042.4000000000001</v>
      </c>
      <c r="AH58" s="47">
        <f t="shared" si="2"/>
        <v>478.24999999999994</v>
      </c>
      <c r="AI58" s="48">
        <f t="shared" si="3"/>
        <v>452.24999999999994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15</v>
      </c>
      <c r="H59" s="45">
        <v>15</v>
      </c>
      <c r="I59" s="45">
        <v>30</v>
      </c>
      <c r="J59" s="45">
        <v>50</v>
      </c>
      <c r="K59" s="45">
        <v>110</v>
      </c>
      <c r="L59" s="45">
        <v>340</v>
      </c>
      <c r="M59" s="45">
        <v>360</v>
      </c>
      <c r="N59" s="63">
        <v>250</v>
      </c>
      <c r="O59" s="63">
        <v>15</v>
      </c>
      <c r="P59" s="63">
        <v>0</v>
      </c>
      <c r="Q59" s="63">
        <v>0</v>
      </c>
      <c r="R59" s="63">
        <v>0</v>
      </c>
      <c r="S59" s="63">
        <v>30</v>
      </c>
      <c r="T59" s="63">
        <v>30</v>
      </c>
      <c r="U59" s="63">
        <v>0</v>
      </c>
      <c r="V59" s="63">
        <v>15</v>
      </c>
      <c r="W59" s="63">
        <v>0</v>
      </c>
      <c r="X59" s="63">
        <v>30</v>
      </c>
      <c r="Y59" s="63">
        <v>200</v>
      </c>
      <c r="Z59" s="63">
        <v>395</v>
      </c>
      <c r="AA59" s="63">
        <v>400</v>
      </c>
      <c r="AB59" s="45">
        <v>300</v>
      </c>
      <c r="AC59" s="45">
        <v>180</v>
      </c>
      <c r="AD59" s="45">
        <v>140</v>
      </c>
      <c r="AE59" s="45">
        <v>15</v>
      </c>
      <c r="AF59" s="45">
        <v>0</v>
      </c>
      <c r="AG59" s="52">
        <v>456</v>
      </c>
      <c r="AH59" s="47">
        <f t="shared" si="2"/>
        <v>400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27</v>
      </c>
      <c r="AI60" s="48">
        <f t="shared" si="3"/>
        <v>27</v>
      </c>
      <c r="AK60" s="50"/>
    </row>
    <row r="61" spans="1:88" ht="15.75" thickBot="1" x14ac:dyDescent="0.3">
      <c r="A61" s="66" t="s">
        <v>61</v>
      </c>
      <c r="B61" s="67">
        <v>15.2</v>
      </c>
      <c r="C61" s="67">
        <v>15.2</v>
      </c>
      <c r="D61" s="67">
        <v>8.6</v>
      </c>
      <c r="E61" s="67">
        <v>8.6</v>
      </c>
      <c r="F61" s="67">
        <v>8.6</v>
      </c>
      <c r="G61" s="67">
        <v>8.6</v>
      </c>
      <c r="H61" s="67">
        <v>8.6999999999999993</v>
      </c>
      <c r="I61" s="67">
        <v>8.6</v>
      </c>
      <c r="J61" s="67">
        <v>8.6</v>
      </c>
      <c r="K61" s="67">
        <v>8.6999999999999993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8.1999999999999993</v>
      </c>
      <c r="Q61" s="67">
        <v>8.1999999999999993</v>
      </c>
      <c r="R61" s="67">
        <v>8.1999999999999993</v>
      </c>
      <c r="S61" s="67">
        <v>8.1999999999999993</v>
      </c>
      <c r="T61" s="67">
        <v>8.1999999999999993</v>
      </c>
      <c r="U61" s="67">
        <v>8.1999999999999993</v>
      </c>
      <c r="V61" s="67">
        <v>8.1999999999999993</v>
      </c>
      <c r="W61" s="67">
        <v>8.1999999999999993</v>
      </c>
      <c r="X61" s="67">
        <v>8.1999999999999993</v>
      </c>
      <c r="Y61" s="67">
        <v>8.1999999999999993</v>
      </c>
      <c r="Z61" s="67">
        <v>8.1999999999999993</v>
      </c>
      <c r="AA61" s="67">
        <v>8.1999999999999993</v>
      </c>
      <c r="AB61" s="67">
        <v>15.2</v>
      </c>
      <c r="AC61" s="67">
        <v>8.1</v>
      </c>
      <c r="AD61" s="67">
        <v>8.1999999999999993</v>
      </c>
      <c r="AE61" s="67">
        <v>8.1999999999999993</v>
      </c>
      <c r="AF61" s="67">
        <v>8.1999999999999993</v>
      </c>
      <c r="AG61" s="68">
        <v>22.1</v>
      </c>
      <c r="AH61" s="47">
        <f t="shared" si="2"/>
        <v>15.2</v>
      </c>
      <c r="AI61" s="48">
        <f t="shared" si="3"/>
        <v>8.1</v>
      </c>
      <c r="AK61" s="50"/>
    </row>
    <row r="62" spans="1:88" ht="15.75" thickBot="1" x14ac:dyDescent="0.3">
      <c r="A62" s="69" t="s">
        <v>62</v>
      </c>
      <c r="B62" s="60">
        <f t="shared" ref="B62:AG62" si="24">SUM(B59:B61)</f>
        <v>42.2</v>
      </c>
      <c r="C62" s="60">
        <f t="shared" si="24"/>
        <v>42.2</v>
      </c>
      <c r="D62" s="60">
        <f t="shared" si="24"/>
        <v>35.6</v>
      </c>
      <c r="E62" s="60">
        <f t="shared" si="24"/>
        <v>35.6</v>
      </c>
      <c r="F62" s="60">
        <f t="shared" si="24"/>
        <v>35.6</v>
      </c>
      <c r="G62" s="60">
        <f t="shared" si="24"/>
        <v>50.6</v>
      </c>
      <c r="H62" s="60">
        <f t="shared" si="24"/>
        <v>50.7</v>
      </c>
      <c r="I62" s="60">
        <f t="shared" si="24"/>
        <v>65.599999999999994</v>
      </c>
      <c r="J62" s="60">
        <f t="shared" si="24"/>
        <v>85.6</v>
      </c>
      <c r="K62" s="60">
        <f t="shared" si="24"/>
        <v>145.69999999999999</v>
      </c>
      <c r="L62" s="60">
        <f t="shared" si="24"/>
        <v>377.2</v>
      </c>
      <c r="M62" s="60">
        <f t="shared" si="24"/>
        <v>397.2</v>
      </c>
      <c r="N62" s="60">
        <f t="shared" si="24"/>
        <v>287.2</v>
      </c>
      <c r="O62" s="60">
        <f t="shared" si="24"/>
        <v>52.2</v>
      </c>
      <c r="P62" s="60">
        <f t="shared" si="24"/>
        <v>35.200000000000003</v>
      </c>
      <c r="Q62" s="60">
        <f t="shared" ref="Q62" si="25">SUM(Q59:Q61)</f>
        <v>35.200000000000003</v>
      </c>
      <c r="R62" s="60">
        <f t="shared" si="24"/>
        <v>35.200000000000003</v>
      </c>
      <c r="S62" s="60">
        <f t="shared" si="24"/>
        <v>65.2</v>
      </c>
      <c r="T62" s="60">
        <f t="shared" si="24"/>
        <v>65.2</v>
      </c>
      <c r="U62" s="60">
        <f t="shared" si="24"/>
        <v>35.200000000000003</v>
      </c>
      <c r="V62" s="60">
        <f t="shared" si="24"/>
        <v>50.2</v>
      </c>
      <c r="W62" s="60">
        <f t="shared" si="24"/>
        <v>35.200000000000003</v>
      </c>
      <c r="X62" s="60">
        <f t="shared" si="24"/>
        <v>65.2</v>
      </c>
      <c r="Y62" s="60">
        <f t="shared" si="24"/>
        <v>235.2</v>
      </c>
      <c r="Z62" s="60">
        <f t="shared" si="24"/>
        <v>430.2</v>
      </c>
      <c r="AA62" s="60">
        <f t="shared" si="24"/>
        <v>435.2</v>
      </c>
      <c r="AB62" s="60">
        <f t="shared" si="24"/>
        <v>342.2</v>
      </c>
      <c r="AC62" s="60">
        <f t="shared" si="24"/>
        <v>215.1</v>
      </c>
      <c r="AD62" s="60">
        <f t="shared" ref="AD62:AE62" si="26">SUM(AD59:AD61)</f>
        <v>175.2</v>
      </c>
      <c r="AE62" s="60">
        <f t="shared" si="26"/>
        <v>50.2</v>
      </c>
      <c r="AF62" s="60">
        <f t="shared" si="24"/>
        <v>35.200000000000003</v>
      </c>
      <c r="AG62" s="61">
        <f t="shared" si="24"/>
        <v>538.1</v>
      </c>
      <c r="AH62" s="47">
        <f t="shared" si="2"/>
        <v>435.2</v>
      </c>
      <c r="AI62" s="48">
        <f t="shared" si="3"/>
        <v>35.200000000000003</v>
      </c>
      <c r="AK62" s="50"/>
    </row>
    <row r="63" spans="1:88" x14ac:dyDescent="0.25">
      <c r="A63" s="44" t="s">
        <v>63</v>
      </c>
      <c r="B63" s="45">
        <v>30.3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30.1</v>
      </c>
      <c r="I63" s="45">
        <v>62.7</v>
      </c>
      <c r="J63" s="45">
        <v>61.2</v>
      </c>
      <c r="K63" s="45">
        <v>80</v>
      </c>
      <c r="L63" s="45">
        <v>81.5</v>
      </c>
      <c r="M63" s="45">
        <v>81.5</v>
      </c>
      <c r="N63" s="45">
        <v>112.2</v>
      </c>
      <c r="O63" s="45">
        <v>101.2</v>
      </c>
      <c r="P63" s="45">
        <v>91.6</v>
      </c>
      <c r="Q63" s="45">
        <v>91.6</v>
      </c>
      <c r="R63" s="45">
        <v>31.3</v>
      </c>
      <c r="S63" s="45">
        <v>31.3</v>
      </c>
      <c r="T63" s="45">
        <v>0</v>
      </c>
      <c r="U63" s="45">
        <v>0</v>
      </c>
      <c r="V63" s="45">
        <v>0</v>
      </c>
      <c r="W63" s="45">
        <v>0</v>
      </c>
      <c r="X63" s="45">
        <v>30.6</v>
      </c>
      <c r="Y63" s="45">
        <v>30.6</v>
      </c>
      <c r="Z63" s="45">
        <v>136.19999999999999</v>
      </c>
      <c r="AA63" s="45">
        <v>81.2</v>
      </c>
      <c r="AB63" s="45">
        <v>81.599999999999994</v>
      </c>
      <c r="AC63" s="45">
        <v>81.400000000000006</v>
      </c>
      <c r="AD63" s="45">
        <v>61.5</v>
      </c>
      <c r="AE63" s="45">
        <v>30</v>
      </c>
      <c r="AF63" s="45">
        <v>0</v>
      </c>
      <c r="AG63" s="52">
        <v>144</v>
      </c>
      <c r="AH63" s="47">
        <f t="shared" si="2"/>
        <v>136.19999999999999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26</v>
      </c>
      <c r="C64" s="65">
        <v>26</v>
      </c>
      <c r="D64" s="65">
        <v>26.5</v>
      </c>
      <c r="E64" s="65">
        <v>26.6</v>
      </c>
      <c r="F64" s="65">
        <v>35</v>
      </c>
      <c r="G64" s="65">
        <v>34.700000000000003</v>
      </c>
      <c r="H64" s="65">
        <v>34.799999999999997</v>
      </c>
      <c r="I64" s="65">
        <v>34.799999999999997</v>
      </c>
      <c r="J64" s="65">
        <v>34.799999999999997</v>
      </c>
      <c r="K64" s="65">
        <v>34.799999999999997</v>
      </c>
      <c r="L64" s="65">
        <v>35.299999999999997</v>
      </c>
      <c r="M64" s="65">
        <v>35.299999999999997</v>
      </c>
      <c r="N64" s="65">
        <v>35.299999999999997</v>
      </c>
      <c r="O64" s="65">
        <v>22.1</v>
      </c>
      <c r="P64" s="65">
        <v>22</v>
      </c>
      <c r="Q64" s="65">
        <v>22</v>
      </c>
      <c r="R64" s="65">
        <v>25.1</v>
      </c>
      <c r="S64" s="65">
        <v>25.1</v>
      </c>
      <c r="T64" s="65">
        <v>24.8</v>
      </c>
      <c r="U64" s="65">
        <v>24.8</v>
      </c>
      <c r="V64" s="65">
        <v>24.8</v>
      </c>
      <c r="W64" s="65">
        <v>24.8</v>
      </c>
      <c r="X64" s="45">
        <v>24.6</v>
      </c>
      <c r="Y64" s="45">
        <v>35</v>
      </c>
      <c r="Z64" s="45">
        <v>35</v>
      </c>
      <c r="AA64" s="45">
        <v>34.799999999999997</v>
      </c>
      <c r="AB64" s="45">
        <v>34.799999999999997</v>
      </c>
      <c r="AC64" s="45">
        <v>25</v>
      </c>
      <c r="AD64" s="45">
        <v>24.9</v>
      </c>
      <c r="AE64" s="45">
        <v>24.6</v>
      </c>
      <c r="AF64" s="45">
        <v>25</v>
      </c>
      <c r="AG64" s="55">
        <v>70</v>
      </c>
      <c r="AH64" s="47">
        <f t="shared" si="2"/>
        <v>35.299999999999997</v>
      </c>
      <c r="AI64" s="48">
        <f t="shared" si="3"/>
        <v>22</v>
      </c>
      <c r="AK64" s="50"/>
    </row>
    <row r="65" spans="1:41" x14ac:dyDescent="0.25">
      <c r="A65" s="54" t="s">
        <v>65</v>
      </c>
      <c r="B65" s="65">
        <v>16</v>
      </c>
      <c r="C65" s="65">
        <v>0</v>
      </c>
      <c r="D65" s="65">
        <v>0.8</v>
      </c>
      <c r="E65" s="65">
        <v>0.8</v>
      </c>
      <c r="F65" s="65">
        <v>16.600000000000001</v>
      </c>
      <c r="G65" s="65">
        <v>36.700000000000003</v>
      </c>
      <c r="H65" s="65">
        <v>37.1</v>
      </c>
      <c r="I65" s="65">
        <v>47</v>
      </c>
      <c r="J65" s="65">
        <v>65.2</v>
      </c>
      <c r="K65" s="65">
        <v>53.4</v>
      </c>
      <c r="L65" s="65">
        <v>51.5</v>
      </c>
      <c r="M65" s="65">
        <v>65.8</v>
      </c>
      <c r="N65" s="65">
        <v>65.400000000000006</v>
      </c>
      <c r="O65" s="65">
        <v>52.5</v>
      </c>
      <c r="P65" s="65">
        <v>52.5</v>
      </c>
      <c r="Q65" s="65">
        <v>32</v>
      </c>
      <c r="R65" s="65">
        <v>16.8</v>
      </c>
      <c r="S65" s="65">
        <v>16</v>
      </c>
      <c r="T65" s="65">
        <v>0</v>
      </c>
      <c r="U65" s="65">
        <v>0</v>
      </c>
      <c r="V65" s="65">
        <v>0</v>
      </c>
      <c r="W65" s="65">
        <v>0</v>
      </c>
      <c r="X65" s="45">
        <v>18.899999999999999</v>
      </c>
      <c r="Y65" s="45">
        <v>69</v>
      </c>
      <c r="Z65" s="45">
        <v>64</v>
      </c>
      <c r="AA65" s="45">
        <v>49.2</v>
      </c>
      <c r="AB65" s="45">
        <v>44.3</v>
      </c>
      <c r="AC65" s="45">
        <v>44</v>
      </c>
      <c r="AD65" s="45">
        <v>44.5</v>
      </c>
      <c r="AE65" s="45">
        <v>44.3</v>
      </c>
      <c r="AF65" s="45">
        <v>22.7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40.299999999999997</v>
      </c>
      <c r="C66" s="65">
        <v>40.299999999999997</v>
      </c>
      <c r="D66" s="65">
        <v>36.299999999999997</v>
      </c>
      <c r="E66" s="65">
        <v>36.299999999999997</v>
      </c>
      <c r="F66" s="65">
        <v>36.299999999999997</v>
      </c>
      <c r="G66" s="65">
        <v>36.5</v>
      </c>
      <c r="H66" s="65">
        <v>36.299999999999997</v>
      </c>
      <c r="I66" s="65">
        <v>37.299999999999997</v>
      </c>
      <c r="J66" s="65">
        <v>39</v>
      </c>
      <c r="K66" s="57">
        <v>38.5</v>
      </c>
      <c r="L66" s="57">
        <v>38</v>
      </c>
      <c r="M66" s="65">
        <v>37.799999999999997</v>
      </c>
      <c r="N66" s="65">
        <v>38</v>
      </c>
      <c r="O66" s="65">
        <v>36.299999999999997</v>
      </c>
      <c r="P66" s="65">
        <v>36.299999999999997</v>
      </c>
      <c r="Q66" s="65">
        <v>36.299999999999997</v>
      </c>
      <c r="R66" s="65">
        <v>37.299999999999997</v>
      </c>
      <c r="S66" s="65">
        <v>37.299999999999997</v>
      </c>
      <c r="T66" s="65">
        <v>35</v>
      </c>
      <c r="U66" s="65">
        <v>35</v>
      </c>
      <c r="V66" s="65">
        <v>35</v>
      </c>
      <c r="W66" s="65">
        <v>35</v>
      </c>
      <c r="X66" s="45">
        <v>34.299999999999997</v>
      </c>
      <c r="Y66" s="45">
        <v>34.299999999999997</v>
      </c>
      <c r="Z66" s="45">
        <v>34.299999999999997</v>
      </c>
      <c r="AA66" s="45">
        <v>34.5</v>
      </c>
      <c r="AB66" s="45">
        <v>34.5</v>
      </c>
      <c r="AC66" s="45">
        <v>34.5</v>
      </c>
      <c r="AD66" s="45">
        <v>36</v>
      </c>
      <c r="AE66" s="45">
        <v>38.299999999999997</v>
      </c>
      <c r="AF66" s="45">
        <v>38</v>
      </c>
      <c r="AG66" s="55">
        <v>60</v>
      </c>
      <c r="AH66" s="47">
        <f t="shared" si="2"/>
        <v>40.299999999999997</v>
      </c>
      <c r="AI66" s="48">
        <f t="shared" si="3"/>
        <v>34.299999999999997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10</v>
      </c>
      <c r="J67" s="65">
        <v>15</v>
      </c>
      <c r="K67" s="65">
        <v>10.3</v>
      </c>
      <c r="L67" s="57">
        <v>15</v>
      </c>
      <c r="M67" s="65">
        <v>15</v>
      </c>
      <c r="N67" s="65">
        <v>15</v>
      </c>
      <c r="O67" s="65">
        <v>14.8</v>
      </c>
      <c r="P67" s="65">
        <v>14.9</v>
      </c>
      <c r="Q67" s="65">
        <v>10</v>
      </c>
      <c r="R67" s="65">
        <v>0</v>
      </c>
      <c r="S67" s="65">
        <v>10</v>
      </c>
      <c r="T67" s="65">
        <v>10</v>
      </c>
      <c r="U67" s="65">
        <v>10</v>
      </c>
      <c r="V67" s="65">
        <v>0</v>
      </c>
      <c r="W67" s="65">
        <v>0</v>
      </c>
      <c r="X67" s="45">
        <v>0</v>
      </c>
      <c r="Y67" s="45">
        <v>10.1</v>
      </c>
      <c r="Z67" s="45">
        <v>28</v>
      </c>
      <c r="AA67" s="45">
        <v>27.8</v>
      </c>
      <c r="AB67" s="45">
        <v>23</v>
      </c>
      <c r="AC67" s="45">
        <v>10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0.4</v>
      </c>
      <c r="L68" s="65">
        <v>1.8</v>
      </c>
      <c r="M68" s="65">
        <v>6.2</v>
      </c>
      <c r="N68" s="65">
        <v>10.5</v>
      </c>
      <c r="O68" s="65">
        <v>15.4</v>
      </c>
      <c r="P68" s="65">
        <v>18.3</v>
      </c>
      <c r="Q68" s="65">
        <v>18.3</v>
      </c>
      <c r="R68" s="65">
        <v>11.5</v>
      </c>
      <c r="S68" s="65">
        <v>11.7</v>
      </c>
      <c r="T68" s="65">
        <v>11.7</v>
      </c>
      <c r="U68" s="65">
        <v>5.7</v>
      </c>
      <c r="V68" s="65">
        <v>1.3</v>
      </c>
      <c r="W68" s="65">
        <v>0.4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18.3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14</v>
      </c>
      <c r="C69" s="65">
        <v>14</v>
      </c>
      <c r="D69" s="65">
        <v>14</v>
      </c>
      <c r="E69" s="65">
        <v>14</v>
      </c>
      <c r="F69" s="65">
        <v>14</v>
      </c>
      <c r="G69" s="65">
        <v>14</v>
      </c>
      <c r="H69" s="65">
        <v>14</v>
      </c>
      <c r="I69" s="65">
        <v>14</v>
      </c>
      <c r="J69" s="65">
        <v>14</v>
      </c>
      <c r="K69" s="65">
        <v>14</v>
      </c>
      <c r="L69" s="65">
        <v>14</v>
      </c>
      <c r="M69" s="65">
        <v>14</v>
      </c>
      <c r="N69" s="65">
        <v>14</v>
      </c>
      <c r="O69" s="65">
        <v>14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14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8.6999999999999993</v>
      </c>
      <c r="C71" s="65">
        <v>8.6999999999999993</v>
      </c>
      <c r="D71" s="65">
        <v>8.6999999999999993</v>
      </c>
      <c r="E71" s="65">
        <v>8.6999999999999993</v>
      </c>
      <c r="F71" s="65">
        <v>8.6999999999999993</v>
      </c>
      <c r="G71" s="65">
        <v>8.6999999999999993</v>
      </c>
      <c r="H71" s="65">
        <v>8.6999999999999993</v>
      </c>
      <c r="I71" s="65">
        <v>8.6999999999999993</v>
      </c>
      <c r="J71" s="65">
        <v>8.6999999999999993</v>
      </c>
      <c r="K71" s="65">
        <v>8.6999999999999993</v>
      </c>
      <c r="L71" s="65">
        <v>8.6999999999999993</v>
      </c>
      <c r="M71" s="65">
        <v>10</v>
      </c>
      <c r="N71" s="65">
        <v>10</v>
      </c>
      <c r="O71" s="65">
        <v>10</v>
      </c>
      <c r="P71" s="65">
        <v>10.4</v>
      </c>
      <c r="Q71" s="65">
        <v>10.4</v>
      </c>
      <c r="R71" s="65">
        <v>10.4</v>
      </c>
      <c r="S71" s="65">
        <v>10.4</v>
      </c>
      <c r="T71" s="65">
        <v>10.4</v>
      </c>
      <c r="U71" s="65">
        <v>10.4</v>
      </c>
      <c r="V71" s="65">
        <v>10.4</v>
      </c>
      <c r="W71" s="65">
        <v>10.4</v>
      </c>
      <c r="X71" s="65">
        <v>10.4</v>
      </c>
      <c r="Y71" s="65">
        <v>10.4</v>
      </c>
      <c r="Z71" s="65">
        <v>10.4</v>
      </c>
      <c r="AA71" s="65">
        <v>10.4</v>
      </c>
      <c r="AB71" s="65">
        <v>10.4</v>
      </c>
      <c r="AC71" s="65">
        <v>10.4</v>
      </c>
      <c r="AD71" s="65">
        <v>9.8000000000000007</v>
      </c>
      <c r="AE71" s="65">
        <v>10.199999999999999</v>
      </c>
      <c r="AF71" s="65">
        <v>10.199999999999999</v>
      </c>
      <c r="AG71" s="55">
        <v>14.1</v>
      </c>
      <c r="AH71" s="47">
        <f t="shared" si="2"/>
        <v>10.4</v>
      </c>
      <c r="AI71" s="48">
        <f t="shared" si="3"/>
        <v>8.6999999999999993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3.2</v>
      </c>
      <c r="C72" s="65">
        <v>3.2</v>
      </c>
      <c r="D72" s="65">
        <v>3.2</v>
      </c>
      <c r="E72" s="65">
        <v>3.2</v>
      </c>
      <c r="F72" s="65">
        <v>3.2</v>
      </c>
      <c r="G72" s="65">
        <v>3.2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2"/>
        <v>3.4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3.5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:AG76" si="27">SUM(B63:B75)</f>
        <v>152.53999999999996</v>
      </c>
      <c r="C76" s="60">
        <f t="shared" si="27"/>
        <v>106.24000000000001</v>
      </c>
      <c r="D76" s="60">
        <f t="shared" si="27"/>
        <v>103.54</v>
      </c>
      <c r="E76" s="60">
        <f t="shared" si="27"/>
        <v>103.64000000000001</v>
      </c>
      <c r="F76" s="60">
        <f t="shared" si="27"/>
        <v>127.84000000000002</v>
      </c>
      <c r="G76" s="60">
        <f t="shared" si="27"/>
        <v>147.83999999999997</v>
      </c>
      <c r="H76" s="60">
        <f t="shared" si="27"/>
        <v>178.23999999999998</v>
      </c>
      <c r="I76" s="60">
        <f t="shared" si="27"/>
        <v>231.73999999999998</v>
      </c>
      <c r="J76" s="60">
        <f t="shared" si="27"/>
        <v>255.13999999999996</v>
      </c>
      <c r="K76" s="60">
        <f t="shared" si="27"/>
        <v>257.33999999999997</v>
      </c>
      <c r="L76" s="60">
        <f t="shared" si="27"/>
        <v>263.04000000000002</v>
      </c>
      <c r="M76" s="60">
        <f t="shared" si="27"/>
        <v>282.83999999999997</v>
      </c>
      <c r="N76" s="60">
        <f t="shared" si="27"/>
        <v>317.83999999999997</v>
      </c>
      <c r="O76" s="60">
        <f t="shared" si="27"/>
        <v>283.74000000000007</v>
      </c>
      <c r="P76" s="60">
        <f t="shared" si="27"/>
        <v>278.44</v>
      </c>
      <c r="Q76" s="60">
        <f t="shared" ref="Q76" si="28">SUM(Q63:Q75)</f>
        <v>253.04</v>
      </c>
      <c r="R76" s="60">
        <f t="shared" si="27"/>
        <v>164.84</v>
      </c>
      <c r="S76" s="60">
        <f t="shared" si="27"/>
        <v>174.24</v>
      </c>
      <c r="T76" s="60">
        <f t="shared" si="27"/>
        <v>124.34000000000002</v>
      </c>
      <c r="U76" s="60">
        <f t="shared" si="27"/>
        <v>118.34000000000002</v>
      </c>
      <c r="V76" s="60">
        <f t="shared" si="27"/>
        <v>103.94000000000001</v>
      </c>
      <c r="W76" s="60">
        <f t="shared" si="27"/>
        <v>103.04</v>
      </c>
      <c r="X76" s="60">
        <f t="shared" si="27"/>
        <v>151.23999999999998</v>
      </c>
      <c r="Y76" s="60">
        <f>SUM(Y63:Y75)</f>
        <v>221.79999999999998</v>
      </c>
      <c r="Z76" s="60">
        <f>SUM(Z63:Z75)</f>
        <v>340.29999999999995</v>
      </c>
      <c r="AA76" s="60">
        <f t="shared" si="27"/>
        <v>270.33999999999997</v>
      </c>
      <c r="AB76" s="60">
        <f t="shared" si="27"/>
        <v>261.04000000000002</v>
      </c>
      <c r="AC76" s="60">
        <f t="shared" si="27"/>
        <v>237.74</v>
      </c>
      <c r="AD76" s="60">
        <f t="shared" ref="AD76:AE76" si="29">SUM(AD63:AD75)</f>
        <v>209.14000000000001</v>
      </c>
      <c r="AE76" s="60">
        <f t="shared" si="29"/>
        <v>179.83999999999997</v>
      </c>
      <c r="AF76" s="60">
        <f t="shared" si="27"/>
        <v>128.34</v>
      </c>
      <c r="AG76" s="61">
        <f t="shared" si="27"/>
        <v>489.91</v>
      </c>
      <c r="AH76" s="47">
        <f t="shared" si="2"/>
        <v>340.29999999999995</v>
      </c>
      <c r="AI76" s="48">
        <f t="shared" si="3"/>
        <v>103.04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30">B77+B78+B79</f>
        <v>0</v>
      </c>
      <c r="C80" s="60">
        <f t="shared" si="30"/>
        <v>0</v>
      </c>
      <c r="D80" s="60">
        <f t="shared" si="30"/>
        <v>0</v>
      </c>
      <c r="E80" s="60">
        <f t="shared" si="30"/>
        <v>0</v>
      </c>
      <c r="F80" s="60">
        <f t="shared" si="30"/>
        <v>0</v>
      </c>
      <c r="G80" s="60">
        <f t="shared" si="30"/>
        <v>0</v>
      </c>
      <c r="H80" s="60">
        <f t="shared" si="30"/>
        <v>0</v>
      </c>
      <c r="I80" s="60">
        <f t="shared" si="30"/>
        <v>0</v>
      </c>
      <c r="J80" s="60">
        <f t="shared" si="30"/>
        <v>0</v>
      </c>
      <c r="K80" s="60">
        <f t="shared" si="30"/>
        <v>0</v>
      </c>
      <c r="L80" s="60">
        <f t="shared" si="30"/>
        <v>0</v>
      </c>
      <c r="M80" s="60">
        <f t="shared" si="30"/>
        <v>0</v>
      </c>
      <c r="N80" s="60">
        <f t="shared" si="30"/>
        <v>0</v>
      </c>
      <c r="O80" s="60">
        <f t="shared" si="30"/>
        <v>0</v>
      </c>
      <c r="P80" s="60">
        <f t="shared" si="30"/>
        <v>0</v>
      </c>
      <c r="Q80" s="60">
        <f t="shared" ref="Q80" si="31">Q77+Q78+Q79</f>
        <v>0</v>
      </c>
      <c r="R80" s="60">
        <f t="shared" si="30"/>
        <v>0</v>
      </c>
      <c r="S80" s="60">
        <f t="shared" si="30"/>
        <v>0</v>
      </c>
      <c r="T80" s="60">
        <f t="shared" si="30"/>
        <v>0</v>
      </c>
      <c r="U80" s="60">
        <f t="shared" si="30"/>
        <v>0</v>
      </c>
      <c r="V80" s="60">
        <f t="shared" si="30"/>
        <v>0</v>
      </c>
      <c r="W80" s="60">
        <f t="shared" si="30"/>
        <v>0</v>
      </c>
      <c r="X80" s="60">
        <f t="shared" si="30"/>
        <v>0</v>
      </c>
      <c r="Y80" s="60">
        <f>Y77+Y78+Y79</f>
        <v>0</v>
      </c>
      <c r="Z80" s="60">
        <f>Z77+Z78+Z79</f>
        <v>0</v>
      </c>
      <c r="AA80" s="60">
        <f t="shared" si="30"/>
        <v>0</v>
      </c>
      <c r="AB80" s="60">
        <f t="shared" si="30"/>
        <v>0</v>
      </c>
      <c r="AC80" s="60">
        <f t="shared" si="30"/>
        <v>0</v>
      </c>
      <c r="AD80" s="60">
        <f t="shared" ref="AD80:AE80" si="32">AD77+AD78+AD79</f>
        <v>0</v>
      </c>
      <c r="AE80" s="60">
        <f t="shared" si="32"/>
        <v>0</v>
      </c>
      <c r="AF80" s="60">
        <f t="shared" si="30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48</v>
      </c>
      <c r="C81" s="45">
        <v>63</v>
      </c>
      <c r="D81" s="45">
        <v>68.2</v>
      </c>
      <c r="E81" s="45">
        <v>56.3</v>
      </c>
      <c r="F81" s="45">
        <v>54.5</v>
      </c>
      <c r="G81" s="45">
        <v>55</v>
      </c>
      <c r="H81" s="45">
        <v>67.3</v>
      </c>
      <c r="I81" s="45">
        <v>68.2</v>
      </c>
      <c r="J81" s="45">
        <v>56.6</v>
      </c>
      <c r="K81" s="45">
        <v>64</v>
      </c>
      <c r="L81" s="45">
        <v>64.8</v>
      </c>
      <c r="M81" s="45">
        <v>59</v>
      </c>
      <c r="N81" s="45">
        <v>58</v>
      </c>
      <c r="O81" s="45">
        <v>60.2</v>
      </c>
      <c r="P81" s="45">
        <v>60</v>
      </c>
      <c r="Q81" s="45">
        <v>55</v>
      </c>
      <c r="R81" s="45">
        <v>55.3</v>
      </c>
      <c r="S81" s="45">
        <v>54</v>
      </c>
      <c r="T81" s="45">
        <v>78</v>
      </c>
      <c r="U81" s="45">
        <v>71</v>
      </c>
      <c r="V81" s="45">
        <v>60.4</v>
      </c>
      <c r="W81" s="45">
        <v>64.7</v>
      </c>
      <c r="X81" s="45">
        <v>68</v>
      </c>
      <c r="Y81" s="45">
        <v>69.099999999999994</v>
      </c>
      <c r="Z81" s="45">
        <v>53.2</v>
      </c>
      <c r="AA81" s="45">
        <v>48.1</v>
      </c>
      <c r="AB81" s="45">
        <v>50.6</v>
      </c>
      <c r="AC81" s="45">
        <v>63.6</v>
      </c>
      <c r="AD81" s="45">
        <v>67</v>
      </c>
      <c r="AE81" s="45">
        <v>61.5</v>
      </c>
      <c r="AF81" s="45">
        <v>60.9</v>
      </c>
      <c r="AG81" s="52"/>
      <c r="AH81" s="47">
        <f t="shared" si="2"/>
        <v>78</v>
      </c>
      <c r="AI81" s="48">
        <f t="shared" si="3"/>
        <v>48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405</v>
      </c>
      <c r="C83" s="65">
        <v>378</v>
      </c>
      <c r="D83" s="65">
        <v>378.2</v>
      </c>
      <c r="E83" s="65">
        <v>374.5</v>
      </c>
      <c r="F83" s="65">
        <v>395.4</v>
      </c>
      <c r="G83" s="65">
        <v>405.6</v>
      </c>
      <c r="H83" s="65">
        <v>419.9</v>
      </c>
      <c r="I83" s="65">
        <v>397.4</v>
      </c>
      <c r="J83" s="65">
        <v>420.2</v>
      </c>
      <c r="K83" s="65">
        <v>295</v>
      </c>
      <c r="L83" s="65">
        <v>145</v>
      </c>
      <c r="M83" s="65">
        <v>87</v>
      </c>
      <c r="N83" s="65">
        <v>158</v>
      </c>
      <c r="O83" s="65">
        <v>341.7</v>
      </c>
      <c r="P83" s="65">
        <v>376.9</v>
      </c>
      <c r="Q83" s="65">
        <v>410</v>
      </c>
      <c r="R83" s="65">
        <v>466.9</v>
      </c>
      <c r="S83" s="65">
        <v>393</v>
      </c>
      <c r="T83" s="65">
        <v>404</v>
      </c>
      <c r="U83" s="65">
        <v>432</v>
      </c>
      <c r="V83" s="65">
        <v>432</v>
      </c>
      <c r="W83" s="65">
        <v>410</v>
      </c>
      <c r="X83" s="65">
        <v>419</v>
      </c>
      <c r="Y83" s="65">
        <v>236</v>
      </c>
      <c r="Z83" s="65">
        <v>83</v>
      </c>
      <c r="AA83" s="65">
        <v>90</v>
      </c>
      <c r="AB83" s="65">
        <v>174</v>
      </c>
      <c r="AC83" s="65">
        <v>254</v>
      </c>
      <c r="AD83" s="65">
        <v>255</v>
      </c>
      <c r="AE83" s="65">
        <v>306</v>
      </c>
      <c r="AF83" s="65">
        <v>400</v>
      </c>
      <c r="AG83" s="75"/>
      <c r="AH83" s="47">
        <f t="shared" si="2"/>
        <v>466.9</v>
      </c>
      <c r="AI83" s="48">
        <f t="shared" si="3"/>
        <v>83</v>
      </c>
      <c r="AK83" s="50"/>
    </row>
    <row r="84" spans="1:40" x14ac:dyDescent="0.25">
      <c r="A84" s="54" t="s">
        <v>84</v>
      </c>
      <c r="B84" s="65">
        <v>3</v>
      </c>
      <c r="C84" s="65">
        <v>25</v>
      </c>
      <c r="D84" s="65">
        <v>22.2</v>
      </c>
      <c r="E84" s="76">
        <v>26.7</v>
      </c>
      <c r="F84" s="76">
        <v>33</v>
      </c>
      <c r="G84" s="76">
        <v>32.9</v>
      </c>
      <c r="H84" s="76">
        <v>26.5</v>
      </c>
      <c r="I84" s="76">
        <v>27</v>
      </c>
      <c r="J84" s="76">
        <v>25</v>
      </c>
      <c r="K84" s="76">
        <v>15</v>
      </c>
      <c r="L84" s="76">
        <v>15</v>
      </c>
      <c r="M84" s="76">
        <v>15</v>
      </c>
      <c r="N84" s="76">
        <v>10</v>
      </c>
      <c r="O84" s="76">
        <v>13</v>
      </c>
      <c r="P84" s="76">
        <v>22</v>
      </c>
      <c r="Q84" s="76">
        <v>40</v>
      </c>
      <c r="R84" s="76">
        <v>30.3</v>
      </c>
      <c r="S84" s="76">
        <v>45</v>
      </c>
      <c r="T84" s="76">
        <v>47</v>
      </c>
      <c r="U84" s="76">
        <v>41</v>
      </c>
      <c r="V84" s="76">
        <v>18</v>
      </c>
      <c r="W84" s="76">
        <v>3</v>
      </c>
      <c r="X84" s="76">
        <v>20</v>
      </c>
      <c r="Y84" s="76">
        <v>25</v>
      </c>
      <c r="Z84" s="76">
        <v>28</v>
      </c>
      <c r="AA84" s="76">
        <v>25</v>
      </c>
      <c r="AB84" s="76">
        <v>20</v>
      </c>
      <c r="AC84" s="76">
        <v>20</v>
      </c>
      <c r="AD84" s="76">
        <v>21</v>
      </c>
      <c r="AE84" s="76">
        <v>40</v>
      </c>
      <c r="AF84" s="76">
        <v>38</v>
      </c>
      <c r="AG84" s="75"/>
      <c r="AH84" s="47">
        <f t="shared" si="2"/>
        <v>47</v>
      </c>
      <c r="AI84" s="48">
        <f t="shared" si="3"/>
        <v>3</v>
      </c>
      <c r="AK84" s="50"/>
    </row>
    <row r="85" spans="1:40" x14ac:dyDescent="0.25">
      <c r="A85" s="54" t="s">
        <v>85</v>
      </c>
      <c r="B85" s="45">
        <v>27</v>
      </c>
      <c r="C85" s="45">
        <v>14</v>
      </c>
      <c r="D85" s="45">
        <v>24</v>
      </c>
      <c r="E85" s="45">
        <v>22.6</v>
      </c>
      <c r="F85" s="45">
        <v>0</v>
      </c>
      <c r="G85" s="45">
        <v>21.4</v>
      </c>
      <c r="H85" s="45">
        <v>21.2</v>
      </c>
      <c r="I85" s="45">
        <v>20.399999999999999</v>
      </c>
      <c r="J85" s="45">
        <v>21.2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39.200000000000003</v>
      </c>
      <c r="U85" s="45">
        <v>0</v>
      </c>
      <c r="V85" s="45">
        <v>73</v>
      </c>
      <c r="W85" s="45">
        <v>84</v>
      </c>
      <c r="X85" s="45">
        <v>67</v>
      </c>
      <c r="Y85" s="45">
        <v>96</v>
      </c>
      <c r="Z85" s="45">
        <v>90.2</v>
      </c>
      <c r="AA85" s="45">
        <v>100.2</v>
      </c>
      <c r="AB85" s="45">
        <v>90</v>
      </c>
      <c r="AC85" s="45">
        <v>98</v>
      </c>
      <c r="AD85" s="45">
        <v>98</v>
      </c>
      <c r="AE85" s="45">
        <v>98.6</v>
      </c>
      <c r="AF85" s="45">
        <v>19</v>
      </c>
      <c r="AG85" s="75"/>
      <c r="AH85" s="47">
        <f t="shared" ref="AH85:AH130" si="33">MAX(B85:AF85)</f>
        <v>100.2</v>
      </c>
      <c r="AI85" s="48">
        <f t="shared" ref="AI85:AI130" si="34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33"/>
        <v>0</v>
      </c>
      <c r="AI86" s="48">
        <f t="shared" si="3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33"/>
        <v>0</v>
      </c>
      <c r="AI87" s="48">
        <f t="shared" si="3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33"/>
        <v>0</v>
      </c>
      <c r="AI88" s="48">
        <f t="shared" si="3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33"/>
        <v>0</v>
      </c>
      <c r="AI89" s="48">
        <f t="shared" si="3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33"/>
        <v>0</v>
      </c>
      <c r="AI90" s="48">
        <f t="shared" si="3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77</v>
      </c>
      <c r="C91" s="77">
        <v>51.4</v>
      </c>
      <c r="D91" s="77">
        <v>47</v>
      </c>
      <c r="E91" s="77">
        <v>50.8</v>
      </c>
      <c r="F91" s="77">
        <v>47.8</v>
      </c>
      <c r="G91" s="77">
        <v>49.1</v>
      </c>
      <c r="H91" s="77">
        <v>41.8</v>
      </c>
      <c r="I91" s="77">
        <v>47.6</v>
      </c>
      <c r="J91" s="77">
        <v>74.7</v>
      </c>
      <c r="K91" s="77">
        <v>77.3</v>
      </c>
      <c r="L91" s="77">
        <v>78.7</v>
      </c>
      <c r="M91" s="77">
        <v>62</v>
      </c>
      <c r="N91" s="77">
        <v>68.3</v>
      </c>
      <c r="O91" s="77">
        <v>46.4</v>
      </c>
      <c r="P91" s="77">
        <v>30</v>
      </c>
      <c r="Q91" s="77">
        <v>48</v>
      </c>
      <c r="R91" s="77">
        <v>46.5</v>
      </c>
      <c r="S91" s="77">
        <v>42.4</v>
      </c>
      <c r="T91" s="77">
        <v>41.8</v>
      </c>
      <c r="U91" s="77">
        <v>44.1</v>
      </c>
      <c r="V91" s="77">
        <v>36.4</v>
      </c>
      <c r="W91" s="77">
        <v>36.5</v>
      </c>
      <c r="X91" s="77">
        <v>32</v>
      </c>
      <c r="Y91" s="77">
        <v>34</v>
      </c>
      <c r="Z91" s="77">
        <v>30.3</v>
      </c>
      <c r="AA91" s="77">
        <v>34.1</v>
      </c>
      <c r="AB91" s="77">
        <v>36.200000000000003</v>
      </c>
      <c r="AC91" s="77">
        <v>35.700000000000003</v>
      </c>
      <c r="AD91" s="77">
        <v>39.200000000000003</v>
      </c>
      <c r="AE91" s="77">
        <v>47.1</v>
      </c>
      <c r="AF91" s="77">
        <v>42.6</v>
      </c>
      <c r="AG91" s="85"/>
      <c r="AH91" s="47">
        <f t="shared" si="33"/>
        <v>78.7</v>
      </c>
      <c r="AI91" s="48">
        <f t="shared" si="34"/>
        <v>30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AF92" si="35">SUMIF(B81:B91,"&gt;0")</f>
        <v>560</v>
      </c>
      <c r="C92" s="60">
        <f t="shared" si="35"/>
        <v>531.4</v>
      </c>
      <c r="D92" s="60">
        <f t="shared" si="35"/>
        <v>539.59999999999991</v>
      </c>
      <c r="E92" s="60">
        <f t="shared" si="35"/>
        <v>530.9</v>
      </c>
      <c r="F92" s="60">
        <f t="shared" si="35"/>
        <v>530.69999999999993</v>
      </c>
      <c r="G92" s="60">
        <f t="shared" si="35"/>
        <v>564</v>
      </c>
      <c r="H92" s="60">
        <f t="shared" si="35"/>
        <v>576.70000000000005</v>
      </c>
      <c r="I92" s="60">
        <f t="shared" si="35"/>
        <v>560.6</v>
      </c>
      <c r="J92" s="60">
        <f t="shared" si="35"/>
        <v>597.70000000000005</v>
      </c>
      <c r="K92" s="60">
        <f t="shared" si="35"/>
        <v>451.3</v>
      </c>
      <c r="L92" s="60">
        <f t="shared" si="35"/>
        <v>303.5</v>
      </c>
      <c r="M92" s="60">
        <f t="shared" si="35"/>
        <v>223</v>
      </c>
      <c r="N92" s="60">
        <f t="shared" si="35"/>
        <v>294.3</v>
      </c>
      <c r="O92" s="60">
        <f t="shared" si="35"/>
        <v>461.29999999999995</v>
      </c>
      <c r="P92" s="60">
        <f t="shared" si="35"/>
        <v>488.9</v>
      </c>
      <c r="Q92" s="60">
        <f t="shared" ref="Q92" si="36">SUMIF(Q81:Q91,"&gt;0")</f>
        <v>553</v>
      </c>
      <c r="R92" s="60">
        <f t="shared" si="35"/>
        <v>598.99999999999989</v>
      </c>
      <c r="S92" s="60">
        <f t="shared" si="35"/>
        <v>534.4</v>
      </c>
      <c r="T92" s="60">
        <f t="shared" si="35"/>
        <v>610</v>
      </c>
      <c r="U92" s="60">
        <f t="shared" si="35"/>
        <v>588.1</v>
      </c>
      <c r="V92" s="60">
        <f t="shared" si="35"/>
        <v>619.79999999999995</v>
      </c>
      <c r="W92" s="60">
        <f t="shared" si="35"/>
        <v>598.20000000000005</v>
      </c>
      <c r="X92" s="60">
        <f t="shared" si="35"/>
        <v>606</v>
      </c>
      <c r="Y92" s="60">
        <f>SUMIF(Y81:Y91,"&gt;0")</f>
        <v>460.1</v>
      </c>
      <c r="Z92" s="60">
        <f>SUMIF(Z81:Z91,"&gt;0")</f>
        <v>284.7</v>
      </c>
      <c r="AA92" s="60">
        <f t="shared" si="35"/>
        <v>297.40000000000003</v>
      </c>
      <c r="AB92" s="60">
        <f t="shared" si="35"/>
        <v>370.8</v>
      </c>
      <c r="AC92" s="60">
        <f t="shared" si="35"/>
        <v>471.3</v>
      </c>
      <c r="AD92" s="60">
        <f t="shared" ref="AD92:AE92" si="37">SUMIF(AD81:AD91,"&gt;0")</f>
        <v>480.2</v>
      </c>
      <c r="AE92" s="60">
        <f t="shared" si="37"/>
        <v>553.20000000000005</v>
      </c>
      <c r="AF92" s="60">
        <f t="shared" si="35"/>
        <v>560.5</v>
      </c>
      <c r="AG92" s="88">
        <f>SUM(AG81:AG91)</f>
        <v>0</v>
      </c>
      <c r="AH92" s="47">
        <f t="shared" si="33"/>
        <v>619.79999999999995</v>
      </c>
      <c r="AI92" s="48">
        <f t="shared" si="34"/>
        <v>223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33"/>
        <v>0</v>
      </c>
      <c r="AI93" s="48">
        <f t="shared" si="34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33"/>
        <v>0</v>
      </c>
      <c r="AI94" s="48">
        <f t="shared" si="34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33"/>
        <v>0</v>
      </c>
      <c r="AI95" s="48">
        <f t="shared" si="34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33"/>
        <v>0</v>
      </c>
      <c r="AI96" s="48">
        <f t="shared" si="34"/>
        <v>0</v>
      </c>
    </row>
    <row r="97" spans="1:37" ht="15.75" thickBot="1" x14ac:dyDescent="0.3">
      <c r="A97" s="74" t="s">
        <v>99</v>
      </c>
      <c r="B97" s="95">
        <f t="shared" ref="B97:AG97" si="38">B58+B62+B80+B76+B92+B96</f>
        <v>1232.0899999999999</v>
      </c>
      <c r="C97" s="95">
        <f t="shared" si="38"/>
        <v>1157.19</v>
      </c>
      <c r="D97" s="95">
        <f t="shared" si="38"/>
        <v>1156.0899999999997</v>
      </c>
      <c r="E97" s="95">
        <f t="shared" si="38"/>
        <v>1147.4899999999998</v>
      </c>
      <c r="F97" s="95">
        <f t="shared" si="38"/>
        <v>1171.4899999999998</v>
      </c>
      <c r="G97" s="95">
        <f t="shared" si="38"/>
        <v>1239.79</v>
      </c>
      <c r="H97" s="95">
        <f t="shared" si="38"/>
        <v>1282.99</v>
      </c>
      <c r="I97" s="95">
        <f t="shared" si="38"/>
        <v>1335.29</v>
      </c>
      <c r="J97" s="95">
        <f t="shared" si="38"/>
        <v>1415.79</v>
      </c>
      <c r="K97" s="95">
        <f t="shared" si="38"/>
        <v>1331.6899999999998</v>
      </c>
      <c r="L97" s="95">
        <f t="shared" si="38"/>
        <v>1421.09</v>
      </c>
      <c r="M97" s="95">
        <f t="shared" si="38"/>
        <v>1381.29</v>
      </c>
      <c r="N97" s="95">
        <f t="shared" si="38"/>
        <v>1351.59</v>
      </c>
      <c r="O97" s="95">
        <f t="shared" si="38"/>
        <v>1249.49</v>
      </c>
      <c r="P97" s="95">
        <f t="shared" si="38"/>
        <v>1279.69</v>
      </c>
      <c r="Q97" s="95">
        <f t="shared" ref="Q97" si="39">Q58+Q62+Q80+Q76+Q92+Q96</f>
        <v>1318.3899999999999</v>
      </c>
      <c r="R97" s="95">
        <f t="shared" si="38"/>
        <v>1276.19</v>
      </c>
      <c r="S97" s="95">
        <f t="shared" si="38"/>
        <v>1248.29</v>
      </c>
      <c r="T97" s="95">
        <f t="shared" si="38"/>
        <v>1272.99</v>
      </c>
      <c r="U97" s="95">
        <f t="shared" si="38"/>
        <v>1215.99</v>
      </c>
      <c r="V97" s="95">
        <f t="shared" si="38"/>
        <v>1241.99</v>
      </c>
      <c r="W97" s="95">
        <f t="shared" si="38"/>
        <v>1204.49</v>
      </c>
      <c r="X97" s="95">
        <f t="shared" si="38"/>
        <v>1290.49</v>
      </c>
      <c r="Y97" s="95">
        <f>Y58+Y62+Y80+Y76+Y92+Y96</f>
        <v>1385.15</v>
      </c>
      <c r="Z97" s="95">
        <f>Z58+Z62+Z80+Z76+Z92+Z96</f>
        <v>1523.25</v>
      </c>
      <c r="AA97" s="95">
        <f t="shared" si="38"/>
        <v>1470.99</v>
      </c>
      <c r="AB97" s="95">
        <f t="shared" si="38"/>
        <v>1450.09</v>
      </c>
      <c r="AC97" s="95">
        <f t="shared" si="38"/>
        <v>1400.19</v>
      </c>
      <c r="AD97" s="95">
        <f t="shared" ref="AD97:AE97" si="40">AD58+AD62+AD80+AD76+AD92+AD96</f>
        <v>1342.29</v>
      </c>
      <c r="AE97" s="95">
        <f t="shared" si="40"/>
        <v>1261.2900000000002</v>
      </c>
      <c r="AF97" s="95">
        <f t="shared" si="38"/>
        <v>1202.0900000000001</v>
      </c>
      <c r="AG97" s="61">
        <f t="shared" si="38"/>
        <v>2231.81</v>
      </c>
      <c r="AH97" s="47">
        <f t="shared" si="33"/>
        <v>1523.25</v>
      </c>
      <c r="AI97" s="48">
        <f t="shared" si="34"/>
        <v>1147.4899999999998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180</v>
      </c>
      <c r="L98" s="97">
        <v>250</v>
      </c>
      <c r="M98" s="97">
        <v>300</v>
      </c>
      <c r="N98" s="97">
        <v>320</v>
      </c>
      <c r="O98" s="97">
        <v>250</v>
      </c>
      <c r="P98" s="97">
        <v>150</v>
      </c>
      <c r="Q98" s="97">
        <v>0</v>
      </c>
      <c r="R98" s="97">
        <v>80</v>
      </c>
      <c r="S98" s="97">
        <v>80</v>
      </c>
      <c r="T98" s="97">
        <v>80</v>
      </c>
      <c r="U98" s="97">
        <v>80</v>
      </c>
      <c r="V98" s="97">
        <v>80</v>
      </c>
      <c r="W98" s="97">
        <v>100</v>
      </c>
      <c r="X98" s="97">
        <v>200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250</v>
      </c>
      <c r="AE98" s="97">
        <v>0</v>
      </c>
      <c r="AF98" s="97"/>
      <c r="AG98" s="88"/>
      <c r="AH98" s="47">
        <f t="shared" si="33"/>
        <v>320</v>
      </c>
      <c r="AI98" s="48">
        <f t="shared" si="34"/>
        <v>0</v>
      </c>
    </row>
    <row r="99" spans="1:37" ht="15.75" thickBot="1" x14ac:dyDescent="0.3">
      <c r="A99" s="74" t="s">
        <v>101</v>
      </c>
      <c r="B99" s="95">
        <f t="shared" ref="B99:AF99" si="41">B97+B98</f>
        <v>1232.0899999999999</v>
      </c>
      <c r="C99" s="95">
        <f t="shared" si="41"/>
        <v>1157.19</v>
      </c>
      <c r="D99" s="95">
        <f t="shared" si="41"/>
        <v>1156.0899999999997</v>
      </c>
      <c r="E99" s="95">
        <f t="shared" si="41"/>
        <v>1147.4899999999998</v>
      </c>
      <c r="F99" s="95">
        <f t="shared" si="41"/>
        <v>1171.4899999999998</v>
      </c>
      <c r="G99" s="95">
        <f t="shared" si="41"/>
        <v>1239.79</v>
      </c>
      <c r="H99" s="95">
        <f t="shared" si="41"/>
        <v>1282.99</v>
      </c>
      <c r="I99" s="95">
        <f t="shared" si="41"/>
        <v>1335.29</v>
      </c>
      <c r="J99" s="95">
        <f t="shared" si="41"/>
        <v>1415.79</v>
      </c>
      <c r="K99" s="95">
        <f t="shared" si="41"/>
        <v>1511.6899999999998</v>
      </c>
      <c r="L99" s="95">
        <f t="shared" si="41"/>
        <v>1671.09</v>
      </c>
      <c r="M99" s="95">
        <f t="shared" si="41"/>
        <v>1681.29</v>
      </c>
      <c r="N99" s="95">
        <f t="shared" si="41"/>
        <v>1671.59</v>
      </c>
      <c r="O99" s="95">
        <f t="shared" si="41"/>
        <v>1499.49</v>
      </c>
      <c r="P99" s="95">
        <f t="shared" si="41"/>
        <v>1429.69</v>
      </c>
      <c r="Q99" s="95">
        <f t="shared" ref="Q99" si="42">Q97+Q98</f>
        <v>1318.3899999999999</v>
      </c>
      <c r="R99" s="95">
        <f t="shared" si="41"/>
        <v>1356.19</v>
      </c>
      <c r="S99" s="95">
        <f t="shared" si="41"/>
        <v>1328.29</v>
      </c>
      <c r="T99" s="95">
        <f t="shared" si="41"/>
        <v>1352.99</v>
      </c>
      <c r="U99" s="95">
        <f t="shared" si="41"/>
        <v>1295.99</v>
      </c>
      <c r="V99" s="95">
        <f t="shared" si="41"/>
        <v>1321.99</v>
      </c>
      <c r="W99" s="95">
        <f t="shared" si="41"/>
        <v>1304.49</v>
      </c>
      <c r="X99" s="95">
        <f t="shared" si="41"/>
        <v>1490.49</v>
      </c>
      <c r="Y99" s="95">
        <f>Y97+Y98</f>
        <v>1635.15</v>
      </c>
      <c r="Z99" s="95">
        <f>Z97+Z98</f>
        <v>1773.25</v>
      </c>
      <c r="AA99" s="95">
        <f t="shared" si="41"/>
        <v>1720.99</v>
      </c>
      <c r="AB99" s="95">
        <f t="shared" si="41"/>
        <v>1700.09</v>
      </c>
      <c r="AC99" s="95">
        <f t="shared" si="41"/>
        <v>1650.19</v>
      </c>
      <c r="AD99" s="95">
        <f t="shared" ref="AD99:AE99" si="43">AD97+AD98</f>
        <v>1592.29</v>
      </c>
      <c r="AE99" s="95">
        <f t="shared" si="43"/>
        <v>1261.2900000000002</v>
      </c>
      <c r="AF99" s="95">
        <f t="shared" si="41"/>
        <v>1202.0900000000001</v>
      </c>
      <c r="AG99" s="88">
        <f>AG96+AG92+AG80+AG76+AG58+AG98</f>
        <v>1693.71</v>
      </c>
      <c r="AH99" s="47">
        <f t="shared" si="33"/>
        <v>1773.25</v>
      </c>
      <c r="AI99" s="48">
        <f t="shared" si="34"/>
        <v>1147.4899999999998</v>
      </c>
    </row>
    <row r="100" spans="1:37" ht="15.75" thickBot="1" x14ac:dyDescent="0.3">
      <c r="A100" s="74" t="s">
        <v>102</v>
      </c>
      <c r="B100" s="95">
        <f t="shared" ref="B100:M100" si="44">B99-(B107)</f>
        <v>1232.0899999999999</v>
      </c>
      <c r="C100" s="95">
        <f t="shared" si="44"/>
        <v>1157.19</v>
      </c>
      <c r="D100" s="95">
        <f t="shared" si="44"/>
        <v>1156.0899999999997</v>
      </c>
      <c r="E100" s="95">
        <f t="shared" si="44"/>
        <v>1147.4899999999998</v>
      </c>
      <c r="F100" s="95">
        <f t="shared" si="44"/>
        <v>1171.4899999999998</v>
      </c>
      <c r="G100" s="95">
        <f t="shared" si="44"/>
        <v>1239.79</v>
      </c>
      <c r="H100" s="95">
        <f t="shared" si="44"/>
        <v>1282.99</v>
      </c>
      <c r="I100" s="95">
        <f t="shared" si="44"/>
        <v>1335.29</v>
      </c>
      <c r="J100" s="95">
        <f t="shared" si="44"/>
        <v>1415.79</v>
      </c>
      <c r="K100" s="95">
        <f t="shared" si="44"/>
        <v>1511.6899999999998</v>
      </c>
      <c r="L100" s="95">
        <f t="shared" si="44"/>
        <v>1671.09</v>
      </c>
      <c r="M100" s="95">
        <f t="shared" si="44"/>
        <v>1681.29</v>
      </c>
      <c r="N100" s="95">
        <f>N99-(N107)</f>
        <v>1671.59</v>
      </c>
      <c r="O100" s="95">
        <f t="shared" ref="O100:AF100" si="45">O99-(O107)</f>
        <v>1499.49</v>
      </c>
      <c r="P100" s="95">
        <f t="shared" si="45"/>
        <v>1429.69</v>
      </c>
      <c r="Q100" s="95">
        <f t="shared" ref="Q100" si="46">Q99-(Q107)</f>
        <v>1317.3899999999999</v>
      </c>
      <c r="R100" s="95">
        <f t="shared" si="45"/>
        <v>1356.19</v>
      </c>
      <c r="S100" s="95">
        <f t="shared" si="45"/>
        <v>1328.29</v>
      </c>
      <c r="T100" s="95">
        <f t="shared" si="45"/>
        <v>1352.99</v>
      </c>
      <c r="U100" s="95">
        <f t="shared" si="45"/>
        <v>1295.99</v>
      </c>
      <c r="V100" s="95">
        <f t="shared" si="45"/>
        <v>1321.99</v>
      </c>
      <c r="W100" s="95">
        <f t="shared" si="45"/>
        <v>1304.49</v>
      </c>
      <c r="X100" s="95">
        <f t="shared" si="45"/>
        <v>1490.49</v>
      </c>
      <c r="Y100" s="95">
        <f t="shared" si="45"/>
        <v>1635.15</v>
      </c>
      <c r="Z100" s="95">
        <f t="shared" si="45"/>
        <v>1773.25</v>
      </c>
      <c r="AA100" s="95">
        <f t="shared" si="45"/>
        <v>1720.99</v>
      </c>
      <c r="AB100" s="95">
        <f t="shared" si="45"/>
        <v>1700.09</v>
      </c>
      <c r="AC100" s="95">
        <f t="shared" si="45"/>
        <v>1650.19</v>
      </c>
      <c r="AD100" s="95">
        <f t="shared" ref="AD100:AE100" si="47">AD99-(AD107)</f>
        <v>1591.29</v>
      </c>
      <c r="AE100" s="95">
        <f t="shared" si="47"/>
        <v>1259.2900000000002</v>
      </c>
      <c r="AF100" s="95">
        <f t="shared" si="45"/>
        <v>1202.0900000000001</v>
      </c>
      <c r="AG100" s="88"/>
      <c r="AH100" s="47">
        <f t="shared" si="33"/>
        <v>1773.25</v>
      </c>
      <c r="AI100" s="48">
        <f t="shared" si="34"/>
        <v>1147.4899999999998</v>
      </c>
    </row>
    <row r="101" spans="1:37" x14ac:dyDescent="0.25">
      <c r="A101" s="44" t="s">
        <v>84</v>
      </c>
      <c r="B101" s="76">
        <f t="shared" ref="B101:AF101" si="48">IF(B84&lt;0,B84*-1,0)</f>
        <v>0</v>
      </c>
      <c r="C101" s="76">
        <f t="shared" si="48"/>
        <v>0</v>
      </c>
      <c r="D101" s="76">
        <f t="shared" si="48"/>
        <v>0</v>
      </c>
      <c r="E101" s="76">
        <f t="shared" si="48"/>
        <v>0</v>
      </c>
      <c r="F101" s="76">
        <f t="shared" si="48"/>
        <v>0</v>
      </c>
      <c r="G101" s="76">
        <f t="shared" si="48"/>
        <v>0</v>
      </c>
      <c r="H101" s="76">
        <f t="shared" si="48"/>
        <v>0</v>
      </c>
      <c r="I101" s="76">
        <f t="shared" si="48"/>
        <v>0</v>
      </c>
      <c r="J101" s="76">
        <f t="shared" si="48"/>
        <v>0</v>
      </c>
      <c r="K101" s="76">
        <f t="shared" si="48"/>
        <v>0</v>
      </c>
      <c r="L101" s="76">
        <f t="shared" si="48"/>
        <v>0</v>
      </c>
      <c r="M101" s="76">
        <f t="shared" si="48"/>
        <v>0</v>
      </c>
      <c r="N101" s="76">
        <f t="shared" si="48"/>
        <v>0</v>
      </c>
      <c r="O101" s="76">
        <f t="shared" si="48"/>
        <v>0</v>
      </c>
      <c r="P101" s="76">
        <f t="shared" si="48"/>
        <v>0</v>
      </c>
      <c r="Q101" s="76">
        <f t="shared" ref="Q101" si="49">IF(Q84&lt;0,Q84*-1,0)</f>
        <v>0</v>
      </c>
      <c r="R101" s="76">
        <f t="shared" si="48"/>
        <v>0</v>
      </c>
      <c r="S101" s="76">
        <f t="shared" si="48"/>
        <v>0</v>
      </c>
      <c r="T101" s="76">
        <f t="shared" si="48"/>
        <v>0</v>
      </c>
      <c r="U101" s="76">
        <f t="shared" si="48"/>
        <v>0</v>
      </c>
      <c r="V101" s="76">
        <f t="shared" si="48"/>
        <v>0</v>
      </c>
      <c r="W101" s="76">
        <f t="shared" si="48"/>
        <v>0</v>
      </c>
      <c r="X101" s="76">
        <f t="shared" si="48"/>
        <v>0</v>
      </c>
      <c r="Y101" s="76">
        <f t="shared" si="48"/>
        <v>0</v>
      </c>
      <c r="Z101" s="76">
        <f t="shared" si="48"/>
        <v>0</v>
      </c>
      <c r="AA101" s="76">
        <f t="shared" si="48"/>
        <v>0</v>
      </c>
      <c r="AB101" s="76">
        <f t="shared" si="48"/>
        <v>0</v>
      </c>
      <c r="AC101" s="76">
        <f t="shared" si="48"/>
        <v>0</v>
      </c>
      <c r="AD101" s="76">
        <f t="shared" ref="AD101:AE101" si="50">IF(AD84&lt;0,AD84*-1,0)</f>
        <v>0</v>
      </c>
      <c r="AE101" s="76">
        <f t="shared" si="50"/>
        <v>0</v>
      </c>
      <c r="AF101" s="76">
        <f t="shared" si="48"/>
        <v>0</v>
      </c>
      <c r="AG101" s="52"/>
      <c r="AH101" s="47">
        <f t="shared" si="33"/>
        <v>0</v>
      </c>
      <c r="AI101" s="48">
        <f t="shared" si="34"/>
        <v>0</v>
      </c>
    </row>
    <row r="102" spans="1:37" x14ac:dyDescent="0.25">
      <c r="A102" s="54" t="s">
        <v>82</v>
      </c>
      <c r="B102" s="76">
        <f t="shared" ref="B102:AF102" si="51">IF(B82&lt;0,B82*-1,0)</f>
        <v>0</v>
      </c>
      <c r="C102" s="76">
        <f t="shared" si="51"/>
        <v>0</v>
      </c>
      <c r="D102" s="76">
        <f t="shared" si="51"/>
        <v>0</v>
      </c>
      <c r="E102" s="76">
        <f t="shared" si="51"/>
        <v>0</v>
      </c>
      <c r="F102" s="76">
        <f t="shared" si="51"/>
        <v>0</v>
      </c>
      <c r="G102" s="76">
        <f t="shared" si="51"/>
        <v>0</v>
      </c>
      <c r="H102" s="76">
        <f t="shared" si="51"/>
        <v>0</v>
      </c>
      <c r="I102" s="76">
        <f t="shared" si="51"/>
        <v>0</v>
      </c>
      <c r="J102" s="76">
        <f t="shared" si="51"/>
        <v>0</v>
      </c>
      <c r="K102" s="76">
        <f t="shared" si="51"/>
        <v>0</v>
      </c>
      <c r="L102" s="76">
        <f t="shared" si="51"/>
        <v>0</v>
      </c>
      <c r="M102" s="76">
        <f t="shared" si="51"/>
        <v>0</v>
      </c>
      <c r="N102" s="76">
        <f t="shared" si="51"/>
        <v>0</v>
      </c>
      <c r="O102" s="76">
        <f t="shared" si="51"/>
        <v>0</v>
      </c>
      <c r="P102" s="76">
        <f t="shared" si="51"/>
        <v>0</v>
      </c>
      <c r="Q102" s="76">
        <f t="shared" ref="Q102" si="52">IF(Q82&lt;0,Q82*-1,0)</f>
        <v>0</v>
      </c>
      <c r="R102" s="76">
        <f t="shared" si="51"/>
        <v>0</v>
      </c>
      <c r="S102" s="76">
        <f t="shared" si="51"/>
        <v>0</v>
      </c>
      <c r="T102" s="76">
        <f t="shared" si="51"/>
        <v>0</v>
      </c>
      <c r="U102" s="76">
        <f t="shared" si="51"/>
        <v>0</v>
      </c>
      <c r="V102" s="76">
        <f t="shared" si="51"/>
        <v>0</v>
      </c>
      <c r="W102" s="76">
        <f t="shared" si="51"/>
        <v>0</v>
      </c>
      <c r="X102" s="76">
        <f t="shared" si="51"/>
        <v>0</v>
      </c>
      <c r="Y102" s="76">
        <f t="shared" si="51"/>
        <v>0</v>
      </c>
      <c r="Z102" s="76">
        <f t="shared" si="51"/>
        <v>0</v>
      </c>
      <c r="AA102" s="76">
        <f t="shared" si="51"/>
        <v>0</v>
      </c>
      <c r="AB102" s="76">
        <f t="shared" si="51"/>
        <v>0</v>
      </c>
      <c r="AC102" s="76">
        <f t="shared" si="51"/>
        <v>0</v>
      </c>
      <c r="AD102" s="76">
        <f t="shared" ref="AD102:AE102" si="53">IF(AD82&lt;0,AD82*-1,0)</f>
        <v>0</v>
      </c>
      <c r="AE102" s="76">
        <f t="shared" si="53"/>
        <v>0</v>
      </c>
      <c r="AF102" s="76">
        <f t="shared" si="51"/>
        <v>0</v>
      </c>
      <c r="AG102" s="55"/>
      <c r="AH102" s="47">
        <f t="shared" si="33"/>
        <v>0</v>
      </c>
      <c r="AI102" s="48">
        <f t="shared" si="34"/>
        <v>0</v>
      </c>
    </row>
    <row r="103" spans="1:37" x14ac:dyDescent="0.25">
      <c r="A103" s="84" t="s">
        <v>103</v>
      </c>
      <c r="B103" s="76">
        <f t="shared" ref="B103:AF103" si="54">IF(B85&lt;0,B85*-1,0)</f>
        <v>0</v>
      </c>
      <c r="C103" s="76">
        <f t="shared" si="54"/>
        <v>0</v>
      </c>
      <c r="D103" s="76">
        <f t="shared" si="54"/>
        <v>0</v>
      </c>
      <c r="E103" s="76">
        <f t="shared" si="54"/>
        <v>0</v>
      </c>
      <c r="F103" s="76">
        <f t="shared" si="54"/>
        <v>0</v>
      </c>
      <c r="G103" s="76">
        <f t="shared" si="54"/>
        <v>0</v>
      </c>
      <c r="H103" s="76">
        <f t="shared" si="54"/>
        <v>0</v>
      </c>
      <c r="I103" s="76">
        <f t="shared" si="54"/>
        <v>0</v>
      </c>
      <c r="J103" s="76">
        <f t="shared" si="54"/>
        <v>0</v>
      </c>
      <c r="K103" s="76">
        <f t="shared" si="54"/>
        <v>0</v>
      </c>
      <c r="L103" s="76">
        <f t="shared" si="54"/>
        <v>0</v>
      </c>
      <c r="M103" s="76">
        <f t="shared" si="54"/>
        <v>0</v>
      </c>
      <c r="N103" s="76">
        <f t="shared" si="54"/>
        <v>0</v>
      </c>
      <c r="O103" s="76">
        <f t="shared" si="54"/>
        <v>0</v>
      </c>
      <c r="P103" s="76">
        <f t="shared" si="54"/>
        <v>0</v>
      </c>
      <c r="Q103" s="76">
        <f t="shared" ref="Q103" si="55">IF(Q85&lt;0,Q85*-1,0)</f>
        <v>0</v>
      </c>
      <c r="R103" s="76">
        <f t="shared" si="54"/>
        <v>0</v>
      </c>
      <c r="S103" s="76">
        <f t="shared" si="54"/>
        <v>0</v>
      </c>
      <c r="T103" s="76">
        <f t="shared" si="54"/>
        <v>0</v>
      </c>
      <c r="U103" s="76">
        <f t="shared" si="54"/>
        <v>0</v>
      </c>
      <c r="V103" s="76">
        <f t="shared" si="54"/>
        <v>0</v>
      </c>
      <c r="W103" s="76">
        <f t="shared" si="54"/>
        <v>0</v>
      </c>
      <c r="X103" s="76">
        <f t="shared" si="54"/>
        <v>0</v>
      </c>
      <c r="Y103" s="76">
        <f t="shared" si="54"/>
        <v>0</v>
      </c>
      <c r="Z103" s="76">
        <f t="shared" si="54"/>
        <v>0</v>
      </c>
      <c r="AA103" s="76">
        <f t="shared" si="54"/>
        <v>0</v>
      </c>
      <c r="AB103" s="76">
        <f t="shared" si="54"/>
        <v>0</v>
      </c>
      <c r="AC103" s="76">
        <f t="shared" si="54"/>
        <v>0</v>
      </c>
      <c r="AD103" s="76">
        <f t="shared" ref="AD103:AE103" si="56">IF(AD85&lt;0,AD85*-1,0)</f>
        <v>0</v>
      </c>
      <c r="AE103" s="76">
        <f t="shared" si="56"/>
        <v>0</v>
      </c>
      <c r="AF103" s="76">
        <f t="shared" si="54"/>
        <v>0</v>
      </c>
      <c r="AG103" s="98"/>
      <c r="AH103" s="47">
        <f t="shared" si="33"/>
        <v>0</v>
      </c>
      <c r="AI103" s="48">
        <f t="shared" si="34"/>
        <v>0</v>
      </c>
    </row>
    <row r="104" spans="1:37" x14ac:dyDescent="0.25">
      <c r="A104" s="84" t="s">
        <v>104</v>
      </c>
      <c r="B104" s="76">
        <f t="shared" ref="B104:AF104" si="57">IF(B83&lt;0,B83*-1,0)</f>
        <v>0</v>
      </c>
      <c r="C104" s="76">
        <f t="shared" si="57"/>
        <v>0</v>
      </c>
      <c r="D104" s="76">
        <f t="shared" si="57"/>
        <v>0</v>
      </c>
      <c r="E104" s="76">
        <f t="shared" si="57"/>
        <v>0</v>
      </c>
      <c r="F104" s="76">
        <f t="shared" si="57"/>
        <v>0</v>
      </c>
      <c r="G104" s="76">
        <f t="shared" si="57"/>
        <v>0</v>
      </c>
      <c r="H104" s="76">
        <f t="shared" si="57"/>
        <v>0</v>
      </c>
      <c r="I104" s="76">
        <f t="shared" si="57"/>
        <v>0</v>
      </c>
      <c r="J104" s="76">
        <f t="shared" si="57"/>
        <v>0</v>
      </c>
      <c r="K104" s="76">
        <f t="shared" si="57"/>
        <v>0</v>
      </c>
      <c r="L104" s="76">
        <f t="shared" si="57"/>
        <v>0</v>
      </c>
      <c r="M104" s="76">
        <f t="shared" si="57"/>
        <v>0</v>
      </c>
      <c r="N104" s="76">
        <f t="shared" si="57"/>
        <v>0</v>
      </c>
      <c r="O104" s="76">
        <f t="shared" si="57"/>
        <v>0</v>
      </c>
      <c r="P104" s="76">
        <f t="shared" si="57"/>
        <v>0</v>
      </c>
      <c r="Q104" s="76">
        <f t="shared" ref="Q104" si="58">IF(Q83&lt;0,Q83*-1,0)</f>
        <v>0</v>
      </c>
      <c r="R104" s="76">
        <f t="shared" si="57"/>
        <v>0</v>
      </c>
      <c r="S104" s="76">
        <f t="shared" si="57"/>
        <v>0</v>
      </c>
      <c r="T104" s="76">
        <f t="shared" si="57"/>
        <v>0</v>
      </c>
      <c r="U104" s="76">
        <f t="shared" si="57"/>
        <v>0</v>
      </c>
      <c r="V104" s="76">
        <f t="shared" si="57"/>
        <v>0</v>
      </c>
      <c r="W104" s="76">
        <f t="shared" si="57"/>
        <v>0</v>
      </c>
      <c r="X104" s="76">
        <f t="shared" si="57"/>
        <v>0</v>
      </c>
      <c r="Y104" s="76">
        <f t="shared" si="57"/>
        <v>0</v>
      </c>
      <c r="Z104" s="76">
        <f t="shared" si="57"/>
        <v>0</v>
      </c>
      <c r="AA104" s="76">
        <f t="shared" si="57"/>
        <v>0</v>
      </c>
      <c r="AB104" s="76">
        <f t="shared" si="57"/>
        <v>0</v>
      </c>
      <c r="AC104" s="76">
        <f t="shared" si="57"/>
        <v>0</v>
      </c>
      <c r="AD104" s="76">
        <f t="shared" ref="AD104:AE104" si="59">IF(AD83&lt;0,AD83*-1,0)</f>
        <v>0</v>
      </c>
      <c r="AE104" s="76">
        <f t="shared" si="59"/>
        <v>0</v>
      </c>
      <c r="AF104" s="76">
        <f t="shared" si="57"/>
        <v>0</v>
      </c>
      <c r="AG104" s="98"/>
      <c r="AH104" s="47">
        <f t="shared" si="33"/>
        <v>0</v>
      </c>
      <c r="AI104" s="48">
        <f t="shared" si="34"/>
        <v>0</v>
      </c>
    </row>
    <row r="105" spans="1:37" x14ac:dyDescent="0.25">
      <c r="A105" s="84" t="s">
        <v>81</v>
      </c>
      <c r="B105" s="76">
        <f t="shared" ref="B105:AF105" si="60">IF(B81&lt;0,B81*-1,0)</f>
        <v>0</v>
      </c>
      <c r="C105" s="76">
        <f t="shared" si="60"/>
        <v>0</v>
      </c>
      <c r="D105" s="76">
        <f t="shared" si="60"/>
        <v>0</v>
      </c>
      <c r="E105" s="76">
        <f t="shared" si="60"/>
        <v>0</v>
      </c>
      <c r="F105" s="76">
        <f t="shared" si="60"/>
        <v>0</v>
      </c>
      <c r="G105" s="76">
        <f t="shared" si="60"/>
        <v>0</v>
      </c>
      <c r="H105" s="76">
        <f t="shared" si="60"/>
        <v>0</v>
      </c>
      <c r="I105" s="76">
        <f t="shared" si="60"/>
        <v>0</v>
      </c>
      <c r="J105" s="76">
        <f t="shared" si="60"/>
        <v>0</v>
      </c>
      <c r="K105" s="76">
        <f t="shared" si="60"/>
        <v>0</v>
      </c>
      <c r="L105" s="76">
        <f t="shared" si="60"/>
        <v>0</v>
      </c>
      <c r="M105" s="76">
        <f t="shared" si="60"/>
        <v>0</v>
      </c>
      <c r="N105" s="76">
        <f t="shared" si="60"/>
        <v>0</v>
      </c>
      <c r="O105" s="76">
        <f t="shared" si="60"/>
        <v>0</v>
      </c>
      <c r="P105" s="76">
        <f t="shared" si="60"/>
        <v>0</v>
      </c>
      <c r="Q105" s="76">
        <f t="shared" ref="Q105" si="61">IF(Q81&lt;0,Q81*-1,0)</f>
        <v>0</v>
      </c>
      <c r="R105" s="76">
        <f t="shared" si="60"/>
        <v>0</v>
      </c>
      <c r="S105" s="76">
        <f t="shared" si="60"/>
        <v>0</v>
      </c>
      <c r="T105" s="76">
        <f t="shared" si="60"/>
        <v>0</v>
      </c>
      <c r="U105" s="76">
        <f t="shared" si="60"/>
        <v>0</v>
      </c>
      <c r="V105" s="76">
        <f t="shared" si="60"/>
        <v>0</v>
      </c>
      <c r="W105" s="76">
        <f t="shared" si="60"/>
        <v>0</v>
      </c>
      <c r="X105" s="76">
        <f t="shared" si="60"/>
        <v>0</v>
      </c>
      <c r="Y105" s="76">
        <f t="shared" si="60"/>
        <v>0</v>
      </c>
      <c r="Z105" s="76">
        <f t="shared" si="60"/>
        <v>0</v>
      </c>
      <c r="AA105" s="76">
        <f t="shared" si="60"/>
        <v>0</v>
      </c>
      <c r="AB105" s="76">
        <f t="shared" si="60"/>
        <v>0</v>
      </c>
      <c r="AC105" s="76">
        <f t="shared" si="60"/>
        <v>0</v>
      </c>
      <c r="AD105" s="76">
        <f t="shared" ref="AD105:AE105" si="62">IF(AD81&lt;0,AD81*-1,0)</f>
        <v>0</v>
      </c>
      <c r="AE105" s="76">
        <f t="shared" si="62"/>
        <v>0</v>
      </c>
      <c r="AF105" s="76">
        <f t="shared" si="60"/>
        <v>0</v>
      </c>
      <c r="AG105" s="98"/>
      <c r="AH105" s="47">
        <f t="shared" si="33"/>
        <v>0</v>
      </c>
      <c r="AI105" s="48">
        <f t="shared" si="34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1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1</v>
      </c>
      <c r="AE106" s="94">
        <v>2</v>
      </c>
      <c r="AF106" s="94">
        <v>0</v>
      </c>
      <c r="AG106" s="85"/>
      <c r="AH106" s="47">
        <f t="shared" si="33"/>
        <v>2</v>
      </c>
      <c r="AI106" s="48">
        <f t="shared" si="34"/>
        <v>0</v>
      </c>
    </row>
    <row r="107" spans="1:37" ht="15.75" thickBot="1" x14ac:dyDescent="0.3">
      <c r="A107" s="99" t="s">
        <v>106</v>
      </c>
      <c r="B107" s="60">
        <f t="shared" ref="B107:C107" si="63">SUM(B101:B106)</f>
        <v>0</v>
      </c>
      <c r="C107" s="60">
        <f t="shared" si="63"/>
        <v>0</v>
      </c>
      <c r="D107" s="60">
        <f t="shared" ref="D107:AF107" si="64">SUM(D101:D106)</f>
        <v>0</v>
      </c>
      <c r="E107" s="60">
        <f t="shared" si="64"/>
        <v>0</v>
      </c>
      <c r="F107" s="60">
        <f t="shared" si="64"/>
        <v>0</v>
      </c>
      <c r="G107" s="60">
        <f t="shared" si="64"/>
        <v>0</v>
      </c>
      <c r="H107" s="60">
        <f t="shared" si="64"/>
        <v>0</v>
      </c>
      <c r="I107" s="60">
        <f t="shared" si="64"/>
        <v>0</v>
      </c>
      <c r="J107" s="60">
        <f t="shared" si="64"/>
        <v>0</v>
      </c>
      <c r="K107" s="60">
        <f t="shared" si="64"/>
        <v>0</v>
      </c>
      <c r="L107" s="60">
        <f t="shared" si="64"/>
        <v>0</v>
      </c>
      <c r="M107" s="60">
        <f t="shared" si="64"/>
        <v>0</v>
      </c>
      <c r="N107" s="60">
        <f t="shared" si="64"/>
        <v>0</v>
      </c>
      <c r="O107" s="60">
        <f t="shared" si="64"/>
        <v>0</v>
      </c>
      <c r="P107" s="60">
        <f t="shared" si="64"/>
        <v>0</v>
      </c>
      <c r="Q107" s="60">
        <f t="shared" ref="Q107" si="65">SUM(Q101:Q106)</f>
        <v>1</v>
      </c>
      <c r="R107" s="60">
        <f t="shared" si="64"/>
        <v>0</v>
      </c>
      <c r="S107" s="60">
        <f t="shared" si="64"/>
        <v>0</v>
      </c>
      <c r="T107" s="60">
        <f t="shared" si="64"/>
        <v>0</v>
      </c>
      <c r="U107" s="60">
        <f t="shared" si="64"/>
        <v>0</v>
      </c>
      <c r="V107" s="60">
        <f t="shared" si="64"/>
        <v>0</v>
      </c>
      <c r="W107" s="60">
        <f t="shared" si="64"/>
        <v>0</v>
      </c>
      <c r="X107" s="60">
        <f t="shared" si="64"/>
        <v>0</v>
      </c>
      <c r="Y107" s="60">
        <f t="shared" si="64"/>
        <v>0</v>
      </c>
      <c r="Z107" s="60">
        <f t="shared" si="64"/>
        <v>0</v>
      </c>
      <c r="AA107" s="60">
        <f t="shared" si="64"/>
        <v>0</v>
      </c>
      <c r="AB107" s="60">
        <f t="shared" si="64"/>
        <v>0</v>
      </c>
      <c r="AC107" s="60">
        <f t="shared" si="64"/>
        <v>0</v>
      </c>
      <c r="AD107" s="60">
        <f t="shared" ref="AD107:AE107" si="66">SUM(AD101:AD106)</f>
        <v>1</v>
      </c>
      <c r="AE107" s="60">
        <f t="shared" si="66"/>
        <v>2</v>
      </c>
      <c r="AF107" s="60">
        <f t="shared" si="64"/>
        <v>0</v>
      </c>
      <c r="AG107" s="88"/>
      <c r="AH107" s="47">
        <f t="shared" si="33"/>
        <v>2</v>
      </c>
      <c r="AI107" s="48">
        <f t="shared" si="34"/>
        <v>0</v>
      </c>
      <c r="AK107" s="50"/>
    </row>
    <row r="108" spans="1:37" ht="15.75" thickBot="1" x14ac:dyDescent="0.3">
      <c r="A108" s="74" t="s">
        <v>107</v>
      </c>
      <c r="B108" s="60">
        <f t="shared" ref="B108:AF108" si="67">B92-B107</f>
        <v>560</v>
      </c>
      <c r="C108" s="60">
        <f t="shared" si="67"/>
        <v>531.4</v>
      </c>
      <c r="D108" s="60">
        <f t="shared" si="67"/>
        <v>539.59999999999991</v>
      </c>
      <c r="E108" s="60">
        <f t="shared" si="67"/>
        <v>530.9</v>
      </c>
      <c r="F108" s="60">
        <f t="shared" si="67"/>
        <v>530.69999999999993</v>
      </c>
      <c r="G108" s="60">
        <f t="shared" si="67"/>
        <v>564</v>
      </c>
      <c r="H108" s="60">
        <f t="shared" si="67"/>
        <v>576.70000000000005</v>
      </c>
      <c r="I108" s="60">
        <f t="shared" si="67"/>
        <v>560.6</v>
      </c>
      <c r="J108" s="60">
        <f t="shared" si="67"/>
        <v>597.70000000000005</v>
      </c>
      <c r="K108" s="60">
        <f t="shared" si="67"/>
        <v>451.3</v>
      </c>
      <c r="L108" s="60">
        <f t="shared" si="67"/>
        <v>303.5</v>
      </c>
      <c r="M108" s="60">
        <f t="shared" si="67"/>
        <v>223</v>
      </c>
      <c r="N108" s="60">
        <f t="shared" si="67"/>
        <v>294.3</v>
      </c>
      <c r="O108" s="60">
        <f t="shared" si="67"/>
        <v>461.29999999999995</v>
      </c>
      <c r="P108" s="60">
        <f t="shared" si="67"/>
        <v>488.9</v>
      </c>
      <c r="Q108" s="60">
        <f t="shared" ref="Q108" si="68">Q92-Q107</f>
        <v>552</v>
      </c>
      <c r="R108" s="60">
        <f t="shared" si="67"/>
        <v>598.99999999999989</v>
      </c>
      <c r="S108" s="60">
        <f t="shared" si="67"/>
        <v>534.4</v>
      </c>
      <c r="T108" s="60">
        <f t="shared" si="67"/>
        <v>610</v>
      </c>
      <c r="U108" s="60">
        <f t="shared" si="67"/>
        <v>588.1</v>
      </c>
      <c r="V108" s="60">
        <f t="shared" si="67"/>
        <v>619.79999999999995</v>
      </c>
      <c r="W108" s="60">
        <f t="shared" si="67"/>
        <v>598.20000000000005</v>
      </c>
      <c r="X108" s="60">
        <f t="shared" si="67"/>
        <v>606</v>
      </c>
      <c r="Y108" s="60">
        <f>Y92-Y107</f>
        <v>460.1</v>
      </c>
      <c r="Z108" s="60">
        <f>Z92-Z107</f>
        <v>284.7</v>
      </c>
      <c r="AA108" s="60">
        <f t="shared" si="67"/>
        <v>297.40000000000003</v>
      </c>
      <c r="AB108" s="60">
        <f t="shared" si="67"/>
        <v>370.8</v>
      </c>
      <c r="AC108" s="60">
        <f t="shared" si="67"/>
        <v>471.3</v>
      </c>
      <c r="AD108" s="60">
        <f t="shared" ref="AD108:AE108" si="69">AD92-AD107</f>
        <v>479.2</v>
      </c>
      <c r="AE108" s="60">
        <f t="shared" si="69"/>
        <v>551.20000000000005</v>
      </c>
      <c r="AF108" s="60">
        <f t="shared" si="67"/>
        <v>560.5</v>
      </c>
      <c r="AG108" s="88"/>
      <c r="AH108" s="47">
        <f t="shared" si="33"/>
        <v>619.79999999999995</v>
      </c>
      <c r="AI108" s="48">
        <f t="shared" si="34"/>
        <v>223</v>
      </c>
    </row>
    <row r="109" spans="1:37" x14ac:dyDescent="0.25">
      <c r="A109" s="100" t="s">
        <v>108</v>
      </c>
      <c r="B109" s="101">
        <v>50.031999999999996</v>
      </c>
      <c r="C109" s="101">
        <v>49.991999999999997</v>
      </c>
      <c r="D109" s="101">
        <v>50.037999999999997</v>
      </c>
      <c r="E109" s="101">
        <v>50</v>
      </c>
      <c r="F109" s="101">
        <v>50.015999999999998</v>
      </c>
      <c r="G109" s="101">
        <v>49.905000000000001</v>
      </c>
      <c r="H109" s="101">
        <v>49.984000000000002</v>
      </c>
      <c r="I109" s="101">
        <v>49.982999999999997</v>
      </c>
      <c r="J109" s="101">
        <v>50.075000000000003</v>
      </c>
      <c r="K109" s="101">
        <v>50.075000000000003</v>
      </c>
      <c r="L109" s="101">
        <v>49.984999999999999</v>
      </c>
      <c r="M109" s="101">
        <v>50.07</v>
      </c>
      <c r="N109" s="101">
        <v>49.878</v>
      </c>
      <c r="O109" s="101">
        <v>49.991</v>
      </c>
      <c r="P109" s="101">
        <v>50.030999999999999</v>
      </c>
      <c r="Q109" s="101">
        <v>50.01</v>
      </c>
      <c r="R109" s="101">
        <v>50.002000000000002</v>
      </c>
      <c r="S109" s="101">
        <v>50.045000000000002</v>
      </c>
      <c r="T109" s="101">
        <v>49.984999999999999</v>
      </c>
      <c r="U109" s="101">
        <v>49.878</v>
      </c>
      <c r="V109" s="101">
        <v>50.078000000000003</v>
      </c>
      <c r="W109" s="101">
        <v>50.158999999999999</v>
      </c>
      <c r="X109" s="101">
        <v>49.98</v>
      </c>
      <c r="Y109" s="101">
        <v>49.912999999999997</v>
      </c>
      <c r="Z109" s="101">
        <v>49.923999999999999</v>
      </c>
      <c r="AA109" s="101">
        <v>50.045000000000002</v>
      </c>
      <c r="AB109" s="101">
        <v>50.012999999999998</v>
      </c>
      <c r="AC109" s="101">
        <v>49.966000000000001</v>
      </c>
      <c r="AD109" s="101">
        <v>49.9</v>
      </c>
      <c r="AE109" s="101">
        <v>49.94</v>
      </c>
      <c r="AF109" s="101">
        <v>49.99</v>
      </c>
      <c r="AG109" s="102"/>
      <c r="AH109" s="47">
        <f t="shared" si="33"/>
        <v>50.158999999999999</v>
      </c>
      <c r="AI109" s="48">
        <f t="shared" si="34"/>
        <v>49.878</v>
      </c>
    </row>
    <row r="110" spans="1:37" x14ac:dyDescent="0.25">
      <c r="A110" s="103" t="s">
        <v>109</v>
      </c>
      <c r="B110" s="65">
        <v>128</v>
      </c>
      <c r="C110" s="65">
        <v>129.5</v>
      </c>
      <c r="D110" s="65">
        <v>128.69999999999999</v>
      </c>
      <c r="E110" s="65">
        <v>128</v>
      </c>
      <c r="F110" s="65">
        <v>127</v>
      </c>
      <c r="G110" s="65">
        <v>128.69999999999999</v>
      </c>
      <c r="H110" s="65">
        <v>130</v>
      </c>
      <c r="I110" s="65">
        <v>128.80000000000001</v>
      </c>
      <c r="J110" s="65">
        <v>128.6</v>
      </c>
      <c r="K110" s="65">
        <v>128.6</v>
      </c>
      <c r="L110" s="65">
        <v>127</v>
      </c>
      <c r="M110" s="65">
        <v>125.9</v>
      </c>
      <c r="N110" s="65">
        <v>125.4</v>
      </c>
      <c r="O110" s="65">
        <v>127.3</v>
      </c>
      <c r="P110" s="65">
        <v>126.4</v>
      </c>
      <c r="Q110" s="65">
        <v>125</v>
      </c>
      <c r="R110" s="65">
        <v>124.9</v>
      </c>
      <c r="S110" s="65">
        <v>126.3</v>
      </c>
      <c r="T110" s="65">
        <v>126.3</v>
      </c>
      <c r="U110" s="65">
        <v>127.4</v>
      </c>
      <c r="V110" s="65">
        <v>130.4</v>
      </c>
      <c r="W110" s="65">
        <v>127</v>
      </c>
      <c r="X110" s="65">
        <v>127.5</v>
      </c>
      <c r="Y110" s="65">
        <v>126.6</v>
      </c>
      <c r="Z110" s="65">
        <v>128.5</v>
      </c>
      <c r="AA110" s="65">
        <v>128.5</v>
      </c>
      <c r="AB110" s="65">
        <v>128.9</v>
      </c>
      <c r="AC110" s="65">
        <v>130.1</v>
      </c>
      <c r="AD110" s="65">
        <v>131.1</v>
      </c>
      <c r="AE110" s="65">
        <v>130.69999999999999</v>
      </c>
      <c r="AF110" s="65">
        <v>128</v>
      </c>
      <c r="AG110" s="104"/>
      <c r="AH110" s="47">
        <f t="shared" si="33"/>
        <v>131.1</v>
      </c>
      <c r="AI110" s="48">
        <f t="shared" si="34"/>
        <v>124.9</v>
      </c>
    </row>
    <row r="111" spans="1:37" x14ac:dyDescent="0.25">
      <c r="A111" s="103" t="s">
        <v>110</v>
      </c>
      <c r="B111" s="65">
        <v>132</v>
      </c>
      <c r="C111" s="65">
        <v>133.78</v>
      </c>
      <c r="D111" s="65">
        <v>133.19999999999999</v>
      </c>
      <c r="E111" s="65">
        <v>132.6</v>
      </c>
      <c r="F111" s="65">
        <v>131.30000000000001</v>
      </c>
      <c r="G111" s="65">
        <v>132.30000000000001</v>
      </c>
      <c r="H111" s="65">
        <v>132.80000000000001</v>
      </c>
      <c r="I111" s="65">
        <v>131.6</v>
      </c>
      <c r="J111" s="65">
        <v>130.69999999999999</v>
      </c>
      <c r="K111" s="65">
        <v>130.69999999999999</v>
      </c>
      <c r="L111" s="65">
        <v>129.1</v>
      </c>
      <c r="M111" s="65">
        <v>127.8</v>
      </c>
      <c r="N111" s="65">
        <v>127.4</v>
      </c>
      <c r="O111" s="65">
        <v>128.80000000000001</v>
      </c>
      <c r="P111" s="65">
        <v>129</v>
      </c>
      <c r="Q111" s="65">
        <v>128</v>
      </c>
      <c r="R111" s="65">
        <v>127.5</v>
      </c>
      <c r="S111" s="65">
        <v>129.19999999999999</v>
      </c>
      <c r="T111" s="65">
        <v>129.19999999999999</v>
      </c>
      <c r="U111" s="65">
        <v>129.6</v>
      </c>
      <c r="V111" s="65">
        <v>132.4</v>
      </c>
      <c r="W111" s="65">
        <v>129.1</v>
      </c>
      <c r="X111" s="65">
        <v>129.1</v>
      </c>
      <c r="Y111" s="65">
        <v>128.1</v>
      </c>
      <c r="Z111" s="65">
        <v>130.30000000000001</v>
      </c>
      <c r="AA111" s="65">
        <v>130.69999999999999</v>
      </c>
      <c r="AB111" s="65">
        <v>130.80000000000001</v>
      </c>
      <c r="AC111" s="65">
        <v>131.80000000000001</v>
      </c>
      <c r="AD111" s="65">
        <v>132.80000000000001</v>
      </c>
      <c r="AE111" s="65">
        <v>132.9</v>
      </c>
      <c r="AF111" s="65">
        <v>131.4</v>
      </c>
      <c r="AG111" s="104"/>
      <c r="AH111" s="47">
        <f t="shared" si="33"/>
        <v>133.78</v>
      </c>
      <c r="AI111" s="48">
        <f t="shared" si="34"/>
        <v>127.4</v>
      </c>
    </row>
    <row r="112" spans="1:37" x14ac:dyDescent="0.25">
      <c r="A112" s="103" t="s">
        <v>111</v>
      </c>
      <c r="B112" s="65">
        <v>128</v>
      </c>
      <c r="C112" s="65">
        <v>130</v>
      </c>
      <c r="D112" s="65">
        <v>128.1</v>
      </c>
      <c r="E112" s="65">
        <v>127.1</v>
      </c>
      <c r="F112" s="65">
        <v>130.30000000000001</v>
      </c>
      <c r="G112" s="65">
        <v>130.69999999999999</v>
      </c>
      <c r="H112" s="65">
        <v>130.30000000000001</v>
      </c>
      <c r="I112" s="65">
        <v>128.80000000000001</v>
      </c>
      <c r="J112" s="65">
        <v>124.8</v>
      </c>
      <c r="K112" s="65">
        <v>124.8</v>
      </c>
      <c r="L112" s="65">
        <v>131.1</v>
      </c>
      <c r="M112" s="65">
        <v>128.4</v>
      </c>
      <c r="N112" s="65">
        <v>129.69999999999999</v>
      </c>
      <c r="O112" s="65">
        <v>132</v>
      </c>
      <c r="P112" s="65">
        <v>126.3</v>
      </c>
      <c r="Q112" s="65">
        <v>128.5</v>
      </c>
      <c r="R112" s="65">
        <v>128.69999999999999</v>
      </c>
      <c r="S112" s="65">
        <v>127.2</v>
      </c>
      <c r="T112" s="65">
        <v>127.2</v>
      </c>
      <c r="U112" s="65">
        <v>127.9</v>
      </c>
      <c r="V112" s="65">
        <v>131.69999999999999</v>
      </c>
      <c r="W112" s="65">
        <v>130.69999999999999</v>
      </c>
      <c r="X112" s="65">
        <v>127.6</v>
      </c>
      <c r="Y112" s="65">
        <v>127.4</v>
      </c>
      <c r="Z112" s="65">
        <v>129.4</v>
      </c>
      <c r="AA112" s="65">
        <v>131.6</v>
      </c>
      <c r="AB112" s="65">
        <v>130.19999999999999</v>
      </c>
      <c r="AC112" s="65">
        <v>132.19999999999999</v>
      </c>
      <c r="AD112" s="65">
        <v>129.9</v>
      </c>
      <c r="AE112" s="65">
        <v>128.5</v>
      </c>
      <c r="AF112" s="65">
        <v>129.9</v>
      </c>
      <c r="AG112" s="104"/>
      <c r="AH112" s="47">
        <f t="shared" si="33"/>
        <v>132.19999999999999</v>
      </c>
      <c r="AI112" s="48">
        <f t="shared" si="34"/>
        <v>124.8</v>
      </c>
    </row>
    <row r="113" spans="1:35" x14ac:dyDescent="0.25">
      <c r="A113" s="105" t="s">
        <v>112</v>
      </c>
      <c r="B113" s="65">
        <v>132</v>
      </c>
      <c r="C113" s="65">
        <v>133.69999999999999</v>
      </c>
      <c r="D113" s="65">
        <v>130.9</v>
      </c>
      <c r="E113" s="65">
        <v>129.19999999999999</v>
      </c>
      <c r="F113" s="65">
        <v>132</v>
      </c>
      <c r="G113" s="65">
        <v>132.4</v>
      </c>
      <c r="H113" s="65">
        <v>132.6</v>
      </c>
      <c r="I113" s="65">
        <v>130.6</v>
      </c>
      <c r="J113" s="65">
        <v>126.4</v>
      </c>
      <c r="K113" s="65">
        <v>126.4</v>
      </c>
      <c r="L113" s="65">
        <v>131.6</v>
      </c>
      <c r="M113" s="65">
        <v>128.19999999999999</v>
      </c>
      <c r="N113" s="65">
        <v>129.4</v>
      </c>
      <c r="O113" s="65">
        <v>132.80000000000001</v>
      </c>
      <c r="P113" s="65">
        <v>126.2</v>
      </c>
      <c r="Q113" s="65">
        <v>130.80000000000001</v>
      </c>
      <c r="R113" s="65">
        <v>131.19999999999999</v>
      </c>
      <c r="S113" s="65">
        <v>131</v>
      </c>
      <c r="T113" s="65">
        <v>131</v>
      </c>
      <c r="U113" s="65">
        <v>131.1</v>
      </c>
      <c r="V113" s="65">
        <v>132.80000000000001</v>
      </c>
      <c r="W113" s="65">
        <v>132.9</v>
      </c>
      <c r="X113" s="65">
        <v>128.6</v>
      </c>
      <c r="Y113" s="65">
        <v>128.30000000000001</v>
      </c>
      <c r="Z113" s="65">
        <v>130.9</v>
      </c>
      <c r="AA113" s="65">
        <v>133.69999999999999</v>
      </c>
      <c r="AB113" s="65">
        <v>132.6</v>
      </c>
      <c r="AC113" s="65">
        <v>134.80000000000001</v>
      </c>
      <c r="AD113" s="65">
        <v>132.80000000000001</v>
      </c>
      <c r="AE113" s="65">
        <v>132.19999999999999</v>
      </c>
      <c r="AF113" s="65">
        <v>134.1</v>
      </c>
      <c r="AG113" s="104"/>
      <c r="AH113" s="47">
        <f t="shared" si="33"/>
        <v>134.80000000000001</v>
      </c>
      <c r="AI113" s="48">
        <f t="shared" si="34"/>
        <v>126.2</v>
      </c>
    </row>
    <row r="114" spans="1:35" x14ac:dyDescent="0.25">
      <c r="A114" s="105" t="s">
        <v>113</v>
      </c>
      <c r="B114" s="106">
        <v>134</v>
      </c>
      <c r="C114" s="106">
        <v>136.4</v>
      </c>
      <c r="D114" s="106">
        <v>136.80000000000001</v>
      </c>
      <c r="E114" s="106">
        <v>134.30000000000001</v>
      </c>
      <c r="F114" s="106">
        <v>131</v>
      </c>
      <c r="G114" s="106">
        <v>131</v>
      </c>
      <c r="H114" s="106">
        <v>134</v>
      </c>
      <c r="I114" s="106">
        <v>132.9</v>
      </c>
      <c r="J114" s="106">
        <v>134.1</v>
      </c>
      <c r="K114" s="106">
        <v>134.1</v>
      </c>
      <c r="L114" s="106">
        <v>134.6</v>
      </c>
      <c r="M114" s="106">
        <v>133.4</v>
      </c>
      <c r="N114" s="106">
        <v>133.5</v>
      </c>
      <c r="O114" s="106">
        <v>135.6</v>
      </c>
      <c r="P114" s="106">
        <v>134</v>
      </c>
      <c r="Q114" s="106">
        <v>132</v>
      </c>
      <c r="R114" s="106">
        <v>130.4</v>
      </c>
      <c r="S114" s="106">
        <v>132.6</v>
      </c>
      <c r="T114" s="106">
        <v>132.6</v>
      </c>
      <c r="U114" s="106">
        <v>132.69999999999999</v>
      </c>
      <c r="V114" s="106">
        <v>136.9</v>
      </c>
      <c r="W114" s="106">
        <v>133.30000000000001</v>
      </c>
      <c r="X114" s="106">
        <v>135.1</v>
      </c>
      <c r="Y114" s="106">
        <v>135.6</v>
      </c>
      <c r="Z114" s="106">
        <v>135.6</v>
      </c>
      <c r="AA114" s="106">
        <v>136.80000000000001</v>
      </c>
      <c r="AB114" s="106">
        <v>135.30000000000001</v>
      </c>
      <c r="AC114" s="106">
        <v>135.6</v>
      </c>
      <c r="AD114" s="106">
        <v>136.1</v>
      </c>
      <c r="AE114" s="106">
        <v>133.6</v>
      </c>
      <c r="AF114" s="106">
        <v>131.30000000000001</v>
      </c>
      <c r="AG114" s="107"/>
      <c r="AH114" s="47">
        <f t="shared" si="33"/>
        <v>136.9</v>
      </c>
      <c r="AI114" s="48">
        <f t="shared" si="34"/>
        <v>130.4</v>
      </c>
    </row>
    <row r="115" spans="1:35" x14ac:dyDescent="0.25">
      <c r="A115" s="103" t="s">
        <v>114</v>
      </c>
      <c r="B115" s="65">
        <v>135</v>
      </c>
      <c r="C115" s="65">
        <v>130.80000000000001</v>
      </c>
      <c r="D115" s="65">
        <v>134.9</v>
      </c>
      <c r="E115" s="65">
        <v>129.9</v>
      </c>
      <c r="F115" s="65">
        <v>132.19999999999999</v>
      </c>
      <c r="G115" s="65">
        <v>133.5</v>
      </c>
      <c r="H115" s="65">
        <v>124.8</v>
      </c>
      <c r="I115" s="65">
        <v>125.3</v>
      </c>
      <c r="J115" s="65">
        <v>129.5</v>
      </c>
      <c r="K115" s="65">
        <v>129.5</v>
      </c>
      <c r="L115" s="65">
        <v>126.8</v>
      </c>
      <c r="M115" s="65">
        <v>128.80000000000001</v>
      </c>
      <c r="N115" s="65">
        <v>126.1</v>
      </c>
      <c r="O115" s="65">
        <v>133.6</v>
      </c>
      <c r="P115" s="65">
        <v>133.19999999999999</v>
      </c>
      <c r="Q115" s="65">
        <v>132</v>
      </c>
      <c r="R115" s="65">
        <v>131.6</v>
      </c>
      <c r="S115" s="65">
        <v>127.8</v>
      </c>
      <c r="T115" s="65">
        <v>127.8</v>
      </c>
      <c r="U115" s="65">
        <v>128.80000000000001</v>
      </c>
      <c r="V115" s="65">
        <v>125.9</v>
      </c>
      <c r="W115" s="65">
        <v>131.69999999999999</v>
      </c>
      <c r="X115" s="65">
        <v>130.19999999999999</v>
      </c>
      <c r="Y115" s="65">
        <v>132.4</v>
      </c>
      <c r="Z115" s="65">
        <v>131.9</v>
      </c>
      <c r="AA115" s="65">
        <v>135</v>
      </c>
      <c r="AB115" s="65">
        <v>134.1</v>
      </c>
      <c r="AC115" s="65">
        <v>134.80000000000001</v>
      </c>
      <c r="AD115" s="65">
        <v>135</v>
      </c>
      <c r="AE115" s="65">
        <v>133.30000000000001</v>
      </c>
      <c r="AF115" s="65">
        <v>134</v>
      </c>
      <c r="AG115" s="104"/>
      <c r="AH115" s="47">
        <f t="shared" si="33"/>
        <v>135</v>
      </c>
      <c r="AI115" s="48">
        <f t="shared" si="34"/>
        <v>124.8</v>
      </c>
    </row>
    <row r="116" spans="1:35" ht="15.75" thickBot="1" x14ac:dyDescent="0.3">
      <c r="A116" s="103" t="s">
        <v>115</v>
      </c>
      <c r="B116" s="92">
        <v>66.400000000000006</v>
      </c>
      <c r="C116" s="92">
        <v>67</v>
      </c>
      <c r="D116" s="92">
        <v>66.8</v>
      </c>
      <c r="E116" s="92">
        <v>66.900000000000006</v>
      </c>
      <c r="F116" s="92">
        <v>66.099999999999994</v>
      </c>
      <c r="G116" s="92">
        <v>66.599999999999994</v>
      </c>
      <c r="H116" s="92">
        <v>66.8</v>
      </c>
      <c r="I116" s="92">
        <v>66.3</v>
      </c>
      <c r="J116" s="92">
        <v>65.2</v>
      </c>
      <c r="K116" s="92">
        <v>65.2</v>
      </c>
      <c r="L116" s="92">
        <v>64.8</v>
      </c>
      <c r="M116" s="92">
        <v>64.3</v>
      </c>
      <c r="N116" s="92">
        <v>64.3</v>
      </c>
      <c r="O116" s="92">
        <v>65.099999999999994</v>
      </c>
      <c r="P116" s="92">
        <v>65</v>
      </c>
      <c r="Q116" s="92">
        <v>64.599999999999994</v>
      </c>
      <c r="R116" s="92">
        <v>64</v>
      </c>
      <c r="S116" s="92">
        <v>65.400000000000006</v>
      </c>
      <c r="T116" s="92">
        <v>64.900000000000006</v>
      </c>
      <c r="U116" s="92">
        <v>65.599999999999994</v>
      </c>
      <c r="V116" s="92">
        <v>66.8</v>
      </c>
      <c r="W116" s="92">
        <v>64.8</v>
      </c>
      <c r="X116" s="92">
        <v>64.7</v>
      </c>
      <c r="Y116" s="92">
        <v>64.099999999999994</v>
      </c>
      <c r="Z116" s="92">
        <v>65.2</v>
      </c>
      <c r="AA116" s="92">
        <v>65.3</v>
      </c>
      <c r="AB116" s="92">
        <v>65.400000000000006</v>
      </c>
      <c r="AC116" s="92">
        <v>66</v>
      </c>
      <c r="AD116" s="92">
        <v>66.599999999999994</v>
      </c>
      <c r="AE116" s="92">
        <v>67</v>
      </c>
      <c r="AF116" s="92">
        <v>66.099999999999994</v>
      </c>
      <c r="AG116" s="108"/>
      <c r="AH116" s="47">
        <f t="shared" si="33"/>
        <v>67</v>
      </c>
      <c r="AI116" s="48">
        <f t="shared" si="34"/>
        <v>64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33"/>
        <v>0</v>
      </c>
      <c r="AI117" s="48">
        <f t="shared" si="34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164.24</v>
      </c>
      <c r="C118" s="111">
        <f>SUM(C22,C28,C31:C32,C66,C68:C69,C71,C73,C119:C123,C155,C161,C167,C176,C178,C190,C197,C200:C201,C208,C210,C212,C216:C218,C220:C222,C227,C233:C234,C236:C238,C246,C251)</f>
        <v>145.92000000000002</v>
      </c>
      <c r="D118" s="111">
        <f t="shared" ref="D118:O118" si="70">SUM(D22,D28,D31:D32,D66,D68:D69,D71,D73,D119:D123,D155,D161,D167,D176,D178,D190,D197,D200:D201,D208,D210,D212,D216:D218,D220:D222,D227,D233:D234,D236:D238,D246,D251)</f>
        <v>139.61799999999999</v>
      </c>
      <c r="E118" s="111">
        <f t="shared" si="70"/>
        <v>137.40300000000002</v>
      </c>
      <c r="F118" s="111">
        <f t="shared" si="70"/>
        <v>140.916</v>
      </c>
      <c r="G118" s="111">
        <f>SUM(G22,G28,G31:G32,G66,G68:G69,G71,G73,G119:G123,G155,G161,G167,G176,G178,G190,G197,G200:G201,G208,G210,G212,G216:G218,G220:G222,G227,G233:G234,G236:G238,G246,G251)</f>
        <v>168.47799999999998</v>
      </c>
      <c r="H118" s="111">
        <f>SUM(H22,H28,H31:H32,H66,H68:H69,H71,H73,H119:H123,H155,H161,H167,H176,H178,H190,H197,H200:H201,H208,H210,H212,H216:H218,H220:H222,H227,H233:H234,H236:H238,H246,H251)</f>
        <v>194.274</v>
      </c>
      <c r="I118" s="111">
        <f t="shared" si="70"/>
        <v>226.65600000000001</v>
      </c>
      <c r="J118" s="111">
        <f t="shared" si="70"/>
        <v>273.85899999999998</v>
      </c>
      <c r="K118" s="111">
        <f t="shared" si="70"/>
        <v>273.75899999999996</v>
      </c>
      <c r="L118" s="111">
        <f t="shared" si="70"/>
        <v>322.78000000000003</v>
      </c>
      <c r="M118" s="111">
        <f t="shared" si="70"/>
        <v>367.89299999999997</v>
      </c>
      <c r="N118" s="111">
        <f t="shared" si="70"/>
        <v>367.27899999999994</v>
      </c>
      <c r="O118" s="111">
        <f t="shared" si="70"/>
        <v>356.95</v>
      </c>
      <c r="P118" s="111">
        <v>42</v>
      </c>
      <c r="Q118" s="111">
        <v>42</v>
      </c>
      <c r="R118" s="111">
        <f t="shared" ref="R118:AF118" si="71">SUM(R22,R28,R31:R32,R66,R68:R69,R71,R73,R119:R123,R155,R161,R167,R176,R178,R190,R197,R200:R201,R208,R210,R212,R216:R218,R220:R222,R227,R233:R234,R236:R238,R246,R251)</f>
        <v>298.28100000000001</v>
      </c>
      <c r="S118" s="111">
        <f t="shared" si="71"/>
        <v>265.36</v>
      </c>
      <c r="T118" s="111">
        <f t="shared" si="71"/>
        <v>264.14</v>
      </c>
      <c r="U118" s="111">
        <f t="shared" si="71"/>
        <v>254.52</v>
      </c>
      <c r="V118" s="111">
        <f t="shared" si="71"/>
        <v>256.24</v>
      </c>
      <c r="W118" s="111">
        <f t="shared" si="71"/>
        <v>292.42</v>
      </c>
      <c r="X118" s="111">
        <f t="shared" si="71"/>
        <v>343.5</v>
      </c>
      <c r="Y118" s="111">
        <f t="shared" ref="Y118:Z118" si="72">SUM(Y20,Y26,Y37:Y38,Y66,Y68:Y69,Y71,Y73,Y119:Y123,Y148,Y154,Y160,Y169,Y171,Y183,Y190,Y193:Y194,Y201,Y203,Y205,Y209:Y211,Y213:Y215,Y220,Y226:Y227,Y229:Y231,Y239,Y244)</f>
        <v>393.12</v>
      </c>
      <c r="Z118" s="111">
        <f t="shared" si="72"/>
        <v>426.7</v>
      </c>
      <c r="AA118" s="111">
        <f t="shared" si="71"/>
        <v>397.99999999999994</v>
      </c>
      <c r="AB118" s="111">
        <f t="shared" si="71"/>
        <v>386.96</v>
      </c>
      <c r="AC118" s="111">
        <f t="shared" si="71"/>
        <v>365.94</v>
      </c>
      <c r="AD118" s="111">
        <f t="shared" ref="AD118" si="73">SUM(AD22,AD28,AD31:AD32,AD66,AD68:AD69,AD71,AD73,AD119:AD123,AD155,AD161,AD167,AD176,AD178,AD190,AD197,AD200:AD201,AD208,AD210,AD212,AD216:AD218,AD220:AD222,AD227,AD233:AD234,AD236:AD238,AD246,AD251)</f>
        <v>330.06</v>
      </c>
      <c r="AE118" s="111">
        <f t="shared" si="71"/>
        <v>272</v>
      </c>
      <c r="AF118" s="111">
        <f t="shared" si="71"/>
        <v>188.08</v>
      </c>
      <c r="AG118" s="112"/>
      <c r="AH118" s="47">
        <f t="shared" si="33"/>
        <v>426.7</v>
      </c>
      <c r="AI118" s="48">
        <f t="shared" si="34"/>
        <v>42</v>
      </c>
    </row>
    <row r="119" spans="1:35" x14ac:dyDescent="0.25">
      <c r="A119" s="172" t="s">
        <v>118</v>
      </c>
      <c r="B119" s="113">
        <v>7.6</v>
      </c>
      <c r="C119" s="113">
        <v>7</v>
      </c>
      <c r="D119" s="113">
        <v>3.1</v>
      </c>
      <c r="E119" s="113">
        <v>2.5</v>
      </c>
      <c r="F119" s="113">
        <v>3</v>
      </c>
      <c r="G119" s="113">
        <v>5.5</v>
      </c>
      <c r="H119" s="113">
        <v>10.1</v>
      </c>
      <c r="I119" s="113">
        <v>17.8</v>
      </c>
      <c r="J119" s="113">
        <v>23.9</v>
      </c>
      <c r="K119" s="113">
        <v>23.9</v>
      </c>
      <c r="L119" s="113">
        <v>31.2</v>
      </c>
      <c r="M119" s="113">
        <v>37.5</v>
      </c>
      <c r="N119" s="113">
        <v>39.6</v>
      </c>
      <c r="O119" s="113">
        <v>35.4</v>
      </c>
      <c r="P119" s="113">
        <v>34.1</v>
      </c>
      <c r="Q119" s="113">
        <v>31</v>
      </c>
      <c r="R119" s="113">
        <v>-9.1</v>
      </c>
      <c r="S119" s="113">
        <v>-4.3</v>
      </c>
      <c r="T119" s="113">
        <v>-21.2</v>
      </c>
      <c r="U119" s="113">
        <v>-2.4</v>
      </c>
      <c r="V119" s="113">
        <v>-3</v>
      </c>
      <c r="W119" s="113">
        <v>-2.2000000000000002</v>
      </c>
      <c r="X119" s="113">
        <v>15.6</v>
      </c>
      <c r="Y119" s="113">
        <v>33</v>
      </c>
      <c r="Z119" s="113">
        <v>35.1</v>
      </c>
      <c r="AA119" s="113">
        <v>23.1</v>
      </c>
      <c r="AB119" s="113">
        <v>26.6</v>
      </c>
      <c r="AC119" s="113">
        <v>26.9</v>
      </c>
      <c r="AD119" s="113">
        <v>25.6</v>
      </c>
      <c r="AE119" s="113">
        <v>19.100000000000001</v>
      </c>
      <c r="AF119" s="113">
        <v>1.1000000000000001</v>
      </c>
      <c r="AG119" s="114">
        <v>75</v>
      </c>
      <c r="AH119" s="47">
        <f t="shared" si="33"/>
        <v>39.6</v>
      </c>
      <c r="AI119" s="48">
        <f t="shared" si="34"/>
        <v>-21.2</v>
      </c>
    </row>
    <row r="120" spans="1:35" x14ac:dyDescent="0.25">
      <c r="A120" s="173" t="s">
        <v>119</v>
      </c>
      <c r="B120" s="115">
        <v>7.8</v>
      </c>
      <c r="C120" s="115">
        <v>6</v>
      </c>
      <c r="D120" s="115">
        <v>1.1000000000000001</v>
      </c>
      <c r="E120" s="115">
        <v>0.2</v>
      </c>
      <c r="F120" s="115">
        <v>1.2</v>
      </c>
      <c r="G120" s="115">
        <v>3.2</v>
      </c>
      <c r="H120" s="115">
        <v>8.9</v>
      </c>
      <c r="I120" s="115">
        <v>18.399999999999999</v>
      </c>
      <c r="J120" s="115">
        <v>25.1</v>
      </c>
      <c r="K120" s="115">
        <v>25.1</v>
      </c>
      <c r="L120" s="115">
        <v>42.9</v>
      </c>
      <c r="M120" s="115">
        <v>50</v>
      </c>
      <c r="N120" s="115">
        <v>52.8</v>
      </c>
      <c r="O120" s="115">
        <v>46.9</v>
      </c>
      <c r="P120" s="115">
        <v>40.9</v>
      </c>
      <c r="Q120" s="115">
        <v>26.5</v>
      </c>
      <c r="R120" s="115">
        <v>-19.3</v>
      </c>
      <c r="S120" s="115">
        <v>-12.2</v>
      </c>
      <c r="T120" s="115">
        <v>-35</v>
      </c>
      <c r="U120" s="115">
        <v>-9</v>
      </c>
      <c r="V120" s="115">
        <v>-3</v>
      </c>
      <c r="W120" s="115">
        <v>-1.6</v>
      </c>
      <c r="X120" s="115">
        <v>19.5</v>
      </c>
      <c r="Y120" s="115">
        <v>42.4</v>
      </c>
      <c r="Z120" s="115">
        <v>47</v>
      </c>
      <c r="AA120" s="115">
        <v>28.7</v>
      </c>
      <c r="AB120" s="115">
        <v>36.1</v>
      </c>
      <c r="AC120" s="115">
        <v>36.4</v>
      </c>
      <c r="AD120" s="115">
        <v>30.1</v>
      </c>
      <c r="AE120" s="115">
        <v>19.100000000000001</v>
      </c>
      <c r="AF120" s="115">
        <v>-3.1</v>
      </c>
      <c r="AG120" s="114">
        <v>240</v>
      </c>
      <c r="AH120" s="47">
        <f t="shared" si="33"/>
        <v>52.8</v>
      </c>
      <c r="AI120" s="48">
        <f t="shared" si="34"/>
        <v>-35</v>
      </c>
    </row>
    <row r="121" spans="1:35" x14ac:dyDescent="0.25">
      <c r="A121" s="173" t="s">
        <v>120</v>
      </c>
      <c r="B121" s="115">
        <v>-35</v>
      </c>
      <c r="C121" s="115">
        <v>-41</v>
      </c>
      <c r="D121" s="115">
        <v>-40.1</v>
      </c>
      <c r="E121" s="115">
        <v>-40</v>
      </c>
      <c r="F121" s="115">
        <v>-44.9</v>
      </c>
      <c r="G121" s="115">
        <v>-33.6</v>
      </c>
      <c r="H121" s="115">
        <v>-23.5</v>
      </c>
      <c r="I121" s="115">
        <v>-16.5</v>
      </c>
      <c r="J121" s="115">
        <v>-5.0999999999999996</v>
      </c>
      <c r="K121" s="115">
        <v>-5.0999999999999996</v>
      </c>
      <c r="L121" s="115">
        <v>15.4</v>
      </c>
      <c r="M121" s="115">
        <v>23</v>
      </c>
      <c r="N121" s="115">
        <v>20.2</v>
      </c>
      <c r="O121" s="115">
        <v>30</v>
      </c>
      <c r="P121" s="115">
        <v>15.8</v>
      </c>
      <c r="Q121" s="115">
        <v>3</v>
      </c>
      <c r="R121" s="115">
        <v>53</v>
      </c>
      <c r="S121" s="115">
        <v>36</v>
      </c>
      <c r="T121" s="115">
        <v>57.9</v>
      </c>
      <c r="U121" s="115">
        <v>23.4</v>
      </c>
      <c r="V121" s="115">
        <v>31</v>
      </c>
      <c r="W121" s="115">
        <v>43</v>
      </c>
      <c r="X121" s="115">
        <v>48</v>
      </c>
      <c r="Y121" s="115">
        <v>50</v>
      </c>
      <c r="Z121" s="115">
        <v>56</v>
      </c>
      <c r="AA121" s="115">
        <v>76</v>
      </c>
      <c r="AB121" s="115">
        <f>30+32.5</f>
        <v>62.5</v>
      </c>
      <c r="AC121" s="115">
        <f>26+29</f>
        <v>55</v>
      </c>
      <c r="AD121" s="115">
        <f>25.7+27.5</f>
        <v>53.2</v>
      </c>
      <c r="AE121" s="115">
        <f>21.9+23.9</f>
        <v>45.8</v>
      </c>
      <c r="AF121" s="115">
        <f>-6.7-7.4</f>
        <v>-14.100000000000001</v>
      </c>
      <c r="AG121" s="114">
        <v>240</v>
      </c>
      <c r="AH121" s="47">
        <f t="shared" si="33"/>
        <v>76</v>
      </c>
      <c r="AI121" s="48">
        <f t="shared" si="34"/>
        <v>-44.9</v>
      </c>
    </row>
    <row r="122" spans="1:35" ht="15.75" thickBot="1" x14ac:dyDescent="0.3">
      <c r="A122" s="173" t="s">
        <v>121</v>
      </c>
      <c r="B122" s="115">
        <v>-4.5</v>
      </c>
      <c r="C122" s="115">
        <v>-5.3</v>
      </c>
      <c r="D122" s="115">
        <v>-6.8</v>
      </c>
      <c r="E122" s="115">
        <v>-6.8</v>
      </c>
      <c r="F122" s="115">
        <v>-8.1999999999999993</v>
      </c>
      <c r="G122" s="115">
        <v>-8.6999999999999993</v>
      </c>
      <c r="H122" s="115">
        <v>-1.8</v>
      </c>
      <c r="I122" s="115">
        <v>3.1</v>
      </c>
      <c r="J122" s="115">
        <v>11.2</v>
      </c>
      <c r="K122" s="115">
        <v>11.2</v>
      </c>
      <c r="L122" s="115">
        <v>19.100000000000001</v>
      </c>
      <c r="M122" s="115">
        <v>21.4</v>
      </c>
      <c r="N122" s="115">
        <v>21.2</v>
      </c>
      <c r="O122" s="115">
        <v>22.5</v>
      </c>
      <c r="P122" s="115">
        <v>19.399999999999999</v>
      </c>
      <c r="Q122" s="115">
        <v>17</v>
      </c>
      <c r="R122" s="115">
        <v>20.8</v>
      </c>
      <c r="S122" s="115">
        <v>17</v>
      </c>
      <c r="T122" s="115">
        <v>18.8</v>
      </c>
      <c r="U122" s="115">
        <v>14.6</v>
      </c>
      <c r="V122" s="115">
        <v>17</v>
      </c>
      <c r="W122" s="115">
        <v>23.4</v>
      </c>
      <c r="X122" s="115">
        <v>26.4</v>
      </c>
      <c r="Y122" s="115">
        <v>28</v>
      </c>
      <c r="Z122" s="115">
        <v>30</v>
      </c>
      <c r="AA122" s="115">
        <v>32</v>
      </c>
      <c r="AB122" s="115">
        <v>30</v>
      </c>
      <c r="AC122" s="115">
        <v>29</v>
      </c>
      <c r="AD122" s="115">
        <v>27.5</v>
      </c>
      <c r="AE122" s="115">
        <v>23</v>
      </c>
      <c r="AF122" s="115">
        <v>8.6</v>
      </c>
      <c r="AG122" s="114">
        <v>60</v>
      </c>
      <c r="AH122" s="47">
        <f t="shared" si="33"/>
        <v>32</v>
      </c>
      <c r="AI122" s="48">
        <f t="shared" si="34"/>
        <v>-8.6999999999999993</v>
      </c>
    </row>
    <row r="123" spans="1:35" x14ac:dyDescent="0.25">
      <c r="A123" s="172" t="s">
        <v>259</v>
      </c>
      <c r="B123" s="117">
        <f>63*1.6</f>
        <v>100.80000000000001</v>
      </c>
      <c r="C123" s="117">
        <f>57.3*1.6</f>
        <v>91.68</v>
      </c>
      <c r="D123" s="117">
        <f>60.6*1.63</f>
        <v>98.777999999999992</v>
      </c>
      <c r="E123" s="117">
        <f>60.1*1.63</f>
        <v>97.962999999999994</v>
      </c>
      <c r="F123" s="117">
        <f>65.2*1.63</f>
        <v>106.276</v>
      </c>
      <c r="G123" s="117">
        <f>72.6*1.63</f>
        <v>118.33799999999998</v>
      </c>
      <c r="H123" s="117">
        <f>71.8*1.63</f>
        <v>117.03399999999999</v>
      </c>
      <c r="I123" s="117">
        <f>73.2*1.63</f>
        <v>119.316</v>
      </c>
      <c r="J123" s="117">
        <f>81.3*1.63</f>
        <v>132.51899999999998</v>
      </c>
      <c r="K123" s="117">
        <f>81.3*1.63</f>
        <v>132.51899999999998</v>
      </c>
      <c r="L123" s="117">
        <f>78*1.63</f>
        <v>127.13999999999999</v>
      </c>
      <c r="M123" s="117">
        <f>85.9*1.67</f>
        <v>143.453</v>
      </c>
      <c r="N123" s="117">
        <f>81.7*1.67</f>
        <v>136.43899999999999</v>
      </c>
      <c r="O123" s="117">
        <f>73*1.67</f>
        <v>121.91</v>
      </c>
      <c r="P123" s="117">
        <f>70.2*1.67</f>
        <v>117.23399999999999</v>
      </c>
      <c r="Q123" s="117">
        <v>100</v>
      </c>
      <c r="R123" s="117">
        <f>92.3*1.67</f>
        <v>154.14099999999999</v>
      </c>
      <c r="S123" s="117">
        <f>81.2*1.6</f>
        <v>129.92000000000002</v>
      </c>
      <c r="T123" s="117">
        <v>147</v>
      </c>
      <c r="U123" s="117">
        <f>85.8*1.6</f>
        <v>137.28</v>
      </c>
      <c r="V123" s="117">
        <f>80*1.6</f>
        <v>128</v>
      </c>
      <c r="W123" s="117">
        <f>90.3*1.6</f>
        <v>144.47999999999999</v>
      </c>
      <c r="X123" s="117">
        <f>93.6*1.6</f>
        <v>149.76</v>
      </c>
      <c r="Y123" s="117">
        <f>91.2*1.6</f>
        <v>145.92000000000002</v>
      </c>
      <c r="Z123" s="117">
        <f>103*1.6</f>
        <v>164.8</v>
      </c>
      <c r="AA123" s="117">
        <f>96.1*1.6</f>
        <v>153.76</v>
      </c>
      <c r="AB123" s="117">
        <f>88*1.64</f>
        <v>144.32</v>
      </c>
      <c r="AC123" s="117">
        <f>80*1.64</f>
        <v>131.19999999999999</v>
      </c>
      <c r="AD123" s="117">
        <f>65.7*1.6</f>
        <v>105.12</v>
      </c>
      <c r="AE123" s="117">
        <f>46.1*1.6</f>
        <v>73.760000000000005</v>
      </c>
      <c r="AF123" s="117">
        <f>65.4*1.6</f>
        <v>104.64000000000001</v>
      </c>
      <c r="AG123" s="118">
        <v>120</v>
      </c>
      <c r="AH123" s="47">
        <f t="shared" si="33"/>
        <v>164.8</v>
      </c>
      <c r="AI123" s="48">
        <f t="shared" si="34"/>
        <v>73.760000000000005</v>
      </c>
    </row>
    <row r="124" spans="1:35" x14ac:dyDescent="0.25">
      <c r="A124" s="173" t="s">
        <v>258</v>
      </c>
      <c r="B124" s="117">
        <v>74</v>
      </c>
      <c r="C124" s="117">
        <v>71</v>
      </c>
      <c r="D124" s="117">
        <v>73.3</v>
      </c>
      <c r="E124" s="117">
        <v>72.5</v>
      </c>
      <c r="F124" s="117">
        <v>76</v>
      </c>
      <c r="G124" s="117">
        <v>82.3</v>
      </c>
      <c r="H124" s="117">
        <v>81.3</v>
      </c>
      <c r="I124" s="117">
        <v>82.1</v>
      </c>
      <c r="J124" s="117">
        <v>88.6</v>
      </c>
      <c r="K124" s="117">
        <v>88.6</v>
      </c>
      <c r="L124" s="117">
        <v>86.5</v>
      </c>
      <c r="M124" s="117">
        <v>92.5</v>
      </c>
      <c r="N124" s="117">
        <v>88.6</v>
      </c>
      <c r="O124" s="117">
        <v>81.5</v>
      </c>
      <c r="P124" s="117">
        <v>79.2</v>
      </c>
      <c r="Q124" s="117">
        <v>85</v>
      </c>
      <c r="R124" s="117">
        <v>97.2</v>
      </c>
      <c r="S124" s="117">
        <v>89</v>
      </c>
      <c r="T124" s="117">
        <v>94.8</v>
      </c>
      <c r="U124" s="117">
        <v>93.1</v>
      </c>
      <c r="V124" s="117">
        <v>89.1</v>
      </c>
      <c r="W124" s="117">
        <v>97</v>
      </c>
      <c r="X124" s="117">
        <v>100</v>
      </c>
      <c r="Y124" s="117">
        <v>97.3</v>
      </c>
      <c r="Z124" s="117">
        <v>107</v>
      </c>
      <c r="AA124" s="117">
        <v>100</v>
      </c>
      <c r="AB124" s="117">
        <v>93.7</v>
      </c>
      <c r="AC124" s="117">
        <v>88</v>
      </c>
      <c r="AD124" s="117">
        <v>76.7</v>
      </c>
      <c r="AE124" s="117">
        <v>60.9</v>
      </c>
      <c r="AF124" s="117">
        <v>76.8</v>
      </c>
      <c r="AG124" s="118"/>
      <c r="AH124" s="47"/>
      <c r="AI124" s="48"/>
    </row>
    <row r="125" spans="1:35" x14ac:dyDescent="0.25">
      <c r="A125" s="173" t="s">
        <v>255</v>
      </c>
      <c r="B125" s="117">
        <v>61</v>
      </c>
      <c r="C125" s="117">
        <v>67</v>
      </c>
      <c r="D125" s="117">
        <v>74.3</v>
      </c>
      <c r="E125" s="117">
        <v>72.8</v>
      </c>
      <c r="F125" s="117">
        <v>65.900000000000006</v>
      </c>
      <c r="G125" s="117">
        <v>63.7</v>
      </c>
      <c r="H125" s="117">
        <v>50.5</v>
      </c>
      <c r="I125" s="117">
        <v>36</v>
      </c>
      <c r="J125" s="117">
        <v>24.1</v>
      </c>
      <c r="K125" s="117">
        <v>24.1</v>
      </c>
      <c r="L125" s="117">
        <v>-4.2</v>
      </c>
      <c r="M125" s="117">
        <v>-12.2</v>
      </c>
      <c r="N125" s="117">
        <v>-17.2</v>
      </c>
      <c r="O125" s="117">
        <v>-14.4</v>
      </c>
      <c r="P125" s="117">
        <v>0.1</v>
      </c>
      <c r="Q125" s="117">
        <v>21</v>
      </c>
      <c r="R125" s="117">
        <v>47.5</v>
      </c>
      <c r="S125" s="117">
        <v>46</v>
      </c>
      <c r="T125" s="117">
        <v>59.2</v>
      </c>
      <c r="U125" s="117">
        <v>50</v>
      </c>
      <c r="V125" s="117">
        <v>31.4</v>
      </c>
      <c r="W125" s="117">
        <v>29</v>
      </c>
      <c r="X125" s="117">
        <v>5</v>
      </c>
      <c r="Y125" s="117">
        <v>-27</v>
      </c>
      <c r="Z125" s="117">
        <v>-27</v>
      </c>
      <c r="AA125" s="117">
        <v>-25.3</v>
      </c>
      <c r="AB125" s="117">
        <v>-25.9</v>
      </c>
      <c r="AC125" s="117">
        <v>-24</v>
      </c>
      <c r="AD125" s="117">
        <v>-21.6</v>
      </c>
      <c r="AE125" s="117">
        <v>-17.3</v>
      </c>
      <c r="AF125" s="117">
        <v>60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91</v>
      </c>
      <c r="C126" s="117">
        <v>82</v>
      </c>
      <c r="D126" s="117">
        <v>89.7</v>
      </c>
      <c r="E126" s="117">
        <v>87.5</v>
      </c>
      <c r="F126" s="117">
        <v>98.3</v>
      </c>
      <c r="G126" s="117">
        <v>97.7</v>
      </c>
      <c r="H126" s="117">
        <v>97.2</v>
      </c>
      <c r="I126" s="117">
        <v>96.5</v>
      </c>
      <c r="J126" s="117">
        <v>103</v>
      </c>
      <c r="K126" s="117">
        <v>103</v>
      </c>
      <c r="L126" s="117">
        <v>79.099999999999994</v>
      </c>
      <c r="M126" s="117">
        <v>85.5</v>
      </c>
      <c r="N126" s="117">
        <v>78.400000000000006</v>
      </c>
      <c r="O126" s="117">
        <v>82</v>
      </c>
      <c r="P126" s="117">
        <v>87.8</v>
      </c>
      <c r="Q126" s="117">
        <v>94</v>
      </c>
      <c r="R126" s="117">
        <v>89.8</v>
      </c>
      <c r="S126" s="117">
        <v>81</v>
      </c>
      <c r="T126" s="117">
        <v>87</v>
      </c>
      <c r="U126" s="117">
        <v>83</v>
      </c>
      <c r="V126" s="117">
        <v>76</v>
      </c>
      <c r="W126" s="117">
        <v>90</v>
      </c>
      <c r="X126" s="117">
        <v>80</v>
      </c>
      <c r="Y126" s="117">
        <v>71</v>
      </c>
      <c r="Z126" s="117">
        <v>77</v>
      </c>
      <c r="AA126" s="117">
        <v>92</v>
      </c>
      <c r="AB126" s="117">
        <v>92</v>
      </c>
      <c r="AC126" s="117">
        <v>78</v>
      </c>
      <c r="AD126" s="117">
        <v>78.900000000000006</v>
      </c>
      <c r="AE126" s="117">
        <v>61.3</v>
      </c>
      <c r="AF126" s="117">
        <v>95.8</v>
      </c>
      <c r="AG126" s="114"/>
      <c r="AH126" s="47">
        <f t="shared" si="33"/>
        <v>103</v>
      </c>
      <c r="AI126" s="48">
        <f t="shared" si="34"/>
        <v>61.3</v>
      </c>
    </row>
    <row r="127" spans="1:35" x14ac:dyDescent="0.25">
      <c r="A127" s="172" t="s">
        <v>587</v>
      </c>
      <c r="B127" s="117">
        <v>15</v>
      </c>
      <c r="C127" s="117">
        <v>5</v>
      </c>
      <c r="D127" s="117">
        <v>18.399999999999999</v>
      </c>
      <c r="E127" s="117">
        <v>22.2</v>
      </c>
      <c r="F127" s="117">
        <v>29.2</v>
      </c>
      <c r="G127" s="117">
        <v>35.4</v>
      </c>
      <c r="H127" s="117">
        <v>21.8</v>
      </c>
      <c r="I127" s="117">
        <v>8.1999999999999993</v>
      </c>
      <c r="J127" s="117">
        <v>4.2</v>
      </c>
      <c r="K127" s="117">
        <v>4.2</v>
      </c>
      <c r="L127" s="117">
        <v>-23.4</v>
      </c>
      <c r="M127" s="117">
        <v>-11.7</v>
      </c>
      <c r="N127" s="117">
        <v>-15.9</v>
      </c>
      <c r="O127" s="117">
        <v>-14.2</v>
      </c>
      <c r="P127" s="117">
        <v>-4.7</v>
      </c>
      <c r="Q127" s="117">
        <v>0</v>
      </c>
      <c r="R127" s="117">
        <v>34</v>
      </c>
      <c r="S127" s="117">
        <v>20</v>
      </c>
      <c r="T127" s="117">
        <v>14.3</v>
      </c>
      <c r="U127" s="117">
        <v>16</v>
      </c>
      <c r="V127" s="117">
        <v>17</v>
      </c>
      <c r="W127" s="117">
        <v>20</v>
      </c>
      <c r="X127" s="117">
        <v>13</v>
      </c>
      <c r="Y127" s="117">
        <v>-2.2000000000000002</v>
      </c>
      <c r="Z127" s="117">
        <v>-2</v>
      </c>
      <c r="AA127" s="117">
        <v>8.1</v>
      </c>
      <c r="AB127" s="117">
        <v>5.6</v>
      </c>
      <c r="AC127" s="117">
        <v>0</v>
      </c>
      <c r="AD127" s="117">
        <v>4.0999999999999996</v>
      </c>
      <c r="AE127" s="117">
        <v>10.9</v>
      </c>
      <c r="AF127" s="117">
        <v>19.8</v>
      </c>
      <c r="AG127" s="114"/>
      <c r="AH127" s="47">
        <f t="shared" si="33"/>
        <v>35.4</v>
      </c>
      <c r="AI127" s="48">
        <f t="shared" si="34"/>
        <v>-23.4</v>
      </c>
    </row>
    <row r="128" spans="1:35" x14ac:dyDescent="0.25">
      <c r="A128" s="173" t="s">
        <v>123</v>
      </c>
      <c r="B128" s="106">
        <v>-9</v>
      </c>
      <c r="C128" s="106">
        <v>-6</v>
      </c>
      <c r="D128" s="106">
        <v>-4.7</v>
      </c>
      <c r="E128" s="106">
        <v>-3.2</v>
      </c>
      <c r="F128" s="106">
        <v>-4.5999999999999996</v>
      </c>
      <c r="G128" s="106">
        <v>-7.1</v>
      </c>
      <c r="H128" s="106">
        <v>-12.4</v>
      </c>
      <c r="I128" s="106">
        <v>-16.3</v>
      </c>
      <c r="J128" s="106">
        <v>-22.6</v>
      </c>
      <c r="K128" s="106">
        <v>-22.6</v>
      </c>
      <c r="L128" s="106">
        <v>-37.9</v>
      </c>
      <c r="M128" s="106">
        <v>-40.200000000000003</v>
      </c>
      <c r="N128" s="106">
        <v>-40.299999999999997</v>
      </c>
      <c r="O128" s="106">
        <v>-19.8</v>
      </c>
      <c r="P128" s="106">
        <v>-11.4</v>
      </c>
      <c r="Q128" s="106">
        <v>-15</v>
      </c>
      <c r="R128" s="106">
        <v>-9.1999999999999993</v>
      </c>
      <c r="S128" s="106">
        <v>-10</v>
      </c>
      <c r="T128" s="106">
        <v>-12.6</v>
      </c>
      <c r="U128" s="106">
        <v>-14.8</v>
      </c>
      <c r="V128" s="106">
        <v>-29</v>
      </c>
      <c r="W128" s="106">
        <v>-29</v>
      </c>
      <c r="X128" s="106">
        <v>-41</v>
      </c>
      <c r="Y128" s="106">
        <v>-46</v>
      </c>
      <c r="Z128" s="106">
        <v>-39</v>
      </c>
      <c r="AA128" s="106">
        <v>-35</v>
      </c>
      <c r="AB128" s="106">
        <v>-31.3</v>
      </c>
      <c r="AC128" s="106">
        <v>-28</v>
      </c>
      <c r="AD128" s="106">
        <v>-21.9</v>
      </c>
      <c r="AE128" s="106">
        <v>-15.1</v>
      </c>
      <c r="AF128" s="106">
        <v>-10.7</v>
      </c>
      <c r="AG128" s="114"/>
      <c r="AH128" s="47">
        <f t="shared" si="33"/>
        <v>-3.2</v>
      </c>
      <c r="AI128" s="48">
        <f t="shared" si="34"/>
        <v>-46</v>
      </c>
    </row>
    <row r="129" spans="1:37" x14ac:dyDescent="0.25">
      <c r="A129" s="173" t="s">
        <v>260</v>
      </c>
      <c r="B129" s="106">
        <v>21</v>
      </c>
      <c r="C129" s="106">
        <v>21.4</v>
      </c>
      <c r="D129" s="106">
        <v>21.3</v>
      </c>
      <c r="E129" s="106">
        <v>20.5</v>
      </c>
      <c r="F129" s="106">
        <v>20.399999999999999</v>
      </c>
      <c r="G129" s="106">
        <v>21.5</v>
      </c>
      <c r="H129" s="106">
        <v>21.7</v>
      </c>
      <c r="I129" s="106">
        <v>22.5</v>
      </c>
      <c r="J129" s="106">
        <v>22.8</v>
      </c>
      <c r="K129" s="106">
        <v>22.8</v>
      </c>
      <c r="L129" s="106">
        <v>8.4</v>
      </c>
      <c r="M129" s="106">
        <v>8.5</v>
      </c>
      <c r="N129" s="106">
        <v>8.6</v>
      </c>
      <c r="O129" s="106">
        <v>7.4</v>
      </c>
      <c r="P129" s="106">
        <v>7.9</v>
      </c>
      <c r="Q129" s="106">
        <v>20</v>
      </c>
      <c r="R129" s="106">
        <v>20.2</v>
      </c>
      <c r="S129" s="106">
        <v>21</v>
      </c>
      <c r="T129" s="106">
        <v>20.5</v>
      </c>
      <c r="U129" s="106">
        <v>15.9</v>
      </c>
      <c r="V129" s="106">
        <v>6</v>
      </c>
      <c r="W129" s="106">
        <v>7.4</v>
      </c>
      <c r="X129" s="106">
        <v>9</v>
      </c>
      <c r="Y129" s="106">
        <v>9.5</v>
      </c>
      <c r="Z129" s="106">
        <v>10</v>
      </c>
      <c r="AA129" s="106">
        <v>8.6999999999999993</v>
      </c>
      <c r="AB129" s="106">
        <v>8.3000000000000007</v>
      </c>
      <c r="AC129" s="106">
        <v>8.4</v>
      </c>
      <c r="AD129" s="106">
        <v>40.299999999999997</v>
      </c>
      <c r="AE129" s="106">
        <v>24.2</v>
      </c>
      <c r="AF129" s="106">
        <v>-7.8</v>
      </c>
      <c r="AG129" s="114"/>
      <c r="AH129" s="47">
        <f t="shared" si="33"/>
        <v>40.299999999999997</v>
      </c>
      <c r="AI129" s="48">
        <f t="shared" si="34"/>
        <v>-7.8</v>
      </c>
    </row>
    <row r="130" spans="1:37" ht="15.75" thickBot="1" x14ac:dyDescent="0.3">
      <c r="A130" s="173" t="s">
        <v>257</v>
      </c>
      <c r="B130" s="106">
        <v>94</v>
      </c>
      <c r="C130" s="106">
        <v>90</v>
      </c>
      <c r="D130" s="106">
        <v>82.3</v>
      </c>
      <c r="E130" s="106">
        <v>77.8</v>
      </c>
      <c r="F130" s="106">
        <v>78.900000000000006</v>
      </c>
      <c r="G130" s="106">
        <v>86.1</v>
      </c>
      <c r="H130" s="106">
        <v>82.7</v>
      </c>
      <c r="I130" s="106">
        <v>84.4</v>
      </c>
      <c r="J130" s="106">
        <v>92.1</v>
      </c>
      <c r="K130" s="106">
        <v>92.1</v>
      </c>
      <c r="L130" s="106">
        <v>75.8</v>
      </c>
      <c r="M130" s="106">
        <v>78.8</v>
      </c>
      <c r="N130" s="106">
        <v>72.3</v>
      </c>
      <c r="O130" s="106">
        <v>60</v>
      </c>
      <c r="P130" s="106">
        <v>63.6</v>
      </c>
      <c r="Q130" s="106">
        <v>71</v>
      </c>
      <c r="R130" s="106">
        <v>85.8</v>
      </c>
      <c r="S130" s="106">
        <v>81.3</v>
      </c>
      <c r="T130" s="106">
        <v>83.7</v>
      </c>
      <c r="U130" s="106">
        <v>81.7</v>
      </c>
      <c r="V130" s="106">
        <v>78.010000000000005</v>
      </c>
      <c r="W130" s="106">
        <v>78</v>
      </c>
      <c r="X130" s="106">
        <v>96</v>
      </c>
      <c r="Y130" s="106">
        <v>105</v>
      </c>
      <c r="Z130" s="106">
        <v>101</v>
      </c>
      <c r="AA130" s="106">
        <v>94.1</v>
      </c>
      <c r="AB130" s="106">
        <v>89.4</v>
      </c>
      <c r="AC130" s="106">
        <v>88.5</v>
      </c>
      <c r="AD130" s="106">
        <v>95.4</v>
      </c>
      <c r="AE130" s="106">
        <v>94.2</v>
      </c>
      <c r="AF130" s="106">
        <v>85.9</v>
      </c>
      <c r="AG130" s="114"/>
      <c r="AH130" s="47">
        <f t="shared" si="33"/>
        <v>105</v>
      </c>
      <c r="AI130" s="48">
        <f t="shared" si="34"/>
        <v>60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5" t="s">
        <v>367</v>
      </c>
      <c r="B132" s="147">
        <v>1984.94</v>
      </c>
      <c r="C132" s="147">
        <v>1985.17</v>
      </c>
      <c r="D132" s="147">
        <v>1985.39</v>
      </c>
      <c r="E132" s="147">
        <v>1985.6</v>
      </c>
      <c r="F132" s="147">
        <v>1985.75</v>
      </c>
      <c r="G132" s="147">
        <v>1985.97</v>
      </c>
      <c r="H132" s="147"/>
      <c r="I132" s="147">
        <v>1986.08</v>
      </c>
      <c r="J132" s="147"/>
      <c r="K132" s="147">
        <v>1986.05</v>
      </c>
      <c r="L132" s="147"/>
      <c r="M132" s="147">
        <v>1985.32</v>
      </c>
      <c r="N132" s="147">
        <v>1984.8</v>
      </c>
      <c r="O132" s="147">
        <v>1984.52</v>
      </c>
      <c r="P132" s="147">
        <v>1984.8</v>
      </c>
      <c r="Q132" s="147">
        <v>1984.88</v>
      </c>
      <c r="R132" s="189">
        <v>1985.05</v>
      </c>
      <c r="S132" s="186">
        <v>1985.12</v>
      </c>
      <c r="T132" s="186">
        <v>1985.23</v>
      </c>
      <c r="U132" s="186">
        <v>1985.3</v>
      </c>
      <c r="V132" s="186">
        <v>1985.42</v>
      </c>
      <c r="W132" s="186">
        <v>1985.5</v>
      </c>
      <c r="X132" s="186">
        <v>1985.55</v>
      </c>
      <c r="Y132" s="186"/>
      <c r="Z132" s="186">
        <v>1985.1</v>
      </c>
      <c r="AA132" s="189"/>
      <c r="AB132" s="186">
        <v>1984.25</v>
      </c>
      <c r="AC132" s="147"/>
      <c r="AD132" s="147">
        <v>1983.9</v>
      </c>
      <c r="AE132" s="147">
        <v>1983.8</v>
      </c>
      <c r="AF132" s="148">
        <v>1984.04</v>
      </c>
      <c r="AG132" s="149"/>
      <c r="AH132" s="47"/>
      <c r="AI132" s="48"/>
    </row>
    <row r="133" spans="1:37" ht="16.5" x14ac:dyDescent="0.25">
      <c r="A133" s="185" t="s">
        <v>238</v>
      </c>
      <c r="B133" s="150">
        <v>519.87</v>
      </c>
      <c r="C133" s="150">
        <v>520.1</v>
      </c>
      <c r="D133" s="150">
        <v>520.46</v>
      </c>
      <c r="E133" s="150">
        <v>520.78</v>
      </c>
      <c r="F133" s="150">
        <v>521.14</v>
      </c>
      <c r="G133" s="150" t="s">
        <v>600</v>
      </c>
      <c r="H133" s="150"/>
      <c r="I133" s="150">
        <v>521.62</v>
      </c>
      <c r="J133" s="150"/>
      <c r="K133" s="150">
        <v>521.52</v>
      </c>
      <c r="L133" s="150"/>
      <c r="M133" s="150">
        <v>521.36</v>
      </c>
      <c r="N133" s="150">
        <v>521.14</v>
      </c>
      <c r="O133" s="150">
        <v>520.72</v>
      </c>
      <c r="P133" s="150">
        <v>520.4</v>
      </c>
      <c r="Q133" s="150">
        <v>520.12</v>
      </c>
      <c r="R133" s="190">
        <v>519.92999999999995</v>
      </c>
      <c r="S133" s="187">
        <v>520.04999999999995</v>
      </c>
      <c r="T133" s="187">
        <v>520.36</v>
      </c>
      <c r="U133" s="187">
        <v>520.77</v>
      </c>
      <c r="V133" s="187">
        <v>521.1</v>
      </c>
      <c r="W133" s="187"/>
      <c r="X133" s="186">
        <v>521.37</v>
      </c>
      <c r="Y133" s="186"/>
      <c r="Z133" s="186">
        <v>521.08000000000004</v>
      </c>
      <c r="AA133" s="190"/>
      <c r="AB133" s="186">
        <v>520.70000000000005</v>
      </c>
      <c r="AC133" s="150"/>
      <c r="AD133" s="150">
        <v>520.52</v>
      </c>
      <c r="AE133" s="150">
        <v>520.5</v>
      </c>
      <c r="AF133" s="151">
        <v>520.78</v>
      </c>
      <c r="AG133" s="149">
        <v>1984.3</v>
      </c>
      <c r="AH133" s="47"/>
      <c r="AI133" s="48"/>
    </row>
    <row r="134" spans="1:37" ht="16.5" x14ac:dyDescent="0.25">
      <c r="A134" s="185" t="s">
        <v>239</v>
      </c>
      <c r="B134" s="150">
        <v>622.52</v>
      </c>
      <c r="C134" s="150">
        <v>622.51</v>
      </c>
      <c r="D134" s="150">
        <v>622.58000000000004</v>
      </c>
      <c r="E134" s="150">
        <v>522.57000000000005</v>
      </c>
      <c r="F134" s="150">
        <v>622.62</v>
      </c>
      <c r="G134" s="150">
        <v>622.54</v>
      </c>
      <c r="H134" s="150"/>
      <c r="I134" s="150">
        <v>622.44000000000005</v>
      </c>
      <c r="J134" s="150"/>
      <c r="K134" s="150">
        <v>622.34</v>
      </c>
      <c r="L134" s="150"/>
      <c r="M134" s="150">
        <v>622.20000000000005</v>
      </c>
      <c r="N134" s="150">
        <v>622.21</v>
      </c>
      <c r="O134" s="150">
        <v>622.22</v>
      </c>
      <c r="P134" s="150">
        <v>622.32000000000005</v>
      </c>
      <c r="Q134" s="150">
        <v>622.27</v>
      </c>
      <c r="R134" s="190">
        <v>622.24</v>
      </c>
      <c r="S134" s="187">
        <v>622.29999999999995</v>
      </c>
      <c r="T134" s="187">
        <v>622.37</v>
      </c>
      <c r="U134" s="187">
        <v>622.41</v>
      </c>
      <c r="V134" s="187">
        <v>622.44000000000005</v>
      </c>
      <c r="W134" s="187"/>
      <c r="X134" s="186">
        <v>622.35</v>
      </c>
      <c r="Y134" s="186"/>
      <c r="Z134" s="186">
        <v>622.20000000000005</v>
      </c>
      <c r="AA134" s="190"/>
      <c r="AB134" s="186">
        <v>621.99</v>
      </c>
      <c r="AC134" s="150"/>
      <c r="AD134" s="150">
        <v>621.96</v>
      </c>
      <c r="AE134" s="150">
        <v>621.91999999999996</v>
      </c>
      <c r="AF134" s="151">
        <v>621.91</v>
      </c>
      <c r="AG134" s="149"/>
      <c r="AH134" s="47"/>
      <c r="AI134" s="48"/>
    </row>
    <row r="135" spans="1:37" ht="16.5" x14ac:dyDescent="0.25">
      <c r="A135" s="185" t="s">
        <v>240</v>
      </c>
      <c r="B135" s="150">
        <v>334.72</v>
      </c>
      <c r="C135" s="150">
        <v>334.78</v>
      </c>
      <c r="D135" s="150">
        <v>335.14</v>
      </c>
      <c r="E135" s="150">
        <v>335.4</v>
      </c>
      <c r="F135" s="150">
        <v>335.75</v>
      </c>
      <c r="G135" s="150">
        <v>335.94</v>
      </c>
      <c r="H135" s="150"/>
      <c r="I135" s="150">
        <v>335.88</v>
      </c>
      <c r="J135" s="150"/>
      <c r="K135" s="150">
        <v>335.62</v>
      </c>
      <c r="L135" s="150"/>
      <c r="M135" s="150">
        <v>335.37</v>
      </c>
      <c r="N135" s="150">
        <v>334.97</v>
      </c>
      <c r="O135" s="150">
        <v>334.71</v>
      </c>
      <c r="P135" s="150">
        <v>334.51</v>
      </c>
      <c r="Q135" s="150">
        <v>334.42</v>
      </c>
      <c r="R135" s="190">
        <v>334.45</v>
      </c>
      <c r="S135" s="187">
        <v>334.64</v>
      </c>
      <c r="T135" s="187">
        <v>334.97</v>
      </c>
      <c r="U135" s="187">
        <v>335.28</v>
      </c>
      <c r="V135" s="187">
        <v>335.52</v>
      </c>
      <c r="W135" s="187"/>
      <c r="X135" s="186">
        <v>335.75</v>
      </c>
      <c r="Y135" s="186"/>
      <c r="Z135" s="186">
        <v>335.62</v>
      </c>
      <c r="AA135" s="190"/>
      <c r="AB135" s="186"/>
      <c r="AC135" s="150"/>
      <c r="AD135" s="150">
        <v>335.16</v>
      </c>
      <c r="AE135" s="150">
        <v>335.02</v>
      </c>
      <c r="AF135" s="151">
        <v>335.03</v>
      </c>
      <c r="AG135" s="149"/>
      <c r="AH135" s="47"/>
      <c r="AI135" s="48"/>
    </row>
    <row r="136" spans="1:37" ht="16.5" x14ac:dyDescent="0.25">
      <c r="A136" s="185" t="s">
        <v>384</v>
      </c>
      <c r="B136" s="150">
        <v>883.5</v>
      </c>
      <c r="C136" s="150">
        <v>884.3</v>
      </c>
      <c r="D136" s="150">
        <v>884.9</v>
      </c>
      <c r="E136" s="150">
        <v>885.6</v>
      </c>
      <c r="F136" s="150">
        <v>886.1</v>
      </c>
      <c r="G136" s="150">
        <v>886.6</v>
      </c>
      <c r="H136" s="150"/>
      <c r="I136" s="150">
        <v>886.8</v>
      </c>
      <c r="J136" s="150"/>
      <c r="K136" s="150">
        <v>886.7</v>
      </c>
      <c r="L136" s="150"/>
      <c r="M136" s="150">
        <v>886.5</v>
      </c>
      <c r="N136" s="150">
        <v>886.2</v>
      </c>
      <c r="O136" s="150">
        <v>885.9</v>
      </c>
      <c r="P136" s="150">
        <v>885.6</v>
      </c>
      <c r="Q136" s="150">
        <v>885.3</v>
      </c>
      <c r="R136" s="190">
        <v>885.6</v>
      </c>
      <c r="S136" s="187">
        <v>885.7</v>
      </c>
      <c r="T136" s="187">
        <v>885.6</v>
      </c>
      <c r="U136" s="187">
        <v>885.5</v>
      </c>
      <c r="V136" s="187">
        <v>885.4</v>
      </c>
      <c r="W136" s="187"/>
      <c r="X136" s="186">
        <v>885.7</v>
      </c>
      <c r="Y136" s="186"/>
      <c r="Z136" s="186">
        <v>885.4</v>
      </c>
      <c r="AA136" s="190"/>
      <c r="AB136" s="186">
        <v>883.9</v>
      </c>
      <c r="AC136" s="150"/>
      <c r="AD136" s="150">
        <v>884</v>
      </c>
      <c r="AE136" s="150">
        <v>884.7</v>
      </c>
      <c r="AF136" s="151">
        <v>885.2</v>
      </c>
      <c r="AG136" s="149"/>
      <c r="AH136" s="47"/>
      <c r="AI136" s="48"/>
    </row>
    <row r="137" spans="1:37" ht="17.2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1519.36</v>
      </c>
      <c r="N137" s="152"/>
      <c r="O137" s="152"/>
      <c r="P137" s="152"/>
      <c r="Q137" s="152"/>
      <c r="R137" s="191"/>
      <c r="S137" s="191"/>
      <c r="T137" s="191">
        <v>1519.38</v>
      </c>
      <c r="U137" s="191"/>
      <c r="V137" s="191"/>
      <c r="W137" s="191"/>
      <c r="X137" s="191"/>
      <c r="Y137" s="191"/>
      <c r="Z137" s="191"/>
      <c r="AA137" s="191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74">SUM(B139:B243)</f>
        <v>0</v>
      </c>
      <c r="C244" s="134">
        <f t="shared" si="74"/>
        <v>0</v>
      </c>
      <c r="D244" s="134">
        <f t="shared" si="74"/>
        <v>0</v>
      </c>
      <c r="E244" s="134">
        <f t="shared" si="74"/>
        <v>0</v>
      </c>
      <c r="F244" s="134">
        <f t="shared" si="74"/>
        <v>0</v>
      </c>
      <c r="G244" s="134">
        <f t="shared" si="74"/>
        <v>0</v>
      </c>
      <c r="H244" s="134">
        <f t="shared" si="74"/>
        <v>0</v>
      </c>
      <c r="I244" s="134">
        <f t="shared" si="74"/>
        <v>0</v>
      </c>
      <c r="J244" s="134">
        <f t="shared" si="74"/>
        <v>0</v>
      </c>
      <c r="K244" s="134">
        <f t="shared" si="74"/>
        <v>0</v>
      </c>
      <c r="L244" s="134">
        <f t="shared" si="74"/>
        <v>0</v>
      </c>
      <c r="M244" s="134">
        <f t="shared" si="74"/>
        <v>0</v>
      </c>
      <c r="N244" s="134">
        <f t="shared" si="74"/>
        <v>0</v>
      </c>
      <c r="O244" s="134">
        <f t="shared" si="74"/>
        <v>0</v>
      </c>
      <c r="P244" s="134">
        <f t="shared" si="74"/>
        <v>0</v>
      </c>
      <c r="Q244" s="134">
        <f t="shared" si="74"/>
        <v>0</v>
      </c>
      <c r="R244" s="134">
        <f t="shared" si="74"/>
        <v>0</v>
      </c>
      <c r="S244" s="134">
        <f t="shared" si="74"/>
        <v>0</v>
      </c>
      <c r="T244" s="134">
        <f t="shared" si="74"/>
        <v>0</v>
      </c>
      <c r="U244" s="134">
        <f t="shared" si="74"/>
        <v>0</v>
      </c>
      <c r="V244" s="134">
        <f t="shared" si="74"/>
        <v>0</v>
      </c>
      <c r="W244" s="134">
        <f t="shared" si="74"/>
        <v>0</v>
      </c>
      <c r="X244" s="134">
        <f t="shared" si="74"/>
        <v>0</v>
      </c>
      <c r="Y244" s="134">
        <f t="shared" si="74"/>
        <v>0</v>
      </c>
      <c r="Z244" s="134">
        <f t="shared" si="74"/>
        <v>0</v>
      </c>
      <c r="AA244" s="134">
        <f t="shared" si="74"/>
        <v>0</v>
      </c>
      <c r="AB244" s="134">
        <f t="shared" si="74"/>
        <v>0</v>
      </c>
      <c r="AC244" s="134">
        <f t="shared" si="74"/>
        <v>0</v>
      </c>
      <c r="AD244" s="134">
        <f t="shared" si="74"/>
        <v>0</v>
      </c>
      <c r="AE244" s="134">
        <f t="shared" si="74"/>
        <v>0</v>
      </c>
      <c r="AF244" s="135">
        <f t="shared" si="74"/>
        <v>0</v>
      </c>
      <c r="AG244" s="136">
        <f t="shared" si="7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75">AF246</f>
        <v>0.3</v>
      </c>
      <c r="C246" s="138">
        <v>0.3</v>
      </c>
      <c r="D246" s="138">
        <f t="shared" ref="D246:S251" si="76">C246</f>
        <v>0.3</v>
      </c>
      <c r="E246" s="138">
        <f t="shared" si="76"/>
        <v>0.3</v>
      </c>
      <c r="F246" s="138">
        <f t="shared" si="76"/>
        <v>0.3</v>
      </c>
      <c r="G246" s="138">
        <f t="shared" si="76"/>
        <v>0.3</v>
      </c>
      <c r="H246" s="138">
        <f t="shared" si="76"/>
        <v>0.3</v>
      </c>
      <c r="I246" s="138">
        <f t="shared" si="76"/>
        <v>0.3</v>
      </c>
      <c r="J246" s="138">
        <f t="shared" si="76"/>
        <v>0.3</v>
      </c>
      <c r="K246" s="138">
        <f t="shared" si="76"/>
        <v>0.3</v>
      </c>
      <c r="L246" s="138">
        <f t="shared" si="76"/>
        <v>0.3</v>
      </c>
      <c r="M246" s="138">
        <f t="shared" si="76"/>
        <v>0.3</v>
      </c>
      <c r="N246" s="138">
        <f t="shared" si="76"/>
        <v>0.3</v>
      </c>
      <c r="O246" s="138">
        <f t="shared" si="76"/>
        <v>0.3</v>
      </c>
      <c r="P246" s="138">
        <f t="shared" si="76"/>
        <v>0.3</v>
      </c>
      <c r="Q246" s="138">
        <f t="shared" si="76"/>
        <v>0.3</v>
      </c>
      <c r="R246" s="138">
        <f t="shared" si="76"/>
        <v>0.3</v>
      </c>
      <c r="S246" s="138">
        <f t="shared" si="76"/>
        <v>0.3</v>
      </c>
      <c r="T246" s="138">
        <f t="shared" ref="T246:AF251" si="77">S246</f>
        <v>0.3</v>
      </c>
      <c r="U246" s="138">
        <f t="shared" si="77"/>
        <v>0.3</v>
      </c>
      <c r="V246" s="138">
        <f t="shared" si="77"/>
        <v>0.3</v>
      </c>
      <c r="W246" s="138">
        <f t="shared" si="77"/>
        <v>0.3</v>
      </c>
      <c r="X246" s="138">
        <f t="shared" si="77"/>
        <v>0.3</v>
      </c>
      <c r="Y246" s="138">
        <f t="shared" si="77"/>
        <v>0.3</v>
      </c>
      <c r="Z246" s="138">
        <f t="shared" si="77"/>
        <v>0.3</v>
      </c>
      <c r="AA246" s="138">
        <f t="shared" si="77"/>
        <v>0.3</v>
      </c>
      <c r="AB246" s="138">
        <f t="shared" si="77"/>
        <v>0.3</v>
      </c>
      <c r="AC246" s="138">
        <f t="shared" si="77"/>
        <v>0.3</v>
      </c>
      <c r="AD246" s="138">
        <f t="shared" si="77"/>
        <v>0.3</v>
      </c>
      <c r="AE246" s="138">
        <f t="shared" si="77"/>
        <v>0.3</v>
      </c>
      <c r="AF246" s="138">
        <f t="shared" si="77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75"/>
        <v>0.4</v>
      </c>
      <c r="C247" s="126">
        <v>0.4</v>
      </c>
      <c r="D247" s="126">
        <f t="shared" si="76"/>
        <v>0.4</v>
      </c>
      <c r="E247" s="126">
        <f t="shared" si="76"/>
        <v>0.4</v>
      </c>
      <c r="F247" s="126">
        <f t="shared" si="76"/>
        <v>0.4</v>
      </c>
      <c r="G247" s="126">
        <f t="shared" si="76"/>
        <v>0.4</v>
      </c>
      <c r="H247" s="126">
        <f t="shared" si="76"/>
        <v>0.4</v>
      </c>
      <c r="I247" s="126">
        <f t="shared" si="76"/>
        <v>0.4</v>
      </c>
      <c r="J247" s="126">
        <f t="shared" si="76"/>
        <v>0.4</v>
      </c>
      <c r="K247" s="126">
        <f t="shared" si="76"/>
        <v>0.4</v>
      </c>
      <c r="L247" s="126">
        <f t="shared" si="76"/>
        <v>0.4</v>
      </c>
      <c r="M247" s="126">
        <f t="shared" si="76"/>
        <v>0.4</v>
      </c>
      <c r="N247" s="126">
        <f t="shared" si="76"/>
        <v>0.4</v>
      </c>
      <c r="O247" s="126">
        <f t="shared" si="76"/>
        <v>0.4</v>
      </c>
      <c r="P247" s="126">
        <f t="shared" si="76"/>
        <v>0.4</v>
      </c>
      <c r="Q247" s="126">
        <f t="shared" si="76"/>
        <v>0.4</v>
      </c>
      <c r="R247" s="126">
        <f t="shared" si="76"/>
        <v>0.4</v>
      </c>
      <c r="S247" s="126">
        <f t="shared" si="76"/>
        <v>0.4</v>
      </c>
      <c r="T247" s="126">
        <f t="shared" si="77"/>
        <v>0.4</v>
      </c>
      <c r="U247" s="126">
        <f t="shared" si="77"/>
        <v>0.4</v>
      </c>
      <c r="V247" s="126">
        <f t="shared" si="77"/>
        <v>0.4</v>
      </c>
      <c r="W247" s="126">
        <f t="shared" si="77"/>
        <v>0.4</v>
      </c>
      <c r="X247" s="126">
        <f t="shared" si="77"/>
        <v>0.4</v>
      </c>
      <c r="Y247" s="126">
        <f t="shared" si="77"/>
        <v>0.4</v>
      </c>
      <c r="Z247" s="126">
        <f t="shared" si="77"/>
        <v>0.4</v>
      </c>
      <c r="AA247" s="126">
        <f t="shared" si="77"/>
        <v>0.4</v>
      </c>
      <c r="AB247" s="126">
        <f t="shared" si="77"/>
        <v>0.4</v>
      </c>
      <c r="AC247" s="126">
        <f t="shared" si="77"/>
        <v>0.4</v>
      </c>
      <c r="AD247" s="126">
        <f t="shared" si="77"/>
        <v>0.4</v>
      </c>
      <c r="AE247" s="126">
        <f t="shared" si="77"/>
        <v>0.4</v>
      </c>
      <c r="AF247" s="126">
        <f t="shared" si="77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75"/>
        <v>1.5</v>
      </c>
      <c r="C248" s="126">
        <v>1.5</v>
      </c>
      <c r="D248" s="126">
        <f t="shared" si="76"/>
        <v>1.5</v>
      </c>
      <c r="E248" s="126">
        <f t="shared" si="76"/>
        <v>1.5</v>
      </c>
      <c r="F248" s="126">
        <f t="shared" si="76"/>
        <v>1.5</v>
      </c>
      <c r="G248" s="126">
        <f t="shared" si="76"/>
        <v>1.5</v>
      </c>
      <c r="H248" s="126">
        <f t="shared" si="76"/>
        <v>1.5</v>
      </c>
      <c r="I248" s="126">
        <f t="shared" si="76"/>
        <v>1.5</v>
      </c>
      <c r="J248" s="126">
        <f t="shared" si="76"/>
        <v>1.5</v>
      </c>
      <c r="K248" s="126">
        <f t="shared" si="76"/>
        <v>1.5</v>
      </c>
      <c r="L248" s="126">
        <f t="shared" si="76"/>
        <v>1.5</v>
      </c>
      <c r="M248" s="126">
        <f t="shared" si="76"/>
        <v>1.5</v>
      </c>
      <c r="N248" s="126">
        <f t="shared" si="76"/>
        <v>1.5</v>
      </c>
      <c r="O248" s="126">
        <f t="shared" si="76"/>
        <v>1.5</v>
      </c>
      <c r="P248" s="126">
        <f t="shared" si="76"/>
        <v>1.5</v>
      </c>
      <c r="Q248" s="126">
        <f t="shared" si="76"/>
        <v>1.5</v>
      </c>
      <c r="R248" s="126">
        <f t="shared" si="76"/>
        <v>1.5</v>
      </c>
      <c r="S248" s="126">
        <f t="shared" si="76"/>
        <v>1.5</v>
      </c>
      <c r="T248" s="126">
        <f t="shared" si="77"/>
        <v>1.5</v>
      </c>
      <c r="U248" s="126">
        <f t="shared" si="77"/>
        <v>1.5</v>
      </c>
      <c r="V248" s="126">
        <f t="shared" si="77"/>
        <v>1.5</v>
      </c>
      <c r="W248" s="126">
        <f t="shared" si="77"/>
        <v>1.5</v>
      </c>
      <c r="X248" s="126">
        <f t="shared" si="77"/>
        <v>1.5</v>
      </c>
      <c r="Y248" s="126">
        <f t="shared" si="77"/>
        <v>1.5</v>
      </c>
      <c r="Z248" s="126">
        <f t="shared" si="77"/>
        <v>1.5</v>
      </c>
      <c r="AA248" s="126">
        <f t="shared" si="77"/>
        <v>1.5</v>
      </c>
      <c r="AB248" s="126">
        <f t="shared" si="77"/>
        <v>1.5</v>
      </c>
      <c r="AC248" s="126">
        <f t="shared" si="77"/>
        <v>1.5</v>
      </c>
      <c r="AD248" s="126">
        <f t="shared" si="77"/>
        <v>1.5</v>
      </c>
      <c r="AE248" s="126">
        <f t="shared" si="77"/>
        <v>1.5</v>
      </c>
      <c r="AF248" s="126">
        <f t="shared" si="77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75"/>
        <v>0.3</v>
      </c>
      <c r="C249" s="126">
        <v>0.3</v>
      </c>
      <c r="D249" s="126">
        <f t="shared" si="76"/>
        <v>0.3</v>
      </c>
      <c r="E249" s="126">
        <f t="shared" si="76"/>
        <v>0.3</v>
      </c>
      <c r="F249" s="126">
        <f t="shared" si="76"/>
        <v>0.3</v>
      </c>
      <c r="G249" s="126">
        <f t="shared" si="76"/>
        <v>0.3</v>
      </c>
      <c r="H249" s="126">
        <f t="shared" si="76"/>
        <v>0.3</v>
      </c>
      <c r="I249" s="126">
        <f t="shared" si="76"/>
        <v>0.3</v>
      </c>
      <c r="J249" s="126">
        <f t="shared" si="76"/>
        <v>0.3</v>
      </c>
      <c r="K249" s="126">
        <f t="shared" si="76"/>
        <v>0.3</v>
      </c>
      <c r="L249" s="126">
        <f t="shared" si="76"/>
        <v>0.3</v>
      </c>
      <c r="M249" s="126">
        <f t="shared" si="76"/>
        <v>0.3</v>
      </c>
      <c r="N249" s="126">
        <f t="shared" si="76"/>
        <v>0.3</v>
      </c>
      <c r="O249" s="126">
        <f t="shared" si="76"/>
        <v>0.3</v>
      </c>
      <c r="P249" s="126">
        <f t="shared" si="76"/>
        <v>0.3</v>
      </c>
      <c r="Q249" s="126">
        <f t="shared" si="76"/>
        <v>0.3</v>
      </c>
      <c r="R249" s="126">
        <f t="shared" si="76"/>
        <v>0.3</v>
      </c>
      <c r="S249" s="126">
        <f t="shared" si="76"/>
        <v>0.3</v>
      </c>
      <c r="T249" s="126">
        <f t="shared" si="77"/>
        <v>0.3</v>
      </c>
      <c r="U249" s="126">
        <f t="shared" si="77"/>
        <v>0.3</v>
      </c>
      <c r="V249" s="126">
        <f t="shared" si="77"/>
        <v>0.3</v>
      </c>
      <c r="W249" s="126">
        <f t="shared" si="77"/>
        <v>0.3</v>
      </c>
      <c r="X249" s="126">
        <f t="shared" si="77"/>
        <v>0.3</v>
      </c>
      <c r="Y249" s="126">
        <f t="shared" si="77"/>
        <v>0.3</v>
      </c>
      <c r="Z249" s="126">
        <f t="shared" si="77"/>
        <v>0.3</v>
      </c>
      <c r="AA249" s="126">
        <f t="shared" si="77"/>
        <v>0.3</v>
      </c>
      <c r="AB249" s="126">
        <f t="shared" si="77"/>
        <v>0.3</v>
      </c>
      <c r="AC249" s="126">
        <f t="shared" si="77"/>
        <v>0.3</v>
      </c>
      <c r="AD249" s="126">
        <f t="shared" si="77"/>
        <v>0.3</v>
      </c>
      <c r="AE249" s="126">
        <f t="shared" si="77"/>
        <v>0.3</v>
      </c>
      <c r="AF249" s="126">
        <f t="shared" si="77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75"/>
        <v>0.4</v>
      </c>
      <c r="C250" s="126">
        <v>0.4</v>
      </c>
      <c r="D250" s="126">
        <f t="shared" si="76"/>
        <v>0.4</v>
      </c>
      <c r="E250" s="126">
        <f t="shared" si="76"/>
        <v>0.4</v>
      </c>
      <c r="F250" s="126">
        <f t="shared" si="76"/>
        <v>0.4</v>
      </c>
      <c r="G250" s="126">
        <f t="shared" si="76"/>
        <v>0.4</v>
      </c>
      <c r="H250" s="126">
        <f t="shared" si="76"/>
        <v>0.4</v>
      </c>
      <c r="I250" s="126">
        <f t="shared" si="76"/>
        <v>0.4</v>
      </c>
      <c r="J250" s="126">
        <f t="shared" si="76"/>
        <v>0.4</v>
      </c>
      <c r="K250" s="126">
        <f t="shared" si="76"/>
        <v>0.4</v>
      </c>
      <c r="L250" s="126">
        <f t="shared" si="76"/>
        <v>0.4</v>
      </c>
      <c r="M250" s="126">
        <f t="shared" si="76"/>
        <v>0.4</v>
      </c>
      <c r="N250" s="126">
        <f t="shared" si="76"/>
        <v>0.4</v>
      </c>
      <c r="O250" s="126">
        <f t="shared" si="76"/>
        <v>0.4</v>
      </c>
      <c r="P250" s="126">
        <f t="shared" si="76"/>
        <v>0.4</v>
      </c>
      <c r="Q250" s="126">
        <f t="shared" si="76"/>
        <v>0.4</v>
      </c>
      <c r="R250" s="126">
        <f t="shared" si="76"/>
        <v>0.4</v>
      </c>
      <c r="S250" s="126">
        <f t="shared" si="76"/>
        <v>0.4</v>
      </c>
      <c r="T250" s="126">
        <f t="shared" si="77"/>
        <v>0.4</v>
      </c>
      <c r="U250" s="126">
        <f t="shared" si="77"/>
        <v>0.4</v>
      </c>
      <c r="V250" s="126">
        <f t="shared" si="77"/>
        <v>0.4</v>
      </c>
      <c r="W250" s="126">
        <f t="shared" si="77"/>
        <v>0.4</v>
      </c>
      <c r="X250" s="126">
        <f t="shared" si="77"/>
        <v>0.4</v>
      </c>
      <c r="Y250" s="126">
        <f t="shared" si="77"/>
        <v>0.4</v>
      </c>
      <c r="Z250" s="126">
        <f t="shared" si="77"/>
        <v>0.4</v>
      </c>
      <c r="AA250" s="126">
        <f t="shared" si="77"/>
        <v>0.4</v>
      </c>
      <c r="AB250" s="126">
        <f t="shared" si="77"/>
        <v>0.4</v>
      </c>
      <c r="AC250" s="126">
        <f t="shared" si="77"/>
        <v>0.4</v>
      </c>
      <c r="AD250" s="126">
        <f t="shared" si="77"/>
        <v>0.4</v>
      </c>
      <c r="AE250" s="126">
        <f t="shared" si="77"/>
        <v>0.4</v>
      </c>
      <c r="AF250" s="126">
        <f t="shared" si="77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75"/>
        <v>0.64</v>
      </c>
      <c r="C251" s="130">
        <v>0.64</v>
      </c>
      <c r="D251" s="130">
        <f t="shared" si="76"/>
        <v>0.64</v>
      </c>
      <c r="E251" s="130">
        <f t="shared" si="76"/>
        <v>0.64</v>
      </c>
      <c r="F251" s="130">
        <f t="shared" si="76"/>
        <v>0.64</v>
      </c>
      <c r="G251" s="130">
        <f t="shared" si="76"/>
        <v>0.64</v>
      </c>
      <c r="H251" s="130">
        <f t="shared" si="76"/>
        <v>0.64</v>
      </c>
      <c r="I251" s="130">
        <f t="shared" si="76"/>
        <v>0.64</v>
      </c>
      <c r="J251" s="130">
        <f t="shared" si="76"/>
        <v>0.64</v>
      </c>
      <c r="K251" s="130">
        <f t="shared" si="76"/>
        <v>0.64</v>
      </c>
      <c r="L251" s="130">
        <f t="shared" si="76"/>
        <v>0.64</v>
      </c>
      <c r="M251" s="130">
        <f t="shared" si="76"/>
        <v>0.64</v>
      </c>
      <c r="N251" s="130">
        <f t="shared" si="76"/>
        <v>0.64</v>
      </c>
      <c r="O251" s="130">
        <f t="shared" si="76"/>
        <v>0.64</v>
      </c>
      <c r="P251" s="130">
        <f t="shared" si="76"/>
        <v>0.64</v>
      </c>
      <c r="Q251" s="130">
        <f t="shared" si="76"/>
        <v>0.64</v>
      </c>
      <c r="R251" s="130">
        <f t="shared" si="76"/>
        <v>0.64</v>
      </c>
      <c r="S251" s="130">
        <f t="shared" si="76"/>
        <v>0.64</v>
      </c>
      <c r="T251" s="130">
        <f t="shared" si="77"/>
        <v>0.64</v>
      </c>
      <c r="U251" s="130">
        <f t="shared" si="77"/>
        <v>0.64</v>
      </c>
      <c r="V251" s="130">
        <f t="shared" si="77"/>
        <v>0.64</v>
      </c>
      <c r="W251" s="130">
        <f t="shared" si="77"/>
        <v>0.64</v>
      </c>
      <c r="X251" s="130">
        <f t="shared" si="77"/>
        <v>0.64</v>
      </c>
      <c r="Y251" s="130">
        <f t="shared" si="77"/>
        <v>0.64</v>
      </c>
      <c r="Z251" s="130">
        <f t="shared" si="77"/>
        <v>0.64</v>
      </c>
      <c r="AA251" s="130">
        <f t="shared" si="77"/>
        <v>0.64</v>
      </c>
      <c r="AB251" s="130">
        <f t="shared" si="77"/>
        <v>0.64</v>
      </c>
      <c r="AC251" s="130">
        <f t="shared" si="77"/>
        <v>0.64</v>
      </c>
      <c r="AD251" s="130">
        <f t="shared" si="77"/>
        <v>0.64</v>
      </c>
      <c r="AE251" s="130">
        <f t="shared" si="77"/>
        <v>0.64</v>
      </c>
      <c r="AF251" s="130">
        <f t="shared" si="77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78">SUM(B246:B251)</f>
        <v>3.54</v>
      </c>
      <c r="C252" s="134">
        <f t="shared" si="78"/>
        <v>3.54</v>
      </c>
      <c r="D252" s="134">
        <f t="shared" si="78"/>
        <v>3.54</v>
      </c>
      <c r="E252" s="134">
        <f t="shared" si="78"/>
        <v>3.54</v>
      </c>
      <c r="F252" s="134">
        <f t="shared" si="78"/>
        <v>3.54</v>
      </c>
      <c r="G252" s="134">
        <f t="shared" si="78"/>
        <v>3.54</v>
      </c>
      <c r="H252" s="134">
        <f t="shared" si="78"/>
        <v>3.54</v>
      </c>
      <c r="I252" s="134">
        <f t="shared" si="78"/>
        <v>3.54</v>
      </c>
      <c r="J252" s="134">
        <f t="shared" si="78"/>
        <v>3.54</v>
      </c>
      <c r="K252" s="134">
        <f t="shared" si="78"/>
        <v>3.54</v>
      </c>
      <c r="L252" s="134">
        <f t="shared" si="78"/>
        <v>3.54</v>
      </c>
      <c r="M252" s="134">
        <f t="shared" si="78"/>
        <v>3.54</v>
      </c>
      <c r="N252" s="134">
        <f t="shared" si="78"/>
        <v>3.54</v>
      </c>
      <c r="O252" s="134">
        <f t="shared" si="78"/>
        <v>3.54</v>
      </c>
      <c r="P252" s="134">
        <f t="shared" si="78"/>
        <v>3.54</v>
      </c>
      <c r="Q252" s="134">
        <f t="shared" si="78"/>
        <v>3.54</v>
      </c>
      <c r="R252" s="134">
        <f t="shared" si="78"/>
        <v>3.54</v>
      </c>
      <c r="S252" s="134">
        <f t="shared" si="78"/>
        <v>3.54</v>
      </c>
      <c r="T252" s="134">
        <f t="shared" si="78"/>
        <v>3.54</v>
      </c>
      <c r="U252" s="134">
        <f t="shared" si="78"/>
        <v>3.54</v>
      </c>
      <c r="V252" s="134">
        <f t="shared" si="78"/>
        <v>3.54</v>
      </c>
      <c r="W252" s="134">
        <f t="shared" si="78"/>
        <v>3.54</v>
      </c>
      <c r="X252" s="134">
        <f t="shared" si="78"/>
        <v>3.54</v>
      </c>
      <c r="Y252" s="134">
        <f t="shared" si="78"/>
        <v>3.54</v>
      </c>
      <c r="Z252" s="134">
        <f t="shared" si="78"/>
        <v>3.54</v>
      </c>
      <c r="AA252" s="134">
        <f t="shared" si="78"/>
        <v>3.54</v>
      </c>
      <c r="AB252" s="134">
        <f t="shared" si="78"/>
        <v>3.54</v>
      </c>
      <c r="AC252" s="134">
        <f t="shared" si="78"/>
        <v>3.54</v>
      </c>
      <c r="AD252" s="134">
        <f t="shared" si="78"/>
        <v>3.54</v>
      </c>
      <c r="AE252" s="134">
        <f t="shared" si="78"/>
        <v>3.54</v>
      </c>
      <c r="AF252" s="134">
        <f t="shared" si="78"/>
        <v>3.54</v>
      </c>
      <c r="AG252" s="143">
        <f t="shared" si="7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1681.29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2080/10/12)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191" priority="156">
      <formula>$AH11=0</formula>
    </cfRule>
  </conditionalFormatting>
  <conditionalFormatting sqref="A132:A253">
    <cfRule type="expression" dxfId="3190" priority="157">
      <formula>$AH132=0</formula>
    </cfRule>
  </conditionalFormatting>
  <conditionalFormatting sqref="B8 M8 S8 AB8">
    <cfRule type="expression" dxfId="3189" priority="208">
      <formula>AND(C$9&gt;=8/24,C$9&lt;14/24)</formula>
    </cfRule>
    <cfRule type="expression" dxfId="3188" priority="207">
      <formula>AND(C$9&gt;=14/24,C$9&lt;20/24)</formula>
    </cfRule>
    <cfRule type="expression" dxfId="3187" priority="209">
      <formula>C$9&lt;8/24</formula>
    </cfRule>
  </conditionalFormatting>
  <conditionalFormatting sqref="B59:D61">
    <cfRule type="expression" dxfId="3186" priority="102">
      <formula>B$9&gt;=20/24</formula>
    </cfRule>
    <cfRule type="expression" dxfId="3185" priority="105">
      <formula>B$9&lt;8/24</formula>
    </cfRule>
    <cfRule type="expression" dxfId="3184" priority="104">
      <formula>AND(B$9&gt;=8/24,B$9&lt;14/24)</formula>
    </cfRule>
    <cfRule type="expression" dxfId="3183" priority="103">
      <formula>AND(B$9&gt;=14/24,B$9&lt;20/24)</formula>
    </cfRule>
  </conditionalFormatting>
  <conditionalFormatting sqref="B62:D68 E68:J68">
    <cfRule type="expression" dxfId="3182" priority="110">
      <formula>B$9&lt;8/24</formula>
    </cfRule>
    <cfRule type="expression" dxfId="3181" priority="108">
      <formula>AND(B$9&gt;=14/24,B$9&lt;20/24)</formula>
    </cfRule>
    <cfRule type="expression" dxfId="3180" priority="109">
      <formula>AND(B$9&gt;=8/24,B$9&lt;14/24)</formula>
    </cfRule>
    <cfRule type="expression" dxfId="3179" priority="107">
      <formula>B$9&gt;=20/24</formula>
    </cfRule>
  </conditionalFormatting>
  <conditionalFormatting sqref="B9:AF52 B119:AF137">
    <cfRule type="expression" dxfId="3178" priority="91">
      <formula>B$9&lt;8/24</formula>
    </cfRule>
    <cfRule type="expression" dxfId="3177" priority="90">
      <formula>AND(B$9&gt;=8/24,B$9&lt;14/24)</formula>
    </cfRule>
    <cfRule type="expression" dxfId="3176" priority="89">
      <formula>AND(B$9&gt;=14/24,B$9&lt;20/24)</formula>
    </cfRule>
    <cfRule type="expression" dxfId="3175" priority="88">
      <formula>B$9&gt;=20/24</formula>
    </cfRule>
  </conditionalFormatting>
  <conditionalFormatting sqref="B11:AF54">
    <cfRule type="expression" dxfId="3174" priority="77">
      <formula>B11&gt;$AG11</formula>
    </cfRule>
  </conditionalFormatting>
  <conditionalFormatting sqref="B53:AF54">
    <cfRule type="expression" dxfId="3173" priority="76">
      <formula>B$9&lt;8/24</formula>
    </cfRule>
    <cfRule type="expression" dxfId="3172" priority="74">
      <formula>AND(B$9&gt;=14/24,B$9&lt;20/24)</formula>
    </cfRule>
    <cfRule type="expression" dxfId="3171" priority="73">
      <formula>B$9&gt;=20/24</formula>
    </cfRule>
    <cfRule type="expression" dxfId="3170" priority="75">
      <formula>AND(B$9&gt;=8/24,B$9&lt;14/24)</formula>
    </cfRule>
  </conditionalFormatting>
  <conditionalFormatting sqref="B55:AF55">
    <cfRule type="expression" dxfId="3169" priority="97">
      <formula>B55&gt;$AG55</formula>
    </cfRule>
  </conditionalFormatting>
  <conditionalFormatting sqref="B55:AF57">
    <cfRule type="expression" dxfId="3168" priority="93">
      <formula>B$9&gt;=20/24</formula>
    </cfRule>
    <cfRule type="expression" dxfId="3167" priority="95">
      <formula>AND(B$9&gt;=8/24,B$9&lt;14/24)</formula>
    </cfRule>
    <cfRule type="expression" dxfId="3166" priority="96">
      <formula>B$9&lt;8/24</formula>
    </cfRule>
    <cfRule type="expression" dxfId="3165" priority="94">
      <formula>AND(B$9&gt;=14/24,B$9&lt;20/24)</formula>
    </cfRule>
  </conditionalFormatting>
  <conditionalFormatting sqref="B56:AF61">
    <cfRule type="expression" dxfId="3164" priority="92">
      <formula>B56&gt;$AG56</formula>
    </cfRule>
  </conditionalFormatting>
  <conditionalFormatting sqref="B63:AF80">
    <cfRule type="expression" dxfId="3163" priority="82">
      <formula>B63&gt;$AG63</formula>
    </cfRule>
  </conditionalFormatting>
  <conditionalFormatting sqref="B69:AF74">
    <cfRule type="expression" dxfId="3162" priority="112">
      <formula>AND(B$9&gt;=14/24,B$9&lt;20/24)</formula>
    </cfRule>
    <cfRule type="expression" dxfId="3161" priority="113">
      <formula>AND(B$9&gt;=8/24,B$9&lt;14/24)</formula>
    </cfRule>
    <cfRule type="expression" dxfId="3160" priority="111">
      <formula>B$9&gt;=20/24</formula>
    </cfRule>
    <cfRule type="expression" dxfId="3159" priority="114">
      <formula>B$9&lt;8/24</formula>
    </cfRule>
  </conditionalFormatting>
  <conditionalFormatting sqref="B71:AF74">
    <cfRule type="expression" dxfId="3158" priority="86">
      <formula>B$9&lt;8/24</formula>
    </cfRule>
    <cfRule type="expression" dxfId="3157" priority="85">
      <formula>AND(B$9&gt;=8/24,B$9&lt;14/24)</formula>
    </cfRule>
    <cfRule type="expression" dxfId="3156" priority="84">
      <formula>AND(B$9&gt;=14/24,B$9&lt;20/24)</formula>
    </cfRule>
    <cfRule type="expression" dxfId="3155" priority="83">
      <formula>B$9&gt;=20/24</formula>
    </cfRule>
  </conditionalFormatting>
  <conditionalFormatting sqref="B77:AF80">
    <cfRule type="expression" dxfId="3154" priority="98">
      <formula>B$9&gt;=20/24</formula>
    </cfRule>
    <cfRule type="expression" dxfId="3153" priority="99">
      <formula>AND(B$9&gt;=14/24,B$9&lt;20/24)</formula>
    </cfRule>
    <cfRule type="expression" dxfId="3152" priority="100">
      <formula>AND(B$9&gt;=8/24,B$9&lt;14/24)</formula>
    </cfRule>
    <cfRule type="expression" dxfId="3151" priority="101">
      <formula>B$9&lt;8/24</formula>
    </cfRule>
  </conditionalFormatting>
  <conditionalFormatting sqref="B81:AF99">
    <cfRule type="expression" dxfId="3150" priority="78">
      <formula>B$9&gt;=20/24</formula>
    </cfRule>
    <cfRule type="expression" dxfId="3149" priority="80">
      <formula>AND(B$9&gt;=8/24,B$9&lt;14/24)</formula>
    </cfRule>
    <cfRule type="expression" dxfId="3148" priority="81">
      <formula>B$9&lt;8/24</formula>
    </cfRule>
    <cfRule type="expression" dxfId="3147" priority="79">
      <formula>AND(B$9&gt;=14/24,B$9&lt;20/24)</formula>
    </cfRule>
  </conditionalFormatting>
  <conditionalFormatting sqref="B101:AF117">
    <cfRule type="expression" dxfId="3146" priority="70">
      <formula>AND(B$9&gt;=14/24,B$9&lt;20/24)</formula>
    </cfRule>
    <cfRule type="expression" dxfId="3145" priority="69">
      <formula>B$9&gt;=20/24</formula>
    </cfRule>
    <cfRule type="expression" dxfId="3144" priority="72">
      <formula>B$9&lt;8/24</formula>
    </cfRule>
    <cfRule type="expression" dxfId="3143" priority="71">
      <formula>AND(B$9&gt;=8/24,B$9&lt;14/24)</formula>
    </cfRule>
  </conditionalFormatting>
  <conditionalFormatting sqref="B244:AF244 B246:B252 D246:AF252">
    <cfRule type="expression" dxfId="3142" priority="203">
      <formula>B$9&lt;8/24</formula>
    </cfRule>
    <cfRule type="expression" dxfId="3141" priority="202">
      <formula>AND(B$9&gt;=8/24,B$9&lt;14/24)</formula>
    </cfRule>
    <cfRule type="expression" dxfId="3140" priority="201">
      <formula>AND(B$9&gt;=14/24,B$9&lt;20/24)</formula>
    </cfRule>
    <cfRule type="expression" dxfId="3139" priority="200">
      <formula>B$9&gt;=20/24</formula>
    </cfRule>
  </conditionalFormatting>
  <conditionalFormatting sqref="B62:AG62">
    <cfRule type="expression" dxfId="3138" priority="106">
      <formula>B62&gt;$AG62</formula>
    </cfRule>
  </conditionalFormatting>
  <conditionalFormatting sqref="E63:I67 J64:J67 K67">
    <cfRule type="expression" dxfId="3137" priority="123">
      <formula>E$9&lt;8/24</formula>
    </cfRule>
    <cfRule type="expression" dxfId="3136" priority="122">
      <formula>AND(E$9&gt;=8/24,E$9&lt;14/24)</formula>
    </cfRule>
    <cfRule type="expression" dxfId="3135" priority="121">
      <formula>AND(E$9&gt;=14/24,E$9&lt;20/24)</formula>
    </cfRule>
    <cfRule type="expression" dxfId="3134" priority="120">
      <formula>E$9&gt;=20/24</formula>
    </cfRule>
  </conditionalFormatting>
  <conditionalFormatting sqref="E68:K68">
    <cfRule type="expression" dxfId="3133" priority="116">
      <formula>AND(E$9&gt;=14/24,E$9&lt;20/24)</formula>
    </cfRule>
    <cfRule type="expression" dxfId="3132" priority="115">
      <formula>E$9&gt;=20/24</formula>
    </cfRule>
    <cfRule type="expression" dxfId="3131" priority="118">
      <formula>E$9&lt;8/24</formula>
    </cfRule>
    <cfRule type="expression" dxfId="3130" priority="117">
      <formula>AND(E$9&gt;=8/24,E$9&lt;14/24)</formula>
    </cfRule>
  </conditionalFormatting>
  <conditionalFormatting sqref="E59:AF62">
    <cfRule type="expression" dxfId="3129" priority="135">
      <formula>AND(E$9&gt;=14/24,E$9&lt;20/24)</formula>
    </cfRule>
    <cfRule type="expression" dxfId="3128" priority="134">
      <formula>E$9&gt;=20/24</formula>
    </cfRule>
    <cfRule type="expression" dxfId="3127" priority="136">
      <formula>AND(E$9&gt;=8/24,E$9&lt;14/24)</formula>
    </cfRule>
    <cfRule type="expression" dxfId="3126" priority="137">
      <formula>E$9&lt;8/24</formula>
    </cfRule>
  </conditionalFormatting>
  <conditionalFormatting sqref="F63:L65">
    <cfRule type="expression" dxfId="3125" priority="148">
      <formula>F$9&gt;=20/24</formula>
    </cfRule>
    <cfRule type="expression" dxfId="3124" priority="149">
      <formula>AND(F$9&gt;=14/24,F$9&lt;20/24)</formula>
    </cfRule>
    <cfRule type="expression" dxfId="3123" priority="150">
      <formula>AND(F$9&gt;=8/24,F$9&lt;14/24)</formula>
    </cfRule>
    <cfRule type="expression" dxfId="3122" priority="151">
      <formula>F$9&lt;8/24</formula>
    </cfRule>
  </conditionalFormatting>
  <conditionalFormatting sqref="L68:W68">
    <cfRule type="expression" dxfId="3121" priority="146">
      <formula>AND(L$9&gt;=8/24,L$9&lt;14/24)</formula>
    </cfRule>
    <cfRule type="expression" dxfId="3120" priority="147">
      <formula>L$9&lt;8/24</formula>
    </cfRule>
    <cfRule type="expression" dxfId="3119" priority="144">
      <formula>L$9&gt;=20/24</formula>
    </cfRule>
    <cfRule type="expression" dxfId="3118" priority="145">
      <formula>AND(L$9&gt;=14/24,L$9&lt;20/24)</formula>
    </cfRule>
  </conditionalFormatting>
  <conditionalFormatting sqref="M63:W67">
    <cfRule type="expression" dxfId="3117" priority="152">
      <formula>M$9&gt;=20/24</formula>
    </cfRule>
    <cfRule type="expression" dxfId="3116" priority="153">
      <formula>AND(M$9&gt;=14/24,M$9&lt;20/24)</formula>
    </cfRule>
    <cfRule type="expression" dxfId="3115" priority="154">
      <formula>AND(M$9&gt;=8/24,M$9&lt;14/24)</formula>
    </cfRule>
    <cfRule type="expression" dxfId="3114" priority="155">
      <formula>M$9&lt;8/24</formula>
    </cfRule>
  </conditionalFormatting>
  <conditionalFormatting sqref="O3:P3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113" priority="206">
      <formula>C$9&gt;=20/24</formula>
    </cfRule>
  </conditionalFormatting>
  <conditionalFormatting sqref="S8">
    <cfRule type="expression" dxfId="3112" priority="196">
      <formula>U$9&lt;8/24</formula>
    </cfRule>
    <cfRule type="expression" dxfId="3111" priority="195">
      <formula>AND(U$9&gt;=8/24,U$9&lt;14/24)</formula>
    </cfRule>
    <cfRule type="expression" dxfId="3110" priority="194">
      <formula>AND(U$9&gt;=14/24,U$9&lt;20/24)</formula>
    </cfRule>
    <cfRule type="expression" dxfId="3109" priority="193">
      <formula>U$9&gt;=20/24</formula>
    </cfRule>
  </conditionalFormatting>
  <conditionalFormatting sqref="T63:AF68">
    <cfRule type="expression" dxfId="3108" priority="139">
      <formula>AND(T$9&gt;=14/24,T$9&lt;20/24)</formula>
    </cfRule>
    <cfRule type="expression" dxfId="3107" priority="141">
      <formula>T$9&lt;8/24</formula>
    </cfRule>
    <cfRule type="expression" dxfId="3106" priority="140">
      <formula>AND(T$9&gt;=8/24,T$9&lt;14/24)</formula>
    </cfRule>
    <cfRule type="expression" dxfId="3105" priority="138">
      <formula>T$9&gt;=20/24</formula>
    </cfRule>
  </conditionalFormatting>
  <conditionalFormatting sqref="V3 AB3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104" priority="191">
      <formula>AND(AD$9&gt;=8/24,AD$9&lt;14/24)</formula>
    </cfRule>
    <cfRule type="expression" dxfId="3103" priority="192">
      <formula>AD$9&lt;8/24</formula>
    </cfRule>
    <cfRule type="expression" dxfId="3102" priority="190">
      <formula>AND(AD$9&gt;=14/24,AD$9&lt;20/24)</formula>
    </cfRule>
    <cfRule type="expression" dxfId="3101" priority="189">
      <formula>AD$9&gt;=20/24</formula>
    </cfRule>
  </conditionalFormatting>
  <conditionalFormatting sqref="AG58">
    <cfRule type="expression" dxfId="3100" priority="184">
      <formula>AG58&gt;$AG58</formula>
    </cfRule>
  </conditionalFormatting>
  <conditionalFormatting sqref="AG62">
    <cfRule type="expression" dxfId="3099" priority="170">
      <formula>AG$9&lt;8/24</formula>
    </cfRule>
    <cfRule type="expression" dxfId="3098" priority="169">
      <formula>AND(AG$9&gt;=8/24,AG$9&lt;14/24)</formula>
    </cfRule>
    <cfRule type="expression" dxfId="3097" priority="168">
      <formula>AND(AG$9&gt;=14/24,AG$9&lt;20/24)</formula>
    </cfRule>
    <cfRule type="expression" dxfId="3096" priority="167">
      <formula>AG$9&gt;=20/24</formula>
    </cfRule>
  </conditionalFormatting>
  <conditionalFormatting sqref="AG75:AG76 AG80">
    <cfRule type="expression" dxfId="3095" priority="162">
      <formula>AG75&gt;$AG75</formula>
    </cfRule>
  </conditionalFormatting>
  <conditionalFormatting sqref="AG80">
    <cfRule type="expression" dxfId="3094" priority="165">
      <formula>AND(AG$9&gt;=8/24,AG$9&lt;14/24)</formula>
    </cfRule>
    <cfRule type="expression" dxfId="3093" priority="166">
      <formula>AG$9&lt;8/24</formula>
    </cfRule>
    <cfRule type="expression" dxfId="3092" priority="163">
      <formula>AG$9&gt;=20/24</formula>
    </cfRule>
    <cfRule type="expression" dxfId="3091" priority="164">
      <formula>AND(AG$9&gt;=14/24,AG$9&lt;20/24)</formula>
    </cfRule>
  </conditionalFormatting>
  <conditionalFormatting sqref="AG97">
    <cfRule type="expression" dxfId="3090" priority="185">
      <formula>AG$9&gt;=20/24</formula>
    </cfRule>
    <cfRule type="expression" dxfId="3089" priority="188">
      <formula>AG$9&lt;8/24</formula>
    </cfRule>
    <cfRule type="expression" dxfId="3088" priority="187">
      <formula>AND(AG$9&gt;=8/24,AG$9&lt;14/24)</formula>
    </cfRule>
    <cfRule type="expression" dxfId="3087" priority="186">
      <formula>AND(AG$9&gt;=14/24,AG$9&lt;20/24)</formula>
    </cfRule>
  </conditionalFormatting>
  <conditionalFormatting sqref="AL4:AL6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086" priority="213">
      <formula>AJ$9&lt;8/24</formula>
    </cfRule>
    <cfRule type="expression" dxfId="3085" priority="212">
      <formula>AND(AJ$9&gt;=8/24,AJ$9&lt;14/24)</formula>
    </cfRule>
    <cfRule type="expression" dxfId="3084" priority="211">
      <formula>AND(AJ$9&gt;=14/24,AJ$9&lt;20/24)</formula>
    </cfRule>
    <cfRule type="expression" dxfId="3083" priority="210">
      <formula>AJ$9&gt;=20/24</formula>
    </cfRule>
  </conditionalFormatting>
  <conditionalFormatting sqref="AL88:AN88 AL94:AN94">
    <cfRule type="expression" dxfId="3082" priority="180">
      <formula>AL$9&lt;8/24</formula>
    </cfRule>
    <cfRule type="expression" dxfId="3081" priority="179">
      <formula>AND(AL$9&gt;=8/24,AL$9&lt;14/24)</formula>
    </cfRule>
    <cfRule type="expression" dxfId="3080" priority="178">
      <formula>AND(AL$9&gt;=14/24,AL$9&lt;20/24)</formula>
    </cfRule>
    <cfRule type="expression" dxfId="3079" priority="177">
      <formula>AL$9&gt;=20/24</formula>
    </cfRule>
  </conditionalFormatting>
  <conditionalFormatting sqref="AM15:AM21 AN16:AR21">
    <cfRule type="expression" dxfId="3078" priority="15">
      <formula>AND(AX$9&gt;=8/24,AX$9&lt;14/24)</formula>
    </cfRule>
    <cfRule type="expression" dxfId="3077" priority="16">
      <formula>AX$9&lt;8/24</formula>
    </cfRule>
    <cfRule type="expression" dxfId="3076" priority="13">
      <formula>AX$9&gt;=20/24</formula>
    </cfRule>
    <cfRule type="expression" dxfId="3075" priority="14">
      <formula>AND(AX$9&gt;=14/24,AX$9&lt;20/24)</formula>
    </cfRule>
  </conditionalFormatting>
  <conditionalFormatting sqref="AN89:AN92">
    <cfRule type="expression" dxfId="3074" priority="176">
      <formula>AN$9&lt;8/24</formula>
    </cfRule>
    <cfRule type="expression" dxfId="3073" priority="175">
      <formula>AND(AN$9&gt;=8/24,AN$9&lt;14/24)</formula>
    </cfRule>
    <cfRule type="expression" dxfId="3072" priority="174">
      <formula>AND(AN$9&gt;=14/24,AN$9&lt;20/24)</formula>
    </cfRule>
    <cfRule type="expression" dxfId="3071" priority="173">
      <formula>AN$9&gt;=20/24</formula>
    </cfRule>
  </conditionalFormatting>
  <conditionalFormatting sqref="AN15:AR15">
    <cfRule type="expression" dxfId="3070" priority="3">
      <formula>AND(U$9&gt;=8/24,U$9&lt;14/24)</formula>
    </cfRule>
    <cfRule type="expression" dxfId="3069" priority="2">
      <formula>AND(U$9&gt;=14/24,U$9&lt;20/24)</formula>
    </cfRule>
    <cfRule type="expression" dxfId="3068" priority="1">
      <formula>U$9&gt;=20/24</formula>
    </cfRule>
    <cfRule type="expression" dxfId="3067" priority="4">
      <formula>U$9&lt;8/24</formula>
    </cfRule>
  </conditionalFormatting>
  <conditionalFormatting sqref="AS15">
    <cfRule type="expression" dxfId="3066" priority="12">
      <formula>AA$9&lt;8/24</formula>
    </cfRule>
    <cfRule type="expression" dxfId="3065" priority="9">
      <formula>AA$9&gt;=20/24</formula>
    </cfRule>
    <cfRule type="expression" dxfId="3064" priority="11">
      <formula>AND(AA$9&gt;=8/24,AA$9&lt;14/24)</formula>
    </cfRule>
    <cfRule type="expression" dxfId="3063" priority="10">
      <formula>AND(AA$9&gt;=14/24,AA$9&lt;20/24)</formula>
    </cfRule>
  </conditionalFormatting>
  <conditionalFormatting sqref="AS16:AS21">
    <cfRule type="expression" dxfId="3062" priority="19">
      <formula>AND(BE$9&gt;=8/24,BE$9&lt;14/24)</formula>
    </cfRule>
    <cfRule type="expression" dxfId="3061" priority="18">
      <formula>AND(BE$9&gt;=14/24,BE$9&lt;20/24)</formula>
    </cfRule>
    <cfRule type="expression" dxfId="3060" priority="17">
      <formula>BE$9&gt;=20/24</formula>
    </cfRule>
    <cfRule type="expression" dxfId="3059" priority="20">
      <formula>BE$9&lt;8/24</formula>
    </cfRule>
  </conditionalFormatting>
  <conditionalFormatting sqref="AT15 AX15:BD15">
    <cfRule type="expression" dxfId="3058" priority="23">
      <formula>AND(AC$9&gt;=8/24,AC$9&lt;14/24)</formula>
    </cfRule>
    <cfRule type="expression" dxfId="3057" priority="21">
      <formula>AC$9&gt;=20/24</formula>
    </cfRule>
    <cfRule type="expression" dxfId="3056" priority="22">
      <formula>AND(AC$9&gt;=14/24,AC$9&lt;20/24)</formula>
    </cfRule>
    <cfRule type="expression" dxfId="3055" priority="24">
      <formula>AC$9&lt;8/24</formula>
    </cfRule>
  </conditionalFormatting>
  <conditionalFormatting sqref="AT16:AT21">
    <cfRule type="expression" dxfId="3054" priority="27">
      <formula>AND(BG$9&gt;=8/24,BG$9&lt;14/24)</formula>
    </cfRule>
    <cfRule type="expression" dxfId="3053" priority="28">
      <formula>BG$9&lt;8/24</formula>
    </cfRule>
    <cfRule type="expression" dxfId="3052" priority="25">
      <formula>BG$9&gt;=20/24</formula>
    </cfRule>
    <cfRule type="expression" dxfId="3051" priority="26">
      <formula>AND(BG$9&gt;=14/24,BG$9&lt;20/24)</formula>
    </cfRule>
  </conditionalFormatting>
  <conditionalFormatting sqref="AU15:AV15 BE15">
    <cfRule type="expression" dxfId="3050" priority="29">
      <formula>AE$9&gt;=20/24</formula>
    </cfRule>
    <cfRule type="expression" dxfId="3049" priority="30">
      <formula>AND(AE$9&gt;=14/24,AE$9&lt;20/24)</formula>
    </cfRule>
    <cfRule type="expression" dxfId="3048" priority="31">
      <formula>AND(AE$9&gt;=8/24,AE$9&lt;14/24)</formula>
    </cfRule>
    <cfRule type="expression" dxfId="3047" priority="32">
      <formula>AE$9&lt;8/24</formula>
    </cfRule>
  </conditionalFormatting>
  <conditionalFormatting sqref="AU16:BD21">
    <cfRule type="expression" dxfId="3046" priority="36">
      <formula>BI$9&lt;8/24</formula>
    </cfRule>
    <cfRule type="expression" dxfId="3045" priority="35">
      <formula>AND(BI$9&gt;=8/24,BI$9&lt;14/24)</formula>
    </cfRule>
    <cfRule type="expression" dxfId="3044" priority="34">
      <formula>AND(BI$9&gt;=14/24,BI$9&lt;20/24)</formula>
    </cfRule>
    <cfRule type="expression" dxfId="3043" priority="33">
      <formula>BI$9&gt;=20/24</formula>
    </cfRule>
  </conditionalFormatting>
  <conditionalFormatting sqref="AW15">
    <cfRule type="expression" dxfId="3042" priority="7">
      <formula>AND(B$9&gt;=8/24,B$9&lt;14/24)</formula>
    </cfRule>
    <cfRule type="expression" dxfId="3041" priority="8">
      <formula>B$9&lt;8/24</formula>
    </cfRule>
    <cfRule type="expression" dxfId="3040" priority="6">
      <formula>AND(B$9&gt;=14/24,B$9&lt;20/24)</formula>
    </cfRule>
    <cfRule type="expression" dxfId="3039" priority="5">
      <formula>B$9&gt;=20/24</formula>
    </cfRule>
  </conditionalFormatting>
  <conditionalFormatting sqref="BE16:BE21">
    <cfRule type="expression" dxfId="3038" priority="37">
      <formula>BT$9&gt;=20/24</formula>
    </cfRule>
    <cfRule type="expression" dxfId="3037" priority="38">
      <formula>AND(BT$9&gt;=14/24,BT$9&lt;20/24)</formula>
    </cfRule>
    <cfRule type="expression" dxfId="3036" priority="39">
      <formula>AND(BT$9&gt;=8/24,BT$9&lt;14/24)</formula>
    </cfRule>
    <cfRule type="expression" dxfId="3035" priority="40">
      <formula>BT$9&lt;8/24</formula>
    </cfRule>
  </conditionalFormatting>
  <conditionalFormatting sqref="BF15">
    <cfRule type="expression" dxfId="3034" priority="44">
      <formula>AQ$9&lt;8/24</formula>
    </cfRule>
    <cfRule type="expression" dxfId="3033" priority="43">
      <formula>AND(AQ$9&gt;=8/24,AQ$9&lt;14/24)</formula>
    </cfRule>
    <cfRule type="expression" dxfId="3032" priority="41">
      <formula>AQ$9&gt;=20/24</formula>
    </cfRule>
    <cfRule type="expression" dxfId="3031" priority="42">
      <formula>AND(AQ$9&gt;=14/24,AQ$9&lt;20/24)</formula>
    </cfRule>
  </conditionalFormatting>
  <conditionalFormatting sqref="BF16:BF21">
    <cfRule type="expression" dxfId="3030" priority="45">
      <formula>BV$9&gt;=20/24</formula>
    </cfRule>
    <cfRule type="expression" dxfId="3029" priority="46">
      <formula>AND(BV$9&gt;=14/24,BV$9&lt;20/24)</formula>
    </cfRule>
    <cfRule type="expression" dxfId="3028" priority="48">
      <formula>BV$9&lt;8/24</formula>
    </cfRule>
    <cfRule type="expression" dxfId="3027" priority="47">
      <formula>AND(BV$9&gt;=8/24,BV$9&lt;14/24)</formula>
    </cfRule>
  </conditionalFormatting>
  <conditionalFormatting sqref="BG15">
    <cfRule type="expression" dxfId="3026" priority="51">
      <formula>AND(AS$9&gt;=8/24,AS$9&lt;14/24)</formula>
    </cfRule>
    <cfRule type="expression" dxfId="3025" priority="49">
      <formula>AS$9&gt;=20/24</formula>
    </cfRule>
    <cfRule type="expression" dxfId="3024" priority="50">
      <formula>AND(AS$9&gt;=14/24,AS$9&lt;20/24)</formula>
    </cfRule>
    <cfRule type="expression" dxfId="3023" priority="52">
      <formula>AS$9&lt;8/24</formula>
    </cfRule>
  </conditionalFormatting>
  <conditionalFormatting sqref="BG16:BG21">
    <cfRule type="expression" dxfId="3022" priority="56">
      <formula>BX$9&lt;8/24</formula>
    </cfRule>
    <cfRule type="expression" dxfId="3021" priority="55">
      <formula>AND(BX$9&gt;=8/24,BX$9&lt;14/24)</formula>
    </cfRule>
    <cfRule type="expression" dxfId="3020" priority="54">
      <formula>AND(BX$9&gt;=14/24,BX$9&lt;20/24)</formula>
    </cfRule>
    <cfRule type="expression" dxfId="3019" priority="53">
      <formula>BX$9&gt;=20/24</formula>
    </cfRule>
  </conditionalFormatting>
  <conditionalFormatting sqref="BH15:BJ15">
    <cfRule type="expression" dxfId="3018" priority="57">
      <formula>AU$9&gt;=20/24</formula>
    </cfRule>
    <cfRule type="expression" dxfId="3017" priority="58">
      <formula>AND(AU$9&gt;=14/24,AU$9&lt;20/24)</formula>
    </cfRule>
    <cfRule type="expression" dxfId="3016" priority="60">
      <formula>AU$9&lt;8/24</formula>
    </cfRule>
    <cfRule type="expression" dxfId="3015" priority="59">
      <formula>AND(AU$9&gt;=8/24,AU$9&lt;14/24)</formula>
    </cfRule>
  </conditionalFormatting>
  <conditionalFormatting sqref="BH16:BJ21">
    <cfRule type="expression" dxfId="3014" priority="64">
      <formula>BZ$9&lt;8/24</formula>
    </cfRule>
    <cfRule type="expression" dxfId="3013" priority="63">
      <formula>AND(BZ$9&gt;=8/24,BZ$9&lt;14/24)</formula>
    </cfRule>
    <cfRule type="expression" dxfId="3012" priority="62">
      <formula>AND(BZ$9&gt;=14/24,BZ$9&lt;20/24)</formula>
    </cfRule>
    <cfRule type="expression" dxfId="3011" priority="61">
      <formula>BZ$9&gt;=20/24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384D-ED5A-42DE-8337-4E33CE86D59D}">
  <dimension ref="A1:CJ294"/>
  <sheetViews>
    <sheetView zoomScale="106" workbookViewId="0">
      <pane xSplit="1" ySplit="10" topLeftCell="B56" activePane="bottomRight" state="frozen"/>
      <selection activeCell="Z63" sqref="Z63"/>
      <selection pane="topRight" activeCell="Z63" sqref="Z63"/>
      <selection pane="bottomLeft" activeCell="Z63" sqref="Z63"/>
      <selection pane="bottomRight" activeCell="L113" sqref="L11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2080/10/13</v>
      </c>
      <c r="C4" s="272"/>
      <c r="D4" s="272"/>
      <c r="E4" s="273" t="str">
        <f ca="1">"2080/"&amp;"10/"&amp;INT(MID(CELL("filename",G6),FIND("]",CELL("filename",G6))+1,200))</f>
        <v>2080/10/13</v>
      </c>
      <c r="F4" s="273"/>
      <c r="G4" s="273"/>
      <c r="H4" s="273" t="str">
        <f ca="1">TEXT(E4,"dddd")</f>
        <v>Sunday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519.29999999999995</v>
      </c>
      <c r="C5" s="30">
        <f t="shared" si="0"/>
        <v>492.1</v>
      </c>
      <c r="D5" s="30">
        <f t="shared" si="0"/>
        <v>501.1</v>
      </c>
      <c r="E5" s="30">
        <f t="shared" si="0"/>
        <v>525.29999999999995</v>
      </c>
      <c r="F5" s="30">
        <f t="shared" si="0"/>
        <v>531.6</v>
      </c>
      <c r="G5" s="30">
        <f t="shared" si="0"/>
        <v>574</v>
      </c>
      <c r="H5" s="30">
        <f t="shared" si="0"/>
        <v>590</v>
      </c>
      <c r="I5" s="30">
        <f t="shared" si="0"/>
        <v>575.70000000000005</v>
      </c>
      <c r="J5" s="30">
        <f t="shared" si="0"/>
        <v>547.79999999999995</v>
      </c>
      <c r="K5" s="30">
        <f t="shared" si="0"/>
        <v>346.1</v>
      </c>
      <c r="L5" s="30">
        <f t="shared" si="0"/>
        <v>251.6</v>
      </c>
      <c r="M5" s="30">
        <f t="shared" si="0"/>
        <v>521.29999999999995</v>
      </c>
      <c r="N5" s="30">
        <f t="shared" si="0"/>
        <v>519.6</v>
      </c>
      <c r="O5" s="30">
        <f t="shared" si="0"/>
        <v>545.29999999999995</v>
      </c>
      <c r="P5" s="30">
        <f t="shared" si="0"/>
        <v>682.9</v>
      </c>
      <c r="Q5" s="30">
        <f t="shared" si="0"/>
        <v>660.31999999999994</v>
      </c>
      <c r="R5" s="30">
        <f t="shared" si="0"/>
        <v>701.8</v>
      </c>
      <c r="S5" s="30">
        <f t="shared" si="0"/>
        <v>691.2</v>
      </c>
      <c r="T5" s="30">
        <f t="shared" si="0"/>
        <v>679.69999999999993</v>
      </c>
      <c r="U5" s="30">
        <f t="shared" si="0"/>
        <v>641.9</v>
      </c>
      <c r="V5" s="30">
        <f t="shared" si="0"/>
        <v>582.20000000000005</v>
      </c>
      <c r="W5" s="30">
        <f t="shared" si="0"/>
        <v>606.79999999999995</v>
      </c>
      <c r="X5" s="30">
        <f t="shared" si="0"/>
        <v>655.19999999999993</v>
      </c>
      <c r="Y5" s="30">
        <f t="shared" si="0"/>
        <v>631.9</v>
      </c>
      <c r="Z5" s="30">
        <f t="shared" si="0"/>
        <v>646.1</v>
      </c>
      <c r="AA5" s="30">
        <f t="shared" si="0"/>
        <v>645.5</v>
      </c>
      <c r="AB5" s="30">
        <f t="shared" si="0"/>
        <v>673.1</v>
      </c>
      <c r="AC5" s="30">
        <f t="shared" si="0"/>
        <v>656.1</v>
      </c>
      <c r="AD5" s="30">
        <f t="shared" si="0"/>
        <v>652</v>
      </c>
      <c r="AE5" s="30">
        <f t="shared" si="0"/>
        <v>632</v>
      </c>
      <c r="AF5" s="30">
        <f>B92</f>
        <v>556.20000000000005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1833MW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Load=1112</v>
      </c>
      <c r="B7" s="35">
        <f>B100</f>
        <v>1177.29</v>
      </c>
      <c r="C7" s="35">
        <f t="shared" ref="C7:AF7" si="1">C100</f>
        <v>1138.19</v>
      </c>
      <c r="D7" s="35">
        <f t="shared" si="1"/>
        <v>1111.5900000000001</v>
      </c>
      <c r="E7" s="35">
        <f t="shared" si="1"/>
        <v>1119.8899999999999</v>
      </c>
      <c r="F7" s="35">
        <f t="shared" si="1"/>
        <v>1139.99</v>
      </c>
      <c r="G7" s="35">
        <f t="shared" si="1"/>
        <v>1244.29</v>
      </c>
      <c r="H7" s="35">
        <f t="shared" si="1"/>
        <v>1341.3899999999999</v>
      </c>
      <c r="I7" s="35">
        <f t="shared" si="1"/>
        <v>1388.79</v>
      </c>
      <c r="J7" s="35">
        <f t="shared" si="1"/>
        <v>1483.79</v>
      </c>
      <c r="K7" s="35">
        <f t="shared" si="1"/>
        <v>1649.49</v>
      </c>
      <c r="L7" s="35">
        <f t="shared" si="1"/>
        <v>1667.0900000000001</v>
      </c>
      <c r="M7" s="35">
        <f t="shared" si="1"/>
        <v>1581.3899999999999</v>
      </c>
      <c r="N7" s="35">
        <f t="shared" si="1"/>
        <v>1832.89</v>
      </c>
      <c r="O7" s="35">
        <f t="shared" si="1"/>
        <v>1553.5900000000001</v>
      </c>
      <c r="P7" s="35">
        <f t="shared" si="1"/>
        <v>1581.19</v>
      </c>
      <c r="Q7" s="35">
        <f t="shared" si="1"/>
        <v>1504.69</v>
      </c>
      <c r="R7" s="35">
        <f t="shared" si="1"/>
        <v>1508.11</v>
      </c>
      <c r="S7" s="35">
        <f t="shared" si="1"/>
        <v>1526.49</v>
      </c>
      <c r="T7" s="35">
        <f t="shared" si="1"/>
        <v>1534.19</v>
      </c>
      <c r="U7" s="35">
        <f t="shared" si="1"/>
        <v>1501.69</v>
      </c>
      <c r="V7" s="35">
        <f t="shared" si="1"/>
        <v>1394.19</v>
      </c>
      <c r="W7" s="35">
        <f t="shared" si="1"/>
        <v>1528.39</v>
      </c>
      <c r="X7" s="35">
        <f t="shared" si="1"/>
        <v>1699.0900000000001</v>
      </c>
      <c r="Y7" s="35">
        <f t="shared" si="1"/>
        <v>1853.65</v>
      </c>
      <c r="Z7" s="35">
        <f t="shared" si="1"/>
        <v>1877.35</v>
      </c>
      <c r="AA7" s="35">
        <f t="shared" si="1"/>
        <v>1779.69</v>
      </c>
      <c r="AB7" s="35">
        <f t="shared" si="1"/>
        <v>1726.8899999999999</v>
      </c>
      <c r="AC7" s="35">
        <f t="shared" si="1"/>
        <v>1627.49</v>
      </c>
      <c r="AD7" s="35">
        <f t="shared" si="1"/>
        <v>1474.49</v>
      </c>
      <c r="AE7" s="35">
        <f t="shared" si="1"/>
        <v>1378.3899999999999</v>
      </c>
      <c r="AF7" s="35">
        <f t="shared" si="1"/>
        <v>1270.0900000000001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29.5</v>
      </c>
      <c r="C11" s="45">
        <v>29.5</v>
      </c>
      <c r="D11" s="45">
        <v>29.5</v>
      </c>
      <c r="E11" s="45">
        <v>28.8</v>
      </c>
      <c r="F11" s="45">
        <v>26.9</v>
      </c>
      <c r="G11" s="45">
        <v>27.5</v>
      </c>
      <c r="H11" s="45">
        <v>26.9</v>
      </c>
      <c r="I11" s="45">
        <v>26.9</v>
      </c>
      <c r="J11" s="45">
        <v>26.9</v>
      </c>
      <c r="K11" s="45">
        <v>26.9</v>
      </c>
      <c r="L11" s="45">
        <v>26.9</v>
      </c>
      <c r="M11" s="45">
        <v>26.9</v>
      </c>
      <c r="N11" s="45">
        <v>26.9</v>
      </c>
      <c r="O11" s="45">
        <v>26.9</v>
      </c>
      <c r="P11" s="45">
        <v>26.9</v>
      </c>
      <c r="Q11" s="45">
        <v>26.9</v>
      </c>
      <c r="R11" s="45">
        <v>26.9</v>
      </c>
      <c r="S11" s="45">
        <v>26.9</v>
      </c>
      <c r="T11" s="45">
        <v>26.9</v>
      </c>
      <c r="U11" s="45">
        <v>27</v>
      </c>
      <c r="V11" s="45">
        <v>27</v>
      </c>
      <c r="W11" s="45">
        <v>27</v>
      </c>
      <c r="X11" s="45">
        <v>27</v>
      </c>
      <c r="Y11" s="45">
        <v>27</v>
      </c>
      <c r="Z11" s="45">
        <v>27</v>
      </c>
      <c r="AA11" s="45">
        <v>27</v>
      </c>
      <c r="AB11" s="45">
        <v>27</v>
      </c>
      <c r="AC11" s="45">
        <v>27</v>
      </c>
      <c r="AD11" s="45">
        <v>27</v>
      </c>
      <c r="AE11" s="45">
        <v>27</v>
      </c>
      <c r="AF11" s="45">
        <v>27</v>
      </c>
      <c r="AG11" s="46">
        <v>86</v>
      </c>
      <c r="AH11" s="47">
        <f t="shared" ref="AH11:AH84" si="2">MAX(B11:AF11)</f>
        <v>29.5</v>
      </c>
      <c r="AI11" s="48">
        <f t="shared" ref="AI11:AI84" si="3">MIN(B11:AF11)</f>
        <v>26.9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13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</v>
      </c>
      <c r="L13" s="45">
        <v>10</v>
      </c>
      <c r="M13" s="45">
        <v>10</v>
      </c>
      <c r="N13" s="45">
        <v>10</v>
      </c>
      <c r="O13" s="45">
        <v>10</v>
      </c>
      <c r="P13" s="45">
        <v>10</v>
      </c>
      <c r="Q13" s="45">
        <v>10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2080/10/13)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15.2</v>
      </c>
      <c r="C14" s="45">
        <v>15.2</v>
      </c>
      <c r="D14" s="45">
        <v>15.2</v>
      </c>
      <c r="E14" s="45">
        <v>15.2</v>
      </c>
      <c r="F14" s="45">
        <v>15.2</v>
      </c>
      <c r="G14" s="45">
        <v>15.2</v>
      </c>
      <c r="H14" s="45">
        <v>15.2</v>
      </c>
      <c r="I14" s="45">
        <v>15.2</v>
      </c>
      <c r="J14" s="45">
        <v>15.2</v>
      </c>
      <c r="K14" s="45">
        <v>15.2</v>
      </c>
      <c r="L14" s="45">
        <v>15.2</v>
      </c>
      <c r="M14" s="45">
        <v>15.2</v>
      </c>
      <c r="N14" s="45">
        <v>15.2</v>
      </c>
      <c r="O14" s="45">
        <v>15.2</v>
      </c>
      <c r="P14" s="45">
        <v>15.2</v>
      </c>
      <c r="Q14" s="45">
        <v>15.2</v>
      </c>
      <c r="R14" s="45">
        <v>15.2</v>
      </c>
      <c r="S14" s="45">
        <v>15.2</v>
      </c>
      <c r="T14" s="45">
        <v>15.2</v>
      </c>
      <c r="U14" s="45">
        <v>15.2</v>
      </c>
      <c r="V14" s="45">
        <v>15.2</v>
      </c>
      <c r="W14" s="45">
        <v>15.2</v>
      </c>
      <c r="X14" s="45">
        <v>15.2</v>
      </c>
      <c r="Y14" s="45">
        <v>15.2</v>
      </c>
      <c r="Z14" s="45">
        <v>15.2</v>
      </c>
      <c r="AA14" s="45">
        <v>15.2</v>
      </c>
      <c r="AB14" s="45">
        <v>15.2</v>
      </c>
      <c r="AC14" s="45">
        <v>15.2</v>
      </c>
      <c r="AD14" s="45">
        <v>15.2</v>
      </c>
      <c r="AE14" s="45">
        <v>15.2</v>
      </c>
      <c r="AF14" s="45">
        <v>15.2</v>
      </c>
      <c r="AG14" s="46">
        <v>52.4</v>
      </c>
      <c r="AH14" s="47">
        <f t="shared" si="2"/>
        <v>15.2</v>
      </c>
      <c r="AI14" s="48">
        <f t="shared" si="3"/>
        <v>15.2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28.6</v>
      </c>
      <c r="C15" s="45">
        <v>28.6</v>
      </c>
      <c r="D15" s="45">
        <v>28.6</v>
      </c>
      <c r="E15" s="45">
        <v>28.6</v>
      </c>
      <c r="F15" s="45">
        <v>28.6</v>
      </c>
      <c r="G15" s="45">
        <v>28.6</v>
      </c>
      <c r="H15" s="45">
        <v>28.6</v>
      </c>
      <c r="I15" s="45">
        <v>28.6</v>
      </c>
      <c r="J15" s="45">
        <v>28.6</v>
      </c>
      <c r="K15" s="45">
        <v>28.6</v>
      </c>
      <c r="L15" s="45">
        <v>28.6</v>
      </c>
      <c r="M15" s="45">
        <v>28.6</v>
      </c>
      <c r="N15" s="45">
        <v>28.6</v>
      </c>
      <c r="O15" s="45">
        <v>28.6</v>
      </c>
      <c r="P15" s="45">
        <v>28.6</v>
      </c>
      <c r="Q15" s="45">
        <v>28.6</v>
      </c>
      <c r="R15" s="45">
        <v>28.6</v>
      </c>
      <c r="S15" s="45">
        <v>28.6</v>
      </c>
      <c r="T15" s="45">
        <v>28.6</v>
      </c>
      <c r="U15" s="45">
        <v>28.6</v>
      </c>
      <c r="V15" s="45">
        <v>28.6</v>
      </c>
      <c r="W15" s="45">
        <v>28.6</v>
      </c>
      <c r="X15" s="45">
        <v>28.6</v>
      </c>
      <c r="Y15" s="45">
        <v>28.6</v>
      </c>
      <c r="Z15" s="45">
        <v>28.6</v>
      </c>
      <c r="AA15" s="45">
        <v>28.6</v>
      </c>
      <c r="AB15" s="45">
        <v>28.6</v>
      </c>
      <c r="AC15" s="45">
        <v>28.6</v>
      </c>
      <c r="AD15" s="45">
        <v>28.6</v>
      </c>
      <c r="AE15" s="45">
        <v>28.6</v>
      </c>
      <c r="AF15" s="45">
        <v>28.6</v>
      </c>
      <c r="AG15" s="49">
        <v>50</v>
      </c>
      <c r="AH15" s="47">
        <f t="shared" si="2"/>
        <v>28.6</v>
      </c>
      <c r="AI15" s="48">
        <f t="shared" si="3"/>
        <v>28.6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15.8</v>
      </c>
      <c r="AI16" s="48">
        <f t="shared" si="3"/>
        <v>15.8</v>
      </c>
      <c r="AK16" s="50"/>
      <c r="AL16" s="160" t="s">
        <v>7</v>
      </c>
      <c r="AM16" s="227">
        <f t="shared" ref="AM16:AR16" si="4">B58</f>
        <v>480.35000000000008</v>
      </c>
      <c r="AN16" s="227">
        <f t="shared" si="4"/>
        <v>480.35000000000008</v>
      </c>
      <c r="AO16" s="227">
        <f t="shared" si="4"/>
        <v>480.35000000000008</v>
      </c>
      <c r="AP16" s="227">
        <f t="shared" si="4"/>
        <v>479.65000000000003</v>
      </c>
      <c r="AQ16" s="227">
        <f t="shared" si="4"/>
        <v>477.75000000000006</v>
      </c>
      <c r="AR16" s="227">
        <f t="shared" si="4"/>
        <v>478.35000000000008</v>
      </c>
      <c r="AS16" s="227">
        <f>I58</f>
        <v>477.75000000000006</v>
      </c>
      <c r="AT16" s="227">
        <f>K58</f>
        <v>477.75000000000006</v>
      </c>
      <c r="AU16" s="227">
        <f t="shared" ref="AU16:BD16" si="5">M58</f>
        <v>477.75000000000006</v>
      </c>
      <c r="AV16" s="227">
        <f t="shared" si="5"/>
        <v>477.75000000000006</v>
      </c>
      <c r="AW16" s="227">
        <f t="shared" si="5"/>
        <v>477.75000000000006</v>
      </c>
      <c r="AX16" s="227">
        <f t="shared" si="5"/>
        <v>477.75000000000006</v>
      </c>
      <c r="AY16" s="227">
        <f t="shared" si="5"/>
        <v>477.75000000000006</v>
      </c>
      <c r="AZ16" s="227">
        <f t="shared" si="5"/>
        <v>477.75000000000006</v>
      </c>
      <c r="BA16" s="227">
        <f t="shared" si="5"/>
        <v>477.75000000000006</v>
      </c>
      <c r="BB16" s="227">
        <f t="shared" si="5"/>
        <v>477.75000000000006</v>
      </c>
      <c r="BC16" s="227">
        <f t="shared" si="5"/>
        <v>477.85000000000008</v>
      </c>
      <c r="BD16" s="227">
        <f t="shared" si="5"/>
        <v>477.85000000000008</v>
      </c>
      <c r="BE16" s="227">
        <f>X58</f>
        <v>477.85000000000008</v>
      </c>
      <c r="BF16" s="227">
        <f>Z58</f>
        <v>477.85000000000008</v>
      </c>
      <c r="BG16" s="227">
        <f>AB58</f>
        <v>477.85000000000008</v>
      </c>
      <c r="BH16" s="227">
        <f>AD58</f>
        <v>477.85000000000008</v>
      </c>
      <c r="BI16" s="227">
        <f>AE58</f>
        <v>477.85000000000008</v>
      </c>
      <c r="BJ16" s="227">
        <f>AF58</f>
        <v>477.85000000000008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 t="shared" ref="AM17:AR17" si="6">B62</f>
        <v>35.1</v>
      </c>
      <c r="AN17" s="227">
        <f t="shared" si="6"/>
        <v>35.1</v>
      </c>
      <c r="AO17" s="227">
        <f t="shared" si="6"/>
        <v>35.1</v>
      </c>
      <c r="AP17" s="227">
        <f t="shared" si="6"/>
        <v>35.1</v>
      </c>
      <c r="AQ17" s="227">
        <f t="shared" si="6"/>
        <v>35</v>
      </c>
      <c r="AR17" s="227">
        <f t="shared" si="6"/>
        <v>35.200000000000003</v>
      </c>
      <c r="AS17" s="227">
        <f>I62</f>
        <v>35.1</v>
      </c>
      <c r="AT17" s="227">
        <f>K62</f>
        <v>96.2</v>
      </c>
      <c r="AU17" s="227">
        <f t="shared" ref="AU17:BD17" si="7">M62</f>
        <v>306.2</v>
      </c>
      <c r="AV17" s="227">
        <f t="shared" si="7"/>
        <v>286.2</v>
      </c>
      <c r="AW17" s="227">
        <f t="shared" si="7"/>
        <v>51.2</v>
      </c>
      <c r="AX17" s="227">
        <f t="shared" si="7"/>
        <v>51.2</v>
      </c>
      <c r="AY17" s="227">
        <f t="shared" si="7"/>
        <v>86.2</v>
      </c>
      <c r="AZ17" s="227">
        <f t="shared" si="7"/>
        <v>112.2</v>
      </c>
      <c r="BA17" s="227">
        <f t="shared" si="7"/>
        <v>90.1</v>
      </c>
      <c r="BB17" s="227">
        <f t="shared" si="7"/>
        <v>75.2</v>
      </c>
      <c r="BC17" s="227">
        <f t="shared" si="7"/>
        <v>110.1</v>
      </c>
      <c r="BD17" s="227">
        <f t="shared" si="7"/>
        <v>122.1</v>
      </c>
      <c r="BE17" s="227">
        <f>X62</f>
        <v>181.2</v>
      </c>
      <c r="BF17" s="227">
        <f>Z62</f>
        <v>191.1</v>
      </c>
      <c r="BG17" s="227">
        <f>AB62</f>
        <v>171.1</v>
      </c>
      <c r="BH17" s="227">
        <f>AD62</f>
        <v>115.1</v>
      </c>
      <c r="BI17" s="227">
        <f>AE62</f>
        <v>75.099999999999994</v>
      </c>
      <c r="BJ17" s="227">
        <f>AF62</f>
        <v>35.1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7.5</v>
      </c>
      <c r="AI18" s="48">
        <f t="shared" si="3"/>
        <v>7.5</v>
      </c>
      <c r="AK18" s="50"/>
      <c r="AL18" s="160" t="s">
        <v>593</v>
      </c>
      <c r="AM18" s="227">
        <f t="shared" ref="AM18:AR18" si="8">B76</f>
        <v>105.64000000000001</v>
      </c>
      <c r="AN18" s="227">
        <f t="shared" si="8"/>
        <v>103.44000000000001</v>
      </c>
      <c r="AO18" s="227">
        <f t="shared" si="8"/>
        <v>104.04000000000002</v>
      </c>
      <c r="AP18" s="227">
        <f t="shared" si="8"/>
        <v>104.04000000000002</v>
      </c>
      <c r="AQ18" s="227">
        <f t="shared" si="8"/>
        <v>101.94000000000001</v>
      </c>
      <c r="AR18" s="227">
        <f t="shared" si="8"/>
        <v>199.14</v>
      </c>
      <c r="AS18" s="227">
        <f>I76</f>
        <v>285.94</v>
      </c>
      <c r="AT18" s="227">
        <f>K76</f>
        <v>277.74</v>
      </c>
      <c r="AU18" s="227">
        <f t="shared" ref="AU18:BD18" si="9">M76</f>
        <v>265.83999999999997</v>
      </c>
      <c r="AV18" s="227">
        <f t="shared" si="9"/>
        <v>267.64</v>
      </c>
      <c r="AW18" s="227">
        <f t="shared" si="9"/>
        <v>225.03999999999996</v>
      </c>
      <c r="AX18" s="227">
        <f t="shared" si="9"/>
        <v>226.93999999999997</v>
      </c>
      <c r="AY18" s="227">
        <f t="shared" si="9"/>
        <v>257.83999999999997</v>
      </c>
      <c r="AZ18" s="227">
        <f t="shared" si="9"/>
        <v>257.83999999999997</v>
      </c>
      <c r="BA18" s="227">
        <f t="shared" si="9"/>
        <v>256.83999999999997</v>
      </c>
      <c r="BB18" s="227">
        <f t="shared" si="9"/>
        <v>269.14</v>
      </c>
      <c r="BC18" s="227">
        <f t="shared" si="9"/>
        <v>217.14</v>
      </c>
      <c r="BD18" s="227">
        <f t="shared" si="9"/>
        <v>152.33999999999997</v>
      </c>
      <c r="BE18" s="227">
        <f>X76</f>
        <v>183.23999999999998</v>
      </c>
      <c r="BF18" s="227">
        <f>Z76</f>
        <v>326.49999999999994</v>
      </c>
      <c r="BG18" s="227">
        <f>AB76</f>
        <v>232.43999999999997</v>
      </c>
      <c r="BH18" s="227">
        <f>AD76</f>
        <v>227.43999999999997</v>
      </c>
      <c r="BI18" s="227">
        <f>AE76</f>
        <v>176.43999999999997</v>
      </c>
      <c r="BJ18" s="227">
        <f>AF76</f>
        <v>129.14000000000001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2"/>
        <v>11.8</v>
      </c>
      <c r="AI19" s="48">
        <f t="shared" si="3"/>
        <v>11.8</v>
      </c>
      <c r="AK19" s="50"/>
      <c r="AL19" s="160" t="s">
        <v>594</v>
      </c>
      <c r="AM19" s="227">
        <f t="shared" ref="AM19:AR19" si="10">B92</f>
        <v>556.20000000000005</v>
      </c>
      <c r="AN19" s="227">
        <f t="shared" si="10"/>
        <v>519.29999999999995</v>
      </c>
      <c r="AO19" s="227">
        <f t="shared" si="10"/>
        <v>492.1</v>
      </c>
      <c r="AP19" s="227">
        <f t="shared" si="10"/>
        <v>501.1</v>
      </c>
      <c r="AQ19" s="227">
        <f t="shared" si="10"/>
        <v>525.29999999999995</v>
      </c>
      <c r="AR19" s="227">
        <f t="shared" si="10"/>
        <v>531.6</v>
      </c>
      <c r="AS19" s="227">
        <f>I92</f>
        <v>590</v>
      </c>
      <c r="AT19" s="227">
        <f>K92</f>
        <v>547.79999999999995</v>
      </c>
      <c r="AU19" s="227">
        <f t="shared" ref="AU19:BD19" si="11">M92</f>
        <v>251.6</v>
      </c>
      <c r="AV19" s="227">
        <f t="shared" si="11"/>
        <v>521.29999999999995</v>
      </c>
      <c r="AW19" s="227">
        <f t="shared" si="11"/>
        <v>519.6</v>
      </c>
      <c r="AX19" s="227">
        <f t="shared" si="11"/>
        <v>545.29999999999995</v>
      </c>
      <c r="AY19" s="227">
        <f t="shared" si="11"/>
        <v>682.9</v>
      </c>
      <c r="AZ19" s="227">
        <f t="shared" si="11"/>
        <v>660.31999999999994</v>
      </c>
      <c r="BA19" s="227">
        <f t="shared" si="11"/>
        <v>701.8</v>
      </c>
      <c r="BB19" s="227">
        <f t="shared" si="11"/>
        <v>691.2</v>
      </c>
      <c r="BC19" s="227">
        <f t="shared" si="11"/>
        <v>679.69999999999993</v>
      </c>
      <c r="BD19" s="227">
        <f t="shared" si="11"/>
        <v>641.9</v>
      </c>
      <c r="BE19" s="227">
        <f>X92</f>
        <v>606.79999999999995</v>
      </c>
      <c r="BF19" s="227">
        <f>Z92</f>
        <v>631.9</v>
      </c>
      <c r="BG19" s="227">
        <f>AB92</f>
        <v>645.5</v>
      </c>
      <c r="BH19" s="227">
        <f>AD92</f>
        <v>656.1</v>
      </c>
      <c r="BI19" s="227">
        <f>AE92</f>
        <v>652</v>
      </c>
      <c r="BJ19" s="227">
        <f>AF92</f>
        <v>632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160" t="s">
        <v>595</v>
      </c>
      <c r="AM20" s="227">
        <f t="shared" ref="AM20:AR20" si="12">B80</f>
        <v>0</v>
      </c>
      <c r="AN20" s="227">
        <f t="shared" si="12"/>
        <v>0</v>
      </c>
      <c r="AO20" s="227">
        <f t="shared" si="12"/>
        <v>0</v>
      </c>
      <c r="AP20" s="227">
        <f t="shared" si="12"/>
        <v>0</v>
      </c>
      <c r="AQ20" s="227">
        <f t="shared" si="12"/>
        <v>0</v>
      </c>
      <c r="AR20" s="227">
        <f t="shared" si="12"/>
        <v>0</v>
      </c>
      <c r="AS20" s="227">
        <f>I80</f>
        <v>0</v>
      </c>
      <c r="AT20" s="227">
        <f>K80</f>
        <v>0</v>
      </c>
      <c r="AU20" s="227">
        <f t="shared" ref="AU20:BD20" si="13">M80</f>
        <v>0</v>
      </c>
      <c r="AV20" s="227">
        <f t="shared" si="13"/>
        <v>0</v>
      </c>
      <c r="AW20" s="227">
        <f t="shared" si="13"/>
        <v>0</v>
      </c>
      <c r="AX20" s="227">
        <f t="shared" si="13"/>
        <v>0</v>
      </c>
      <c r="AY20" s="227">
        <f t="shared" si="13"/>
        <v>0</v>
      </c>
      <c r="AZ20" s="227">
        <f t="shared" si="13"/>
        <v>0</v>
      </c>
      <c r="BA20" s="227">
        <f t="shared" si="13"/>
        <v>0</v>
      </c>
      <c r="BB20" s="227">
        <f t="shared" si="13"/>
        <v>20.900000000000002</v>
      </c>
      <c r="BC20" s="227">
        <f t="shared" si="13"/>
        <v>16.899999999999999</v>
      </c>
      <c r="BD20" s="227">
        <f t="shared" si="13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160" t="s">
        <v>596</v>
      </c>
      <c r="AM21" s="227">
        <f t="shared" ref="AM21:AR21" si="14">B98</f>
        <v>0</v>
      </c>
      <c r="AN21" s="227">
        <f t="shared" si="14"/>
        <v>0</v>
      </c>
      <c r="AO21" s="227">
        <f t="shared" si="14"/>
        <v>0</v>
      </c>
      <c r="AP21" s="227">
        <f t="shared" si="14"/>
        <v>0</v>
      </c>
      <c r="AQ21" s="227">
        <f t="shared" si="14"/>
        <v>0</v>
      </c>
      <c r="AR21" s="227">
        <f t="shared" si="14"/>
        <v>0</v>
      </c>
      <c r="AS21" s="227">
        <f>I98</f>
        <v>0</v>
      </c>
      <c r="AT21" s="227">
        <f>K98</f>
        <v>250</v>
      </c>
      <c r="AU21" s="227">
        <f t="shared" ref="AU21:BD21" si="15">M98</f>
        <v>280</v>
      </c>
      <c r="AV21" s="227">
        <f t="shared" si="15"/>
        <v>280</v>
      </c>
      <c r="AW21" s="227">
        <f t="shared" si="15"/>
        <v>280</v>
      </c>
      <c r="AX21" s="227">
        <f t="shared" si="15"/>
        <v>280</v>
      </c>
      <c r="AY21" s="227">
        <f t="shared" si="15"/>
        <v>0</v>
      </c>
      <c r="AZ21" s="227">
        <f t="shared" si="15"/>
        <v>0</v>
      </c>
      <c r="BA21" s="227">
        <f t="shared" si="15"/>
        <v>0</v>
      </c>
      <c r="BB21" s="227">
        <f t="shared" si="15"/>
        <v>0</v>
      </c>
      <c r="BC21" s="227">
        <f t="shared" si="15"/>
        <v>0</v>
      </c>
      <c r="BD21" s="227">
        <f t="shared" si="15"/>
        <v>0</v>
      </c>
      <c r="BE21" s="227">
        <f>X98</f>
        <v>250</v>
      </c>
      <c r="BF21" s="227">
        <f>Z98</f>
        <v>250</v>
      </c>
      <c r="BG21" s="227">
        <f>AB98</f>
        <v>200</v>
      </c>
      <c r="BH21" s="227">
        <f>AD98</f>
        <v>0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7.8</v>
      </c>
      <c r="AI22" s="48">
        <f t="shared" si="3"/>
        <v>7.8</v>
      </c>
      <c r="AK22" s="50"/>
      <c r="AL22" s="229" t="s">
        <v>597</v>
      </c>
      <c r="AM22" s="228">
        <f>SUM(AM16:AM21)</f>
        <v>1177.29</v>
      </c>
      <c r="AN22" s="228">
        <f t="shared" ref="AN22:BJ22" si="16">SUM(AN16:AN21)</f>
        <v>1138.19</v>
      </c>
      <c r="AO22" s="228">
        <f t="shared" si="16"/>
        <v>1111.5900000000001</v>
      </c>
      <c r="AP22" s="228">
        <f t="shared" si="16"/>
        <v>1119.8899999999999</v>
      </c>
      <c r="AQ22" s="228">
        <f t="shared" si="16"/>
        <v>1139.99</v>
      </c>
      <c r="AR22" s="228">
        <f t="shared" si="16"/>
        <v>1244.29</v>
      </c>
      <c r="AS22" s="228">
        <f t="shared" si="16"/>
        <v>1388.79</v>
      </c>
      <c r="AT22" s="228">
        <f t="shared" si="16"/>
        <v>1649.49</v>
      </c>
      <c r="AU22" s="228">
        <f t="shared" si="16"/>
        <v>1581.3899999999999</v>
      </c>
      <c r="AV22" s="228">
        <f t="shared" si="16"/>
        <v>1832.89</v>
      </c>
      <c r="AW22" s="228">
        <f t="shared" si="16"/>
        <v>1553.5900000000001</v>
      </c>
      <c r="AX22" s="228">
        <f t="shared" si="16"/>
        <v>1581.19</v>
      </c>
      <c r="AY22" s="228">
        <f t="shared" si="16"/>
        <v>1504.69</v>
      </c>
      <c r="AZ22" s="228">
        <f t="shared" si="16"/>
        <v>1508.11</v>
      </c>
      <c r="BA22" s="228">
        <f t="shared" si="16"/>
        <v>1526.49</v>
      </c>
      <c r="BB22" s="228">
        <f t="shared" si="16"/>
        <v>1534.19</v>
      </c>
      <c r="BC22" s="228">
        <f t="shared" si="16"/>
        <v>1501.69</v>
      </c>
      <c r="BD22" s="228">
        <f t="shared" si="16"/>
        <v>1394.19</v>
      </c>
      <c r="BE22" s="228">
        <f t="shared" si="16"/>
        <v>1699.0900000000001</v>
      </c>
      <c r="BF22" s="228">
        <f t="shared" si="16"/>
        <v>1877.35</v>
      </c>
      <c r="BG22" s="228">
        <f t="shared" si="16"/>
        <v>1726.8899999999999</v>
      </c>
      <c r="BH22" s="228">
        <f t="shared" si="16"/>
        <v>1476.49</v>
      </c>
      <c r="BI22" s="228">
        <f t="shared" si="16"/>
        <v>1381.3899999999999</v>
      </c>
      <c r="BJ22" s="228">
        <f t="shared" si="16"/>
        <v>1274.0900000000001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6.2</v>
      </c>
      <c r="C23" s="45">
        <v>6.2</v>
      </c>
      <c r="D23" s="45">
        <v>6.2</v>
      </c>
      <c r="E23" s="45">
        <v>6.2</v>
      </c>
      <c r="F23" s="45">
        <v>6.2</v>
      </c>
      <c r="G23" s="45">
        <v>6.2</v>
      </c>
      <c r="H23" s="45">
        <v>6.2</v>
      </c>
      <c r="I23" s="45">
        <v>6.2</v>
      </c>
      <c r="J23" s="45">
        <v>6.2</v>
      </c>
      <c r="K23" s="45">
        <v>6.2</v>
      </c>
      <c r="L23" s="45">
        <v>6.2</v>
      </c>
      <c r="M23" s="45">
        <v>6.2</v>
      </c>
      <c r="N23" s="45">
        <v>6.2</v>
      </c>
      <c r="O23" s="45">
        <v>6.2</v>
      </c>
      <c r="P23" s="45">
        <v>6.2</v>
      </c>
      <c r="Q23" s="45">
        <v>6.2</v>
      </c>
      <c r="R23" s="45">
        <v>6.2</v>
      </c>
      <c r="S23" s="45">
        <v>6.2</v>
      </c>
      <c r="T23" s="45">
        <v>6.2</v>
      </c>
      <c r="U23" s="45">
        <v>6.2</v>
      </c>
      <c r="V23" s="45">
        <v>6.2</v>
      </c>
      <c r="W23" s="45">
        <v>6.2</v>
      </c>
      <c r="X23" s="45">
        <v>6.2</v>
      </c>
      <c r="Y23" s="45">
        <v>6.2</v>
      </c>
      <c r="Z23" s="45">
        <v>6.2</v>
      </c>
      <c r="AA23" s="45">
        <v>6.2</v>
      </c>
      <c r="AB23" s="45">
        <v>6.2</v>
      </c>
      <c r="AC23" s="45">
        <v>6.2</v>
      </c>
      <c r="AD23" s="45">
        <v>6.2</v>
      </c>
      <c r="AE23" s="45">
        <v>6.2</v>
      </c>
      <c r="AF23" s="45">
        <v>6.2</v>
      </c>
      <c r="AG23" s="49">
        <v>24.2</v>
      </c>
      <c r="AH23" s="47">
        <f t="shared" si="2"/>
        <v>6.2</v>
      </c>
      <c r="AI23" s="48">
        <f t="shared" si="3"/>
        <v>6.2</v>
      </c>
      <c r="AK23" s="50"/>
      <c r="AL23" s="229" t="s">
        <v>249</v>
      </c>
      <c r="AM23" s="228">
        <f t="shared" ref="AM23:AR23" si="17">B107*-1</f>
        <v>0</v>
      </c>
      <c r="AN23" s="228">
        <f t="shared" si="17"/>
        <v>0</v>
      </c>
      <c r="AO23" s="228">
        <f t="shared" si="17"/>
        <v>0</v>
      </c>
      <c r="AP23" s="228">
        <f t="shared" si="17"/>
        <v>0</v>
      </c>
      <c r="AQ23" s="228">
        <f t="shared" si="17"/>
        <v>0</v>
      </c>
      <c r="AR23" s="228">
        <f t="shared" si="17"/>
        <v>0</v>
      </c>
      <c r="AS23" s="228">
        <f>I107*-1</f>
        <v>0</v>
      </c>
      <c r="AT23" s="228">
        <f>K107*-1</f>
        <v>0</v>
      </c>
      <c r="AU23" s="228">
        <f t="shared" ref="AU23:BD23" si="18">M107*-1</f>
        <v>0</v>
      </c>
      <c r="AV23" s="228">
        <f t="shared" si="18"/>
        <v>0</v>
      </c>
      <c r="AW23" s="228">
        <f t="shared" si="18"/>
        <v>0</v>
      </c>
      <c r="AX23" s="228">
        <f t="shared" si="18"/>
        <v>0</v>
      </c>
      <c r="AY23" s="228">
        <f t="shared" si="18"/>
        <v>0</v>
      </c>
      <c r="AZ23" s="228">
        <f t="shared" si="18"/>
        <v>0</v>
      </c>
      <c r="BA23" s="228">
        <f t="shared" si="18"/>
        <v>0</v>
      </c>
      <c r="BB23" s="228">
        <f t="shared" si="18"/>
        <v>0</v>
      </c>
      <c r="BC23" s="228">
        <f t="shared" si="18"/>
        <v>0</v>
      </c>
      <c r="BD23" s="228">
        <f t="shared" si="18"/>
        <v>0</v>
      </c>
      <c r="BE23" s="228">
        <f>X107*-1</f>
        <v>0</v>
      </c>
      <c r="BF23" s="228">
        <f>Z107*-1</f>
        <v>0</v>
      </c>
      <c r="BG23" s="228">
        <f>AB107*-1</f>
        <v>0</v>
      </c>
      <c r="BH23" s="228">
        <f>AD107*-1</f>
        <v>-2</v>
      </c>
      <c r="BI23" s="228">
        <f>AE107*-1</f>
        <v>-3</v>
      </c>
      <c r="BJ23" s="228">
        <f>AF107*-1</f>
        <v>-4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49">
        <v>28</v>
      </c>
      <c r="AH24" s="47">
        <f t="shared" si="2"/>
        <v>7.3</v>
      </c>
      <c r="AI24" s="48">
        <f t="shared" si="3"/>
        <v>7.3</v>
      </c>
      <c r="AK24" s="50"/>
      <c r="AL24" s="229" t="s">
        <v>598</v>
      </c>
      <c r="AM24" s="228">
        <f>AM22+AM23</f>
        <v>1177.29</v>
      </c>
      <c r="AN24" s="228">
        <f t="shared" ref="AN24:BJ24" si="19">AN22+AN23</f>
        <v>1138.19</v>
      </c>
      <c r="AO24" s="228">
        <f t="shared" si="19"/>
        <v>1111.5900000000001</v>
      </c>
      <c r="AP24" s="228">
        <f t="shared" si="19"/>
        <v>1119.8899999999999</v>
      </c>
      <c r="AQ24" s="228">
        <f t="shared" si="19"/>
        <v>1139.99</v>
      </c>
      <c r="AR24" s="228">
        <f t="shared" si="19"/>
        <v>1244.29</v>
      </c>
      <c r="AS24" s="228">
        <f t="shared" si="19"/>
        <v>1388.79</v>
      </c>
      <c r="AT24" s="228">
        <f t="shared" si="19"/>
        <v>1649.49</v>
      </c>
      <c r="AU24" s="228">
        <f t="shared" si="19"/>
        <v>1581.3899999999999</v>
      </c>
      <c r="AV24" s="228">
        <f t="shared" si="19"/>
        <v>1832.89</v>
      </c>
      <c r="AW24" s="228">
        <f t="shared" si="19"/>
        <v>1553.5900000000001</v>
      </c>
      <c r="AX24" s="228">
        <f t="shared" si="19"/>
        <v>1581.19</v>
      </c>
      <c r="AY24" s="228">
        <f t="shared" si="19"/>
        <v>1504.69</v>
      </c>
      <c r="AZ24" s="228">
        <f t="shared" si="19"/>
        <v>1508.11</v>
      </c>
      <c r="BA24" s="228">
        <f t="shared" si="19"/>
        <v>1526.49</v>
      </c>
      <c r="BB24" s="228">
        <f t="shared" si="19"/>
        <v>1534.19</v>
      </c>
      <c r="BC24" s="228">
        <f t="shared" si="19"/>
        <v>1501.69</v>
      </c>
      <c r="BD24" s="228">
        <f t="shared" si="19"/>
        <v>1394.19</v>
      </c>
      <c r="BE24" s="228">
        <f t="shared" si="19"/>
        <v>1699.0900000000001</v>
      </c>
      <c r="BF24" s="228">
        <f t="shared" si="19"/>
        <v>1877.35</v>
      </c>
      <c r="BG24" s="228">
        <f t="shared" si="19"/>
        <v>1726.8899999999999</v>
      </c>
      <c r="BH24" s="228">
        <f t="shared" si="19"/>
        <v>1474.49</v>
      </c>
      <c r="BI24" s="228">
        <f t="shared" si="19"/>
        <v>1378.3899999999999</v>
      </c>
      <c r="BJ24" s="228">
        <f t="shared" si="19"/>
        <v>1270.0900000000001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5.3</v>
      </c>
      <c r="C25" s="45">
        <v>5.3</v>
      </c>
      <c r="D25" s="45">
        <v>5.3</v>
      </c>
      <c r="E25" s="45">
        <v>5.3</v>
      </c>
      <c r="F25" s="45">
        <v>5.3</v>
      </c>
      <c r="G25" s="45">
        <v>5.3</v>
      </c>
      <c r="H25" s="45">
        <v>5.3</v>
      </c>
      <c r="I25" s="45">
        <v>5.3</v>
      </c>
      <c r="J25" s="45">
        <v>5.3</v>
      </c>
      <c r="K25" s="45">
        <v>5.3</v>
      </c>
      <c r="L25" s="45">
        <v>5.3</v>
      </c>
      <c r="M25" s="45">
        <v>5.3</v>
      </c>
      <c r="N25" s="45">
        <v>5.3</v>
      </c>
      <c r="O25" s="45">
        <v>5.3</v>
      </c>
      <c r="P25" s="45">
        <v>5.3</v>
      </c>
      <c r="Q25" s="45">
        <v>5.3</v>
      </c>
      <c r="R25" s="45">
        <v>5.3</v>
      </c>
      <c r="S25" s="45">
        <v>5.3</v>
      </c>
      <c r="T25" s="45">
        <v>5.3</v>
      </c>
      <c r="U25" s="45">
        <v>5.3</v>
      </c>
      <c r="V25" s="45">
        <v>5.3</v>
      </c>
      <c r="W25" s="45">
        <v>5.3</v>
      </c>
      <c r="X25" s="45">
        <v>5.3</v>
      </c>
      <c r="Y25" s="45">
        <v>5.3</v>
      </c>
      <c r="Z25" s="45">
        <v>5.3</v>
      </c>
      <c r="AA25" s="45">
        <v>5.3</v>
      </c>
      <c r="AB25" s="45">
        <v>5.3</v>
      </c>
      <c r="AC25" s="45">
        <v>5.3</v>
      </c>
      <c r="AD25" s="45">
        <v>5.3</v>
      </c>
      <c r="AE25" s="45">
        <v>5.3</v>
      </c>
      <c r="AF25" s="45">
        <v>5.3</v>
      </c>
      <c r="AG25" s="52">
        <v>30</v>
      </c>
      <c r="AH25" s="47">
        <f t="shared" si="2"/>
        <v>5.3</v>
      </c>
      <c r="AI25" s="48">
        <f t="shared" si="3"/>
        <v>5.3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8.4</v>
      </c>
      <c r="C26" s="45">
        <v>8.4</v>
      </c>
      <c r="D26" s="45">
        <v>8.4</v>
      </c>
      <c r="E26" s="45">
        <v>8.4</v>
      </c>
      <c r="F26" s="45">
        <v>8.4</v>
      </c>
      <c r="G26" s="45">
        <v>8.4</v>
      </c>
      <c r="H26" s="45">
        <v>8.4</v>
      </c>
      <c r="I26" s="45">
        <v>8.4</v>
      </c>
      <c r="J26" s="45">
        <v>8.4</v>
      </c>
      <c r="K26" s="45">
        <v>8.4</v>
      </c>
      <c r="L26" s="45">
        <v>8.4</v>
      </c>
      <c r="M26" s="45">
        <v>8.4</v>
      </c>
      <c r="N26" s="45">
        <v>8.4</v>
      </c>
      <c r="O26" s="45">
        <v>8.4</v>
      </c>
      <c r="P26" s="45">
        <v>8.4</v>
      </c>
      <c r="Q26" s="45">
        <v>8.4</v>
      </c>
      <c r="R26" s="45">
        <v>8.4</v>
      </c>
      <c r="S26" s="45">
        <v>8.4</v>
      </c>
      <c r="T26" s="45">
        <v>8.4</v>
      </c>
      <c r="U26" s="45">
        <v>8.4</v>
      </c>
      <c r="V26" s="45">
        <v>8.4</v>
      </c>
      <c r="W26" s="45">
        <v>8.4</v>
      </c>
      <c r="X26" s="45">
        <v>8.4</v>
      </c>
      <c r="Y26" s="45">
        <v>8.4</v>
      </c>
      <c r="Z26" s="45">
        <v>8.4</v>
      </c>
      <c r="AA26" s="45">
        <v>8.4</v>
      </c>
      <c r="AB26" s="45">
        <v>8.4</v>
      </c>
      <c r="AC26" s="45">
        <v>8.4</v>
      </c>
      <c r="AD26" s="45">
        <v>8.4</v>
      </c>
      <c r="AE26" s="45">
        <v>8.4</v>
      </c>
      <c r="AF26" s="45">
        <v>8.4</v>
      </c>
      <c r="AG26" s="49">
        <v>25</v>
      </c>
      <c r="AH26" s="47">
        <f t="shared" si="2"/>
        <v>8.4</v>
      </c>
      <c r="AI26" s="48">
        <f t="shared" si="3"/>
        <v>8.4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 t="str">
        <f>"DAILY SYSTEM PEAK : "&amp;MAX(AM22:BJ22)&amp;" MW"</f>
        <v>DAILY SYSTEM PEAK : 1877.35 MW</v>
      </c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6.9</v>
      </c>
      <c r="C29" s="45">
        <v>6.9</v>
      </c>
      <c r="D29" s="45">
        <v>6.9</v>
      </c>
      <c r="E29" s="45">
        <v>6.9</v>
      </c>
      <c r="F29" s="45">
        <v>6.9</v>
      </c>
      <c r="G29" s="45">
        <v>6.9</v>
      </c>
      <c r="H29" s="45">
        <v>6.9</v>
      </c>
      <c r="I29" s="45">
        <v>6.9</v>
      </c>
      <c r="J29" s="45">
        <v>6.9</v>
      </c>
      <c r="K29" s="45">
        <v>6.9</v>
      </c>
      <c r="L29" s="45">
        <v>6.9</v>
      </c>
      <c r="M29" s="45">
        <v>6.9</v>
      </c>
      <c r="N29" s="45">
        <v>6.9</v>
      </c>
      <c r="O29" s="45">
        <v>6.9</v>
      </c>
      <c r="P29" s="45">
        <v>6.9</v>
      </c>
      <c r="Q29" s="45">
        <v>6.9</v>
      </c>
      <c r="R29" s="45">
        <v>6.9</v>
      </c>
      <c r="S29" s="45">
        <v>6.9</v>
      </c>
      <c r="T29" s="45">
        <v>6.9</v>
      </c>
      <c r="U29" s="45">
        <v>6.9</v>
      </c>
      <c r="V29" s="45">
        <v>6.9</v>
      </c>
      <c r="W29" s="45">
        <v>6.9</v>
      </c>
      <c r="X29" s="45">
        <v>6.9</v>
      </c>
      <c r="Y29" s="45">
        <v>6.9</v>
      </c>
      <c r="Z29" s="45">
        <v>6.9</v>
      </c>
      <c r="AA29" s="45">
        <v>6.9</v>
      </c>
      <c r="AB29" s="45">
        <v>6.9</v>
      </c>
      <c r="AC29" s="45">
        <v>6.9</v>
      </c>
      <c r="AD29" s="45">
        <v>6.9</v>
      </c>
      <c r="AE29" s="45">
        <v>6.9</v>
      </c>
      <c r="AF29" s="45">
        <v>6.9</v>
      </c>
      <c r="AG29" s="49">
        <v>25</v>
      </c>
      <c r="AH29" s="47">
        <f t="shared" si="2"/>
        <v>6.9</v>
      </c>
      <c r="AI29" s="48">
        <f t="shared" si="3"/>
        <v>6.9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 t="str">
        <f>"DAILY NATIONAL PEAK : "&amp;MAX(AM24:BJ24)&amp;" MW"</f>
        <v>DAILY NATIONAL PEAK : 1877.35 MW</v>
      </c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7.8</v>
      </c>
      <c r="C30" s="45">
        <v>7.8</v>
      </c>
      <c r="D30" s="45">
        <v>7.8</v>
      </c>
      <c r="E30" s="45">
        <v>7.8</v>
      </c>
      <c r="F30" s="45">
        <v>7.8</v>
      </c>
      <c r="G30" s="45">
        <v>7.8</v>
      </c>
      <c r="H30" s="45">
        <v>7.8</v>
      </c>
      <c r="I30" s="45">
        <v>7.8</v>
      </c>
      <c r="J30" s="45">
        <v>7.8</v>
      </c>
      <c r="K30" s="45">
        <v>7.8</v>
      </c>
      <c r="L30" s="45">
        <v>7.8</v>
      </c>
      <c r="M30" s="45">
        <v>7.8</v>
      </c>
      <c r="N30" s="45">
        <v>7.8</v>
      </c>
      <c r="O30" s="45">
        <v>7.8</v>
      </c>
      <c r="P30" s="45">
        <v>7.8</v>
      </c>
      <c r="Q30" s="45">
        <v>7.8</v>
      </c>
      <c r="R30" s="45">
        <v>7.8</v>
      </c>
      <c r="S30" s="45">
        <v>7.8</v>
      </c>
      <c r="T30" s="45">
        <v>7.8</v>
      </c>
      <c r="U30" s="45">
        <v>7.8</v>
      </c>
      <c r="V30" s="45">
        <v>7.8</v>
      </c>
      <c r="W30" s="45">
        <v>7.8</v>
      </c>
      <c r="X30" s="45">
        <v>7.8</v>
      </c>
      <c r="Y30" s="45">
        <v>7.8</v>
      </c>
      <c r="Z30" s="45">
        <v>7.8</v>
      </c>
      <c r="AA30" s="45">
        <v>7.8</v>
      </c>
      <c r="AB30" s="45">
        <v>7.8</v>
      </c>
      <c r="AC30" s="45">
        <v>7.8</v>
      </c>
      <c r="AD30" s="45">
        <v>7.8</v>
      </c>
      <c r="AE30" s="45">
        <v>7.8</v>
      </c>
      <c r="AF30" s="45">
        <v>7.8</v>
      </c>
      <c r="AG30" s="49">
        <v>23.5</v>
      </c>
      <c r="AH30" s="47">
        <f t="shared" si="2"/>
        <v>7.8</v>
      </c>
      <c r="AI30" s="48">
        <f t="shared" si="3"/>
        <v>7.8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2"/>
        <v>3</v>
      </c>
      <c r="AI31" s="48">
        <f t="shared" si="3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12.5</v>
      </c>
      <c r="C34" s="45">
        <v>12.5</v>
      </c>
      <c r="D34" s="45">
        <v>12.5</v>
      </c>
      <c r="E34" s="45">
        <v>12.5</v>
      </c>
      <c r="F34" s="45">
        <v>12.5</v>
      </c>
      <c r="G34" s="45">
        <v>12.5</v>
      </c>
      <c r="H34" s="45">
        <v>12.5</v>
      </c>
      <c r="I34" s="45">
        <v>12.5</v>
      </c>
      <c r="J34" s="45">
        <v>12.5</v>
      </c>
      <c r="K34" s="45">
        <v>12.5</v>
      </c>
      <c r="L34" s="45">
        <v>12.5</v>
      </c>
      <c r="M34" s="45">
        <v>12.5</v>
      </c>
      <c r="N34" s="45">
        <v>12.5</v>
      </c>
      <c r="O34" s="45">
        <v>12.5</v>
      </c>
      <c r="P34" s="45">
        <v>12.5</v>
      </c>
      <c r="Q34" s="45">
        <v>12.5</v>
      </c>
      <c r="R34" s="45">
        <v>12.5</v>
      </c>
      <c r="S34" s="45">
        <v>12.5</v>
      </c>
      <c r="T34" s="45">
        <v>12.5</v>
      </c>
      <c r="U34" s="45">
        <v>12.5</v>
      </c>
      <c r="V34" s="45">
        <v>12.5</v>
      </c>
      <c r="W34" s="45">
        <v>12.5</v>
      </c>
      <c r="X34" s="45">
        <v>12.5</v>
      </c>
      <c r="Y34" s="45">
        <v>12.5</v>
      </c>
      <c r="Z34" s="45">
        <v>12.5</v>
      </c>
      <c r="AA34" s="45">
        <v>12.5</v>
      </c>
      <c r="AB34" s="45">
        <v>12.5</v>
      </c>
      <c r="AC34" s="45">
        <v>12.5</v>
      </c>
      <c r="AD34" s="45">
        <v>12.5</v>
      </c>
      <c r="AE34" s="45">
        <v>12.5</v>
      </c>
      <c r="AF34" s="45">
        <v>12.5</v>
      </c>
      <c r="AG34" s="49">
        <v>22</v>
      </c>
      <c r="AH34" s="47">
        <f t="shared" si="2"/>
        <v>12.5</v>
      </c>
      <c r="AI34" s="48">
        <f t="shared" si="3"/>
        <v>12.5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6.5</v>
      </c>
      <c r="AC35" s="45">
        <v>6.5</v>
      </c>
      <c r="AD35" s="45">
        <v>6.5</v>
      </c>
      <c r="AE35" s="45">
        <v>6.5</v>
      </c>
      <c r="AF35" s="45">
        <v>6.5</v>
      </c>
      <c r="AG35" s="49">
        <v>20</v>
      </c>
      <c r="AH35" s="47">
        <f t="shared" si="2"/>
        <v>6.5</v>
      </c>
      <c r="AI35" s="48">
        <f t="shared" si="3"/>
        <v>6.5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f>6.7+15.2</f>
        <v>21.9</v>
      </c>
      <c r="C57" s="57">
        <f>6.8+15.7</f>
        <v>22.5</v>
      </c>
      <c r="D57" s="57">
        <f>6.7+15.2</f>
        <v>21.9</v>
      </c>
      <c r="E57" s="57">
        <f>14.5+6.6</f>
        <v>21.1</v>
      </c>
      <c r="F57" s="57">
        <f>15.3+6.8</f>
        <v>22.1</v>
      </c>
      <c r="G57" s="57">
        <f>15.6+6.8</f>
        <v>22.4</v>
      </c>
      <c r="H57" s="57">
        <f>15+6.5</f>
        <v>21.5</v>
      </c>
      <c r="I57" s="57">
        <f>15+6.5</f>
        <v>21.5</v>
      </c>
      <c r="J57" s="57">
        <f>14+6.1</f>
        <v>20.100000000000001</v>
      </c>
      <c r="K57" s="51">
        <f>13+5.7</f>
        <v>18.7</v>
      </c>
      <c r="L57" s="51">
        <f>13.3+5.3</f>
        <v>18.600000000000001</v>
      </c>
      <c r="M57" s="51">
        <f>13.3+5.3</f>
        <v>18.600000000000001</v>
      </c>
      <c r="N57" s="51">
        <f>13.3+5.3</f>
        <v>18.600000000000001</v>
      </c>
      <c r="O57" s="51">
        <f>13.3+5.3</f>
        <v>18.600000000000001</v>
      </c>
      <c r="P57" s="51">
        <f>13.3+5.3</f>
        <v>18.600000000000001</v>
      </c>
      <c r="Q57" s="51">
        <v>21.5</v>
      </c>
      <c r="R57" s="51">
        <v>21.5</v>
      </c>
      <c r="S57" s="51">
        <v>22</v>
      </c>
      <c r="T57" s="51">
        <f>7.4+15.9</f>
        <v>23.3</v>
      </c>
      <c r="U57" s="51">
        <f>6.6+14.5</f>
        <v>21.1</v>
      </c>
      <c r="V57" s="51">
        <v>19.5</v>
      </c>
      <c r="W57" s="51">
        <f>5.7+13.2</f>
        <v>18.899999999999999</v>
      </c>
      <c r="X57" s="51">
        <f>5+12.1</f>
        <v>17.100000000000001</v>
      </c>
      <c r="Y57" s="51">
        <f>5+12.1</f>
        <v>17.100000000000001</v>
      </c>
      <c r="Z57" s="57">
        <f>4.7+11</f>
        <v>15.7</v>
      </c>
      <c r="AA57" s="57">
        <f>4.7+10.6</f>
        <v>15.3</v>
      </c>
      <c r="AB57" s="57">
        <v>18.2</v>
      </c>
      <c r="AC57" s="57">
        <v>18.2</v>
      </c>
      <c r="AD57" s="57">
        <v>18.2</v>
      </c>
      <c r="AE57" s="57">
        <v>18.2</v>
      </c>
      <c r="AF57" s="57">
        <v>18.2</v>
      </c>
      <c r="AG57" s="55">
        <v>240</v>
      </c>
      <c r="AH57" s="47">
        <f t="shared" si="2"/>
        <v>23.3</v>
      </c>
      <c r="AI57" s="48">
        <f t="shared" si="3"/>
        <v>15.3</v>
      </c>
      <c r="AK57" s="50"/>
    </row>
    <row r="58" spans="1:88" ht="15.75" thickBot="1" x14ac:dyDescent="0.3">
      <c r="A58" s="59" t="s">
        <v>58</v>
      </c>
      <c r="B58" s="60">
        <f t="shared" ref="B58:C58" si="20">SUM(B11:B56)</f>
        <v>480.35000000000008</v>
      </c>
      <c r="C58" s="60">
        <f t="shared" si="20"/>
        <v>480.35000000000008</v>
      </c>
      <c r="D58" s="60">
        <f t="shared" ref="D58" si="21">SUM(D11:D56)</f>
        <v>480.35000000000008</v>
      </c>
      <c r="E58" s="60">
        <f t="shared" ref="E58:AB58" si="22">SUM(E11:E56)</f>
        <v>479.65000000000003</v>
      </c>
      <c r="F58" s="60">
        <f t="shared" si="22"/>
        <v>477.75000000000006</v>
      </c>
      <c r="G58" s="60">
        <f t="shared" si="22"/>
        <v>478.35000000000008</v>
      </c>
      <c r="H58" s="60">
        <f t="shared" si="22"/>
        <v>477.75000000000006</v>
      </c>
      <c r="I58" s="60">
        <f t="shared" ref="I58" si="23">SUM(I11:I56)</f>
        <v>477.75000000000006</v>
      </c>
      <c r="J58" s="60">
        <f t="shared" si="22"/>
        <v>477.75000000000006</v>
      </c>
      <c r="K58" s="60">
        <f t="shared" si="22"/>
        <v>477.75000000000006</v>
      </c>
      <c r="L58" s="60">
        <f t="shared" si="22"/>
        <v>477.75000000000006</v>
      </c>
      <c r="M58" s="60">
        <f t="shared" si="22"/>
        <v>477.75000000000006</v>
      </c>
      <c r="N58" s="60">
        <f t="shared" ref="N58" si="24">SUM(N11:N56)</f>
        <v>477.75000000000006</v>
      </c>
      <c r="O58" s="60">
        <f t="shared" si="22"/>
        <v>477.75000000000006</v>
      </c>
      <c r="P58" s="60">
        <f t="shared" si="22"/>
        <v>477.75000000000006</v>
      </c>
      <c r="Q58" s="60">
        <f t="shared" si="22"/>
        <v>477.75000000000006</v>
      </c>
      <c r="R58" s="60">
        <f t="shared" si="22"/>
        <v>477.75000000000006</v>
      </c>
      <c r="S58" s="60">
        <f t="shared" si="22"/>
        <v>477.75000000000006</v>
      </c>
      <c r="T58" s="60">
        <f t="shared" si="22"/>
        <v>477.75000000000006</v>
      </c>
      <c r="U58" s="60">
        <f t="shared" si="22"/>
        <v>477.85000000000008</v>
      </c>
      <c r="V58" s="60">
        <f t="shared" si="22"/>
        <v>477.85000000000008</v>
      </c>
      <c r="W58" s="60">
        <f t="shared" si="22"/>
        <v>477.85000000000008</v>
      </c>
      <c r="X58" s="60">
        <f t="shared" si="22"/>
        <v>477.85000000000008</v>
      </c>
      <c r="Y58" s="60">
        <f t="shared" si="22"/>
        <v>477.85000000000008</v>
      </c>
      <c r="Z58" s="60">
        <f t="shared" si="22"/>
        <v>477.85000000000008</v>
      </c>
      <c r="AA58" s="60">
        <f t="shared" si="22"/>
        <v>477.85000000000008</v>
      </c>
      <c r="AB58" s="60">
        <f t="shared" si="22"/>
        <v>477.85000000000008</v>
      </c>
      <c r="AC58" s="60">
        <f t="shared" ref="AC58:AD58" si="25">SUM(AC11:AC56)</f>
        <v>477.85000000000008</v>
      </c>
      <c r="AD58" s="60">
        <f t="shared" si="25"/>
        <v>477.85000000000008</v>
      </c>
      <c r="AE58" s="60">
        <f t="shared" ref="AE58:AF58" si="26">SUM(AE11:AE56)</f>
        <v>477.85000000000008</v>
      </c>
      <c r="AF58" s="60">
        <f t="shared" si="26"/>
        <v>477.85000000000008</v>
      </c>
      <c r="AG58" s="61">
        <f>SUM(AG14:AG56)</f>
        <v>1042.4000000000001</v>
      </c>
      <c r="AH58" s="47">
        <f t="shared" si="2"/>
        <v>480.35000000000008</v>
      </c>
      <c r="AI58" s="48">
        <f t="shared" si="3"/>
        <v>477.75000000000006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60</v>
      </c>
      <c r="K59" s="45">
        <v>60</v>
      </c>
      <c r="L59" s="45">
        <v>270</v>
      </c>
      <c r="M59" s="45">
        <v>270</v>
      </c>
      <c r="N59" s="45">
        <v>250</v>
      </c>
      <c r="O59" s="63">
        <v>15</v>
      </c>
      <c r="P59" s="63">
        <v>15</v>
      </c>
      <c r="Q59" s="63">
        <v>50</v>
      </c>
      <c r="R59" s="63">
        <v>76</v>
      </c>
      <c r="S59" s="63">
        <v>55</v>
      </c>
      <c r="T59" s="63">
        <v>40</v>
      </c>
      <c r="U59" s="63">
        <v>75</v>
      </c>
      <c r="V59" s="63">
        <v>87</v>
      </c>
      <c r="W59" s="45">
        <v>100</v>
      </c>
      <c r="X59" s="45">
        <v>140</v>
      </c>
      <c r="Y59" s="45">
        <v>120</v>
      </c>
      <c r="Z59" s="45">
        <v>150</v>
      </c>
      <c r="AA59" s="45">
        <v>130</v>
      </c>
      <c r="AB59" s="45">
        <v>130</v>
      </c>
      <c r="AC59" s="45">
        <v>110</v>
      </c>
      <c r="AD59" s="45">
        <v>80</v>
      </c>
      <c r="AE59" s="45">
        <v>40</v>
      </c>
      <c r="AF59" s="45">
        <v>0</v>
      </c>
      <c r="AG59" s="52">
        <v>456</v>
      </c>
      <c r="AH59" s="47">
        <f t="shared" si="2"/>
        <v>270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27</v>
      </c>
      <c r="AI60" s="48">
        <f t="shared" si="3"/>
        <v>27</v>
      </c>
      <c r="AK60" s="50"/>
    </row>
    <row r="61" spans="1:88" ht="15.75" thickBot="1" x14ac:dyDescent="0.3">
      <c r="A61" s="66" t="s">
        <v>61</v>
      </c>
      <c r="B61" s="67">
        <v>8.1</v>
      </c>
      <c r="C61" s="67">
        <v>8.1</v>
      </c>
      <c r="D61" s="67">
        <v>8.1</v>
      </c>
      <c r="E61" s="67">
        <v>8.1</v>
      </c>
      <c r="F61" s="67">
        <v>8</v>
      </c>
      <c r="G61" s="67">
        <v>8.1999999999999993</v>
      </c>
      <c r="H61" s="67">
        <v>8.1</v>
      </c>
      <c r="I61" s="67">
        <v>8.1</v>
      </c>
      <c r="J61" s="67">
        <v>8.1</v>
      </c>
      <c r="K61" s="67">
        <v>9.1999999999999993</v>
      </c>
      <c r="L61" s="67">
        <v>9.1999999999999993</v>
      </c>
      <c r="M61" s="67">
        <v>9.1999999999999993</v>
      </c>
      <c r="N61" s="67">
        <v>9.1999999999999993</v>
      </c>
      <c r="O61" s="67">
        <v>9.1999999999999993</v>
      </c>
      <c r="P61" s="67">
        <v>9.1999999999999993</v>
      </c>
      <c r="Q61" s="67">
        <v>9.1999999999999993</v>
      </c>
      <c r="R61" s="67">
        <v>9.1999999999999993</v>
      </c>
      <c r="S61" s="67">
        <v>8.1</v>
      </c>
      <c r="T61" s="67">
        <v>8.1999999999999993</v>
      </c>
      <c r="U61" s="67">
        <v>8.1</v>
      </c>
      <c r="V61" s="67">
        <v>8.1</v>
      </c>
      <c r="W61" s="67">
        <v>8.1</v>
      </c>
      <c r="X61" s="67">
        <v>14.2</v>
      </c>
      <c r="Y61" s="67">
        <v>14.1</v>
      </c>
      <c r="Z61" s="67">
        <v>14.1</v>
      </c>
      <c r="AA61" s="67">
        <v>14.1</v>
      </c>
      <c r="AB61" s="67">
        <v>14.1</v>
      </c>
      <c r="AC61" s="67">
        <v>8.1</v>
      </c>
      <c r="AD61" s="67">
        <v>8.1</v>
      </c>
      <c r="AE61" s="67">
        <v>8.1</v>
      </c>
      <c r="AF61" s="67">
        <v>8.1</v>
      </c>
      <c r="AG61" s="68">
        <v>22.1</v>
      </c>
      <c r="AH61" s="47">
        <f t="shared" si="2"/>
        <v>14.2</v>
      </c>
      <c r="AI61" s="48">
        <f t="shared" si="3"/>
        <v>8</v>
      </c>
      <c r="AK61" s="50"/>
    </row>
    <row r="62" spans="1:88" ht="15.75" thickBot="1" x14ac:dyDescent="0.3">
      <c r="A62" s="69" t="s">
        <v>62</v>
      </c>
      <c r="B62" s="60">
        <f t="shared" ref="B62:C62" si="27">SUM(B59:B61)</f>
        <v>35.1</v>
      </c>
      <c r="C62" s="60">
        <f t="shared" si="27"/>
        <v>35.1</v>
      </c>
      <c r="D62" s="60">
        <f t="shared" ref="D62" si="28">SUM(D59:D61)</f>
        <v>35.1</v>
      </c>
      <c r="E62" s="60">
        <f t="shared" ref="E62:AG62" si="29">SUM(E59:E61)</f>
        <v>35.1</v>
      </c>
      <c r="F62" s="60">
        <f t="shared" si="29"/>
        <v>35</v>
      </c>
      <c r="G62" s="60">
        <f t="shared" si="29"/>
        <v>35.200000000000003</v>
      </c>
      <c r="H62" s="60">
        <f t="shared" si="29"/>
        <v>35.1</v>
      </c>
      <c r="I62" s="60">
        <f t="shared" ref="I62" si="30">SUM(I59:I61)</f>
        <v>35.1</v>
      </c>
      <c r="J62" s="60">
        <f t="shared" si="29"/>
        <v>95.1</v>
      </c>
      <c r="K62" s="60">
        <f t="shared" si="29"/>
        <v>96.2</v>
      </c>
      <c r="L62" s="60">
        <f t="shared" si="29"/>
        <v>306.2</v>
      </c>
      <c r="M62" s="60">
        <f t="shared" si="29"/>
        <v>306.2</v>
      </c>
      <c r="N62" s="60">
        <f t="shared" ref="N62" si="31">SUM(N59:N61)</f>
        <v>286.2</v>
      </c>
      <c r="O62" s="60">
        <f t="shared" si="29"/>
        <v>51.2</v>
      </c>
      <c r="P62" s="60">
        <f t="shared" si="29"/>
        <v>51.2</v>
      </c>
      <c r="Q62" s="60">
        <f t="shared" si="29"/>
        <v>86.2</v>
      </c>
      <c r="R62" s="60">
        <f t="shared" si="29"/>
        <v>112.2</v>
      </c>
      <c r="S62" s="60">
        <f t="shared" si="29"/>
        <v>90.1</v>
      </c>
      <c r="T62" s="60">
        <f t="shared" si="29"/>
        <v>75.2</v>
      </c>
      <c r="U62" s="60">
        <f t="shared" si="29"/>
        <v>110.1</v>
      </c>
      <c r="V62" s="60">
        <f t="shared" si="29"/>
        <v>122.1</v>
      </c>
      <c r="W62" s="60">
        <f t="shared" si="29"/>
        <v>135.1</v>
      </c>
      <c r="X62" s="60">
        <f t="shared" si="29"/>
        <v>181.2</v>
      </c>
      <c r="Y62" s="60">
        <f t="shared" si="29"/>
        <v>161.1</v>
      </c>
      <c r="Z62" s="60">
        <f t="shared" si="29"/>
        <v>191.1</v>
      </c>
      <c r="AA62" s="60">
        <f t="shared" si="29"/>
        <v>171.1</v>
      </c>
      <c r="AB62" s="60">
        <f t="shared" si="29"/>
        <v>171.1</v>
      </c>
      <c r="AC62" s="60">
        <f t="shared" ref="AC62:AD62" si="32">SUM(AC59:AC61)</f>
        <v>145.1</v>
      </c>
      <c r="AD62" s="60">
        <f t="shared" si="32"/>
        <v>115.1</v>
      </c>
      <c r="AE62" s="60">
        <f t="shared" ref="AE62:AF62" si="33">SUM(AE59:AE61)</f>
        <v>75.099999999999994</v>
      </c>
      <c r="AF62" s="60">
        <f t="shared" si="33"/>
        <v>35.1</v>
      </c>
      <c r="AG62" s="61">
        <f t="shared" si="29"/>
        <v>538.1</v>
      </c>
      <c r="AH62" s="47">
        <f t="shared" si="2"/>
        <v>306.2</v>
      </c>
      <c r="AI62" s="48">
        <f t="shared" si="3"/>
        <v>35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</v>
      </c>
      <c r="H63" s="45">
        <v>91.5</v>
      </c>
      <c r="I63" s="45">
        <v>97</v>
      </c>
      <c r="J63" s="45">
        <v>144</v>
      </c>
      <c r="K63" s="45">
        <v>111.8</v>
      </c>
      <c r="L63" s="45">
        <v>92.1</v>
      </c>
      <c r="M63" s="45">
        <v>93.8</v>
      </c>
      <c r="N63" s="45">
        <v>93.8</v>
      </c>
      <c r="O63" s="45">
        <v>60</v>
      </c>
      <c r="P63" s="45">
        <v>60</v>
      </c>
      <c r="Q63" s="45">
        <v>60.7</v>
      </c>
      <c r="R63" s="45">
        <v>60.7</v>
      </c>
      <c r="S63" s="45">
        <v>71</v>
      </c>
      <c r="T63" s="45">
        <v>98.2</v>
      </c>
      <c r="U63" s="45">
        <v>81</v>
      </c>
      <c r="V63" s="45">
        <v>31.2</v>
      </c>
      <c r="W63" s="45">
        <v>30.1</v>
      </c>
      <c r="X63" s="45">
        <v>61.4</v>
      </c>
      <c r="Y63" s="45">
        <v>140.6</v>
      </c>
      <c r="Z63" s="45">
        <v>136.4</v>
      </c>
      <c r="AA63" s="45">
        <v>94.6</v>
      </c>
      <c r="AB63" s="45">
        <v>81</v>
      </c>
      <c r="AC63" s="45">
        <v>81</v>
      </c>
      <c r="AD63" s="45">
        <v>81</v>
      </c>
      <c r="AE63" s="45">
        <v>30</v>
      </c>
      <c r="AF63" s="45">
        <v>0</v>
      </c>
      <c r="AG63" s="52">
        <v>144</v>
      </c>
      <c r="AH63" s="47">
        <f t="shared" si="2"/>
        <v>144</v>
      </c>
      <c r="AI63" s="48">
        <f t="shared" si="3"/>
        <v>0</v>
      </c>
      <c r="AK63" s="50"/>
    </row>
    <row r="64" spans="1:88" x14ac:dyDescent="0.25">
      <c r="A64" s="54" t="s">
        <v>64</v>
      </c>
      <c r="B64" s="45">
        <v>25</v>
      </c>
      <c r="C64" s="45">
        <v>22.8</v>
      </c>
      <c r="D64" s="45">
        <v>22.9</v>
      </c>
      <c r="E64" s="65">
        <v>22.9</v>
      </c>
      <c r="F64" s="65">
        <v>22.8</v>
      </c>
      <c r="G64" s="65">
        <v>35</v>
      </c>
      <c r="H64" s="65">
        <v>24.8</v>
      </c>
      <c r="I64" s="65">
        <v>34.9</v>
      </c>
      <c r="J64" s="65">
        <v>35.799999999999997</v>
      </c>
      <c r="K64" s="65">
        <v>25</v>
      </c>
      <c r="L64" s="65">
        <v>24.9</v>
      </c>
      <c r="M64" s="65">
        <v>24.9</v>
      </c>
      <c r="N64" s="65">
        <v>24.9</v>
      </c>
      <c r="O64" s="65">
        <v>24</v>
      </c>
      <c r="P64" s="65">
        <v>24</v>
      </c>
      <c r="Q64" s="65">
        <v>25</v>
      </c>
      <c r="R64" s="65">
        <v>25</v>
      </c>
      <c r="S64" s="65">
        <v>34.799999999999997</v>
      </c>
      <c r="T64" s="65">
        <v>34.799999999999997</v>
      </c>
      <c r="U64" s="65">
        <v>34.700000000000003</v>
      </c>
      <c r="V64" s="65">
        <v>24.7</v>
      </c>
      <c r="W64" s="45">
        <v>24.8</v>
      </c>
      <c r="X64" s="45">
        <v>34.1</v>
      </c>
      <c r="Y64" s="45">
        <v>33.700000000000003</v>
      </c>
      <c r="Z64" s="45">
        <v>33.799999999999997</v>
      </c>
      <c r="AA64" s="45">
        <v>25.8</v>
      </c>
      <c r="AB64" s="45">
        <v>25.8</v>
      </c>
      <c r="AC64" s="45">
        <v>25.8</v>
      </c>
      <c r="AD64" s="45">
        <v>25.8</v>
      </c>
      <c r="AE64" s="45">
        <v>25.8</v>
      </c>
      <c r="AF64" s="45">
        <v>22</v>
      </c>
      <c r="AG64" s="55">
        <v>70</v>
      </c>
      <c r="AH64" s="47">
        <f t="shared" si="2"/>
        <v>35.799999999999997</v>
      </c>
      <c r="AI64" s="48">
        <f t="shared" si="3"/>
        <v>22</v>
      </c>
      <c r="AK64" s="50"/>
    </row>
    <row r="65" spans="1:41" x14ac:dyDescent="0.25">
      <c r="A65" s="54" t="s">
        <v>65</v>
      </c>
      <c r="B65" s="45">
        <v>0</v>
      </c>
      <c r="C65" s="45">
        <v>0</v>
      </c>
      <c r="D65" s="45">
        <v>0</v>
      </c>
      <c r="E65" s="65">
        <v>0</v>
      </c>
      <c r="F65" s="65">
        <v>0</v>
      </c>
      <c r="G65" s="65">
        <v>46</v>
      </c>
      <c r="H65" s="65">
        <v>47</v>
      </c>
      <c r="I65" s="65">
        <v>65.8</v>
      </c>
      <c r="J65" s="65">
        <v>67</v>
      </c>
      <c r="K65" s="65">
        <v>51</v>
      </c>
      <c r="L65" s="65">
        <v>50</v>
      </c>
      <c r="M65" s="65">
        <v>50</v>
      </c>
      <c r="N65" s="65">
        <v>50</v>
      </c>
      <c r="O65" s="65">
        <v>34</v>
      </c>
      <c r="P65" s="65">
        <v>34</v>
      </c>
      <c r="Q65" s="65">
        <v>44.7</v>
      </c>
      <c r="R65" s="65">
        <v>44.7</v>
      </c>
      <c r="S65" s="65">
        <v>45.8</v>
      </c>
      <c r="T65" s="65">
        <v>45.7</v>
      </c>
      <c r="U65" s="65">
        <v>16.600000000000001</v>
      </c>
      <c r="V65" s="65">
        <v>16.600000000000001</v>
      </c>
      <c r="W65" s="45">
        <v>0</v>
      </c>
      <c r="X65" s="45">
        <v>0</v>
      </c>
      <c r="Y65" s="45">
        <v>35.9</v>
      </c>
      <c r="Z65" s="45">
        <v>55</v>
      </c>
      <c r="AA65" s="45">
        <v>35.5</v>
      </c>
      <c r="AB65" s="45">
        <v>35.5</v>
      </c>
      <c r="AC65" s="45">
        <v>35.5</v>
      </c>
      <c r="AD65" s="45">
        <v>35.5</v>
      </c>
      <c r="AE65" s="45">
        <v>35.5</v>
      </c>
      <c r="AF65" s="45">
        <v>32</v>
      </c>
      <c r="AG65" s="55">
        <v>69</v>
      </c>
      <c r="AH65" s="47">
        <f t="shared" si="2"/>
        <v>67</v>
      </c>
      <c r="AI65" s="48">
        <f t="shared" si="3"/>
        <v>0</v>
      </c>
      <c r="AK65" s="50"/>
    </row>
    <row r="66" spans="1:41" x14ac:dyDescent="0.25">
      <c r="A66" s="54" t="s">
        <v>66</v>
      </c>
      <c r="B66" s="45">
        <v>38</v>
      </c>
      <c r="C66" s="45">
        <v>38</v>
      </c>
      <c r="D66" s="45">
        <v>38</v>
      </c>
      <c r="E66" s="65">
        <v>38</v>
      </c>
      <c r="F66" s="65">
        <v>36</v>
      </c>
      <c r="G66" s="65">
        <v>35</v>
      </c>
      <c r="H66" s="65">
        <v>35.299999999999997</v>
      </c>
      <c r="I66" s="65">
        <v>35.299999999999997</v>
      </c>
      <c r="J66" s="65">
        <v>35.299999999999997</v>
      </c>
      <c r="K66" s="57">
        <v>36.299999999999997</v>
      </c>
      <c r="L66" s="57">
        <v>23.3</v>
      </c>
      <c r="M66" s="65">
        <v>36</v>
      </c>
      <c r="N66" s="65">
        <v>36</v>
      </c>
      <c r="O66" s="65">
        <v>36</v>
      </c>
      <c r="P66" s="65">
        <v>36</v>
      </c>
      <c r="Q66" s="65">
        <v>37.799999999999997</v>
      </c>
      <c r="R66" s="65">
        <v>37.799999999999997</v>
      </c>
      <c r="S66" s="65">
        <v>35.799999999999997</v>
      </c>
      <c r="T66" s="65">
        <v>36</v>
      </c>
      <c r="U66" s="65">
        <v>35</v>
      </c>
      <c r="V66" s="65">
        <v>35</v>
      </c>
      <c r="W66" s="45">
        <v>35</v>
      </c>
      <c r="X66" s="45">
        <v>34.799999999999997</v>
      </c>
      <c r="Y66" s="45">
        <v>33.700000000000003</v>
      </c>
      <c r="Z66" s="45">
        <v>33.700000000000003</v>
      </c>
      <c r="AA66" s="45">
        <v>32.200000000000003</v>
      </c>
      <c r="AB66" s="45">
        <v>32.200000000000003</v>
      </c>
      <c r="AC66" s="45">
        <v>32.200000000000003</v>
      </c>
      <c r="AD66" s="45">
        <v>32.200000000000003</v>
      </c>
      <c r="AE66" s="45">
        <v>32.200000000000003</v>
      </c>
      <c r="AF66" s="45">
        <v>32.200000000000003</v>
      </c>
      <c r="AG66" s="55">
        <v>60</v>
      </c>
      <c r="AH66" s="47">
        <f t="shared" si="2"/>
        <v>38</v>
      </c>
      <c r="AI66" s="48">
        <f t="shared" si="3"/>
        <v>23.3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65">
        <v>10</v>
      </c>
      <c r="H67" s="65">
        <v>13</v>
      </c>
      <c r="I67" s="65">
        <v>10</v>
      </c>
      <c r="J67" s="65">
        <v>10</v>
      </c>
      <c r="K67" s="65">
        <v>10</v>
      </c>
      <c r="L67" s="57">
        <v>15</v>
      </c>
      <c r="M67" s="65">
        <v>15</v>
      </c>
      <c r="N67" s="65">
        <v>15</v>
      </c>
      <c r="O67" s="65">
        <v>15</v>
      </c>
      <c r="P67" s="65">
        <v>15</v>
      </c>
      <c r="Q67" s="65">
        <v>28</v>
      </c>
      <c r="R67" s="65">
        <v>28</v>
      </c>
      <c r="S67" s="65">
        <v>10.199999999999999</v>
      </c>
      <c r="T67" s="65">
        <v>0</v>
      </c>
      <c r="U67" s="65">
        <v>0</v>
      </c>
      <c r="V67" s="65">
        <v>0</v>
      </c>
      <c r="W67" s="45">
        <v>0</v>
      </c>
      <c r="X67" s="45">
        <v>10</v>
      </c>
      <c r="Y67" s="45">
        <v>22.7</v>
      </c>
      <c r="Z67" s="45">
        <v>22.7</v>
      </c>
      <c r="AA67" s="45">
        <v>23.6</v>
      </c>
      <c r="AB67" s="45">
        <v>15</v>
      </c>
      <c r="AC67" s="45">
        <v>15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28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0.2</v>
      </c>
      <c r="K68" s="45">
        <v>0.7</v>
      </c>
      <c r="L68" s="65">
        <v>1.7</v>
      </c>
      <c r="M68" s="65">
        <v>3.2</v>
      </c>
      <c r="N68" s="65">
        <v>5</v>
      </c>
      <c r="O68" s="65">
        <v>13.1</v>
      </c>
      <c r="P68" s="65">
        <v>15</v>
      </c>
      <c r="Q68" s="65">
        <v>18.7</v>
      </c>
      <c r="R68" s="65">
        <v>18.7</v>
      </c>
      <c r="S68" s="65">
        <v>16.3</v>
      </c>
      <c r="T68" s="65">
        <v>11.5</v>
      </c>
      <c r="U68" s="65">
        <v>6.9</v>
      </c>
      <c r="V68" s="65">
        <v>1.9</v>
      </c>
      <c r="W68" s="45">
        <v>0.4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18.7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10.199999999999999</v>
      </c>
      <c r="C71" s="65">
        <v>10.199999999999999</v>
      </c>
      <c r="D71" s="65">
        <v>10.7</v>
      </c>
      <c r="E71" s="65">
        <v>10.7</v>
      </c>
      <c r="F71" s="65">
        <v>10.7</v>
      </c>
      <c r="G71" s="65">
        <v>10.7</v>
      </c>
      <c r="H71" s="65">
        <v>10.7</v>
      </c>
      <c r="I71" s="65">
        <v>10.7</v>
      </c>
      <c r="J71" s="65">
        <v>10.7</v>
      </c>
      <c r="K71" s="65">
        <v>10.7</v>
      </c>
      <c r="L71" s="65">
        <v>10.7</v>
      </c>
      <c r="M71" s="65">
        <v>10.7</v>
      </c>
      <c r="N71" s="65">
        <v>10.7</v>
      </c>
      <c r="O71" s="65">
        <v>10.7</v>
      </c>
      <c r="P71" s="65">
        <v>10.7</v>
      </c>
      <c r="Q71" s="65">
        <v>10.7</v>
      </c>
      <c r="R71" s="65">
        <v>10.7</v>
      </c>
      <c r="S71" s="65">
        <v>10.7</v>
      </c>
      <c r="T71" s="65">
        <v>10.7</v>
      </c>
      <c r="U71" s="65">
        <v>10.7</v>
      </c>
      <c r="V71" s="65">
        <v>10.7</v>
      </c>
      <c r="W71" s="65">
        <v>10.7</v>
      </c>
      <c r="X71" s="65">
        <v>10.7</v>
      </c>
      <c r="Y71" s="65">
        <v>10.7</v>
      </c>
      <c r="Z71" s="65">
        <v>10.7</v>
      </c>
      <c r="AA71" s="65">
        <v>10.7</v>
      </c>
      <c r="AB71" s="65">
        <v>10.7</v>
      </c>
      <c r="AC71" s="65">
        <v>10.7</v>
      </c>
      <c r="AD71" s="65">
        <v>10.7</v>
      </c>
      <c r="AE71" s="65">
        <v>10.7</v>
      </c>
      <c r="AF71" s="65">
        <v>10.7</v>
      </c>
      <c r="AG71" s="55">
        <v>14.1</v>
      </c>
      <c r="AH71" s="47">
        <f t="shared" si="2"/>
        <v>10.7</v>
      </c>
      <c r="AI71" s="48">
        <f t="shared" si="3"/>
        <v>10.199999999999999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3.4</v>
      </c>
      <c r="C72" s="65">
        <v>3.4</v>
      </c>
      <c r="D72" s="65">
        <v>3.4</v>
      </c>
      <c r="E72" s="65">
        <v>3.4</v>
      </c>
      <c r="F72" s="65">
        <v>3.4</v>
      </c>
      <c r="G72" s="65">
        <v>3.4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3.2</v>
      </c>
      <c r="Y72" s="65">
        <v>3.2</v>
      </c>
      <c r="Z72" s="65">
        <v>3.2</v>
      </c>
      <c r="AA72" s="65">
        <v>3.2</v>
      </c>
      <c r="AB72" s="65">
        <v>3.2</v>
      </c>
      <c r="AC72" s="65">
        <v>3.2</v>
      </c>
      <c r="AD72" s="65">
        <v>3.2</v>
      </c>
      <c r="AE72" s="65">
        <v>3.2</v>
      </c>
      <c r="AF72" s="65">
        <v>3.2</v>
      </c>
      <c r="AG72" s="55">
        <v>14</v>
      </c>
      <c r="AH72" s="47">
        <f t="shared" si="2"/>
        <v>3.4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5.5</v>
      </c>
      <c r="AI75" s="48">
        <f t="shared" si="3"/>
        <v>3.5</v>
      </c>
      <c r="AK75" s="50"/>
    </row>
    <row r="76" spans="1:41" ht="15.75" thickBot="1" x14ac:dyDescent="0.3">
      <c r="A76" s="74" t="s">
        <v>76</v>
      </c>
      <c r="B76" s="60">
        <f t="shared" ref="B76" si="34">SUM(B63:B75)</f>
        <v>105.64000000000001</v>
      </c>
      <c r="C76" s="60">
        <f t="shared" ref="C76:AG76" si="35">SUM(C63:C75)</f>
        <v>103.44000000000001</v>
      </c>
      <c r="D76" s="60">
        <f t="shared" ref="D76" si="36">SUM(D63:D75)</f>
        <v>104.04000000000002</v>
      </c>
      <c r="E76" s="60">
        <f t="shared" si="35"/>
        <v>104.04000000000002</v>
      </c>
      <c r="F76" s="60">
        <f t="shared" si="35"/>
        <v>101.94000000000001</v>
      </c>
      <c r="G76" s="60">
        <f t="shared" si="35"/>
        <v>199.14</v>
      </c>
      <c r="H76" s="60">
        <f t="shared" si="35"/>
        <v>254.54</v>
      </c>
      <c r="I76" s="60">
        <f t="shared" si="35"/>
        <v>285.94</v>
      </c>
      <c r="J76" s="60">
        <f t="shared" si="35"/>
        <v>335.24</v>
      </c>
      <c r="K76" s="60">
        <f t="shared" si="35"/>
        <v>277.74</v>
      </c>
      <c r="L76" s="60">
        <f t="shared" si="35"/>
        <v>249.93999999999997</v>
      </c>
      <c r="M76" s="60">
        <f t="shared" si="35"/>
        <v>265.83999999999997</v>
      </c>
      <c r="N76" s="60">
        <f t="shared" si="35"/>
        <v>267.64</v>
      </c>
      <c r="O76" s="60">
        <f t="shared" si="35"/>
        <v>225.03999999999996</v>
      </c>
      <c r="P76" s="60">
        <f t="shared" si="35"/>
        <v>226.93999999999997</v>
      </c>
      <c r="Q76" s="60">
        <f t="shared" si="35"/>
        <v>257.83999999999997</v>
      </c>
      <c r="R76" s="60">
        <f t="shared" si="35"/>
        <v>257.83999999999997</v>
      </c>
      <c r="S76" s="60">
        <f t="shared" si="35"/>
        <v>256.83999999999997</v>
      </c>
      <c r="T76" s="60">
        <f t="shared" si="35"/>
        <v>269.14</v>
      </c>
      <c r="U76" s="60">
        <f t="shared" si="35"/>
        <v>217.14</v>
      </c>
      <c r="V76" s="60">
        <f t="shared" si="35"/>
        <v>152.33999999999997</v>
      </c>
      <c r="W76" s="60">
        <f t="shared" si="35"/>
        <v>133.24</v>
      </c>
      <c r="X76" s="60">
        <f t="shared" si="35"/>
        <v>183.23999999999998</v>
      </c>
      <c r="Y76" s="60">
        <f>SUM(Y63:Y75)</f>
        <v>309.5</v>
      </c>
      <c r="Z76" s="60">
        <f>SUM(Z63:Z75)</f>
        <v>326.49999999999994</v>
      </c>
      <c r="AA76" s="60">
        <f t="shared" si="35"/>
        <v>254.63999999999993</v>
      </c>
      <c r="AB76" s="60">
        <f t="shared" si="35"/>
        <v>232.43999999999997</v>
      </c>
      <c r="AC76" s="60">
        <f t="shared" ref="AC76:AD76" si="37">SUM(AC63:AC75)</f>
        <v>232.43999999999997</v>
      </c>
      <c r="AD76" s="60">
        <f t="shared" si="37"/>
        <v>227.43999999999997</v>
      </c>
      <c r="AE76" s="60">
        <f t="shared" ref="AE76:AF76" si="38">SUM(AE63:AE75)</f>
        <v>176.43999999999997</v>
      </c>
      <c r="AF76" s="60">
        <f t="shared" si="38"/>
        <v>129.14000000000001</v>
      </c>
      <c r="AG76" s="61">
        <f t="shared" si="35"/>
        <v>489.91</v>
      </c>
      <c r="AH76" s="47">
        <f t="shared" si="2"/>
        <v>335.24</v>
      </c>
      <c r="AI76" s="48">
        <f t="shared" si="3"/>
        <v>101.94000000000001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>
        <v>14.2</v>
      </c>
      <c r="U77" s="45">
        <v>10.199999999999999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/>
      <c r="AF77" s="45"/>
      <c r="AG77" s="52">
        <v>60</v>
      </c>
      <c r="AH77" s="47">
        <f t="shared" si="2"/>
        <v>14.2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>
        <v>5.2</v>
      </c>
      <c r="M78" s="65"/>
      <c r="N78" s="65"/>
      <c r="O78" s="65"/>
      <c r="P78" s="65"/>
      <c r="Q78" s="65"/>
      <c r="R78" s="65"/>
      <c r="S78" s="65"/>
      <c r="T78" s="65">
        <v>4.9000000000000004</v>
      </c>
      <c r="U78" s="65">
        <v>4.9000000000000004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/>
      <c r="AC78" s="65"/>
      <c r="AD78" s="65"/>
      <c r="AE78" s="65"/>
      <c r="AF78" s="65"/>
      <c r="AG78" s="55">
        <v>32</v>
      </c>
      <c r="AH78" s="47">
        <f t="shared" si="2"/>
        <v>5.2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>
        <v>1.9</v>
      </c>
      <c r="M79" s="67"/>
      <c r="N79" s="67"/>
      <c r="O79" s="67"/>
      <c r="P79" s="67"/>
      <c r="Q79" s="67"/>
      <c r="R79" s="67"/>
      <c r="S79" s="67"/>
      <c r="T79" s="67">
        <v>1.8</v>
      </c>
      <c r="U79" s="67">
        <v>1.8</v>
      </c>
      <c r="V79" s="67">
        <v>0</v>
      </c>
      <c r="W79" s="67">
        <v>0</v>
      </c>
      <c r="X79" s="67">
        <v>0</v>
      </c>
      <c r="Y79" s="67">
        <v>0</v>
      </c>
      <c r="Z79" s="67">
        <v>0</v>
      </c>
      <c r="AA79" s="67">
        <v>0</v>
      </c>
      <c r="AB79" s="67"/>
      <c r="AC79" s="67"/>
      <c r="AD79" s="67"/>
      <c r="AE79" s="67"/>
      <c r="AF79" s="67"/>
      <c r="AG79" s="68">
        <v>14</v>
      </c>
      <c r="AH79" s="47">
        <f t="shared" si="2"/>
        <v>1.9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" si="39">B77+B78+B79</f>
        <v>0</v>
      </c>
      <c r="C80" s="60">
        <f t="shared" ref="C80:AB80" si="40">C77+C78+C79</f>
        <v>0</v>
      </c>
      <c r="D80" s="60">
        <f t="shared" ref="D80" si="41">D77+D78+D79</f>
        <v>0</v>
      </c>
      <c r="E80" s="60">
        <f t="shared" si="40"/>
        <v>0</v>
      </c>
      <c r="F80" s="60">
        <f t="shared" si="40"/>
        <v>0</v>
      </c>
      <c r="G80" s="60">
        <f t="shared" si="40"/>
        <v>0</v>
      </c>
      <c r="H80" s="60">
        <f t="shared" si="40"/>
        <v>0</v>
      </c>
      <c r="I80" s="60">
        <f t="shared" si="40"/>
        <v>0</v>
      </c>
      <c r="J80" s="60">
        <f t="shared" si="40"/>
        <v>0</v>
      </c>
      <c r="K80" s="60">
        <f t="shared" si="40"/>
        <v>0</v>
      </c>
      <c r="L80" s="60">
        <f t="shared" si="40"/>
        <v>7.1</v>
      </c>
      <c r="M80" s="60">
        <f t="shared" si="40"/>
        <v>0</v>
      </c>
      <c r="N80" s="60">
        <f t="shared" si="40"/>
        <v>0</v>
      </c>
      <c r="O80" s="60">
        <f t="shared" si="40"/>
        <v>0</v>
      </c>
      <c r="P80" s="60">
        <f t="shared" si="40"/>
        <v>0</v>
      </c>
      <c r="Q80" s="60">
        <f t="shared" si="40"/>
        <v>0</v>
      </c>
      <c r="R80" s="60">
        <f t="shared" si="40"/>
        <v>0</v>
      </c>
      <c r="S80" s="60">
        <f t="shared" si="40"/>
        <v>0</v>
      </c>
      <c r="T80" s="60">
        <f t="shared" si="40"/>
        <v>20.900000000000002</v>
      </c>
      <c r="U80" s="60">
        <f t="shared" si="40"/>
        <v>16.899999999999999</v>
      </c>
      <c r="V80" s="60">
        <f t="shared" si="40"/>
        <v>0</v>
      </c>
      <c r="W80" s="60">
        <f t="shared" si="40"/>
        <v>0</v>
      </c>
      <c r="X80" s="60">
        <f t="shared" si="40"/>
        <v>0</v>
      </c>
      <c r="Y80" s="60">
        <f>Y77+Y78+Y79</f>
        <v>0</v>
      </c>
      <c r="Z80" s="60">
        <f>Z77+Z78+Z79</f>
        <v>0</v>
      </c>
      <c r="AA80" s="60">
        <f t="shared" si="40"/>
        <v>0</v>
      </c>
      <c r="AB80" s="60">
        <f t="shared" si="40"/>
        <v>0</v>
      </c>
      <c r="AC80" s="60">
        <f t="shared" ref="AC80:AD80" si="42">AC77+AC78+AC79</f>
        <v>0</v>
      </c>
      <c r="AD80" s="60">
        <f t="shared" si="42"/>
        <v>0</v>
      </c>
      <c r="AE80" s="60">
        <f t="shared" ref="AE80:AF80" si="43">AE77+AE78+AE79</f>
        <v>0</v>
      </c>
      <c r="AF80" s="60">
        <f t="shared" si="43"/>
        <v>0</v>
      </c>
      <c r="AG80" s="61">
        <f>SUM(AG77:AG79)</f>
        <v>106</v>
      </c>
      <c r="AH80" s="47">
        <f t="shared" si="2"/>
        <v>20.900000000000002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68.5</v>
      </c>
      <c r="C81" s="45">
        <v>72.8</v>
      </c>
      <c r="D81" s="45">
        <v>66.400000000000006</v>
      </c>
      <c r="E81" s="45">
        <v>69</v>
      </c>
      <c r="F81" s="45">
        <v>70</v>
      </c>
      <c r="G81" s="45">
        <v>69.599999999999994</v>
      </c>
      <c r="H81" s="45">
        <v>71</v>
      </c>
      <c r="I81" s="45">
        <v>70</v>
      </c>
      <c r="J81" s="45">
        <v>58</v>
      </c>
      <c r="K81" s="45">
        <v>58</v>
      </c>
      <c r="L81" s="45">
        <v>43</v>
      </c>
      <c r="M81" s="45">
        <v>38.200000000000003</v>
      </c>
      <c r="N81" s="45">
        <v>56</v>
      </c>
      <c r="O81" s="45">
        <v>64</v>
      </c>
      <c r="P81" s="45">
        <v>62.5</v>
      </c>
      <c r="Q81" s="45">
        <v>65.8</v>
      </c>
      <c r="R81" s="45">
        <v>34.32</v>
      </c>
      <c r="S81" s="45">
        <v>49.8</v>
      </c>
      <c r="T81" s="45">
        <v>67.400000000000006</v>
      </c>
      <c r="U81" s="45">
        <v>63.4</v>
      </c>
      <c r="V81" s="45">
        <v>61.9</v>
      </c>
      <c r="W81" s="45">
        <v>65.599999999999994</v>
      </c>
      <c r="X81" s="45">
        <v>57.6</v>
      </c>
      <c r="Y81" s="45">
        <v>54.2</v>
      </c>
      <c r="Z81" s="45">
        <v>55</v>
      </c>
      <c r="AA81" s="45">
        <v>53.1</v>
      </c>
      <c r="AB81" s="45">
        <v>61.1</v>
      </c>
      <c r="AC81" s="45">
        <v>61.1</v>
      </c>
      <c r="AD81" s="45">
        <v>61.1</v>
      </c>
      <c r="AE81" s="45">
        <v>59</v>
      </c>
      <c r="AF81" s="45">
        <v>58</v>
      </c>
      <c r="AG81" s="52"/>
      <c r="AH81" s="47">
        <f t="shared" si="2"/>
        <v>72.8</v>
      </c>
      <c r="AI81" s="48">
        <f t="shared" si="3"/>
        <v>34.32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381</v>
      </c>
      <c r="C83" s="65">
        <v>373.9</v>
      </c>
      <c r="D83" s="65">
        <v>372.1</v>
      </c>
      <c r="E83" s="65">
        <v>376.6</v>
      </c>
      <c r="F83" s="65">
        <v>405</v>
      </c>
      <c r="G83" s="65">
        <v>415</v>
      </c>
      <c r="H83" s="65">
        <v>433</v>
      </c>
      <c r="I83" s="65">
        <v>450</v>
      </c>
      <c r="J83" s="65">
        <v>421</v>
      </c>
      <c r="K83" s="65">
        <v>385</v>
      </c>
      <c r="L83" s="65">
        <v>201</v>
      </c>
      <c r="M83" s="65">
        <v>123</v>
      </c>
      <c r="N83" s="65">
        <v>376</v>
      </c>
      <c r="O83" s="65">
        <v>395</v>
      </c>
      <c r="P83" s="65">
        <v>395</v>
      </c>
      <c r="Q83" s="65">
        <v>401</v>
      </c>
      <c r="R83" s="65">
        <v>413</v>
      </c>
      <c r="S83" s="65">
        <v>437.2</v>
      </c>
      <c r="T83" s="65">
        <v>404.8</v>
      </c>
      <c r="U83" s="65">
        <v>384.2</v>
      </c>
      <c r="V83" s="65">
        <v>385</v>
      </c>
      <c r="W83" s="65">
        <v>380.6</v>
      </c>
      <c r="X83" s="65">
        <v>403</v>
      </c>
      <c r="Y83" s="65">
        <v>413.1</v>
      </c>
      <c r="Z83" s="65">
        <v>391</v>
      </c>
      <c r="AA83" s="65">
        <v>415</v>
      </c>
      <c r="AB83" s="65">
        <v>397</v>
      </c>
      <c r="AC83" s="65">
        <v>400</v>
      </c>
      <c r="AD83" s="65">
        <v>390</v>
      </c>
      <c r="AE83" s="65">
        <v>395</v>
      </c>
      <c r="AF83" s="65">
        <v>380</v>
      </c>
      <c r="AG83" s="75"/>
      <c r="AH83" s="47">
        <f t="shared" si="2"/>
        <v>450</v>
      </c>
      <c r="AI83" s="48">
        <f t="shared" si="3"/>
        <v>123</v>
      </c>
      <c r="AK83" s="50"/>
    </row>
    <row r="84" spans="1:40" x14ac:dyDescent="0.25">
      <c r="A84" s="54" t="s">
        <v>84</v>
      </c>
      <c r="B84" s="76">
        <v>38</v>
      </c>
      <c r="C84" s="65">
        <v>2</v>
      </c>
      <c r="D84" s="65">
        <v>2</v>
      </c>
      <c r="E84" s="76">
        <v>2</v>
      </c>
      <c r="F84" s="76">
        <v>2</v>
      </c>
      <c r="G84" s="76">
        <v>2</v>
      </c>
      <c r="H84" s="76">
        <v>2</v>
      </c>
      <c r="I84" s="76">
        <v>2</v>
      </c>
      <c r="J84" s="76">
        <v>4</v>
      </c>
      <c r="K84" s="76">
        <v>19</v>
      </c>
      <c r="L84" s="76">
        <v>20</v>
      </c>
      <c r="M84" s="76">
        <v>25</v>
      </c>
      <c r="N84" s="76">
        <v>25</v>
      </c>
      <c r="O84" s="76">
        <v>5</v>
      </c>
      <c r="P84" s="76">
        <v>20</v>
      </c>
      <c r="Q84" s="76">
        <v>42</v>
      </c>
      <c r="R84" s="76">
        <v>35</v>
      </c>
      <c r="S84" s="76">
        <v>36</v>
      </c>
      <c r="T84" s="76">
        <v>33</v>
      </c>
      <c r="U84" s="76">
        <v>39</v>
      </c>
      <c r="V84" s="76">
        <v>39</v>
      </c>
      <c r="W84" s="76">
        <v>25</v>
      </c>
      <c r="X84" s="76">
        <v>27.2</v>
      </c>
      <c r="Y84" s="76">
        <v>32</v>
      </c>
      <c r="Z84" s="76">
        <v>30.9</v>
      </c>
      <c r="AA84" s="76">
        <v>28.5</v>
      </c>
      <c r="AB84" s="76">
        <v>30</v>
      </c>
      <c r="AC84" s="76">
        <v>35</v>
      </c>
      <c r="AD84" s="76">
        <v>45</v>
      </c>
      <c r="AE84" s="76">
        <v>42</v>
      </c>
      <c r="AF84" s="76">
        <v>40</v>
      </c>
      <c r="AG84" s="75"/>
      <c r="AH84" s="47">
        <f t="shared" si="2"/>
        <v>45</v>
      </c>
      <c r="AI84" s="48">
        <f t="shared" si="3"/>
        <v>2</v>
      </c>
      <c r="AK84" s="50"/>
    </row>
    <row r="85" spans="1:40" x14ac:dyDescent="0.25">
      <c r="A85" s="54" t="s">
        <v>85</v>
      </c>
      <c r="B85" s="45">
        <v>18</v>
      </c>
      <c r="C85" s="45">
        <v>16</v>
      </c>
      <c r="D85" s="45">
        <v>0</v>
      </c>
      <c r="E85" s="45">
        <v>0</v>
      </c>
      <c r="F85" s="45"/>
      <c r="G85" s="45"/>
      <c r="H85" s="45">
        <v>20</v>
      </c>
      <c r="I85" s="45">
        <v>19</v>
      </c>
      <c r="J85" s="45">
        <v>20</v>
      </c>
      <c r="K85" s="45">
        <v>20.399999999999999</v>
      </c>
      <c r="L85" s="45">
        <v>23</v>
      </c>
      <c r="M85" s="45">
        <v>10</v>
      </c>
      <c r="N85" s="45">
        <v>11</v>
      </c>
      <c r="O85" s="45">
        <v>0</v>
      </c>
      <c r="P85" s="45">
        <v>0</v>
      </c>
      <c r="Q85" s="45">
        <v>103</v>
      </c>
      <c r="R85" s="45">
        <v>111</v>
      </c>
      <c r="S85" s="45">
        <v>112</v>
      </c>
      <c r="T85" s="45">
        <v>113</v>
      </c>
      <c r="U85" s="45">
        <v>119</v>
      </c>
      <c r="V85" s="45">
        <v>86</v>
      </c>
      <c r="W85" s="45">
        <v>51</v>
      </c>
      <c r="X85" s="45">
        <v>49</v>
      </c>
      <c r="Y85" s="45">
        <v>80</v>
      </c>
      <c r="Z85" s="45">
        <v>79</v>
      </c>
      <c r="AA85" s="45">
        <v>82</v>
      </c>
      <c r="AB85" s="45">
        <v>82</v>
      </c>
      <c r="AC85" s="45">
        <v>106</v>
      </c>
      <c r="AD85" s="45">
        <v>100</v>
      </c>
      <c r="AE85" s="45">
        <v>98</v>
      </c>
      <c r="AF85" s="45">
        <v>96</v>
      </c>
      <c r="AG85" s="75"/>
      <c r="AH85" s="47">
        <f t="shared" ref="AH85:AH130" si="44">MAX(B85:AF85)</f>
        <v>119</v>
      </c>
      <c r="AI85" s="48">
        <f t="shared" ref="AI85:AI130" si="45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4"/>
        <v>0</v>
      </c>
      <c r="AI86" s="48">
        <f t="shared" si="45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4"/>
        <v>0</v>
      </c>
      <c r="AI87" s="48">
        <f t="shared" si="45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4"/>
        <v>0</v>
      </c>
      <c r="AI88" s="48">
        <f t="shared" si="45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4"/>
        <v>0</v>
      </c>
      <c r="AI89" s="48">
        <f t="shared" si="45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4"/>
        <v>0</v>
      </c>
      <c r="AI90" s="48">
        <f t="shared" si="45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50.7</v>
      </c>
      <c r="C91" s="77">
        <v>54.6</v>
      </c>
      <c r="D91" s="77">
        <v>51.6</v>
      </c>
      <c r="E91" s="77">
        <v>53.5</v>
      </c>
      <c r="F91" s="77">
        <v>48.3</v>
      </c>
      <c r="G91" s="77">
        <v>45</v>
      </c>
      <c r="H91" s="77">
        <v>48</v>
      </c>
      <c r="I91" s="77">
        <v>49</v>
      </c>
      <c r="J91" s="77">
        <v>72.7</v>
      </c>
      <c r="K91" s="77">
        <v>65.400000000000006</v>
      </c>
      <c r="L91" s="77">
        <v>59.1</v>
      </c>
      <c r="M91" s="77">
        <v>55.4</v>
      </c>
      <c r="N91" s="77">
        <v>53.3</v>
      </c>
      <c r="O91" s="77">
        <v>55.6</v>
      </c>
      <c r="P91" s="77">
        <v>67.8</v>
      </c>
      <c r="Q91" s="77">
        <v>71.099999999999994</v>
      </c>
      <c r="R91" s="77">
        <v>67</v>
      </c>
      <c r="S91" s="77">
        <v>66.8</v>
      </c>
      <c r="T91" s="77">
        <v>73</v>
      </c>
      <c r="U91" s="77">
        <v>74.099999999999994</v>
      </c>
      <c r="V91" s="77">
        <v>70</v>
      </c>
      <c r="W91" s="77">
        <v>60</v>
      </c>
      <c r="X91" s="77">
        <v>70</v>
      </c>
      <c r="Y91" s="77">
        <v>75.900000000000006</v>
      </c>
      <c r="Z91" s="77">
        <v>76</v>
      </c>
      <c r="AA91" s="77">
        <v>67.5</v>
      </c>
      <c r="AB91" s="77">
        <v>75.400000000000006</v>
      </c>
      <c r="AC91" s="77">
        <v>71</v>
      </c>
      <c r="AD91" s="77">
        <v>60</v>
      </c>
      <c r="AE91" s="77">
        <v>58</v>
      </c>
      <c r="AF91" s="77">
        <v>58</v>
      </c>
      <c r="AG91" s="85"/>
      <c r="AH91" s="47">
        <f t="shared" si="44"/>
        <v>76</v>
      </c>
      <c r="AI91" s="48">
        <f t="shared" si="45"/>
        <v>45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" si="46">SUMIF(B81:B91,"&gt;0")</f>
        <v>556.20000000000005</v>
      </c>
      <c r="C92" s="60">
        <f t="shared" ref="C92:AB92" si="47">SUMIF(C81:C91,"&gt;0")</f>
        <v>519.29999999999995</v>
      </c>
      <c r="D92" s="60">
        <f t="shared" ref="D92" si="48">SUMIF(D81:D91,"&gt;0")</f>
        <v>492.1</v>
      </c>
      <c r="E92" s="60">
        <f t="shared" si="47"/>
        <v>501.1</v>
      </c>
      <c r="F92" s="60">
        <f t="shared" si="47"/>
        <v>525.29999999999995</v>
      </c>
      <c r="G92" s="60">
        <f t="shared" si="47"/>
        <v>531.6</v>
      </c>
      <c r="H92" s="60">
        <f t="shared" si="47"/>
        <v>574</v>
      </c>
      <c r="I92" s="60">
        <f t="shared" si="47"/>
        <v>590</v>
      </c>
      <c r="J92" s="60">
        <f t="shared" si="47"/>
        <v>575.70000000000005</v>
      </c>
      <c r="K92" s="60">
        <f t="shared" si="47"/>
        <v>547.79999999999995</v>
      </c>
      <c r="L92" s="60">
        <f t="shared" si="47"/>
        <v>346.1</v>
      </c>
      <c r="M92" s="60">
        <f t="shared" si="47"/>
        <v>251.6</v>
      </c>
      <c r="N92" s="60">
        <f t="shared" si="47"/>
        <v>521.29999999999995</v>
      </c>
      <c r="O92" s="60">
        <f t="shared" si="47"/>
        <v>519.6</v>
      </c>
      <c r="P92" s="60">
        <f t="shared" si="47"/>
        <v>545.29999999999995</v>
      </c>
      <c r="Q92" s="60">
        <f t="shared" si="47"/>
        <v>682.9</v>
      </c>
      <c r="R92" s="60">
        <f t="shared" si="47"/>
        <v>660.31999999999994</v>
      </c>
      <c r="S92" s="60">
        <f t="shared" si="47"/>
        <v>701.8</v>
      </c>
      <c r="T92" s="60">
        <f t="shared" si="47"/>
        <v>691.2</v>
      </c>
      <c r="U92" s="60">
        <f t="shared" si="47"/>
        <v>679.69999999999993</v>
      </c>
      <c r="V92" s="60">
        <f t="shared" si="47"/>
        <v>641.9</v>
      </c>
      <c r="W92" s="60">
        <f t="shared" si="47"/>
        <v>582.20000000000005</v>
      </c>
      <c r="X92" s="60">
        <f t="shared" si="47"/>
        <v>606.79999999999995</v>
      </c>
      <c r="Y92" s="60">
        <f>SUMIF(Y81:Y91,"&gt;0")</f>
        <v>655.19999999999993</v>
      </c>
      <c r="Z92" s="60">
        <f>SUMIF(Z81:Z91,"&gt;0")</f>
        <v>631.9</v>
      </c>
      <c r="AA92" s="60">
        <f t="shared" si="47"/>
        <v>646.1</v>
      </c>
      <c r="AB92" s="60">
        <f t="shared" si="47"/>
        <v>645.5</v>
      </c>
      <c r="AC92" s="60">
        <f t="shared" ref="AC92:AD92" si="49">SUMIF(AC81:AC91,"&gt;0")</f>
        <v>673.1</v>
      </c>
      <c r="AD92" s="60">
        <f t="shared" si="49"/>
        <v>656.1</v>
      </c>
      <c r="AE92" s="60">
        <f t="shared" ref="AE92:AF92" si="50">SUMIF(AE81:AE91,"&gt;0")</f>
        <v>652</v>
      </c>
      <c r="AF92" s="60">
        <f t="shared" si="50"/>
        <v>632</v>
      </c>
      <c r="AG92" s="88">
        <f>SUM(AG81:AG91)</f>
        <v>0</v>
      </c>
      <c r="AH92" s="47">
        <f t="shared" si="44"/>
        <v>701.8</v>
      </c>
      <c r="AI92" s="48">
        <f t="shared" si="45"/>
        <v>251.6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4"/>
        <v>0</v>
      </c>
      <c r="AI93" s="48">
        <f t="shared" si="45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4"/>
        <v>0</v>
      </c>
      <c r="AI94" s="48">
        <f t="shared" si="45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4"/>
        <v>0</v>
      </c>
      <c r="AI95" s="48">
        <f t="shared" si="45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4"/>
        <v>0</v>
      </c>
      <c r="AI96" s="48">
        <f t="shared" si="45"/>
        <v>0</v>
      </c>
    </row>
    <row r="97" spans="1:37" ht="15.75" thickBot="1" x14ac:dyDescent="0.3">
      <c r="A97" s="74" t="s">
        <v>99</v>
      </c>
      <c r="B97" s="95">
        <f t="shared" ref="B97" si="51">B58+B62+B80+B76+B92+B96</f>
        <v>1177.29</v>
      </c>
      <c r="C97" s="95">
        <f t="shared" ref="C97:AG97" si="52">C58+C62+C80+C76+C92+C96</f>
        <v>1138.19</v>
      </c>
      <c r="D97" s="95">
        <f t="shared" ref="D97" si="53">D58+D62+D80+D76+D92+D96</f>
        <v>1111.5900000000001</v>
      </c>
      <c r="E97" s="95">
        <f t="shared" si="52"/>
        <v>1119.8899999999999</v>
      </c>
      <c r="F97" s="95">
        <f t="shared" si="52"/>
        <v>1139.99</v>
      </c>
      <c r="G97" s="95">
        <f t="shared" si="52"/>
        <v>1244.29</v>
      </c>
      <c r="H97" s="95">
        <f t="shared" si="52"/>
        <v>1341.3899999999999</v>
      </c>
      <c r="I97" s="95">
        <f t="shared" si="52"/>
        <v>1388.79</v>
      </c>
      <c r="J97" s="95">
        <f t="shared" si="52"/>
        <v>1483.79</v>
      </c>
      <c r="K97" s="95">
        <f t="shared" si="52"/>
        <v>1399.49</v>
      </c>
      <c r="L97" s="95">
        <f t="shared" si="52"/>
        <v>1387.0900000000001</v>
      </c>
      <c r="M97" s="95">
        <f t="shared" si="52"/>
        <v>1301.3899999999999</v>
      </c>
      <c r="N97" s="95">
        <f t="shared" si="52"/>
        <v>1552.89</v>
      </c>
      <c r="O97" s="95">
        <f t="shared" si="52"/>
        <v>1273.5900000000001</v>
      </c>
      <c r="P97" s="95">
        <f t="shared" si="52"/>
        <v>1301.19</v>
      </c>
      <c r="Q97" s="95">
        <f t="shared" si="52"/>
        <v>1504.69</v>
      </c>
      <c r="R97" s="95">
        <f t="shared" si="52"/>
        <v>1508.11</v>
      </c>
      <c r="S97" s="95">
        <f t="shared" si="52"/>
        <v>1526.49</v>
      </c>
      <c r="T97" s="95">
        <f t="shared" si="52"/>
        <v>1534.19</v>
      </c>
      <c r="U97" s="95">
        <f t="shared" si="52"/>
        <v>1501.69</v>
      </c>
      <c r="V97" s="95">
        <f t="shared" si="52"/>
        <v>1394.19</v>
      </c>
      <c r="W97" s="95">
        <f t="shared" si="52"/>
        <v>1328.39</v>
      </c>
      <c r="X97" s="95">
        <f t="shared" si="52"/>
        <v>1449.0900000000001</v>
      </c>
      <c r="Y97" s="95">
        <f>Y58+Y62+Y80+Y76+Y92+Y96</f>
        <v>1603.65</v>
      </c>
      <c r="Z97" s="95">
        <f>Z58+Z62+Z80+Z76+Z92+Z96</f>
        <v>1627.35</v>
      </c>
      <c r="AA97" s="95">
        <f t="shared" si="52"/>
        <v>1549.69</v>
      </c>
      <c r="AB97" s="95">
        <f t="shared" si="52"/>
        <v>1526.8899999999999</v>
      </c>
      <c r="AC97" s="95">
        <f t="shared" ref="AC97:AD97" si="54">AC58+AC62+AC80+AC76+AC92+AC96</f>
        <v>1528.49</v>
      </c>
      <c r="AD97" s="95">
        <f t="shared" si="54"/>
        <v>1476.49</v>
      </c>
      <c r="AE97" s="95">
        <f t="shared" ref="AE97:AF97" si="55">AE58+AE62+AE80+AE76+AE92+AE96</f>
        <v>1381.3899999999999</v>
      </c>
      <c r="AF97" s="95">
        <f t="shared" si="55"/>
        <v>1274.0900000000001</v>
      </c>
      <c r="AG97" s="61">
        <f t="shared" si="52"/>
        <v>2231.81</v>
      </c>
      <c r="AH97" s="47">
        <f t="shared" si="44"/>
        <v>1627.35</v>
      </c>
      <c r="AI97" s="48">
        <f t="shared" si="45"/>
        <v>1111.5900000000001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250</v>
      </c>
      <c r="L98" s="97">
        <v>280</v>
      </c>
      <c r="M98" s="97">
        <v>280</v>
      </c>
      <c r="N98" s="97">
        <v>280</v>
      </c>
      <c r="O98" s="97">
        <v>280</v>
      </c>
      <c r="P98" s="97">
        <v>280</v>
      </c>
      <c r="Q98" s="97"/>
      <c r="R98" s="97"/>
      <c r="S98" s="97"/>
      <c r="T98" s="97"/>
      <c r="U98" s="97"/>
      <c r="V98" s="97"/>
      <c r="W98" s="97">
        <v>200</v>
      </c>
      <c r="X98" s="97">
        <v>250</v>
      </c>
      <c r="Y98" s="97">
        <v>250</v>
      </c>
      <c r="Z98" s="97">
        <v>250</v>
      </c>
      <c r="AA98" s="97">
        <v>230</v>
      </c>
      <c r="AB98" s="97">
        <v>200</v>
      </c>
      <c r="AC98" s="97">
        <v>100</v>
      </c>
      <c r="AD98" s="97">
        <v>0</v>
      </c>
      <c r="AE98" s="97">
        <v>0</v>
      </c>
      <c r="AF98" s="97">
        <v>0</v>
      </c>
      <c r="AG98" s="88"/>
      <c r="AH98" s="47">
        <f t="shared" si="44"/>
        <v>280</v>
      </c>
      <c r="AI98" s="48">
        <f t="shared" si="45"/>
        <v>0</v>
      </c>
    </row>
    <row r="99" spans="1:37" ht="15.75" thickBot="1" x14ac:dyDescent="0.3">
      <c r="A99" s="74" t="s">
        <v>101</v>
      </c>
      <c r="B99" s="95">
        <f t="shared" ref="B99" si="56">B97+B98</f>
        <v>1177.29</v>
      </c>
      <c r="C99" s="95">
        <f t="shared" ref="C99:AB99" si="57">C97+C98</f>
        <v>1138.19</v>
      </c>
      <c r="D99" s="95">
        <f t="shared" ref="D99" si="58">D97+D98</f>
        <v>1111.5900000000001</v>
      </c>
      <c r="E99" s="95">
        <f t="shared" si="57"/>
        <v>1119.8899999999999</v>
      </c>
      <c r="F99" s="95">
        <f t="shared" si="57"/>
        <v>1139.99</v>
      </c>
      <c r="G99" s="95">
        <f t="shared" si="57"/>
        <v>1244.29</v>
      </c>
      <c r="H99" s="95">
        <f t="shared" si="57"/>
        <v>1341.3899999999999</v>
      </c>
      <c r="I99" s="95">
        <f t="shared" si="57"/>
        <v>1388.79</v>
      </c>
      <c r="J99" s="95">
        <f t="shared" si="57"/>
        <v>1483.79</v>
      </c>
      <c r="K99" s="95">
        <f t="shared" si="57"/>
        <v>1649.49</v>
      </c>
      <c r="L99" s="95">
        <f t="shared" si="57"/>
        <v>1667.0900000000001</v>
      </c>
      <c r="M99" s="95">
        <f t="shared" si="57"/>
        <v>1581.3899999999999</v>
      </c>
      <c r="N99" s="95">
        <f t="shared" si="57"/>
        <v>1832.89</v>
      </c>
      <c r="O99" s="95">
        <f t="shared" si="57"/>
        <v>1553.5900000000001</v>
      </c>
      <c r="P99" s="95">
        <f t="shared" si="57"/>
        <v>1581.19</v>
      </c>
      <c r="Q99" s="95">
        <f t="shared" si="57"/>
        <v>1504.69</v>
      </c>
      <c r="R99" s="95">
        <f t="shared" si="57"/>
        <v>1508.11</v>
      </c>
      <c r="S99" s="95">
        <f t="shared" si="57"/>
        <v>1526.49</v>
      </c>
      <c r="T99" s="95">
        <f t="shared" si="57"/>
        <v>1534.19</v>
      </c>
      <c r="U99" s="95">
        <f t="shared" si="57"/>
        <v>1501.69</v>
      </c>
      <c r="V99" s="95">
        <f t="shared" si="57"/>
        <v>1394.19</v>
      </c>
      <c r="W99" s="95">
        <f t="shared" si="57"/>
        <v>1528.39</v>
      </c>
      <c r="X99" s="95">
        <f t="shared" si="57"/>
        <v>1699.0900000000001</v>
      </c>
      <c r="Y99" s="95">
        <f>Y97+Y98</f>
        <v>1853.65</v>
      </c>
      <c r="Z99" s="95">
        <f>Z97+Z98</f>
        <v>1877.35</v>
      </c>
      <c r="AA99" s="95">
        <f t="shared" si="57"/>
        <v>1779.69</v>
      </c>
      <c r="AB99" s="95">
        <f t="shared" si="57"/>
        <v>1726.8899999999999</v>
      </c>
      <c r="AC99" s="95">
        <f t="shared" ref="AC99:AD99" si="59">AC97+AC98</f>
        <v>1628.49</v>
      </c>
      <c r="AD99" s="95">
        <f t="shared" si="59"/>
        <v>1476.49</v>
      </c>
      <c r="AE99" s="95">
        <f t="shared" ref="AE99:AF99" si="60">AE97+AE98</f>
        <v>1381.3899999999999</v>
      </c>
      <c r="AF99" s="95">
        <f t="shared" si="60"/>
        <v>1274.0900000000001</v>
      </c>
      <c r="AG99" s="88">
        <f>AG96+AG92+AG80+AG76+AG58+AG98</f>
        <v>1693.71</v>
      </c>
      <c r="AH99" s="47">
        <f t="shared" si="44"/>
        <v>1877.35</v>
      </c>
      <c r="AI99" s="48">
        <f t="shared" si="45"/>
        <v>1111.5900000000001</v>
      </c>
    </row>
    <row r="100" spans="1:37" ht="15.75" thickBot="1" x14ac:dyDescent="0.3">
      <c r="A100" s="74" t="s">
        <v>102</v>
      </c>
      <c r="B100" s="95">
        <f t="shared" ref="B100" si="61">B99-(B107)</f>
        <v>1177.29</v>
      </c>
      <c r="C100" s="95">
        <f t="shared" ref="C100:M100" si="62">C99-(C107)</f>
        <v>1138.19</v>
      </c>
      <c r="D100" s="95">
        <f t="shared" ref="D100" si="63">D99-(D107)</f>
        <v>1111.5900000000001</v>
      </c>
      <c r="E100" s="95">
        <f t="shared" si="62"/>
        <v>1119.8899999999999</v>
      </c>
      <c r="F100" s="95">
        <f t="shared" si="62"/>
        <v>1139.99</v>
      </c>
      <c r="G100" s="95">
        <f t="shared" si="62"/>
        <v>1244.29</v>
      </c>
      <c r="H100" s="95">
        <f t="shared" si="62"/>
        <v>1341.3899999999999</v>
      </c>
      <c r="I100" s="95">
        <f t="shared" si="62"/>
        <v>1388.79</v>
      </c>
      <c r="J100" s="95">
        <f t="shared" si="62"/>
        <v>1483.79</v>
      </c>
      <c r="K100" s="95">
        <f t="shared" si="62"/>
        <v>1649.49</v>
      </c>
      <c r="L100" s="95">
        <f t="shared" si="62"/>
        <v>1667.0900000000001</v>
      </c>
      <c r="M100" s="95">
        <f t="shared" si="62"/>
        <v>1581.3899999999999</v>
      </c>
      <c r="N100" s="95">
        <f>N99-(N107)</f>
        <v>1832.89</v>
      </c>
      <c r="O100" s="95">
        <f t="shared" ref="O100:AB100" si="64">O99-(O107)</f>
        <v>1553.5900000000001</v>
      </c>
      <c r="P100" s="95">
        <f t="shared" si="64"/>
        <v>1581.19</v>
      </c>
      <c r="Q100" s="95">
        <f t="shared" si="64"/>
        <v>1504.69</v>
      </c>
      <c r="R100" s="95">
        <f t="shared" si="64"/>
        <v>1508.11</v>
      </c>
      <c r="S100" s="95">
        <f t="shared" si="64"/>
        <v>1526.49</v>
      </c>
      <c r="T100" s="95">
        <f t="shared" si="64"/>
        <v>1534.19</v>
      </c>
      <c r="U100" s="95">
        <f t="shared" si="64"/>
        <v>1501.69</v>
      </c>
      <c r="V100" s="95">
        <f t="shared" si="64"/>
        <v>1394.19</v>
      </c>
      <c r="W100" s="95">
        <f t="shared" si="64"/>
        <v>1528.39</v>
      </c>
      <c r="X100" s="95">
        <f t="shared" si="64"/>
        <v>1699.0900000000001</v>
      </c>
      <c r="Y100" s="95">
        <f t="shared" si="64"/>
        <v>1853.65</v>
      </c>
      <c r="Z100" s="95">
        <f t="shared" si="64"/>
        <v>1877.35</v>
      </c>
      <c r="AA100" s="95">
        <f t="shared" si="64"/>
        <v>1779.69</v>
      </c>
      <c r="AB100" s="95">
        <f t="shared" si="64"/>
        <v>1726.8899999999999</v>
      </c>
      <c r="AC100" s="95">
        <f t="shared" ref="AC100:AD100" si="65">AC99-(AC107)</f>
        <v>1627.49</v>
      </c>
      <c r="AD100" s="95">
        <f t="shared" si="65"/>
        <v>1474.49</v>
      </c>
      <c r="AE100" s="95">
        <f t="shared" ref="AE100:AF100" si="66">AE99-(AE107)</f>
        <v>1378.3899999999999</v>
      </c>
      <c r="AF100" s="95">
        <f t="shared" si="66"/>
        <v>1270.0900000000001</v>
      </c>
      <c r="AG100" s="88"/>
      <c r="AH100" s="47">
        <f t="shared" si="44"/>
        <v>1877.35</v>
      </c>
      <c r="AI100" s="48">
        <f t="shared" si="45"/>
        <v>1111.5900000000001</v>
      </c>
    </row>
    <row r="101" spans="1:37" x14ac:dyDescent="0.25">
      <c r="A101" s="44" t="s">
        <v>84</v>
      </c>
      <c r="B101" s="76">
        <f t="shared" ref="B101" si="67">IF(B84&lt;0,B84*-1,0)</f>
        <v>0</v>
      </c>
      <c r="C101" s="76">
        <f t="shared" ref="C101:AB101" si="68">IF(C84&lt;0,C84*-1,0)</f>
        <v>0</v>
      </c>
      <c r="D101" s="76">
        <f t="shared" ref="D101" si="69">IF(D84&lt;0,D84*-1,0)</f>
        <v>0</v>
      </c>
      <c r="E101" s="76">
        <f t="shared" si="68"/>
        <v>0</v>
      </c>
      <c r="F101" s="76">
        <f t="shared" si="68"/>
        <v>0</v>
      </c>
      <c r="G101" s="76">
        <f t="shared" si="68"/>
        <v>0</v>
      </c>
      <c r="H101" s="76">
        <f t="shared" si="68"/>
        <v>0</v>
      </c>
      <c r="I101" s="76">
        <f t="shared" si="68"/>
        <v>0</v>
      </c>
      <c r="J101" s="76">
        <f t="shared" si="68"/>
        <v>0</v>
      </c>
      <c r="K101" s="76">
        <f t="shared" si="68"/>
        <v>0</v>
      </c>
      <c r="L101" s="76">
        <f t="shared" si="68"/>
        <v>0</v>
      </c>
      <c r="M101" s="76">
        <f t="shared" si="68"/>
        <v>0</v>
      </c>
      <c r="N101" s="76">
        <f t="shared" si="68"/>
        <v>0</v>
      </c>
      <c r="O101" s="76">
        <f t="shared" si="68"/>
        <v>0</v>
      </c>
      <c r="P101" s="76">
        <f t="shared" si="68"/>
        <v>0</v>
      </c>
      <c r="Q101" s="76">
        <f t="shared" si="68"/>
        <v>0</v>
      </c>
      <c r="R101" s="76">
        <f t="shared" si="68"/>
        <v>0</v>
      </c>
      <c r="S101" s="76">
        <f t="shared" si="68"/>
        <v>0</v>
      </c>
      <c r="T101" s="76">
        <f t="shared" si="68"/>
        <v>0</v>
      </c>
      <c r="U101" s="76">
        <f t="shared" si="68"/>
        <v>0</v>
      </c>
      <c r="V101" s="76">
        <f t="shared" si="68"/>
        <v>0</v>
      </c>
      <c r="W101" s="76">
        <f t="shared" si="68"/>
        <v>0</v>
      </c>
      <c r="X101" s="76">
        <f t="shared" si="68"/>
        <v>0</v>
      </c>
      <c r="Y101" s="76">
        <f t="shared" si="68"/>
        <v>0</v>
      </c>
      <c r="Z101" s="76">
        <f t="shared" si="68"/>
        <v>0</v>
      </c>
      <c r="AA101" s="76">
        <f t="shared" si="68"/>
        <v>0</v>
      </c>
      <c r="AB101" s="76">
        <f t="shared" si="68"/>
        <v>0</v>
      </c>
      <c r="AC101" s="76">
        <f t="shared" ref="AC101:AD101" si="70">IF(AC84&lt;0,AC84*-1,0)</f>
        <v>0</v>
      </c>
      <c r="AD101" s="76">
        <f t="shared" si="70"/>
        <v>0</v>
      </c>
      <c r="AE101" s="76">
        <f t="shared" ref="AE101:AF101" si="71">IF(AE84&lt;0,AE84*-1,0)</f>
        <v>0</v>
      </c>
      <c r="AF101" s="76">
        <f t="shared" si="71"/>
        <v>0</v>
      </c>
      <c r="AG101" s="52"/>
      <c r="AH101" s="47">
        <f t="shared" si="44"/>
        <v>0</v>
      </c>
      <c r="AI101" s="48">
        <f t="shared" si="45"/>
        <v>0</v>
      </c>
    </row>
    <row r="102" spans="1:37" x14ac:dyDescent="0.25">
      <c r="A102" s="54" t="s">
        <v>82</v>
      </c>
      <c r="B102" s="76">
        <f t="shared" ref="B102" si="72">IF(B82&lt;0,B82*-1,0)</f>
        <v>0</v>
      </c>
      <c r="C102" s="76">
        <f t="shared" ref="C102:AB102" si="73">IF(C82&lt;0,C82*-1,0)</f>
        <v>0</v>
      </c>
      <c r="D102" s="76">
        <f t="shared" ref="D102" si="74">IF(D82&lt;0,D82*-1,0)</f>
        <v>0</v>
      </c>
      <c r="E102" s="76">
        <f t="shared" si="73"/>
        <v>0</v>
      </c>
      <c r="F102" s="76">
        <f t="shared" si="73"/>
        <v>0</v>
      </c>
      <c r="G102" s="76">
        <f t="shared" si="73"/>
        <v>0</v>
      </c>
      <c r="H102" s="76">
        <f t="shared" si="73"/>
        <v>0</v>
      </c>
      <c r="I102" s="76">
        <f t="shared" si="73"/>
        <v>0</v>
      </c>
      <c r="J102" s="76">
        <f t="shared" si="73"/>
        <v>0</v>
      </c>
      <c r="K102" s="76">
        <f t="shared" si="73"/>
        <v>0</v>
      </c>
      <c r="L102" s="76">
        <f t="shared" si="73"/>
        <v>0</v>
      </c>
      <c r="M102" s="76">
        <f t="shared" si="73"/>
        <v>0</v>
      </c>
      <c r="N102" s="76">
        <f t="shared" si="73"/>
        <v>0</v>
      </c>
      <c r="O102" s="76">
        <f t="shared" si="73"/>
        <v>0</v>
      </c>
      <c r="P102" s="76">
        <f t="shared" si="73"/>
        <v>0</v>
      </c>
      <c r="Q102" s="76">
        <f t="shared" si="73"/>
        <v>0</v>
      </c>
      <c r="R102" s="76">
        <f t="shared" si="73"/>
        <v>0</v>
      </c>
      <c r="S102" s="76">
        <f t="shared" si="73"/>
        <v>0</v>
      </c>
      <c r="T102" s="76">
        <f t="shared" si="73"/>
        <v>0</v>
      </c>
      <c r="U102" s="76">
        <f t="shared" si="73"/>
        <v>0</v>
      </c>
      <c r="V102" s="76">
        <f t="shared" si="73"/>
        <v>0</v>
      </c>
      <c r="W102" s="76">
        <f t="shared" si="73"/>
        <v>0</v>
      </c>
      <c r="X102" s="76">
        <f t="shared" si="73"/>
        <v>0</v>
      </c>
      <c r="Y102" s="76">
        <f t="shared" si="73"/>
        <v>0</v>
      </c>
      <c r="Z102" s="76">
        <f t="shared" si="73"/>
        <v>0</v>
      </c>
      <c r="AA102" s="76">
        <f t="shared" si="73"/>
        <v>0</v>
      </c>
      <c r="AB102" s="76">
        <f t="shared" si="73"/>
        <v>0</v>
      </c>
      <c r="AC102" s="76">
        <f t="shared" ref="AC102:AD102" si="75">IF(AC82&lt;0,AC82*-1,0)</f>
        <v>0</v>
      </c>
      <c r="AD102" s="76">
        <f t="shared" si="75"/>
        <v>0</v>
      </c>
      <c r="AE102" s="76">
        <f t="shared" ref="AE102:AF102" si="76">IF(AE82&lt;0,AE82*-1,0)</f>
        <v>0</v>
      </c>
      <c r="AF102" s="76">
        <f t="shared" si="76"/>
        <v>0</v>
      </c>
      <c r="AG102" s="55"/>
      <c r="AH102" s="47">
        <f t="shared" si="44"/>
        <v>0</v>
      </c>
      <c r="AI102" s="48">
        <f t="shared" si="45"/>
        <v>0</v>
      </c>
    </row>
    <row r="103" spans="1:37" x14ac:dyDescent="0.25">
      <c r="A103" s="84" t="s">
        <v>103</v>
      </c>
      <c r="B103" s="76">
        <f t="shared" ref="B103" si="77">IF(B85&lt;0,B85*-1,0)</f>
        <v>0</v>
      </c>
      <c r="C103" s="76">
        <f t="shared" ref="C103:AB103" si="78">IF(C85&lt;0,C85*-1,0)</f>
        <v>0</v>
      </c>
      <c r="D103" s="76">
        <f t="shared" ref="D103" si="79">IF(D85&lt;0,D85*-1,0)</f>
        <v>0</v>
      </c>
      <c r="E103" s="76">
        <f t="shared" si="78"/>
        <v>0</v>
      </c>
      <c r="F103" s="76">
        <f t="shared" si="78"/>
        <v>0</v>
      </c>
      <c r="G103" s="76">
        <f t="shared" si="78"/>
        <v>0</v>
      </c>
      <c r="H103" s="76">
        <f t="shared" si="78"/>
        <v>0</v>
      </c>
      <c r="I103" s="76">
        <f t="shared" si="78"/>
        <v>0</v>
      </c>
      <c r="J103" s="76">
        <f t="shared" si="78"/>
        <v>0</v>
      </c>
      <c r="K103" s="76">
        <f t="shared" si="78"/>
        <v>0</v>
      </c>
      <c r="L103" s="76">
        <f t="shared" si="78"/>
        <v>0</v>
      </c>
      <c r="M103" s="76">
        <f t="shared" si="78"/>
        <v>0</v>
      </c>
      <c r="N103" s="76">
        <f t="shared" si="78"/>
        <v>0</v>
      </c>
      <c r="O103" s="76">
        <f t="shared" si="78"/>
        <v>0</v>
      </c>
      <c r="P103" s="76">
        <f t="shared" si="78"/>
        <v>0</v>
      </c>
      <c r="Q103" s="76">
        <f t="shared" si="78"/>
        <v>0</v>
      </c>
      <c r="R103" s="76">
        <f t="shared" si="78"/>
        <v>0</v>
      </c>
      <c r="S103" s="76">
        <f t="shared" si="78"/>
        <v>0</v>
      </c>
      <c r="T103" s="76">
        <f t="shared" si="78"/>
        <v>0</v>
      </c>
      <c r="U103" s="76">
        <f t="shared" si="78"/>
        <v>0</v>
      </c>
      <c r="V103" s="76">
        <f t="shared" si="78"/>
        <v>0</v>
      </c>
      <c r="W103" s="76">
        <f t="shared" si="78"/>
        <v>0</v>
      </c>
      <c r="X103" s="76">
        <f t="shared" si="78"/>
        <v>0</v>
      </c>
      <c r="Y103" s="76">
        <f t="shared" si="78"/>
        <v>0</v>
      </c>
      <c r="Z103" s="76">
        <f t="shared" si="78"/>
        <v>0</v>
      </c>
      <c r="AA103" s="76">
        <f t="shared" si="78"/>
        <v>0</v>
      </c>
      <c r="AB103" s="76">
        <f t="shared" si="78"/>
        <v>0</v>
      </c>
      <c r="AC103" s="76">
        <f t="shared" ref="AC103:AD103" si="80">IF(AC85&lt;0,AC85*-1,0)</f>
        <v>0</v>
      </c>
      <c r="AD103" s="76">
        <f t="shared" si="80"/>
        <v>0</v>
      </c>
      <c r="AE103" s="76">
        <f t="shared" ref="AE103:AF103" si="81">IF(AE85&lt;0,AE85*-1,0)</f>
        <v>0</v>
      </c>
      <c r="AF103" s="76">
        <f t="shared" si="81"/>
        <v>0</v>
      </c>
      <c r="AG103" s="98"/>
      <c r="AH103" s="47">
        <f t="shared" si="44"/>
        <v>0</v>
      </c>
      <c r="AI103" s="48">
        <f t="shared" si="45"/>
        <v>0</v>
      </c>
    </row>
    <row r="104" spans="1:37" x14ac:dyDescent="0.25">
      <c r="A104" s="84" t="s">
        <v>104</v>
      </c>
      <c r="B104" s="76">
        <f t="shared" ref="B104" si="82">IF(B83&lt;0,B83*-1,0)</f>
        <v>0</v>
      </c>
      <c r="C104" s="76">
        <f t="shared" ref="C104:AB104" si="83">IF(C83&lt;0,C83*-1,0)</f>
        <v>0</v>
      </c>
      <c r="D104" s="76">
        <f t="shared" ref="D104" si="84">IF(D83&lt;0,D83*-1,0)</f>
        <v>0</v>
      </c>
      <c r="E104" s="76">
        <f t="shared" si="83"/>
        <v>0</v>
      </c>
      <c r="F104" s="76">
        <f t="shared" si="83"/>
        <v>0</v>
      </c>
      <c r="G104" s="76">
        <f t="shared" si="83"/>
        <v>0</v>
      </c>
      <c r="H104" s="76">
        <f t="shared" si="83"/>
        <v>0</v>
      </c>
      <c r="I104" s="76">
        <f t="shared" si="83"/>
        <v>0</v>
      </c>
      <c r="J104" s="76">
        <f t="shared" si="83"/>
        <v>0</v>
      </c>
      <c r="K104" s="76">
        <f t="shared" si="83"/>
        <v>0</v>
      </c>
      <c r="L104" s="76">
        <f t="shared" si="83"/>
        <v>0</v>
      </c>
      <c r="M104" s="76">
        <f t="shared" si="83"/>
        <v>0</v>
      </c>
      <c r="N104" s="76">
        <f t="shared" si="83"/>
        <v>0</v>
      </c>
      <c r="O104" s="76">
        <f t="shared" si="83"/>
        <v>0</v>
      </c>
      <c r="P104" s="76">
        <f t="shared" si="83"/>
        <v>0</v>
      </c>
      <c r="Q104" s="76">
        <f t="shared" si="83"/>
        <v>0</v>
      </c>
      <c r="R104" s="76">
        <f t="shared" si="83"/>
        <v>0</v>
      </c>
      <c r="S104" s="76">
        <f t="shared" si="83"/>
        <v>0</v>
      </c>
      <c r="T104" s="76">
        <f t="shared" si="83"/>
        <v>0</v>
      </c>
      <c r="U104" s="76">
        <f t="shared" si="83"/>
        <v>0</v>
      </c>
      <c r="V104" s="76">
        <f t="shared" si="83"/>
        <v>0</v>
      </c>
      <c r="W104" s="76">
        <f t="shared" si="83"/>
        <v>0</v>
      </c>
      <c r="X104" s="76">
        <f t="shared" si="83"/>
        <v>0</v>
      </c>
      <c r="Y104" s="76">
        <f t="shared" si="83"/>
        <v>0</v>
      </c>
      <c r="Z104" s="76">
        <f t="shared" si="83"/>
        <v>0</v>
      </c>
      <c r="AA104" s="76">
        <f t="shared" si="83"/>
        <v>0</v>
      </c>
      <c r="AB104" s="76">
        <f t="shared" si="83"/>
        <v>0</v>
      </c>
      <c r="AC104" s="76">
        <f t="shared" ref="AC104:AD104" si="85">IF(AC83&lt;0,AC83*-1,0)</f>
        <v>0</v>
      </c>
      <c r="AD104" s="76">
        <f t="shared" si="85"/>
        <v>0</v>
      </c>
      <c r="AE104" s="76">
        <f t="shared" ref="AE104:AF104" si="86">IF(AE83&lt;0,AE83*-1,0)</f>
        <v>0</v>
      </c>
      <c r="AF104" s="76">
        <f t="shared" si="86"/>
        <v>0</v>
      </c>
      <c r="AG104" s="98"/>
      <c r="AH104" s="47">
        <f t="shared" si="44"/>
        <v>0</v>
      </c>
      <c r="AI104" s="48">
        <f t="shared" si="45"/>
        <v>0</v>
      </c>
    </row>
    <row r="105" spans="1:37" x14ac:dyDescent="0.25">
      <c r="A105" s="84" t="s">
        <v>81</v>
      </c>
      <c r="B105" s="76">
        <f t="shared" ref="B105" si="87">IF(B81&lt;0,B81*-1,0)</f>
        <v>0</v>
      </c>
      <c r="C105" s="76">
        <f t="shared" ref="C105:AB105" si="88">IF(C81&lt;0,C81*-1,0)</f>
        <v>0</v>
      </c>
      <c r="D105" s="76">
        <f t="shared" ref="D105" si="89">IF(D81&lt;0,D81*-1,0)</f>
        <v>0</v>
      </c>
      <c r="E105" s="76">
        <f t="shared" si="88"/>
        <v>0</v>
      </c>
      <c r="F105" s="76">
        <f t="shared" si="88"/>
        <v>0</v>
      </c>
      <c r="G105" s="76">
        <f t="shared" si="88"/>
        <v>0</v>
      </c>
      <c r="H105" s="76">
        <f t="shared" si="88"/>
        <v>0</v>
      </c>
      <c r="I105" s="76">
        <f t="shared" si="88"/>
        <v>0</v>
      </c>
      <c r="J105" s="76">
        <f t="shared" si="88"/>
        <v>0</v>
      </c>
      <c r="K105" s="76">
        <f t="shared" si="88"/>
        <v>0</v>
      </c>
      <c r="L105" s="76">
        <f t="shared" si="88"/>
        <v>0</v>
      </c>
      <c r="M105" s="76">
        <f t="shared" si="88"/>
        <v>0</v>
      </c>
      <c r="N105" s="76">
        <f t="shared" si="88"/>
        <v>0</v>
      </c>
      <c r="O105" s="76">
        <f t="shared" si="88"/>
        <v>0</v>
      </c>
      <c r="P105" s="76">
        <f t="shared" si="88"/>
        <v>0</v>
      </c>
      <c r="Q105" s="76">
        <f t="shared" si="88"/>
        <v>0</v>
      </c>
      <c r="R105" s="76">
        <f t="shared" si="88"/>
        <v>0</v>
      </c>
      <c r="S105" s="76">
        <f t="shared" si="88"/>
        <v>0</v>
      </c>
      <c r="T105" s="76">
        <f t="shared" si="88"/>
        <v>0</v>
      </c>
      <c r="U105" s="76">
        <f t="shared" si="88"/>
        <v>0</v>
      </c>
      <c r="V105" s="76">
        <f t="shared" si="88"/>
        <v>0</v>
      </c>
      <c r="W105" s="76">
        <f t="shared" si="88"/>
        <v>0</v>
      </c>
      <c r="X105" s="76">
        <f t="shared" si="88"/>
        <v>0</v>
      </c>
      <c r="Y105" s="76">
        <f t="shared" si="88"/>
        <v>0</v>
      </c>
      <c r="Z105" s="76">
        <f t="shared" si="88"/>
        <v>0</v>
      </c>
      <c r="AA105" s="76">
        <f t="shared" si="88"/>
        <v>0</v>
      </c>
      <c r="AB105" s="76">
        <f t="shared" si="88"/>
        <v>0</v>
      </c>
      <c r="AC105" s="76">
        <f t="shared" ref="AC105:AD105" si="90">IF(AC81&lt;0,AC81*-1,0)</f>
        <v>0</v>
      </c>
      <c r="AD105" s="76">
        <f t="shared" si="90"/>
        <v>0</v>
      </c>
      <c r="AE105" s="76">
        <f t="shared" ref="AE105:AF105" si="91">IF(AE81&lt;0,AE81*-1,0)</f>
        <v>0</v>
      </c>
      <c r="AF105" s="76">
        <f t="shared" si="91"/>
        <v>0</v>
      </c>
      <c r="AG105" s="98"/>
      <c r="AH105" s="47">
        <f t="shared" si="44"/>
        <v>0</v>
      </c>
      <c r="AI105" s="48">
        <f t="shared" si="45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1</v>
      </c>
      <c r="AD106" s="94">
        <v>2</v>
      </c>
      <c r="AE106" s="94">
        <v>3</v>
      </c>
      <c r="AF106" s="94">
        <v>4</v>
      </c>
      <c r="AG106" s="85"/>
      <c r="AH106" s="47">
        <f t="shared" si="44"/>
        <v>4</v>
      </c>
      <c r="AI106" s="48">
        <f t="shared" si="45"/>
        <v>0</v>
      </c>
    </row>
    <row r="107" spans="1:37" ht="15.75" thickBot="1" x14ac:dyDescent="0.3">
      <c r="A107" s="99" t="s">
        <v>106</v>
      </c>
      <c r="B107" s="60">
        <f t="shared" ref="B107" si="92">SUM(B101:B106)</f>
        <v>0</v>
      </c>
      <c r="C107" s="60">
        <f t="shared" ref="C107" si="93">SUM(C101:C106)</f>
        <v>0</v>
      </c>
      <c r="D107" s="60">
        <f t="shared" ref="D107" si="94">SUM(D101:D106)</f>
        <v>0</v>
      </c>
      <c r="E107" s="60">
        <f t="shared" ref="E107:AB107" si="95">SUM(E101:E106)</f>
        <v>0</v>
      </c>
      <c r="F107" s="60">
        <f t="shared" si="95"/>
        <v>0</v>
      </c>
      <c r="G107" s="60">
        <f t="shared" si="95"/>
        <v>0</v>
      </c>
      <c r="H107" s="60">
        <f t="shared" si="95"/>
        <v>0</v>
      </c>
      <c r="I107" s="60">
        <f t="shared" si="95"/>
        <v>0</v>
      </c>
      <c r="J107" s="60">
        <f t="shared" si="95"/>
        <v>0</v>
      </c>
      <c r="K107" s="60">
        <f t="shared" si="95"/>
        <v>0</v>
      </c>
      <c r="L107" s="60">
        <f t="shared" si="95"/>
        <v>0</v>
      </c>
      <c r="M107" s="60">
        <f t="shared" si="95"/>
        <v>0</v>
      </c>
      <c r="N107" s="60">
        <f t="shared" si="95"/>
        <v>0</v>
      </c>
      <c r="O107" s="60">
        <f t="shared" si="95"/>
        <v>0</v>
      </c>
      <c r="P107" s="60">
        <f t="shared" si="95"/>
        <v>0</v>
      </c>
      <c r="Q107" s="60">
        <f t="shared" si="95"/>
        <v>0</v>
      </c>
      <c r="R107" s="60">
        <f t="shared" si="95"/>
        <v>0</v>
      </c>
      <c r="S107" s="60">
        <f t="shared" si="95"/>
        <v>0</v>
      </c>
      <c r="T107" s="60">
        <f t="shared" si="95"/>
        <v>0</v>
      </c>
      <c r="U107" s="60">
        <f t="shared" si="95"/>
        <v>0</v>
      </c>
      <c r="V107" s="60">
        <f t="shared" si="95"/>
        <v>0</v>
      </c>
      <c r="W107" s="60">
        <f t="shared" si="95"/>
        <v>0</v>
      </c>
      <c r="X107" s="60">
        <f t="shared" si="95"/>
        <v>0</v>
      </c>
      <c r="Y107" s="60">
        <f t="shared" si="95"/>
        <v>0</v>
      </c>
      <c r="Z107" s="60">
        <f t="shared" si="95"/>
        <v>0</v>
      </c>
      <c r="AA107" s="60">
        <f t="shared" si="95"/>
        <v>0</v>
      </c>
      <c r="AB107" s="60">
        <f t="shared" si="95"/>
        <v>0</v>
      </c>
      <c r="AC107" s="60">
        <f t="shared" ref="AC107:AD107" si="96">SUM(AC101:AC106)</f>
        <v>1</v>
      </c>
      <c r="AD107" s="60">
        <f t="shared" si="96"/>
        <v>2</v>
      </c>
      <c r="AE107" s="60">
        <f t="shared" ref="AE107:AF107" si="97">SUM(AE101:AE106)</f>
        <v>3</v>
      </c>
      <c r="AF107" s="60">
        <f t="shared" si="97"/>
        <v>4</v>
      </c>
      <c r="AG107" s="88"/>
      <c r="AH107" s="47">
        <f t="shared" si="44"/>
        <v>4</v>
      </c>
      <c r="AI107" s="48">
        <f t="shared" si="45"/>
        <v>0</v>
      </c>
      <c r="AK107" s="50"/>
    </row>
    <row r="108" spans="1:37" ht="15.75" thickBot="1" x14ac:dyDescent="0.3">
      <c r="A108" s="74" t="s">
        <v>107</v>
      </c>
      <c r="B108" s="60">
        <f t="shared" ref="B108" si="98">B92-B107</f>
        <v>556.20000000000005</v>
      </c>
      <c r="C108" s="60">
        <f t="shared" ref="C108:AB108" si="99">C92-C107</f>
        <v>519.29999999999995</v>
      </c>
      <c r="D108" s="60">
        <f t="shared" ref="D108" si="100">D92-D107</f>
        <v>492.1</v>
      </c>
      <c r="E108" s="60">
        <f t="shared" si="99"/>
        <v>501.1</v>
      </c>
      <c r="F108" s="60">
        <f t="shared" si="99"/>
        <v>525.29999999999995</v>
      </c>
      <c r="G108" s="60">
        <f t="shared" si="99"/>
        <v>531.6</v>
      </c>
      <c r="H108" s="60">
        <f t="shared" si="99"/>
        <v>574</v>
      </c>
      <c r="I108" s="60">
        <f t="shared" si="99"/>
        <v>590</v>
      </c>
      <c r="J108" s="60">
        <f t="shared" si="99"/>
        <v>575.70000000000005</v>
      </c>
      <c r="K108" s="60">
        <f t="shared" si="99"/>
        <v>547.79999999999995</v>
      </c>
      <c r="L108" s="60">
        <f t="shared" si="99"/>
        <v>346.1</v>
      </c>
      <c r="M108" s="60">
        <f t="shared" si="99"/>
        <v>251.6</v>
      </c>
      <c r="N108" s="60">
        <f t="shared" si="99"/>
        <v>521.29999999999995</v>
      </c>
      <c r="O108" s="60">
        <f t="shared" si="99"/>
        <v>519.6</v>
      </c>
      <c r="P108" s="60">
        <f t="shared" si="99"/>
        <v>545.29999999999995</v>
      </c>
      <c r="Q108" s="60">
        <f t="shared" si="99"/>
        <v>682.9</v>
      </c>
      <c r="R108" s="60">
        <f t="shared" si="99"/>
        <v>660.31999999999994</v>
      </c>
      <c r="S108" s="60">
        <f t="shared" si="99"/>
        <v>701.8</v>
      </c>
      <c r="T108" s="60">
        <f t="shared" si="99"/>
        <v>691.2</v>
      </c>
      <c r="U108" s="60">
        <f t="shared" si="99"/>
        <v>679.69999999999993</v>
      </c>
      <c r="V108" s="60">
        <f t="shared" si="99"/>
        <v>641.9</v>
      </c>
      <c r="W108" s="60">
        <f t="shared" si="99"/>
        <v>582.20000000000005</v>
      </c>
      <c r="X108" s="60">
        <f t="shared" si="99"/>
        <v>606.79999999999995</v>
      </c>
      <c r="Y108" s="60">
        <f>Y92-Y107</f>
        <v>655.19999999999993</v>
      </c>
      <c r="Z108" s="60">
        <f>Z92-Z107</f>
        <v>631.9</v>
      </c>
      <c r="AA108" s="60">
        <f t="shared" si="99"/>
        <v>646.1</v>
      </c>
      <c r="AB108" s="60">
        <f t="shared" si="99"/>
        <v>645.5</v>
      </c>
      <c r="AC108" s="60">
        <f t="shared" ref="AC108:AD108" si="101">AC92-AC107</f>
        <v>672.1</v>
      </c>
      <c r="AD108" s="60">
        <f t="shared" si="101"/>
        <v>654.1</v>
      </c>
      <c r="AE108" s="60">
        <f t="shared" ref="AE108:AF108" si="102">AE92-AE107</f>
        <v>649</v>
      </c>
      <c r="AF108" s="60">
        <f t="shared" si="102"/>
        <v>628</v>
      </c>
      <c r="AG108" s="88"/>
      <c r="AH108" s="47">
        <f t="shared" si="44"/>
        <v>701.8</v>
      </c>
      <c r="AI108" s="48">
        <f t="shared" si="45"/>
        <v>251.6</v>
      </c>
    </row>
    <row r="109" spans="1:37" x14ac:dyDescent="0.25">
      <c r="A109" s="100" t="s">
        <v>108</v>
      </c>
      <c r="B109" s="101">
        <v>49.99</v>
      </c>
      <c r="C109" s="101">
        <v>49.96</v>
      </c>
      <c r="D109" s="101">
        <v>50.01</v>
      </c>
      <c r="E109" s="101">
        <v>50.043999999999997</v>
      </c>
      <c r="F109" s="101">
        <v>50.002000000000002</v>
      </c>
      <c r="G109" s="101">
        <v>50.051000000000002</v>
      </c>
      <c r="H109" s="101">
        <v>50.091000000000001</v>
      </c>
      <c r="I109" s="101">
        <v>50.276000000000003</v>
      </c>
      <c r="J109" s="101">
        <v>50.08</v>
      </c>
      <c r="K109" s="101">
        <v>49.987000000000002</v>
      </c>
      <c r="L109" s="101">
        <v>50.01</v>
      </c>
      <c r="M109" s="101">
        <v>50.012</v>
      </c>
      <c r="N109" s="101">
        <v>50.070999999999998</v>
      </c>
      <c r="O109" s="101">
        <v>50.048999999999999</v>
      </c>
      <c r="P109" s="101">
        <v>50.034999999999997</v>
      </c>
      <c r="Q109" s="101">
        <v>49.982999999999997</v>
      </c>
      <c r="R109" s="101">
        <v>50.026000000000003</v>
      </c>
      <c r="S109" s="101">
        <v>49.927999999999997</v>
      </c>
      <c r="T109" s="101">
        <v>49.753999999999998</v>
      </c>
      <c r="U109" s="101">
        <v>49.935000000000002</v>
      </c>
      <c r="V109" s="101">
        <v>50</v>
      </c>
      <c r="W109" s="101">
        <v>50.064999999999998</v>
      </c>
      <c r="X109" s="101">
        <v>50.039000000000001</v>
      </c>
      <c r="Y109" s="101">
        <v>50.07</v>
      </c>
      <c r="Z109" s="101">
        <v>50.040999999999997</v>
      </c>
      <c r="AA109" s="101">
        <v>49.988</v>
      </c>
      <c r="AB109" s="101">
        <v>50.012999999999998</v>
      </c>
      <c r="AC109" s="101">
        <v>50.04</v>
      </c>
      <c r="AD109" s="101">
        <v>49.95</v>
      </c>
      <c r="AE109" s="101">
        <v>49.98</v>
      </c>
      <c r="AF109" s="101">
        <v>50.05</v>
      </c>
      <c r="AG109" s="102"/>
      <c r="AH109" s="47">
        <f t="shared" si="44"/>
        <v>50.276000000000003</v>
      </c>
      <c r="AI109" s="48">
        <f t="shared" si="45"/>
        <v>49.753999999999998</v>
      </c>
    </row>
    <row r="110" spans="1:37" x14ac:dyDescent="0.25">
      <c r="A110" s="103" t="s">
        <v>109</v>
      </c>
      <c r="B110" s="65">
        <v>130.5</v>
      </c>
      <c r="C110" s="65">
        <v>129.6</v>
      </c>
      <c r="D110" s="65">
        <v>129.80000000000001</v>
      </c>
      <c r="E110" s="65">
        <v>128.30000000000001</v>
      </c>
      <c r="F110" s="65">
        <v>126.7</v>
      </c>
      <c r="G110" s="65">
        <v>127</v>
      </c>
      <c r="H110" s="65">
        <v>127</v>
      </c>
      <c r="I110" s="65">
        <v>125.8</v>
      </c>
      <c r="J110" s="65">
        <v>126.4</v>
      </c>
      <c r="K110" s="65">
        <v>129.30000000000001</v>
      </c>
      <c r="L110" s="65">
        <v>126.5</v>
      </c>
      <c r="M110" s="65">
        <v>126.5</v>
      </c>
      <c r="N110" s="65">
        <v>127.8</v>
      </c>
      <c r="O110" s="65">
        <v>126</v>
      </c>
      <c r="P110" s="65">
        <v>127.7</v>
      </c>
      <c r="Q110" s="65">
        <v>125.6</v>
      </c>
      <c r="R110" s="65">
        <v>123.8</v>
      </c>
      <c r="S110" s="65">
        <v>125.2</v>
      </c>
      <c r="T110" s="65">
        <v>127</v>
      </c>
      <c r="U110" s="65">
        <v>127.3</v>
      </c>
      <c r="V110" s="65">
        <v>128</v>
      </c>
      <c r="W110" s="65">
        <v>127.5</v>
      </c>
      <c r="X110" s="65">
        <v>125.6</v>
      </c>
      <c r="Y110" s="65">
        <v>126.8</v>
      </c>
      <c r="Z110" s="65">
        <v>127.3</v>
      </c>
      <c r="AA110" s="65">
        <v>127.5</v>
      </c>
      <c r="AB110" s="65">
        <v>128.30000000000001</v>
      </c>
      <c r="AC110" s="65">
        <v>128.30000000000001</v>
      </c>
      <c r="AD110" s="65">
        <v>128.30000000000001</v>
      </c>
      <c r="AE110" s="65">
        <v>129</v>
      </c>
      <c r="AF110" s="65">
        <v>129</v>
      </c>
      <c r="AG110" s="104"/>
      <c r="AH110" s="47">
        <f t="shared" si="44"/>
        <v>130.5</v>
      </c>
      <c r="AI110" s="48">
        <f t="shared" si="45"/>
        <v>123.8</v>
      </c>
    </row>
    <row r="111" spans="1:37" x14ac:dyDescent="0.25">
      <c r="A111" s="103" t="s">
        <v>110</v>
      </c>
      <c r="B111" s="65">
        <v>133.9</v>
      </c>
      <c r="C111" s="65">
        <v>132.80000000000001</v>
      </c>
      <c r="D111" s="65">
        <v>132.9</v>
      </c>
      <c r="E111" s="65">
        <v>132.19999999999999</v>
      </c>
      <c r="F111" s="65">
        <v>130.9</v>
      </c>
      <c r="G111" s="65">
        <v>130.80000000000001</v>
      </c>
      <c r="H111" s="65">
        <v>130.6</v>
      </c>
      <c r="I111" s="65">
        <v>129.4</v>
      </c>
      <c r="J111" s="65">
        <v>128.80000000000001</v>
      </c>
      <c r="K111" s="65">
        <v>130.4</v>
      </c>
      <c r="L111" s="65">
        <v>127.4</v>
      </c>
      <c r="M111" s="65">
        <v>127.7</v>
      </c>
      <c r="N111" s="65">
        <v>129.19999999999999</v>
      </c>
      <c r="O111" s="65">
        <v>127.7</v>
      </c>
      <c r="P111" s="65">
        <v>129.19999999999999</v>
      </c>
      <c r="Q111" s="65">
        <v>127.6</v>
      </c>
      <c r="R111" s="65">
        <v>126.3</v>
      </c>
      <c r="S111" s="65">
        <v>127.5</v>
      </c>
      <c r="T111" s="65">
        <v>128.69999999999999</v>
      </c>
      <c r="U111" s="65">
        <v>128.9</v>
      </c>
      <c r="V111" s="65">
        <v>129.6</v>
      </c>
      <c r="W111" s="65">
        <v>129</v>
      </c>
      <c r="X111" s="65">
        <v>127</v>
      </c>
      <c r="Y111" s="65">
        <v>127.3</v>
      </c>
      <c r="Z111" s="65">
        <v>127.9</v>
      </c>
      <c r="AA111" s="65">
        <v>128.19999999999999</v>
      </c>
      <c r="AB111" s="65">
        <v>129.4</v>
      </c>
      <c r="AC111" s="65">
        <v>129.4</v>
      </c>
      <c r="AD111" s="65">
        <v>129.4</v>
      </c>
      <c r="AE111" s="65">
        <v>131.6</v>
      </c>
      <c r="AF111" s="65">
        <v>131.6</v>
      </c>
      <c r="AG111" s="104"/>
      <c r="AH111" s="47">
        <f t="shared" si="44"/>
        <v>133.9</v>
      </c>
      <c r="AI111" s="48">
        <f t="shared" si="45"/>
        <v>126.3</v>
      </c>
    </row>
    <row r="112" spans="1:37" x14ac:dyDescent="0.25">
      <c r="A112" s="103" t="s">
        <v>111</v>
      </c>
      <c r="B112" s="65">
        <v>13.2</v>
      </c>
      <c r="C112" s="65">
        <v>131.19999999999999</v>
      </c>
      <c r="D112" s="65">
        <v>132</v>
      </c>
      <c r="E112" s="65">
        <v>131.9</v>
      </c>
      <c r="F112" s="65">
        <v>131.4</v>
      </c>
      <c r="G112" s="65">
        <v>128.5</v>
      </c>
      <c r="H112" s="65">
        <v>128.4</v>
      </c>
      <c r="I112" s="65">
        <v>127.6</v>
      </c>
      <c r="J112" s="65">
        <v>125.9</v>
      </c>
      <c r="K112" s="65">
        <v>130.69999999999999</v>
      </c>
      <c r="L112" s="65">
        <v>127.9</v>
      </c>
      <c r="M112" s="65">
        <v>129</v>
      </c>
      <c r="N112" s="65">
        <v>131.9</v>
      </c>
      <c r="O112" s="65">
        <v>128</v>
      </c>
      <c r="P112" s="65">
        <v>128.30000000000001</v>
      </c>
      <c r="Q112" s="65">
        <v>126.2</v>
      </c>
      <c r="R112" s="65">
        <v>127.9</v>
      </c>
      <c r="S112" s="65">
        <v>122.9</v>
      </c>
      <c r="T112" s="65">
        <v>127.5</v>
      </c>
      <c r="U112" s="65">
        <v>126.6</v>
      </c>
      <c r="V112" s="65">
        <v>130.80000000000001</v>
      </c>
      <c r="W112" s="65">
        <v>130.69999999999999</v>
      </c>
      <c r="X112" s="65">
        <v>127.6</v>
      </c>
      <c r="Y112" s="65">
        <v>127</v>
      </c>
      <c r="Z112" s="65">
        <v>129.4</v>
      </c>
      <c r="AA112" s="65">
        <v>130.6</v>
      </c>
      <c r="AB112" s="65">
        <v>130</v>
      </c>
      <c r="AC112" s="65">
        <v>130</v>
      </c>
      <c r="AD112" s="65">
        <v>130</v>
      </c>
      <c r="AE112" s="65">
        <v>130</v>
      </c>
      <c r="AF112" s="65">
        <v>130</v>
      </c>
      <c r="AG112" s="104"/>
      <c r="AH112" s="47">
        <f t="shared" si="44"/>
        <v>132</v>
      </c>
      <c r="AI112" s="48">
        <f t="shared" si="45"/>
        <v>13.2</v>
      </c>
    </row>
    <row r="113" spans="1:35" x14ac:dyDescent="0.25">
      <c r="A113" s="105" t="s">
        <v>112</v>
      </c>
      <c r="B113" s="65">
        <v>132.5</v>
      </c>
      <c r="C113" s="65">
        <v>132.9</v>
      </c>
      <c r="D113" s="65">
        <v>132.30000000000001</v>
      </c>
      <c r="E113" s="65">
        <v>134</v>
      </c>
      <c r="F113" s="65">
        <v>133.5</v>
      </c>
      <c r="G113" s="65">
        <v>130.9</v>
      </c>
      <c r="H113" s="65">
        <v>131.19999999999999</v>
      </c>
      <c r="I113" s="65">
        <v>131.19999999999999</v>
      </c>
      <c r="J113" s="65">
        <v>128.30000000000001</v>
      </c>
      <c r="K113" s="65">
        <v>131.6</v>
      </c>
      <c r="L113" s="65">
        <v>128.19999999999999</v>
      </c>
      <c r="M113" s="65">
        <v>128.19999999999999</v>
      </c>
      <c r="N113" s="65">
        <v>131.4</v>
      </c>
      <c r="O113" s="65">
        <v>128.5</v>
      </c>
      <c r="P113" s="65">
        <v>128.1</v>
      </c>
      <c r="Q113" s="65">
        <v>128.19999999999999</v>
      </c>
      <c r="R113" s="65">
        <v>129.5</v>
      </c>
      <c r="S113" s="65">
        <v>124.8</v>
      </c>
      <c r="T113" s="65">
        <v>128.80000000000001</v>
      </c>
      <c r="U113" s="65">
        <v>127.3</v>
      </c>
      <c r="V113" s="65">
        <v>131</v>
      </c>
      <c r="W113" s="65">
        <v>131.19999999999999</v>
      </c>
      <c r="X113" s="65">
        <v>127.8</v>
      </c>
      <c r="Y113" s="65">
        <v>126.8</v>
      </c>
      <c r="Z113" s="65">
        <v>129.4</v>
      </c>
      <c r="AA113" s="65">
        <v>131.9</v>
      </c>
      <c r="AB113" s="65">
        <v>132.19999999999999</v>
      </c>
      <c r="AC113" s="65">
        <v>133</v>
      </c>
      <c r="AD113" s="65">
        <v>133</v>
      </c>
      <c r="AE113" s="65">
        <v>133</v>
      </c>
      <c r="AF113" s="65">
        <v>133</v>
      </c>
      <c r="AG113" s="104"/>
      <c r="AH113" s="47">
        <f t="shared" si="44"/>
        <v>134</v>
      </c>
      <c r="AI113" s="48">
        <f t="shared" si="45"/>
        <v>124.8</v>
      </c>
    </row>
    <row r="114" spans="1:35" x14ac:dyDescent="0.25">
      <c r="A114" s="105" t="s">
        <v>113</v>
      </c>
      <c r="B114" s="106">
        <v>134.6</v>
      </c>
      <c r="C114" s="106">
        <v>131.19999999999999</v>
      </c>
      <c r="D114" s="106">
        <v>130.69999999999999</v>
      </c>
      <c r="E114" s="106">
        <v>131.9</v>
      </c>
      <c r="F114" s="106">
        <v>130.30000000000001</v>
      </c>
      <c r="G114" s="106">
        <v>133.6</v>
      </c>
      <c r="H114" s="106">
        <v>133.6</v>
      </c>
      <c r="I114" s="106">
        <v>134.1</v>
      </c>
      <c r="J114" s="106">
        <v>135.19999999999999</v>
      </c>
      <c r="K114" s="106">
        <v>136.9</v>
      </c>
      <c r="L114" s="106">
        <v>133.5</v>
      </c>
      <c r="M114" s="106">
        <v>133.19999999999999</v>
      </c>
      <c r="N114" s="106">
        <v>133.6</v>
      </c>
      <c r="O114" s="106">
        <v>132.6</v>
      </c>
      <c r="P114" s="106">
        <v>132.6</v>
      </c>
      <c r="Q114" s="106">
        <v>132.1</v>
      </c>
      <c r="R114" s="106">
        <v>131.30000000000001</v>
      </c>
      <c r="S114" s="106">
        <v>131.6</v>
      </c>
      <c r="T114" s="106">
        <v>131.9</v>
      </c>
      <c r="U114" s="106">
        <v>132</v>
      </c>
      <c r="V114" s="106">
        <v>134.5</v>
      </c>
      <c r="W114" s="106">
        <v>133.69999999999999</v>
      </c>
      <c r="X114" s="106">
        <v>132</v>
      </c>
      <c r="Y114" s="106">
        <v>134.6</v>
      </c>
      <c r="Z114" s="106">
        <v>136.1</v>
      </c>
      <c r="AA114" s="106">
        <v>135.5</v>
      </c>
      <c r="AB114" s="106">
        <v>136.69999999999999</v>
      </c>
      <c r="AC114" s="106">
        <v>136.69999999999999</v>
      </c>
      <c r="AD114" s="106">
        <v>136.69999999999999</v>
      </c>
      <c r="AE114" s="106">
        <v>133.9</v>
      </c>
      <c r="AF114" s="106">
        <v>133.9</v>
      </c>
      <c r="AG114" s="107"/>
      <c r="AH114" s="47">
        <f t="shared" si="44"/>
        <v>136.9</v>
      </c>
      <c r="AI114" s="48">
        <f t="shared" si="45"/>
        <v>130.30000000000001</v>
      </c>
    </row>
    <row r="115" spans="1:35" x14ac:dyDescent="0.25">
      <c r="A115" s="103" t="s">
        <v>114</v>
      </c>
      <c r="B115" s="65">
        <v>133.5</v>
      </c>
      <c r="C115" s="65">
        <v>131</v>
      </c>
      <c r="D115" s="65">
        <v>133.80000000000001</v>
      </c>
      <c r="E115" s="65">
        <v>133.4</v>
      </c>
      <c r="F115" s="65">
        <v>134.6</v>
      </c>
      <c r="G115" s="65">
        <v>130.5</v>
      </c>
      <c r="H115" s="65">
        <v>128.69999999999999</v>
      </c>
      <c r="I115" s="65">
        <v>134</v>
      </c>
      <c r="J115" s="65">
        <v>130.80000000000001</v>
      </c>
      <c r="K115" s="65">
        <v>129.30000000000001</v>
      </c>
      <c r="L115" s="65">
        <v>129.6</v>
      </c>
      <c r="M115" s="65">
        <v>131.9</v>
      </c>
      <c r="N115" s="65">
        <v>134</v>
      </c>
      <c r="O115" s="65">
        <v>134</v>
      </c>
      <c r="P115" s="65">
        <v>127.5</v>
      </c>
      <c r="Q115" s="65">
        <v>131.69999999999999</v>
      </c>
      <c r="R115" s="65">
        <v>135.69999999999999</v>
      </c>
      <c r="S115" s="65">
        <v>131.19999999999999</v>
      </c>
      <c r="T115" s="65">
        <v>130.6</v>
      </c>
      <c r="U115" s="65">
        <v>131.9</v>
      </c>
      <c r="V115" s="65">
        <v>134.6</v>
      </c>
      <c r="W115" s="65">
        <v>129.1</v>
      </c>
      <c r="X115" s="65">
        <v>133.69999999999999</v>
      </c>
      <c r="Y115" s="65">
        <v>131.19999999999999</v>
      </c>
      <c r="Z115" s="65">
        <v>130.80000000000001</v>
      </c>
      <c r="AA115" s="65">
        <v>133.9</v>
      </c>
      <c r="AB115" s="65">
        <v>136.30000000000001</v>
      </c>
      <c r="AC115" s="65">
        <v>133</v>
      </c>
      <c r="AD115" s="65">
        <v>133</v>
      </c>
      <c r="AE115" s="65">
        <v>133.6</v>
      </c>
      <c r="AF115" s="65">
        <v>133.6</v>
      </c>
      <c r="AG115" s="104"/>
      <c r="AH115" s="47">
        <f t="shared" si="44"/>
        <v>136.30000000000001</v>
      </c>
      <c r="AI115" s="48">
        <f t="shared" si="45"/>
        <v>127.5</v>
      </c>
    </row>
    <row r="116" spans="1:35" ht="15.75" thickBot="1" x14ac:dyDescent="0.3">
      <c r="A116" s="103" t="s">
        <v>115</v>
      </c>
      <c r="B116" s="92">
        <v>67.400000000000006</v>
      </c>
      <c r="C116" s="92">
        <v>67.099999999999994</v>
      </c>
      <c r="D116" s="92">
        <v>67.099999999999994</v>
      </c>
      <c r="E116" s="92">
        <v>66.7</v>
      </c>
      <c r="F116" s="92">
        <v>66.099999999999994</v>
      </c>
      <c r="G116" s="92">
        <v>65.8</v>
      </c>
      <c r="H116" s="92">
        <v>65.900000000000006</v>
      </c>
      <c r="I116" s="92">
        <v>65.2</v>
      </c>
      <c r="J116" s="92">
        <v>64.900000000000006</v>
      </c>
      <c r="K116" s="92">
        <v>65.400000000000006</v>
      </c>
      <c r="L116" s="92">
        <v>63.9</v>
      </c>
      <c r="M116" s="92">
        <v>64.3</v>
      </c>
      <c r="N116" s="92">
        <v>65.099999999999994</v>
      </c>
      <c r="O116" s="92">
        <v>64.099999999999994</v>
      </c>
      <c r="P116" s="92">
        <v>64.900000000000006</v>
      </c>
      <c r="Q116" s="92">
        <v>64.099999999999994</v>
      </c>
      <c r="R116" s="92">
        <v>63.3</v>
      </c>
      <c r="S116" s="92">
        <v>63.9</v>
      </c>
      <c r="T116" s="92">
        <v>64.900000000000006</v>
      </c>
      <c r="U116" s="92">
        <v>65.099999999999994</v>
      </c>
      <c r="V116" s="92">
        <v>65.599999999999994</v>
      </c>
      <c r="W116" s="92">
        <v>65.3</v>
      </c>
      <c r="X116" s="92">
        <v>64.2</v>
      </c>
      <c r="Y116" s="92">
        <v>64.3</v>
      </c>
      <c r="Z116" s="92">
        <v>64.8</v>
      </c>
      <c r="AA116" s="92">
        <v>64.599999999999994</v>
      </c>
      <c r="AB116" s="92">
        <v>65.3</v>
      </c>
      <c r="AC116" s="92">
        <v>65.2</v>
      </c>
      <c r="AD116" s="92">
        <v>65.2</v>
      </c>
      <c r="AE116" s="92">
        <v>66.3</v>
      </c>
      <c r="AF116" s="92">
        <v>66.3</v>
      </c>
      <c r="AG116" s="108"/>
      <c r="AH116" s="47">
        <f t="shared" si="44"/>
        <v>67.400000000000006</v>
      </c>
      <c r="AI116" s="48">
        <f t="shared" si="45"/>
        <v>63.3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4"/>
        <v>0</v>
      </c>
      <c r="AI117" s="48">
        <f t="shared" si="45"/>
        <v>0</v>
      </c>
    </row>
    <row r="118" spans="1:35" ht="15.75" thickBot="1" x14ac:dyDescent="0.3">
      <c r="A118" s="110" t="s">
        <v>117</v>
      </c>
      <c r="B118" s="111">
        <f t="shared" ref="B118" si="103">SUM(B22,B28,B31:B32,B66,B68:B69,B71,B73,B119:B123,B155,B161,B167,B176,B178,B190,B197,B200:B201,B208,B210,B212,B216:B218,B220:B222,B227,B233:B234,B236:B238,B246,B251)</f>
        <v>157.26000000000002</v>
      </c>
      <c r="C118" s="111">
        <f>SUM(C22,C28,C31:C32,C66,C68:C69,C71,C73,C119:C123,C155,C161,C167,C176,C178,C190,C197,C200:C201,C208,C210,C212,C216:C218,C220:C222,C227,C233:C234,C236:C238,C246,C251)</f>
        <v>146.48000000000002</v>
      </c>
      <c r="D118" s="111">
        <f>SUM(D22,D28,D31:D32,D66,D68:D69,D71,D73,D119:D123,D155,D161,D167,D176,D178,D190,D197,D200:D201,D208,D210,D212,D216:D218,D220:D222,D227,D233:D234,D236:D238,D246,D251)</f>
        <v>140.83999999999997</v>
      </c>
      <c r="E118" s="111">
        <f t="shared" ref="E118:O118" si="104">SUM(E22,E28,E31:E32,E66,E68:E69,E71,E73,E119:E123,E155,E161,E167,E176,E178,E190,E197,E200:E201,E208,E210,E212,E216:E218,E220:E222,E227,E233:E234,E236:E238,E246,E251)</f>
        <v>139.01999999999998</v>
      </c>
      <c r="F118" s="111">
        <f t="shared" si="104"/>
        <v>144.78</v>
      </c>
      <c r="G118" s="111">
        <f t="shared" si="104"/>
        <v>220.07999999999998</v>
      </c>
      <c r="H118" s="111">
        <f t="shared" si="104"/>
        <v>224.11999999999998</v>
      </c>
      <c r="I118" s="111">
        <f t="shared" si="104"/>
        <v>281.47999999999996</v>
      </c>
      <c r="J118" s="111">
        <f t="shared" si="104"/>
        <v>331.666</v>
      </c>
      <c r="K118" s="111">
        <f t="shared" si="104"/>
        <v>350.62</v>
      </c>
      <c r="L118" s="111">
        <f t="shared" si="104"/>
        <v>372.33199999999999</v>
      </c>
      <c r="M118" s="111">
        <f t="shared" si="104"/>
        <v>383.14</v>
      </c>
      <c r="N118" s="111">
        <f t="shared" si="104"/>
        <v>368.24</v>
      </c>
      <c r="O118" s="111">
        <f t="shared" si="104"/>
        <v>365.54</v>
      </c>
      <c r="P118" s="111">
        <v>42</v>
      </c>
      <c r="Q118" s="111">
        <f t="shared" ref="Q118:AB118" si="105">SUM(Q22,Q28,Q31:Q32,Q66,Q68:Q69,Q71,Q73,Q119:Q123,Q155,Q161,Q167,Q176,Q178,Q190,Q197,Q200:Q201,Q208,Q210,Q212,Q216:Q218,Q220:Q222,Q227,Q233:Q234,Q236:Q238,Q246,Q251)</f>
        <v>350.38799999999998</v>
      </c>
      <c r="R118" s="111">
        <f t="shared" si="105"/>
        <v>292.24</v>
      </c>
      <c r="S118" s="111">
        <f t="shared" si="105"/>
        <v>317.887</v>
      </c>
      <c r="T118" s="111">
        <f t="shared" si="105"/>
        <v>316.99899999999997</v>
      </c>
      <c r="U118" s="111">
        <f t="shared" si="105"/>
        <v>311.51399999999995</v>
      </c>
      <c r="V118" s="111">
        <f t="shared" si="105"/>
        <v>322.04000000000002</v>
      </c>
      <c r="W118" s="111">
        <f t="shared" si="105"/>
        <v>334.57099999999997</v>
      </c>
      <c r="X118" s="111">
        <f t="shared" si="105"/>
        <v>395.61699999999996</v>
      </c>
      <c r="Y118" s="111">
        <f t="shared" ref="Y118:Z118" si="106">SUM(Y20,Y26,Y37:Y38,Y66,Y68:Y69,Y71,Y73,Y119:Y123,Y148,Y154,Y160,Y169,Y171,Y183,Y190,Y193:Y194,Y201,Y203,Y205,Y209:Y211,Y213:Y215,Y220,Y226:Y227,Y229:Y231,Y239,Y244)</f>
        <v>437.64400000000001</v>
      </c>
      <c r="Z118" s="111">
        <f t="shared" si="106"/>
        <v>450.31499999999994</v>
      </c>
      <c r="AA118" s="111">
        <f t="shared" si="105"/>
        <v>426.86600000000004</v>
      </c>
      <c r="AB118" s="111">
        <f t="shared" si="105"/>
        <v>386.1</v>
      </c>
      <c r="AC118" s="111">
        <f t="shared" ref="AC118:AD118" si="107">SUM(AC22,AC28,AC31:AC32,AC66,AC68:AC69,AC71,AC73,AC119:AC123,AC155,AC161,AC167,AC176,AC178,AC190,AC197,AC200:AC201,AC208,AC210,AC212,AC216:AC218,AC220:AC222,AC227,AC233:AC234,AC236:AC238,AC246,AC251)</f>
        <v>368.8</v>
      </c>
      <c r="AD118" s="111">
        <f t="shared" si="107"/>
        <v>368.8</v>
      </c>
      <c r="AE118" s="111">
        <f t="shared" ref="AE118:AF118" si="108">SUM(AE22,AE28,AE31:AE32,AE66,AE68:AE69,AE71,AE73,AE119:AE123,AE155,AE161,AE167,AE176,AE178,AE190,AE197,AE200:AE201,AE208,AE210,AE212,AE216:AE218,AE220:AE222,AE227,AE233:AE234,AE236:AE238,AE246,AE251)</f>
        <v>263.64</v>
      </c>
      <c r="AF118" s="111">
        <f t="shared" si="108"/>
        <v>177.64</v>
      </c>
      <c r="AG118" s="112"/>
      <c r="AH118" s="47">
        <f t="shared" si="44"/>
        <v>450.31499999999994</v>
      </c>
      <c r="AI118" s="48">
        <f t="shared" si="45"/>
        <v>42</v>
      </c>
    </row>
    <row r="119" spans="1:35" x14ac:dyDescent="0.25">
      <c r="A119" s="172" t="s">
        <v>118</v>
      </c>
      <c r="B119" s="113">
        <v>-0.3</v>
      </c>
      <c r="C119" s="113">
        <v>-7</v>
      </c>
      <c r="D119" s="113">
        <v>-7.9</v>
      </c>
      <c r="E119" s="113">
        <v>-5.4</v>
      </c>
      <c r="F119" s="113">
        <v>-9.5</v>
      </c>
      <c r="G119" s="113">
        <v>18.100000000000001</v>
      </c>
      <c r="H119" s="113">
        <v>17.399999999999999</v>
      </c>
      <c r="I119" s="113">
        <v>22.2</v>
      </c>
      <c r="J119" s="113">
        <v>33.4</v>
      </c>
      <c r="K119" s="113">
        <v>30.7</v>
      </c>
      <c r="L119" s="113">
        <v>25.6</v>
      </c>
      <c r="M119" s="113">
        <v>30.2</v>
      </c>
      <c r="N119" s="113">
        <v>29.1</v>
      </c>
      <c r="O119" s="113">
        <v>29</v>
      </c>
      <c r="P119" s="113">
        <v>34.700000000000003</v>
      </c>
      <c r="Q119" s="113">
        <v>24.9</v>
      </c>
      <c r="R119" s="113">
        <v>25.3</v>
      </c>
      <c r="S119" s="113">
        <v>26</v>
      </c>
      <c r="T119" s="113">
        <v>30.4</v>
      </c>
      <c r="U119" s="113">
        <v>17.5</v>
      </c>
      <c r="V119" s="113">
        <v>11.4</v>
      </c>
      <c r="W119" s="113">
        <v>11.4</v>
      </c>
      <c r="X119" s="113">
        <v>26</v>
      </c>
      <c r="Y119" s="113">
        <v>37.1</v>
      </c>
      <c r="Z119" s="113">
        <v>40.700000000000003</v>
      </c>
      <c r="AA119" s="113">
        <v>31</v>
      </c>
      <c r="AB119" s="113">
        <v>30.2</v>
      </c>
      <c r="AC119" s="113">
        <v>28.6</v>
      </c>
      <c r="AD119" s="113">
        <v>28.6</v>
      </c>
      <c r="AE119" s="113">
        <v>13</v>
      </c>
      <c r="AF119" s="113">
        <v>0</v>
      </c>
      <c r="AG119" s="114">
        <v>75</v>
      </c>
      <c r="AH119" s="47">
        <f t="shared" si="44"/>
        <v>40.700000000000003</v>
      </c>
      <c r="AI119" s="48">
        <f t="shared" si="45"/>
        <v>-9.5</v>
      </c>
    </row>
    <row r="120" spans="1:35" x14ac:dyDescent="0.25">
      <c r="A120" s="173" t="s">
        <v>119</v>
      </c>
      <c r="B120" s="115">
        <v>-3.3</v>
      </c>
      <c r="C120" s="115">
        <v>-12.2</v>
      </c>
      <c r="D120" s="115">
        <v>-13.5</v>
      </c>
      <c r="E120" s="115">
        <v>-9.1999999999999993</v>
      </c>
      <c r="F120" s="115">
        <v>-15.3</v>
      </c>
      <c r="G120" s="115">
        <v>19.100000000000001</v>
      </c>
      <c r="H120" s="115">
        <v>18.3</v>
      </c>
      <c r="I120" s="115">
        <v>22.2</v>
      </c>
      <c r="J120" s="115">
        <v>37.5</v>
      </c>
      <c r="K120" s="115">
        <v>39.9</v>
      </c>
      <c r="L120" s="115">
        <v>32.9</v>
      </c>
      <c r="M120" s="115">
        <v>39.6</v>
      </c>
      <c r="N120" s="115">
        <v>39.700000000000003</v>
      </c>
      <c r="O120" s="115">
        <v>40</v>
      </c>
      <c r="P120" s="115">
        <v>41</v>
      </c>
      <c r="Q120" s="115">
        <v>27.1</v>
      </c>
      <c r="R120" s="115">
        <v>29</v>
      </c>
      <c r="S120" s="115">
        <v>28.5</v>
      </c>
      <c r="T120" s="115">
        <v>35.799999999999997</v>
      </c>
      <c r="U120" s="115">
        <v>20.2</v>
      </c>
      <c r="V120" s="115">
        <v>16.600000000000001</v>
      </c>
      <c r="W120" s="115">
        <v>16.3</v>
      </c>
      <c r="X120" s="115">
        <v>35.9</v>
      </c>
      <c r="Y120" s="115">
        <v>49.7</v>
      </c>
      <c r="Z120" s="115">
        <v>53.6</v>
      </c>
      <c r="AA120" s="115">
        <v>39.700000000000003</v>
      </c>
      <c r="AB120" s="115">
        <v>39.4</v>
      </c>
      <c r="AC120" s="115">
        <v>38</v>
      </c>
      <c r="AD120" s="115">
        <v>38</v>
      </c>
      <c r="AE120" s="115">
        <v>11</v>
      </c>
      <c r="AF120" s="115">
        <v>4</v>
      </c>
      <c r="AG120" s="114">
        <v>240</v>
      </c>
      <c r="AH120" s="47">
        <f t="shared" si="44"/>
        <v>53.6</v>
      </c>
      <c r="AI120" s="48">
        <f t="shared" si="45"/>
        <v>-15.3</v>
      </c>
    </row>
    <row r="121" spans="1:35" x14ac:dyDescent="0.25">
      <c r="A121" s="173" t="s">
        <v>120</v>
      </c>
      <c r="B121" s="115">
        <f>-10.7-12.1</f>
        <v>-22.799999999999997</v>
      </c>
      <c r="C121" s="115">
        <f>-9.3-10.8</f>
        <v>-20.100000000000001</v>
      </c>
      <c r="D121" s="115">
        <f>-13.1-14.6</f>
        <v>-27.7</v>
      </c>
      <c r="E121" s="115">
        <f>-17-20</f>
        <v>-37</v>
      </c>
      <c r="F121" s="115">
        <f>-16-18</f>
        <v>-34</v>
      </c>
      <c r="G121" s="115">
        <f>-7.6-9</f>
        <v>-16.600000000000001</v>
      </c>
      <c r="H121" s="115">
        <f>-6.9-7.5</f>
        <v>-14.4</v>
      </c>
      <c r="I121" s="115">
        <v>4.7</v>
      </c>
      <c r="J121" s="115">
        <f>6.9+8.7</f>
        <v>15.6</v>
      </c>
      <c r="K121" s="115">
        <v>42</v>
      </c>
      <c r="L121" s="115">
        <f>25+27</f>
        <v>52</v>
      </c>
      <c r="M121" s="115">
        <v>48</v>
      </c>
      <c r="N121" s="115">
        <v>44</v>
      </c>
      <c r="O121" s="115">
        <v>38</v>
      </c>
      <c r="P121" s="115">
        <v>34</v>
      </c>
      <c r="Q121" s="115">
        <v>28.2</v>
      </c>
      <c r="R121" s="115">
        <v>17</v>
      </c>
      <c r="S121" s="115">
        <v>15.1</v>
      </c>
      <c r="T121" s="115">
        <v>7.5</v>
      </c>
      <c r="U121" s="115">
        <v>23</v>
      </c>
      <c r="V121" s="115">
        <v>48.3</v>
      </c>
      <c r="W121" s="115">
        <v>49</v>
      </c>
      <c r="X121" s="115">
        <v>65</v>
      </c>
      <c r="Y121" s="115">
        <v>74</v>
      </c>
      <c r="Z121" s="115">
        <v>76</v>
      </c>
      <c r="AA121" s="115">
        <v>78</v>
      </c>
      <c r="AB121" s="115">
        <v>60</v>
      </c>
      <c r="AC121" s="115">
        <v>51</v>
      </c>
      <c r="AD121" s="115">
        <v>51</v>
      </c>
      <c r="AE121" s="115">
        <v>17</v>
      </c>
      <c r="AF121" s="115">
        <v>0</v>
      </c>
      <c r="AG121" s="114">
        <v>240</v>
      </c>
      <c r="AH121" s="47">
        <f t="shared" si="44"/>
        <v>78</v>
      </c>
      <c r="AI121" s="48">
        <f t="shared" si="45"/>
        <v>-37</v>
      </c>
    </row>
    <row r="122" spans="1:35" ht="15.75" thickBot="1" x14ac:dyDescent="0.3">
      <c r="A122" s="173" t="s">
        <v>121</v>
      </c>
      <c r="B122" s="115">
        <v>2</v>
      </c>
      <c r="C122" s="115">
        <v>0.6</v>
      </c>
      <c r="D122" s="115">
        <v>-1.5</v>
      </c>
      <c r="E122" s="115">
        <v>-2.5</v>
      </c>
      <c r="F122" s="115">
        <v>-2.2999999999999998</v>
      </c>
      <c r="G122" s="115">
        <v>-5.4</v>
      </c>
      <c r="H122" s="115">
        <v>-4</v>
      </c>
      <c r="I122" s="115">
        <v>2.6</v>
      </c>
      <c r="J122" s="115">
        <v>15.1</v>
      </c>
      <c r="K122" s="115">
        <v>21.3</v>
      </c>
      <c r="L122" s="115">
        <v>23</v>
      </c>
      <c r="M122" s="115">
        <v>22.7</v>
      </c>
      <c r="N122" s="115">
        <v>21</v>
      </c>
      <c r="O122" s="115">
        <v>21</v>
      </c>
      <c r="P122" s="115">
        <v>22</v>
      </c>
      <c r="Q122" s="115">
        <v>27.9</v>
      </c>
      <c r="R122" s="115">
        <v>6</v>
      </c>
      <c r="S122" s="115">
        <v>2.2999999999999998</v>
      </c>
      <c r="T122" s="115">
        <v>12.6</v>
      </c>
      <c r="U122" s="115">
        <v>18.2</v>
      </c>
      <c r="V122" s="115">
        <v>15.4</v>
      </c>
      <c r="W122" s="115">
        <v>19.899999999999999</v>
      </c>
      <c r="X122" s="115">
        <v>25</v>
      </c>
      <c r="Y122" s="115">
        <v>28.2</v>
      </c>
      <c r="Z122" s="115">
        <v>29.2</v>
      </c>
      <c r="AA122" s="115">
        <v>29.2</v>
      </c>
      <c r="AB122" s="115">
        <v>20.3</v>
      </c>
      <c r="AC122" s="115">
        <v>15</v>
      </c>
      <c r="AD122" s="115">
        <v>15</v>
      </c>
      <c r="AE122" s="115">
        <v>7</v>
      </c>
      <c r="AF122" s="115">
        <v>-2</v>
      </c>
      <c r="AG122" s="114">
        <v>60</v>
      </c>
      <c r="AH122" s="47">
        <f t="shared" si="44"/>
        <v>29.2</v>
      </c>
      <c r="AI122" s="48">
        <f t="shared" si="45"/>
        <v>-5.4</v>
      </c>
    </row>
    <row r="123" spans="1:35" x14ac:dyDescent="0.25">
      <c r="A123" s="172" t="s">
        <v>259</v>
      </c>
      <c r="B123" s="117">
        <f>56.7*1.6</f>
        <v>90.720000000000013</v>
      </c>
      <c r="C123" s="117">
        <f>58.9*1.6</f>
        <v>94.240000000000009</v>
      </c>
      <c r="D123" s="117">
        <f>62.5*1.6</f>
        <v>100</v>
      </c>
      <c r="E123" s="117">
        <f>62*1.64</f>
        <v>101.67999999999999</v>
      </c>
      <c r="F123" s="117">
        <f>71*1.64</f>
        <v>116.44</v>
      </c>
      <c r="G123" s="117">
        <f>71*1.64</f>
        <v>116.44</v>
      </c>
      <c r="H123" s="117">
        <f>72*1.64</f>
        <v>118.08</v>
      </c>
      <c r="I123" s="117">
        <f>86*1.64</f>
        <v>141.04</v>
      </c>
      <c r="J123" s="117">
        <f>86*1.641</f>
        <v>141.126</v>
      </c>
      <c r="K123" s="117">
        <f>77*1.64</f>
        <v>126.27999999999999</v>
      </c>
      <c r="L123" s="117">
        <f>97.8*1.64</f>
        <v>160.392</v>
      </c>
      <c r="M123" s="117">
        <v>150</v>
      </c>
      <c r="N123" s="117">
        <v>140</v>
      </c>
      <c r="O123" s="117">
        <v>135</v>
      </c>
      <c r="P123" s="117">
        <v>140</v>
      </c>
      <c r="Q123" s="117">
        <f>1.64*80.7</f>
        <v>132.34799999999998</v>
      </c>
      <c r="R123" s="117">
        <v>105</v>
      </c>
      <c r="S123" s="117">
        <f>84.1*1.67</f>
        <v>140.44699999999997</v>
      </c>
      <c r="T123" s="117">
        <f>77.7*1.67</f>
        <v>129.75899999999999</v>
      </c>
      <c r="U123" s="117">
        <f>82.2*1.67</f>
        <v>137.274</v>
      </c>
      <c r="V123" s="117">
        <v>140</v>
      </c>
      <c r="W123" s="117">
        <f>89.3*1.67</f>
        <v>149.131</v>
      </c>
      <c r="X123" s="117">
        <f>93.1*1.67</f>
        <v>155.47699999999998</v>
      </c>
      <c r="Y123" s="117">
        <f>93.2*1.67</f>
        <v>155.64400000000001</v>
      </c>
      <c r="Z123" s="117">
        <f>94.5*1.67</f>
        <v>157.815</v>
      </c>
      <c r="AA123" s="117">
        <f>97.8*1.67</f>
        <v>163.32599999999999</v>
      </c>
      <c r="AB123" s="117">
        <f>94.1*1.6</f>
        <v>150.56</v>
      </c>
      <c r="AC123" s="117">
        <f>94.1*1.6</f>
        <v>150.56</v>
      </c>
      <c r="AD123" s="117">
        <f>94.1*1.6</f>
        <v>150.56</v>
      </c>
      <c r="AE123" s="117">
        <v>130</v>
      </c>
      <c r="AF123" s="117">
        <v>90</v>
      </c>
      <c r="AG123" s="118">
        <v>120</v>
      </c>
      <c r="AH123" s="47">
        <f t="shared" si="44"/>
        <v>163.32599999999999</v>
      </c>
      <c r="AI123" s="48">
        <f t="shared" si="45"/>
        <v>90</v>
      </c>
    </row>
    <row r="124" spans="1:35" x14ac:dyDescent="0.25">
      <c r="A124" s="173" t="s">
        <v>258</v>
      </c>
      <c r="B124" s="117">
        <v>69.5</v>
      </c>
      <c r="C124" s="117">
        <v>71.599999999999994</v>
      </c>
      <c r="D124" s="117">
        <v>74.2</v>
      </c>
      <c r="E124" s="117">
        <v>74.400000000000006</v>
      </c>
      <c r="F124" s="117">
        <v>81.599999999999994</v>
      </c>
      <c r="G124" s="117">
        <v>80.3</v>
      </c>
      <c r="H124" s="117">
        <v>80.900000000000006</v>
      </c>
      <c r="I124" s="117">
        <v>92.3</v>
      </c>
      <c r="J124" s="117">
        <v>93.7</v>
      </c>
      <c r="K124" s="117">
        <v>86</v>
      </c>
      <c r="L124" s="117">
        <v>102.7</v>
      </c>
      <c r="M124" s="117">
        <v>102</v>
      </c>
      <c r="N124" s="117">
        <v>83.2</v>
      </c>
      <c r="O124" s="117">
        <v>84</v>
      </c>
      <c r="P124" s="117">
        <v>80</v>
      </c>
      <c r="Q124" s="117">
        <v>86.8</v>
      </c>
      <c r="R124" s="117">
        <v>91</v>
      </c>
      <c r="S124" s="117">
        <v>89.9</v>
      </c>
      <c r="T124" s="117">
        <v>85</v>
      </c>
      <c r="U124" s="117">
        <v>89.7</v>
      </c>
      <c r="V124" s="117">
        <v>89.8</v>
      </c>
      <c r="W124" s="117">
        <v>95.5</v>
      </c>
      <c r="X124" s="117">
        <v>98.7</v>
      </c>
      <c r="Y124" s="117">
        <v>98.1</v>
      </c>
      <c r="Z124" s="117">
        <v>99</v>
      </c>
      <c r="AA124" s="117">
        <v>101.7</v>
      </c>
      <c r="AB124" s="117">
        <v>98.5</v>
      </c>
      <c r="AC124" s="117">
        <v>98.5</v>
      </c>
      <c r="AD124" s="117">
        <v>98.5</v>
      </c>
      <c r="AE124" s="117">
        <v>86</v>
      </c>
      <c r="AF124" s="117">
        <v>80</v>
      </c>
      <c r="AG124" s="118"/>
      <c r="AH124" s="47"/>
      <c r="AI124" s="48"/>
    </row>
    <row r="125" spans="1:35" x14ac:dyDescent="0.25">
      <c r="A125" s="173" t="s">
        <v>255</v>
      </c>
      <c r="B125" s="117">
        <v>44.4</v>
      </c>
      <c r="C125" s="117">
        <v>52.7</v>
      </c>
      <c r="D125" s="117">
        <v>60</v>
      </c>
      <c r="E125" s="117">
        <v>65.2</v>
      </c>
      <c r="F125" s="117">
        <v>74.8</v>
      </c>
      <c r="G125" s="117">
        <v>39.1</v>
      </c>
      <c r="H125" s="117">
        <v>38.299999999999997</v>
      </c>
      <c r="I125" s="117">
        <v>34.799999999999997</v>
      </c>
      <c r="J125" s="117">
        <v>7.8</v>
      </c>
      <c r="K125" s="117">
        <v>-21.3</v>
      </c>
      <c r="L125" s="117">
        <v>-8.5</v>
      </c>
      <c r="M125" s="117">
        <v>-8.1</v>
      </c>
      <c r="N125" s="117">
        <v>-18.5</v>
      </c>
      <c r="O125" s="117">
        <v>-7</v>
      </c>
      <c r="P125" s="117">
        <v>0.8</v>
      </c>
      <c r="Q125" s="117">
        <v>22.5</v>
      </c>
      <c r="R125" s="117">
        <v>8</v>
      </c>
      <c r="S125" s="117">
        <v>19.600000000000001</v>
      </c>
      <c r="T125" s="117">
        <v>12.7</v>
      </c>
      <c r="U125" s="117">
        <v>13.7</v>
      </c>
      <c r="V125" s="117">
        <v>3.3</v>
      </c>
      <c r="W125" s="117">
        <v>3.3</v>
      </c>
      <c r="X125" s="117">
        <v>-27.1</v>
      </c>
      <c r="Y125" s="117">
        <v>-46.4</v>
      </c>
      <c r="Z125" s="117">
        <v>-52.8</v>
      </c>
      <c r="AA125" s="117">
        <v>-38.9</v>
      </c>
      <c r="AB125" s="117">
        <v>-26</v>
      </c>
      <c r="AC125" s="117">
        <v>-26</v>
      </c>
      <c r="AD125" s="117">
        <v>-26</v>
      </c>
      <c r="AE125" s="117">
        <v>19</v>
      </c>
      <c r="AF125" s="117">
        <v>36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86.9</v>
      </c>
      <c r="C126" s="117">
        <v>85.9</v>
      </c>
      <c r="D126" s="117">
        <v>93.5</v>
      </c>
      <c r="E126" s="117">
        <v>98.3</v>
      </c>
      <c r="F126" s="117">
        <v>107.8</v>
      </c>
      <c r="G126" s="117">
        <v>95.8</v>
      </c>
      <c r="H126" s="117">
        <v>95.5</v>
      </c>
      <c r="I126" s="117">
        <v>109</v>
      </c>
      <c r="J126" s="117">
        <v>110</v>
      </c>
      <c r="K126" s="117">
        <v>89</v>
      </c>
      <c r="L126" s="117">
        <v>95.5</v>
      </c>
      <c r="M126" s="117">
        <v>97</v>
      </c>
      <c r="N126" s="117">
        <v>80.2</v>
      </c>
      <c r="O126" s="117">
        <v>85</v>
      </c>
      <c r="P126" s="117">
        <v>81</v>
      </c>
      <c r="Q126" s="117">
        <v>95.1</v>
      </c>
      <c r="R126" s="117">
        <v>90</v>
      </c>
      <c r="S126" s="117">
        <v>94.7</v>
      </c>
      <c r="T126" s="117">
        <v>66.099999999999994</v>
      </c>
      <c r="U126" s="117">
        <v>72</v>
      </c>
      <c r="V126" s="117">
        <v>85.1</v>
      </c>
      <c r="W126" s="117">
        <v>90.4</v>
      </c>
      <c r="X126" s="117">
        <v>84.6</v>
      </c>
      <c r="Y126" s="117">
        <v>80.900000000000006</v>
      </c>
      <c r="Z126" s="117">
        <v>85.3</v>
      </c>
      <c r="AA126" s="117">
        <v>91.2</v>
      </c>
      <c r="AB126" s="117">
        <v>93.2</v>
      </c>
      <c r="AC126" s="117">
        <v>93.2</v>
      </c>
      <c r="AD126" s="117">
        <v>93.2</v>
      </c>
      <c r="AE126" s="117">
        <v>87</v>
      </c>
      <c r="AF126" s="117">
        <v>80</v>
      </c>
      <c r="AG126" s="114"/>
      <c r="AH126" s="47">
        <f t="shared" si="44"/>
        <v>110</v>
      </c>
      <c r="AI126" s="48">
        <f t="shared" si="45"/>
        <v>66.099999999999994</v>
      </c>
    </row>
    <row r="127" spans="1:35" x14ac:dyDescent="0.25">
      <c r="A127" s="172" t="s">
        <v>587</v>
      </c>
      <c r="B127" s="117">
        <v>13.8</v>
      </c>
      <c r="C127" s="117">
        <v>21.6</v>
      </c>
      <c r="D127" s="117">
        <v>21.6</v>
      </c>
      <c r="E127" s="117">
        <v>18.5</v>
      </c>
      <c r="F127" s="117">
        <v>21.3</v>
      </c>
      <c r="G127" s="117">
        <v>5.9</v>
      </c>
      <c r="H127" s="117">
        <v>6.2</v>
      </c>
      <c r="I127" s="117">
        <v>9</v>
      </c>
      <c r="J127" s="117">
        <v>-10.5</v>
      </c>
      <c r="K127" s="117">
        <v>-4.7</v>
      </c>
      <c r="L127" s="117">
        <v>0</v>
      </c>
      <c r="M127" s="117">
        <v>-4.7</v>
      </c>
      <c r="N127" s="117">
        <v>-6</v>
      </c>
      <c r="O127" s="117">
        <v>-4</v>
      </c>
      <c r="P127" s="117">
        <v>-11</v>
      </c>
      <c r="Q127" s="117">
        <v>-4.5999999999999996</v>
      </c>
      <c r="R127" s="117">
        <v>-5</v>
      </c>
      <c r="S127" s="117">
        <v>0</v>
      </c>
      <c r="T127" s="117">
        <v>-6.4</v>
      </c>
      <c r="U127" s="117">
        <v>-1.3</v>
      </c>
      <c r="V127" s="117">
        <v>6.7</v>
      </c>
      <c r="W127" s="117">
        <v>3.7</v>
      </c>
      <c r="X127" s="117">
        <v>-2.7</v>
      </c>
      <c r="Y127" s="117">
        <v>-17.899999999999999</v>
      </c>
      <c r="Z127" s="117">
        <v>-12.7</v>
      </c>
      <c r="AA127" s="117">
        <v>-6.8</v>
      </c>
      <c r="AB127" s="117">
        <v>-5</v>
      </c>
      <c r="AC127" s="117">
        <v>-5</v>
      </c>
      <c r="AD127" s="117">
        <v>-5</v>
      </c>
      <c r="AE127" s="117">
        <v>12</v>
      </c>
      <c r="AF127" s="117">
        <v>17</v>
      </c>
      <c r="AG127" s="114"/>
      <c r="AH127" s="47">
        <f t="shared" si="44"/>
        <v>21.6</v>
      </c>
      <c r="AI127" s="48">
        <f t="shared" si="45"/>
        <v>-17.899999999999999</v>
      </c>
    </row>
    <row r="128" spans="1:35" x14ac:dyDescent="0.25">
      <c r="A128" s="173" t="s">
        <v>123</v>
      </c>
      <c r="B128" s="106">
        <v>-6.7</v>
      </c>
      <c r="C128" s="106">
        <v>-4.9000000000000004</v>
      </c>
      <c r="D128" s="106">
        <v>-4.9000000000000004</v>
      </c>
      <c r="E128" s="106">
        <v>-4.5</v>
      </c>
      <c r="F128" s="106">
        <v>-5.3</v>
      </c>
      <c r="G128" s="106">
        <v>-15.5</v>
      </c>
      <c r="H128" s="106">
        <v>-15.8</v>
      </c>
      <c r="I128" s="106">
        <v>-23.3</v>
      </c>
      <c r="J128" s="106">
        <v>-33.299999999999997</v>
      </c>
      <c r="K128" s="106">
        <v>-37.5</v>
      </c>
      <c r="L128" s="106">
        <v>-42.6</v>
      </c>
      <c r="M128" s="106">
        <v>-41.9</v>
      </c>
      <c r="N128" s="106">
        <v>-32</v>
      </c>
      <c r="O128" s="106">
        <v>-26</v>
      </c>
      <c r="P128" s="106">
        <v>-22</v>
      </c>
      <c r="Q128" s="106">
        <v>-14.1</v>
      </c>
      <c r="R128" s="106">
        <v>-18</v>
      </c>
      <c r="S128" s="106">
        <v>-17.399999999999999</v>
      </c>
      <c r="T128" s="106">
        <v>-16.8</v>
      </c>
      <c r="U128" s="106">
        <v>-28.5</v>
      </c>
      <c r="V128" s="106">
        <v>-33.1</v>
      </c>
      <c r="W128" s="106">
        <v>-37.6</v>
      </c>
      <c r="X128" s="106">
        <v>-52.6</v>
      </c>
      <c r="Y128" s="106">
        <v>-53.2</v>
      </c>
      <c r="Z128" s="106">
        <v>-49</v>
      </c>
      <c r="AA128" s="106">
        <v>-43.1</v>
      </c>
      <c r="AB128" s="106">
        <v>-31.3</v>
      </c>
      <c r="AC128" s="106">
        <v>-31.3</v>
      </c>
      <c r="AD128" s="106">
        <v>-31.3</v>
      </c>
      <c r="AE128" s="106">
        <v>-15</v>
      </c>
      <c r="AF128" s="106">
        <v>-11</v>
      </c>
      <c r="AG128" s="114"/>
      <c r="AH128" s="47">
        <f t="shared" si="44"/>
        <v>-4.5</v>
      </c>
      <c r="AI128" s="48">
        <f t="shared" si="45"/>
        <v>-53.2</v>
      </c>
    </row>
    <row r="129" spans="1:37" x14ac:dyDescent="0.25">
      <c r="A129" s="173" t="s">
        <v>260</v>
      </c>
      <c r="B129" s="106">
        <v>2.8</v>
      </c>
      <c r="C129" s="106">
        <v>-6.3</v>
      </c>
      <c r="D129" s="106">
        <v>2.4</v>
      </c>
      <c r="E129" s="106"/>
      <c r="F129" s="106">
        <v>4.8</v>
      </c>
      <c r="G129" s="106">
        <v>-3.3</v>
      </c>
      <c r="H129" s="106">
        <v>-3.1</v>
      </c>
      <c r="I129" s="106">
        <v>-12.8</v>
      </c>
      <c r="J129" s="106">
        <v>-8.5</v>
      </c>
      <c r="K129" s="106">
        <v>-29.9</v>
      </c>
      <c r="L129" s="106">
        <v>-36.299999999999997</v>
      </c>
      <c r="M129" s="106">
        <v>-33.9</v>
      </c>
      <c r="N129" s="106">
        <v>-30</v>
      </c>
      <c r="O129" s="106">
        <v>-27</v>
      </c>
      <c r="P129" s="106">
        <v>-24</v>
      </c>
      <c r="Q129" s="106">
        <v>-32.6</v>
      </c>
      <c r="R129" s="106">
        <v>-23</v>
      </c>
      <c r="S129" s="106">
        <v>-20.5</v>
      </c>
      <c r="T129" s="106">
        <v>-6.8</v>
      </c>
      <c r="U129" s="106">
        <v>-21.7</v>
      </c>
      <c r="V129" s="106">
        <v>-47.8</v>
      </c>
      <c r="W129" s="106">
        <v>-45.5</v>
      </c>
      <c r="X129" s="106">
        <v>-46.9</v>
      </c>
      <c r="Y129" s="106">
        <v>-43.6</v>
      </c>
      <c r="Z129" s="106">
        <v>-45.4</v>
      </c>
      <c r="AA129" s="106">
        <v>-52.8</v>
      </c>
      <c r="AB129" s="106">
        <v>-45.3</v>
      </c>
      <c r="AC129" s="106">
        <v>-45.3</v>
      </c>
      <c r="AD129" s="106">
        <v>-45.3</v>
      </c>
      <c r="AE129" s="106">
        <v>-29</v>
      </c>
      <c r="AF129" s="106">
        <v>-26</v>
      </c>
      <c r="AG129" s="114"/>
      <c r="AH129" s="47">
        <f t="shared" si="44"/>
        <v>4.8</v>
      </c>
      <c r="AI129" s="48">
        <f t="shared" si="45"/>
        <v>-52.8</v>
      </c>
    </row>
    <row r="130" spans="1:37" ht="15.75" thickBot="1" x14ac:dyDescent="0.3">
      <c r="A130" s="173" t="s">
        <v>257</v>
      </c>
      <c r="B130" s="106">
        <v>81.3</v>
      </c>
      <c r="C130" s="106">
        <v>78.2</v>
      </c>
      <c r="D130" s="106">
        <v>71.900000000000006</v>
      </c>
      <c r="E130" s="106"/>
      <c r="F130" s="106">
        <v>71.900000000000006</v>
      </c>
      <c r="G130" s="106">
        <v>81.099999999999994</v>
      </c>
      <c r="H130" s="106">
        <v>84.3</v>
      </c>
      <c r="I130" s="106">
        <v>87.3</v>
      </c>
      <c r="J130" s="106">
        <v>96.1</v>
      </c>
      <c r="K130" s="106">
        <v>93.7</v>
      </c>
      <c r="L130" s="106">
        <v>81.7</v>
      </c>
      <c r="M130" s="106">
        <v>84.5</v>
      </c>
      <c r="N130" s="106">
        <v>70</v>
      </c>
      <c r="O130" s="106">
        <v>86</v>
      </c>
      <c r="P130" s="106">
        <v>102</v>
      </c>
      <c r="Q130" s="106">
        <v>101.1</v>
      </c>
      <c r="R130" s="106">
        <v>102</v>
      </c>
      <c r="S130" s="106">
        <v>110.9</v>
      </c>
      <c r="T130" s="106">
        <v>111</v>
      </c>
      <c r="U130" s="106">
        <v>112.1</v>
      </c>
      <c r="V130" s="106">
        <v>100.8</v>
      </c>
      <c r="W130" s="106">
        <v>100</v>
      </c>
      <c r="X130" s="106">
        <v>117.1</v>
      </c>
      <c r="Y130" s="106">
        <v>123.8</v>
      </c>
      <c r="Z130" s="106">
        <v>115.7</v>
      </c>
      <c r="AA130" s="106">
        <v>106.2</v>
      </c>
      <c r="AB130" s="106">
        <v>108</v>
      </c>
      <c r="AC130" s="106">
        <v>108</v>
      </c>
      <c r="AD130" s="106">
        <v>108</v>
      </c>
      <c r="AE130" s="106">
        <v>103</v>
      </c>
      <c r="AF130" s="106">
        <v>93</v>
      </c>
      <c r="AG130" s="114"/>
      <c r="AH130" s="47">
        <f t="shared" si="44"/>
        <v>123.8</v>
      </c>
      <c r="AI130" s="48">
        <f t="shared" si="45"/>
        <v>70</v>
      </c>
    </row>
    <row r="131" spans="1:37" x14ac:dyDescent="0.25">
      <c r="A131" s="144" t="s">
        <v>237</v>
      </c>
      <c r="B131" s="146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17">
        <v>1984.3</v>
      </c>
      <c r="C132" s="117">
        <v>1984.5</v>
      </c>
      <c r="D132" s="117">
        <v>1984.7</v>
      </c>
      <c r="E132" s="117">
        <v>1984.95</v>
      </c>
      <c r="F132" s="117">
        <v>1985.15</v>
      </c>
      <c r="G132" s="117">
        <v>1985.35</v>
      </c>
      <c r="H132" s="117"/>
      <c r="I132" s="117">
        <v>1985.52</v>
      </c>
      <c r="J132" s="117"/>
      <c r="K132" s="117">
        <v>1985.62</v>
      </c>
      <c r="L132" s="117"/>
      <c r="M132" s="147">
        <v>1985.15</v>
      </c>
      <c r="N132" s="147">
        <v>1984.62</v>
      </c>
      <c r="O132" s="147">
        <v>1984.77</v>
      </c>
      <c r="P132" s="147">
        <v>1984.95</v>
      </c>
      <c r="Q132" s="147">
        <v>1985.05</v>
      </c>
      <c r="R132" s="147">
        <v>1985.05</v>
      </c>
      <c r="S132" s="186">
        <v>1985.03</v>
      </c>
      <c r="T132" s="186">
        <v>1885</v>
      </c>
      <c r="U132" s="186">
        <v>1984.98</v>
      </c>
      <c r="V132" s="186">
        <v>1984.9</v>
      </c>
      <c r="W132" s="186"/>
      <c r="X132" s="186">
        <v>1984.82</v>
      </c>
      <c r="Y132" s="186"/>
      <c r="Z132" s="186">
        <v>1984.68</v>
      </c>
      <c r="AA132" s="186"/>
      <c r="AB132" s="147">
        <v>1984.52</v>
      </c>
      <c r="AC132" s="147"/>
      <c r="AD132" s="147">
        <v>1954.49</v>
      </c>
      <c r="AE132" s="147">
        <v>1984.5</v>
      </c>
      <c r="AF132" s="148"/>
      <c r="AG132" s="149"/>
      <c r="AH132" s="47"/>
      <c r="AI132" s="48"/>
    </row>
    <row r="133" spans="1:37" x14ac:dyDescent="0.25">
      <c r="A133" s="185" t="s">
        <v>238</v>
      </c>
      <c r="B133" s="117">
        <v>521.09</v>
      </c>
      <c r="C133" s="117">
        <v>521.45000000000005</v>
      </c>
      <c r="D133" s="117">
        <v>521.75</v>
      </c>
      <c r="E133" s="117">
        <v>522.08000000000004</v>
      </c>
      <c r="F133" s="117">
        <v>522.36</v>
      </c>
      <c r="G133" s="117">
        <v>522.63</v>
      </c>
      <c r="H133" s="117"/>
      <c r="I133" s="117">
        <v>522.57000000000005</v>
      </c>
      <c r="J133" s="117"/>
      <c r="K133" s="117">
        <v>522.16</v>
      </c>
      <c r="L133" s="117"/>
      <c r="M133" s="150">
        <v>521.9</v>
      </c>
      <c r="N133" s="150">
        <v>521.67999999999995</v>
      </c>
      <c r="O133" s="150">
        <v>521.62</v>
      </c>
      <c r="P133" s="150">
        <v>521.54</v>
      </c>
      <c r="Q133" s="150">
        <v>521.48</v>
      </c>
      <c r="R133" s="150">
        <v>521.41999999999996</v>
      </c>
      <c r="S133" s="187">
        <v>521.32000000000005</v>
      </c>
      <c r="T133" s="187">
        <v>521.15</v>
      </c>
      <c r="U133" s="187">
        <v>520.92999999999995</v>
      </c>
      <c r="V133" s="187">
        <v>520.79999999999995</v>
      </c>
      <c r="W133" s="187"/>
      <c r="X133" s="187">
        <v>520.91999999999996</v>
      </c>
      <c r="Y133" s="187"/>
      <c r="Z133" s="187">
        <v>520.48</v>
      </c>
      <c r="AA133" s="187"/>
      <c r="AB133" s="150">
        <v>520.12</v>
      </c>
      <c r="AC133" s="150"/>
      <c r="AD133" s="150">
        <v>519.94000000000005</v>
      </c>
      <c r="AE133" s="150">
        <v>519.79999999999995</v>
      </c>
      <c r="AF133" s="151"/>
      <c r="AG133" s="149"/>
      <c r="AH133" s="47"/>
      <c r="AI133" s="48"/>
    </row>
    <row r="134" spans="1:37" x14ac:dyDescent="0.25">
      <c r="A134" s="185" t="s">
        <v>239</v>
      </c>
      <c r="B134" s="117">
        <v>622.07000000000005</v>
      </c>
      <c r="C134" s="117">
        <v>622.16999999999996</v>
      </c>
      <c r="D134" s="117">
        <v>622.29</v>
      </c>
      <c r="E134" s="117">
        <v>622.42999999999995</v>
      </c>
      <c r="F134" s="117">
        <v>622.5</v>
      </c>
      <c r="G134" s="117">
        <v>622.57000000000005</v>
      </c>
      <c r="H134" s="117"/>
      <c r="I134" s="117">
        <v>622.55999999999995</v>
      </c>
      <c r="J134" s="117"/>
      <c r="K134" s="117">
        <v>622.51</v>
      </c>
      <c r="L134" s="117"/>
      <c r="M134" s="150">
        <v>622.70000000000005</v>
      </c>
      <c r="N134" s="150">
        <v>622.75</v>
      </c>
      <c r="O134" s="150">
        <v>622.70000000000005</v>
      </c>
      <c r="P134" s="150">
        <v>622.82000000000005</v>
      </c>
      <c r="Q134" s="150">
        <v>622.83000000000004</v>
      </c>
      <c r="R134" s="150">
        <v>622.86</v>
      </c>
      <c r="S134" s="187">
        <v>622.79999999999995</v>
      </c>
      <c r="T134" s="187">
        <v>622.67999999999995</v>
      </c>
      <c r="U134" s="187">
        <v>622.54999999999995</v>
      </c>
      <c r="V134" s="187">
        <v>622.51</v>
      </c>
      <c r="W134" s="187"/>
      <c r="X134" s="187">
        <v>622.42999999999995</v>
      </c>
      <c r="Y134" s="187"/>
      <c r="Z134" s="187">
        <v>622.29</v>
      </c>
      <c r="AA134" s="187"/>
      <c r="AB134" s="150">
        <v>622.19000000000005</v>
      </c>
      <c r="AC134" s="150"/>
      <c r="AD134" s="150">
        <v>622.15</v>
      </c>
      <c r="AE134" s="150">
        <v>622.1</v>
      </c>
      <c r="AF134" s="151">
        <v>622.1</v>
      </c>
      <c r="AG134" s="149"/>
      <c r="AH134" s="47"/>
      <c r="AI134" s="48"/>
    </row>
    <row r="135" spans="1:37" x14ac:dyDescent="0.25">
      <c r="A135" s="185" t="s">
        <v>240</v>
      </c>
      <c r="B135" s="117">
        <v>335.19</v>
      </c>
      <c r="C135" s="117">
        <v>335.51</v>
      </c>
      <c r="D135" s="117">
        <v>335.89</v>
      </c>
      <c r="E135" s="117"/>
      <c r="F135" s="117">
        <v>336.4</v>
      </c>
      <c r="G135" s="117">
        <v>336.52</v>
      </c>
      <c r="H135" s="117"/>
      <c r="I135" s="117">
        <v>336.36</v>
      </c>
      <c r="J135" s="117"/>
      <c r="K135" s="117">
        <v>336.06</v>
      </c>
      <c r="L135" s="117"/>
      <c r="M135" s="150">
        <v>335.8</v>
      </c>
      <c r="N135" s="150">
        <v>335.61</v>
      </c>
      <c r="O135" s="150">
        <v>335.54</v>
      </c>
      <c r="P135" s="150">
        <v>335.49</v>
      </c>
      <c r="Q135" s="150">
        <v>335.47</v>
      </c>
      <c r="R135" s="150">
        <v>335.43</v>
      </c>
      <c r="S135" s="187">
        <v>335.33</v>
      </c>
      <c r="T135" s="187">
        <v>335.17</v>
      </c>
      <c r="U135" s="187">
        <v>335.01</v>
      </c>
      <c r="V135" s="187">
        <v>335.14</v>
      </c>
      <c r="W135" s="187"/>
      <c r="X135" s="187">
        <v>335.37</v>
      </c>
      <c r="Y135" s="187"/>
      <c r="Z135" s="187">
        <v>335.29</v>
      </c>
      <c r="AA135" s="187">
        <v>335.22</v>
      </c>
      <c r="AB135" s="150">
        <v>335.22</v>
      </c>
      <c r="AC135" s="150"/>
      <c r="AD135" s="150">
        <v>335.23</v>
      </c>
      <c r="AE135" s="150">
        <v>335.24</v>
      </c>
      <c r="AF135" s="151">
        <v>335.23</v>
      </c>
      <c r="AG135" s="149"/>
      <c r="AH135" s="47"/>
      <c r="AI135" s="48"/>
    </row>
    <row r="136" spans="1:37" x14ac:dyDescent="0.25">
      <c r="A136" s="185" t="s">
        <v>384</v>
      </c>
      <c r="B136" s="117">
        <v>885.8</v>
      </c>
      <c r="C136" s="117">
        <v>886.3</v>
      </c>
      <c r="D136" s="117">
        <v>886.8</v>
      </c>
      <c r="E136" s="117">
        <v>887.2</v>
      </c>
      <c r="F136" s="117">
        <v>887.6</v>
      </c>
      <c r="G136" s="117">
        <v>887.6</v>
      </c>
      <c r="H136" s="117"/>
      <c r="I136" s="117"/>
      <c r="J136" s="117"/>
      <c r="K136" s="117">
        <v>887.3</v>
      </c>
      <c r="L136" s="117"/>
      <c r="M136" s="150" t="s">
        <v>601</v>
      </c>
      <c r="N136" s="150">
        <v>886.8</v>
      </c>
      <c r="O136" s="150">
        <v>886.6</v>
      </c>
      <c r="P136" s="150">
        <v>886.3</v>
      </c>
      <c r="Q136" s="150">
        <v>885.7</v>
      </c>
      <c r="R136" s="150">
        <v>884.6</v>
      </c>
      <c r="S136" s="187">
        <v>884.5</v>
      </c>
      <c r="T136" s="187">
        <v>884.8</v>
      </c>
      <c r="U136" s="187">
        <v>885.3</v>
      </c>
      <c r="V136" s="187">
        <v>885.9</v>
      </c>
      <c r="W136" s="187"/>
      <c r="X136" s="187">
        <v>886.3</v>
      </c>
      <c r="Y136" s="187"/>
      <c r="Z136" s="187">
        <v>885.7</v>
      </c>
      <c r="AA136" s="187"/>
      <c r="AB136" s="150">
        <v>884.4</v>
      </c>
      <c r="AC136" s="150"/>
      <c r="AD136" s="150">
        <v>884.2</v>
      </c>
      <c r="AE136" s="150">
        <v>884.1</v>
      </c>
      <c r="AF136" s="151"/>
      <c r="AG136" s="149"/>
      <c r="AH136" s="47"/>
      <c r="AI136" s="48"/>
    </row>
    <row r="137" spans="1:37" ht="15.75" thickBot="1" x14ac:dyDescent="0.3">
      <c r="A137" s="185" t="s">
        <v>241</v>
      </c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52"/>
      <c r="N137" s="152"/>
      <c r="O137" s="152"/>
      <c r="P137" s="152"/>
      <c r="Q137" s="152"/>
      <c r="R137" s="152"/>
      <c r="S137" s="188">
        <v>1519.42</v>
      </c>
      <c r="T137" s="188"/>
      <c r="U137" s="188">
        <v>1519.42</v>
      </c>
      <c r="V137" s="188">
        <v>1519.41</v>
      </c>
      <c r="W137" s="188"/>
      <c r="X137" s="188"/>
      <c r="Y137" s="188"/>
      <c r="Z137" s="188">
        <v>1519.42</v>
      </c>
      <c r="AA137" s="188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09">SUM(B139:B243)</f>
        <v>0</v>
      </c>
      <c r="C244" s="134">
        <f t="shared" si="109"/>
        <v>0</v>
      </c>
      <c r="D244" s="134">
        <f t="shared" si="109"/>
        <v>0</v>
      </c>
      <c r="E244" s="134">
        <f t="shared" si="109"/>
        <v>0</v>
      </c>
      <c r="F244" s="134">
        <f t="shared" si="109"/>
        <v>0</v>
      </c>
      <c r="G244" s="134">
        <f t="shared" si="109"/>
        <v>0</v>
      </c>
      <c r="H244" s="134">
        <f t="shared" si="109"/>
        <v>0</v>
      </c>
      <c r="I244" s="134">
        <f t="shared" si="109"/>
        <v>0</v>
      </c>
      <c r="J244" s="134">
        <f t="shared" si="109"/>
        <v>0</v>
      </c>
      <c r="K244" s="134">
        <f t="shared" si="109"/>
        <v>0</v>
      </c>
      <c r="L244" s="134">
        <f t="shared" si="109"/>
        <v>0</v>
      </c>
      <c r="M244" s="134">
        <f t="shared" si="109"/>
        <v>0</v>
      </c>
      <c r="N244" s="134">
        <f t="shared" si="109"/>
        <v>0</v>
      </c>
      <c r="O244" s="134">
        <f t="shared" si="109"/>
        <v>0</v>
      </c>
      <c r="P244" s="134">
        <f t="shared" si="109"/>
        <v>0</v>
      </c>
      <c r="Q244" s="134">
        <f t="shared" si="109"/>
        <v>0</v>
      </c>
      <c r="R244" s="134">
        <f t="shared" si="109"/>
        <v>0</v>
      </c>
      <c r="S244" s="134">
        <f t="shared" si="109"/>
        <v>0</v>
      </c>
      <c r="T244" s="134">
        <f t="shared" si="109"/>
        <v>0</v>
      </c>
      <c r="U244" s="134">
        <f t="shared" si="109"/>
        <v>0</v>
      </c>
      <c r="V244" s="134">
        <f t="shared" si="109"/>
        <v>0</v>
      </c>
      <c r="W244" s="134">
        <f t="shared" si="109"/>
        <v>0</v>
      </c>
      <c r="X244" s="134">
        <f t="shared" si="109"/>
        <v>0</v>
      </c>
      <c r="Y244" s="134">
        <f t="shared" si="109"/>
        <v>0</v>
      </c>
      <c r="Z244" s="134">
        <f t="shared" si="109"/>
        <v>0</v>
      </c>
      <c r="AA244" s="134">
        <f t="shared" si="109"/>
        <v>0</v>
      </c>
      <c r="AB244" s="134">
        <f t="shared" si="109"/>
        <v>0</v>
      </c>
      <c r="AC244" s="134">
        <f t="shared" si="109"/>
        <v>0</v>
      </c>
      <c r="AD244" s="134">
        <f t="shared" si="109"/>
        <v>0</v>
      </c>
      <c r="AE244" s="134">
        <f t="shared" si="109"/>
        <v>0</v>
      </c>
      <c r="AF244" s="135">
        <f t="shared" si="109"/>
        <v>0</v>
      </c>
      <c r="AG244" s="136">
        <f t="shared" si="10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10">AF246</f>
        <v>0.3</v>
      </c>
      <c r="C246" s="138">
        <v>0.3</v>
      </c>
      <c r="D246" s="138">
        <f t="shared" ref="D246:S251" si="111">C246</f>
        <v>0.3</v>
      </c>
      <c r="E246" s="138">
        <f t="shared" si="111"/>
        <v>0.3</v>
      </c>
      <c r="F246" s="138">
        <f t="shared" si="111"/>
        <v>0.3</v>
      </c>
      <c r="G246" s="138">
        <f t="shared" si="111"/>
        <v>0.3</v>
      </c>
      <c r="H246" s="138">
        <f t="shared" si="111"/>
        <v>0.3</v>
      </c>
      <c r="I246" s="138">
        <f t="shared" si="111"/>
        <v>0.3</v>
      </c>
      <c r="J246" s="138">
        <f t="shared" si="111"/>
        <v>0.3</v>
      </c>
      <c r="K246" s="138">
        <f t="shared" si="111"/>
        <v>0.3</v>
      </c>
      <c r="L246" s="138">
        <f t="shared" si="111"/>
        <v>0.3</v>
      </c>
      <c r="M246" s="138">
        <f t="shared" si="111"/>
        <v>0.3</v>
      </c>
      <c r="N246" s="138">
        <f t="shared" si="111"/>
        <v>0.3</v>
      </c>
      <c r="O246" s="138">
        <f t="shared" si="111"/>
        <v>0.3</v>
      </c>
      <c r="P246" s="138">
        <f t="shared" si="111"/>
        <v>0.3</v>
      </c>
      <c r="Q246" s="138">
        <f t="shared" si="111"/>
        <v>0.3</v>
      </c>
      <c r="R246" s="138">
        <f t="shared" si="111"/>
        <v>0.3</v>
      </c>
      <c r="S246" s="138">
        <f t="shared" si="111"/>
        <v>0.3</v>
      </c>
      <c r="T246" s="138">
        <f t="shared" ref="T246:AF251" si="112">S246</f>
        <v>0.3</v>
      </c>
      <c r="U246" s="138">
        <f t="shared" si="112"/>
        <v>0.3</v>
      </c>
      <c r="V246" s="138">
        <f t="shared" si="112"/>
        <v>0.3</v>
      </c>
      <c r="W246" s="138">
        <f t="shared" si="112"/>
        <v>0.3</v>
      </c>
      <c r="X246" s="138">
        <f t="shared" si="112"/>
        <v>0.3</v>
      </c>
      <c r="Y246" s="138">
        <f t="shared" si="112"/>
        <v>0.3</v>
      </c>
      <c r="Z246" s="138">
        <f t="shared" si="112"/>
        <v>0.3</v>
      </c>
      <c r="AA246" s="138">
        <f t="shared" si="112"/>
        <v>0.3</v>
      </c>
      <c r="AB246" s="138">
        <f t="shared" si="112"/>
        <v>0.3</v>
      </c>
      <c r="AC246" s="138">
        <f t="shared" si="112"/>
        <v>0.3</v>
      </c>
      <c r="AD246" s="138">
        <f t="shared" si="112"/>
        <v>0.3</v>
      </c>
      <c r="AE246" s="138">
        <f t="shared" si="112"/>
        <v>0.3</v>
      </c>
      <c r="AF246" s="138">
        <f t="shared" si="112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10"/>
        <v>0.4</v>
      </c>
      <c r="C247" s="126">
        <v>0.4</v>
      </c>
      <c r="D247" s="126">
        <f t="shared" si="111"/>
        <v>0.4</v>
      </c>
      <c r="E247" s="126">
        <f t="shared" si="111"/>
        <v>0.4</v>
      </c>
      <c r="F247" s="126">
        <f t="shared" si="111"/>
        <v>0.4</v>
      </c>
      <c r="G247" s="126">
        <f t="shared" si="111"/>
        <v>0.4</v>
      </c>
      <c r="H247" s="126">
        <f t="shared" si="111"/>
        <v>0.4</v>
      </c>
      <c r="I247" s="126">
        <f t="shared" si="111"/>
        <v>0.4</v>
      </c>
      <c r="J247" s="126">
        <f t="shared" si="111"/>
        <v>0.4</v>
      </c>
      <c r="K247" s="126">
        <f t="shared" si="111"/>
        <v>0.4</v>
      </c>
      <c r="L247" s="126">
        <f t="shared" si="111"/>
        <v>0.4</v>
      </c>
      <c r="M247" s="126">
        <f t="shared" si="111"/>
        <v>0.4</v>
      </c>
      <c r="N247" s="126">
        <f t="shared" si="111"/>
        <v>0.4</v>
      </c>
      <c r="O247" s="126">
        <f t="shared" si="111"/>
        <v>0.4</v>
      </c>
      <c r="P247" s="126">
        <f t="shared" si="111"/>
        <v>0.4</v>
      </c>
      <c r="Q247" s="126">
        <f t="shared" si="111"/>
        <v>0.4</v>
      </c>
      <c r="R247" s="126">
        <f t="shared" si="111"/>
        <v>0.4</v>
      </c>
      <c r="S247" s="126">
        <f t="shared" si="111"/>
        <v>0.4</v>
      </c>
      <c r="T247" s="126">
        <f t="shared" si="112"/>
        <v>0.4</v>
      </c>
      <c r="U247" s="126">
        <f t="shared" si="112"/>
        <v>0.4</v>
      </c>
      <c r="V247" s="126">
        <f t="shared" si="112"/>
        <v>0.4</v>
      </c>
      <c r="W247" s="126">
        <f t="shared" si="112"/>
        <v>0.4</v>
      </c>
      <c r="X247" s="126">
        <f t="shared" si="112"/>
        <v>0.4</v>
      </c>
      <c r="Y247" s="126">
        <f t="shared" si="112"/>
        <v>0.4</v>
      </c>
      <c r="Z247" s="126">
        <f t="shared" si="112"/>
        <v>0.4</v>
      </c>
      <c r="AA247" s="126">
        <f t="shared" si="112"/>
        <v>0.4</v>
      </c>
      <c r="AB247" s="126">
        <f t="shared" si="112"/>
        <v>0.4</v>
      </c>
      <c r="AC247" s="126">
        <f t="shared" si="112"/>
        <v>0.4</v>
      </c>
      <c r="AD247" s="126">
        <f t="shared" si="112"/>
        <v>0.4</v>
      </c>
      <c r="AE247" s="126">
        <f t="shared" si="112"/>
        <v>0.4</v>
      </c>
      <c r="AF247" s="126">
        <f t="shared" si="112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10"/>
        <v>1.5</v>
      </c>
      <c r="C248" s="126">
        <v>1.5</v>
      </c>
      <c r="D248" s="126">
        <f t="shared" si="111"/>
        <v>1.5</v>
      </c>
      <c r="E248" s="126">
        <f t="shared" si="111"/>
        <v>1.5</v>
      </c>
      <c r="F248" s="126">
        <f t="shared" si="111"/>
        <v>1.5</v>
      </c>
      <c r="G248" s="126">
        <f t="shared" si="111"/>
        <v>1.5</v>
      </c>
      <c r="H248" s="126">
        <f t="shared" si="111"/>
        <v>1.5</v>
      </c>
      <c r="I248" s="126">
        <f t="shared" si="111"/>
        <v>1.5</v>
      </c>
      <c r="J248" s="126">
        <f t="shared" si="111"/>
        <v>1.5</v>
      </c>
      <c r="K248" s="126">
        <f t="shared" si="111"/>
        <v>1.5</v>
      </c>
      <c r="L248" s="126">
        <f t="shared" si="111"/>
        <v>1.5</v>
      </c>
      <c r="M248" s="126">
        <f t="shared" si="111"/>
        <v>1.5</v>
      </c>
      <c r="N248" s="126">
        <f t="shared" si="111"/>
        <v>1.5</v>
      </c>
      <c r="O248" s="126">
        <f t="shared" si="111"/>
        <v>1.5</v>
      </c>
      <c r="P248" s="126">
        <f t="shared" si="111"/>
        <v>1.5</v>
      </c>
      <c r="Q248" s="126">
        <f t="shared" si="111"/>
        <v>1.5</v>
      </c>
      <c r="R248" s="126">
        <f t="shared" si="111"/>
        <v>1.5</v>
      </c>
      <c r="S248" s="126">
        <f t="shared" si="111"/>
        <v>1.5</v>
      </c>
      <c r="T248" s="126">
        <f t="shared" si="112"/>
        <v>1.5</v>
      </c>
      <c r="U248" s="126">
        <f t="shared" si="112"/>
        <v>1.5</v>
      </c>
      <c r="V248" s="126">
        <f t="shared" si="112"/>
        <v>1.5</v>
      </c>
      <c r="W248" s="126">
        <f t="shared" si="112"/>
        <v>1.5</v>
      </c>
      <c r="X248" s="126">
        <f t="shared" si="112"/>
        <v>1.5</v>
      </c>
      <c r="Y248" s="126">
        <f t="shared" si="112"/>
        <v>1.5</v>
      </c>
      <c r="Z248" s="126">
        <f t="shared" si="112"/>
        <v>1.5</v>
      </c>
      <c r="AA248" s="126">
        <f t="shared" si="112"/>
        <v>1.5</v>
      </c>
      <c r="AB248" s="126">
        <f t="shared" si="112"/>
        <v>1.5</v>
      </c>
      <c r="AC248" s="126">
        <f t="shared" si="112"/>
        <v>1.5</v>
      </c>
      <c r="AD248" s="126">
        <f t="shared" si="112"/>
        <v>1.5</v>
      </c>
      <c r="AE248" s="126">
        <f t="shared" si="112"/>
        <v>1.5</v>
      </c>
      <c r="AF248" s="126">
        <f t="shared" si="112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10"/>
        <v>0.3</v>
      </c>
      <c r="C249" s="126">
        <v>0.3</v>
      </c>
      <c r="D249" s="126">
        <f t="shared" si="111"/>
        <v>0.3</v>
      </c>
      <c r="E249" s="126">
        <f t="shared" si="111"/>
        <v>0.3</v>
      </c>
      <c r="F249" s="126">
        <f t="shared" si="111"/>
        <v>0.3</v>
      </c>
      <c r="G249" s="126">
        <f t="shared" si="111"/>
        <v>0.3</v>
      </c>
      <c r="H249" s="126">
        <f t="shared" si="111"/>
        <v>0.3</v>
      </c>
      <c r="I249" s="126">
        <f t="shared" si="111"/>
        <v>0.3</v>
      </c>
      <c r="J249" s="126">
        <f t="shared" si="111"/>
        <v>0.3</v>
      </c>
      <c r="K249" s="126">
        <f t="shared" si="111"/>
        <v>0.3</v>
      </c>
      <c r="L249" s="126">
        <f t="shared" si="111"/>
        <v>0.3</v>
      </c>
      <c r="M249" s="126">
        <f t="shared" si="111"/>
        <v>0.3</v>
      </c>
      <c r="N249" s="126">
        <f t="shared" si="111"/>
        <v>0.3</v>
      </c>
      <c r="O249" s="126">
        <f t="shared" si="111"/>
        <v>0.3</v>
      </c>
      <c r="P249" s="126">
        <f t="shared" si="111"/>
        <v>0.3</v>
      </c>
      <c r="Q249" s="126">
        <f t="shared" si="111"/>
        <v>0.3</v>
      </c>
      <c r="R249" s="126">
        <f t="shared" si="111"/>
        <v>0.3</v>
      </c>
      <c r="S249" s="126">
        <f t="shared" si="111"/>
        <v>0.3</v>
      </c>
      <c r="T249" s="126">
        <f t="shared" si="112"/>
        <v>0.3</v>
      </c>
      <c r="U249" s="126">
        <f t="shared" si="112"/>
        <v>0.3</v>
      </c>
      <c r="V249" s="126">
        <f t="shared" si="112"/>
        <v>0.3</v>
      </c>
      <c r="W249" s="126">
        <f t="shared" si="112"/>
        <v>0.3</v>
      </c>
      <c r="X249" s="126">
        <f t="shared" si="112"/>
        <v>0.3</v>
      </c>
      <c r="Y249" s="126">
        <f t="shared" si="112"/>
        <v>0.3</v>
      </c>
      <c r="Z249" s="126">
        <f t="shared" si="112"/>
        <v>0.3</v>
      </c>
      <c r="AA249" s="126">
        <f t="shared" si="112"/>
        <v>0.3</v>
      </c>
      <c r="AB249" s="126">
        <f t="shared" si="112"/>
        <v>0.3</v>
      </c>
      <c r="AC249" s="126">
        <f t="shared" si="112"/>
        <v>0.3</v>
      </c>
      <c r="AD249" s="126">
        <f t="shared" si="112"/>
        <v>0.3</v>
      </c>
      <c r="AE249" s="126">
        <f t="shared" si="112"/>
        <v>0.3</v>
      </c>
      <c r="AF249" s="126">
        <f t="shared" si="112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10"/>
        <v>0.4</v>
      </c>
      <c r="C250" s="126">
        <v>0.4</v>
      </c>
      <c r="D250" s="126">
        <f t="shared" si="111"/>
        <v>0.4</v>
      </c>
      <c r="E250" s="126">
        <f t="shared" si="111"/>
        <v>0.4</v>
      </c>
      <c r="F250" s="126">
        <f t="shared" si="111"/>
        <v>0.4</v>
      </c>
      <c r="G250" s="126">
        <f t="shared" si="111"/>
        <v>0.4</v>
      </c>
      <c r="H250" s="126">
        <f t="shared" si="111"/>
        <v>0.4</v>
      </c>
      <c r="I250" s="126">
        <f t="shared" si="111"/>
        <v>0.4</v>
      </c>
      <c r="J250" s="126">
        <f t="shared" si="111"/>
        <v>0.4</v>
      </c>
      <c r="K250" s="126">
        <f t="shared" si="111"/>
        <v>0.4</v>
      </c>
      <c r="L250" s="126">
        <f t="shared" si="111"/>
        <v>0.4</v>
      </c>
      <c r="M250" s="126">
        <f t="shared" si="111"/>
        <v>0.4</v>
      </c>
      <c r="N250" s="126">
        <f t="shared" si="111"/>
        <v>0.4</v>
      </c>
      <c r="O250" s="126">
        <f t="shared" si="111"/>
        <v>0.4</v>
      </c>
      <c r="P250" s="126">
        <f t="shared" si="111"/>
        <v>0.4</v>
      </c>
      <c r="Q250" s="126">
        <f t="shared" si="111"/>
        <v>0.4</v>
      </c>
      <c r="R250" s="126">
        <f t="shared" si="111"/>
        <v>0.4</v>
      </c>
      <c r="S250" s="126">
        <f t="shared" si="111"/>
        <v>0.4</v>
      </c>
      <c r="T250" s="126">
        <f t="shared" si="112"/>
        <v>0.4</v>
      </c>
      <c r="U250" s="126">
        <f t="shared" si="112"/>
        <v>0.4</v>
      </c>
      <c r="V250" s="126">
        <f t="shared" si="112"/>
        <v>0.4</v>
      </c>
      <c r="W250" s="126">
        <f t="shared" si="112"/>
        <v>0.4</v>
      </c>
      <c r="X250" s="126">
        <f t="shared" si="112"/>
        <v>0.4</v>
      </c>
      <c r="Y250" s="126">
        <f t="shared" si="112"/>
        <v>0.4</v>
      </c>
      <c r="Z250" s="126">
        <f t="shared" si="112"/>
        <v>0.4</v>
      </c>
      <c r="AA250" s="126">
        <f t="shared" si="112"/>
        <v>0.4</v>
      </c>
      <c r="AB250" s="126">
        <f t="shared" si="112"/>
        <v>0.4</v>
      </c>
      <c r="AC250" s="126">
        <f t="shared" si="112"/>
        <v>0.4</v>
      </c>
      <c r="AD250" s="126">
        <f t="shared" si="112"/>
        <v>0.4</v>
      </c>
      <c r="AE250" s="126">
        <f t="shared" si="112"/>
        <v>0.4</v>
      </c>
      <c r="AF250" s="126">
        <f t="shared" si="112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10"/>
        <v>0.64</v>
      </c>
      <c r="C251" s="130">
        <v>0.64</v>
      </c>
      <c r="D251" s="130">
        <f t="shared" si="111"/>
        <v>0.64</v>
      </c>
      <c r="E251" s="130">
        <f t="shared" si="111"/>
        <v>0.64</v>
      </c>
      <c r="F251" s="130">
        <f t="shared" si="111"/>
        <v>0.64</v>
      </c>
      <c r="G251" s="130">
        <f t="shared" si="111"/>
        <v>0.64</v>
      </c>
      <c r="H251" s="130">
        <f t="shared" si="111"/>
        <v>0.64</v>
      </c>
      <c r="I251" s="130">
        <f t="shared" si="111"/>
        <v>0.64</v>
      </c>
      <c r="J251" s="130">
        <f t="shared" si="111"/>
        <v>0.64</v>
      </c>
      <c r="K251" s="130">
        <f t="shared" si="111"/>
        <v>0.64</v>
      </c>
      <c r="L251" s="130">
        <f t="shared" si="111"/>
        <v>0.64</v>
      </c>
      <c r="M251" s="130">
        <f t="shared" si="111"/>
        <v>0.64</v>
      </c>
      <c r="N251" s="130">
        <f t="shared" si="111"/>
        <v>0.64</v>
      </c>
      <c r="O251" s="130">
        <f t="shared" si="111"/>
        <v>0.64</v>
      </c>
      <c r="P251" s="130">
        <f t="shared" si="111"/>
        <v>0.64</v>
      </c>
      <c r="Q251" s="130">
        <f t="shared" si="111"/>
        <v>0.64</v>
      </c>
      <c r="R251" s="130">
        <f t="shared" si="111"/>
        <v>0.64</v>
      </c>
      <c r="S251" s="130">
        <f t="shared" si="111"/>
        <v>0.64</v>
      </c>
      <c r="T251" s="130">
        <f t="shared" si="112"/>
        <v>0.64</v>
      </c>
      <c r="U251" s="130">
        <f t="shared" si="112"/>
        <v>0.64</v>
      </c>
      <c r="V251" s="130">
        <f t="shared" si="112"/>
        <v>0.64</v>
      </c>
      <c r="W251" s="130">
        <f t="shared" si="112"/>
        <v>0.64</v>
      </c>
      <c r="X251" s="130">
        <f t="shared" si="112"/>
        <v>0.64</v>
      </c>
      <c r="Y251" s="130">
        <f t="shared" si="112"/>
        <v>0.64</v>
      </c>
      <c r="Z251" s="130">
        <f t="shared" si="112"/>
        <v>0.64</v>
      </c>
      <c r="AA251" s="130">
        <f t="shared" si="112"/>
        <v>0.64</v>
      </c>
      <c r="AB251" s="130">
        <f t="shared" si="112"/>
        <v>0.64</v>
      </c>
      <c r="AC251" s="130">
        <f t="shared" si="112"/>
        <v>0.64</v>
      </c>
      <c r="AD251" s="130">
        <f t="shared" si="112"/>
        <v>0.64</v>
      </c>
      <c r="AE251" s="130">
        <f t="shared" si="112"/>
        <v>0.64</v>
      </c>
      <c r="AF251" s="130">
        <f t="shared" si="112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3">SUM(B246:B251)</f>
        <v>3.54</v>
      </c>
      <c r="C252" s="134">
        <f t="shared" si="113"/>
        <v>3.54</v>
      </c>
      <c r="D252" s="134">
        <f t="shared" si="113"/>
        <v>3.54</v>
      </c>
      <c r="E252" s="134">
        <f t="shared" si="113"/>
        <v>3.54</v>
      </c>
      <c r="F252" s="134">
        <f t="shared" si="113"/>
        <v>3.54</v>
      </c>
      <c r="G252" s="134">
        <f t="shared" si="113"/>
        <v>3.54</v>
      </c>
      <c r="H252" s="134">
        <f t="shared" si="113"/>
        <v>3.54</v>
      </c>
      <c r="I252" s="134">
        <f t="shared" si="113"/>
        <v>3.54</v>
      </c>
      <c r="J252" s="134">
        <f t="shared" si="113"/>
        <v>3.54</v>
      </c>
      <c r="K252" s="134">
        <f t="shared" si="113"/>
        <v>3.54</v>
      </c>
      <c r="L252" s="134">
        <f t="shared" si="113"/>
        <v>3.54</v>
      </c>
      <c r="M252" s="134">
        <f t="shared" si="113"/>
        <v>3.54</v>
      </c>
      <c r="N252" s="134">
        <f t="shared" si="113"/>
        <v>3.54</v>
      </c>
      <c r="O252" s="134">
        <f t="shared" si="113"/>
        <v>3.54</v>
      </c>
      <c r="P252" s="134">
        <f t="shared" si="113"/>
        <v>3.54</v>
      </c>
      <c r="Q252" s="134">
        <f t="shared" si="113"/>
        <v>3.54</v>
      </c>
      <c r="R252" s="134">
        <f t="shared" si="113"/>
        <v>3.54</v>
      </c>
      <c r="S252" s="134">
        <f t="shared" si="113"/>
        <v>3.54</v>
      </c>
      <c r="T252" s="134">
        <f t="shared" si="113"/>
        <v>3.54</v>
      </c>
      <c r="U252" s="134">
        <f t="shared" si="113"/>
        <v>3.54</v>
      </c>
      <c r="V252" s="134">
        <f t="shared" si="113"/>
        <v>3.54</v>
      </c>
      <c r="W252" s="134">
        <f t="shared" si="113"/>
        <v>3.54</v>
      </c>
      <c r="X252" s="134">
        <f t="shared" si="113"/>
        <v>3.54</v>
      </c>
      <c r="Y252" s="134">
        <f t="shared" si="113"/>
        <v>3.54</v>
      </c>
      <c r="Z252" s="134">
        <f t="shared" si="113"/>
        <v>3.54</v>
      </c>
      <c r="AA252" s="134">
        <f t="shared" si="113"/>
        <v>3.54</v>
      </c>
      <c r="AB252" s="134">
        <f t="shared" si="113"/>
        <v>3.54</v>
      </c>
      <c r="AC252" s="134">
        <f t="shared" si="113"/>
        <v>3.54</v>
      </c>
      <c r="AD252" s="134">
        <f t="shared" si="113"/>
        <v>3.54</v>
      </c>
      <c r="AE252" s="134">
        <f t="shared" si="113"/>
        <v>3.54</v>
      </c>
      <c r="AF252" s="134">
        <f t="shared" si="113"/>
        <v>3.54</v>
      </c>
      <c r="AG252" s="143">
        <f t="shared" si="11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1832.89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2080/10/13)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010" priority="215">
      <formula>$AH11=0</formula>
    </cfRule>
  </conditionalFormatting>
  <conditionalFormatting sqref="A132:A253">
    <cfRule type="expression" dxfId="3009" priority="216">
      <formula>$AH132=0</formula>
    </cfRule>
  </conditionalFormatting>
  <conditionalFormatting sqref="B8 M8 S8 AB8">
    <cfRule type="expression" dxfId="3008" priority="266">
      <formula>AND(C$9&gt;=14/24,C$9&lt;20/24)</formula>
    </cfRule>
    <cfRule type="expression" dxfId="3007" priority="268">
      <formula>C$9&lt;8/24</formula>
    </cfRule>
    <cfRule type="expression" dxfId="3006" priority="267">
      <formula>AND(C$9&gt;=8/24,C$9&lt;14/24)</formula>
    </cfRule>
  </conditionalFormatting>
  <conditionalFormatting sqref="B77:B80">
    <cfRule type="expression" dxfId="3005" priority="33">
      <formula>B$9&gt;=20/24</formula>
    </cfRule>
    <cfRule type="expression" dxfId="3004" priority="34">
      <formula>AND(B$9&gt;=14/24,B$9&lt;20/24)</formula>
    </cfRule>
    <cfRule type="expression" dxfId="3003" priority="35">
      <formula>AND(B$9&gt;=8/24,B$9&lt;14/24)</formula>
    </cfRule>
    <cfRule type="expression" dxfId="3002" priority="36">
      <formula>B$9&lt;8/24</formula>
    </cfRule>
  </conditionalFormatting>
  <conditionalFormatting sqref="B56:D62">
    <cfRule type="expression" dxfId="3001" priority="37">
      <formula>B56&gt;$AG56</formula>
    </cfRule>
  </conditionalFormatting>
  <conditionalFormatting sqref="B59:D68">
    <cfRule type="expression" dxfId="3000" priority="51">
      <formula>B$9&gt;=20/24</formula>
    </cfRule>
    <cfRule type="expression" dxfId="2999" priority="53">
      <formula>AND(B$9&gt;=8/24,B$9&lt;14/24)</formula>
    </cfRule>
    <cfRule type="expression" dxfId="2998" priority="54">
      <formula>B$9&lt;8/24</formula>
    </cfRule>
    <cfRule type="expression" dxfId="2997" priority="52">
      <formula>AND(B$9&gt;=14/24,B$9&lt;20/24)</formula>
    </cfRule>
  </conditionalFormatting>
  <conditionalFormatting sqref="B9:AF52 B119:AF137">
    <cfRule type="expression" dxfId="2996" priority="24">
      <formula>B$9&gt;=20/24</formula>
    </cfRule>
    <cfRule type="expression" dxfId="2995" priority="25">
      <formula>AND(B$9&gt;=14/24,B$9&lt;20/24)</formula>
    </cfRule>
    <cfRule type="expression" dxfId="2994" priority="26">
      <formula>AND(B$9&gt;=8/24,B$9&lt;14/24)</formula>
    </cfRule>
    <cfRule type="expression" dxfId="2993" priority="27">
      <formula>B$9&lt;8/24</formula>
    </cfRule>
  </conditionalFormatting>
  <conditionalFormatting sqref="B11:AF55">
    <cfRule type="expression" dxfId="2992" priority="13">
      <formula>B11&gt;$AG11</formula>
    </cfRule>
  </conditionalFormatting>
  <conditionalFormatting sqref="B53:AF55">
    <cfRule type="expression" dxfId="2991" priority="12">
      <formula>B$9&lt;8/24</formula>
    </cfRule>
    <cfRule type="expression" dxfId="2990" priority="9">
      <formula>B$9&gt;=20/24</formula>
    </cfRule>
    <cfRule type="expression" dxfId="2989" priority="10">
      <formula>AND(B$9&gt;=14/24,B$9&lt;20/24)</formula>
    </cfRule>
    <cfRule type="expression" dxfId="2988" priority="11">
      <formula>AND(B$9&gt;=8/24,B$9&lt;14/24)</formula>
    </cfRule>
  </conditionalFormatting>
  <conditionalFormatting sqref="B69:AF74">
    <cfRule type="expression" dxfId="2987" priority="38">
      <formula>B$9&gt;=20/24</formula>
    </cfRule>
    <cfRule type="expression" dxfId="2986" priority="39">
      <formula>AND(B$9&gt;=14/24,B$9&lt;20/24)</formula>
    </cfRule>
    <cfRule type="expression" dxfId="2985" priority="40">
      <formula>AND(B$9&gt;=8/24,B$9&lt;14/24)</formula>
    </cfRule>
    <cfRule type="expression" dxfId="2984" priority="41">
      <formula>B$9&lt;8/24</formula>
    </cfRule>
  </conditionalFormatting>
  <conditionalFormatting sqref="B71:AF74">
    <cfRule type="expression" dxfId="2983" priority="19">
      <formula>B$9&gt;=20/24</formula>
    </cfRule>
    <cfRule type="expression" dxfId="2982" priority="20">
      <formula>AND(B$9&gt;=14/24,B$9&lt;20/24)</formula>
    </cfRule>
    <cfRule type="expression" dxfId="2981" priority="21">
      <formula>AND(B$9&gt;=8/24,B$9&lt;14/24)</formula>
    </cfRule>
    <cfRule type="expression" dxfId="2980" priority="22">
      <formula>B$9&lt;8/24</formula>
    </cfRule>
  </conditionalFormatting>
  <conditionalFormatting sqref="B81:AF99">
    <cfRule type="expression" dxfId="2979" priority="15">
      <formula>AND(B$9&gt;=14/24,B$9&lt;20/24)</formula>
    </cfRule>
    <cfRule type="expression" dxfId="2978" priority="16">
      <formula>AND(B$9&gt;=8/24,B$9&lt;14/24)</formula>
    </cfRule>
    <cfRule type="expression" dxfId="2977" priority="17">
      <formula>B$9&lt;8/24</formula>
    </cfRule>
    <cfRule type="expression" dxfId="2976" priority="14">
      <formula>B$9&gt;=20/24</formula>
    </cfRule>
  </conditionalFormatting>
  <conditionalFormatting sqref="B101:AF117">
    <cfRule type="expression" dxfId="2975" priority="5">
      <formula>B$9&gt;=20/24</formula>
    </cfRule>
    <cfRule type="expression" dxfId="2974" priority="6">
      <formula>AND(B$9&gt;=14/24,B$9&lt;20/24)</formula>
    </cfRule>
    <cfRule type="expression" dxfId="2973" priority="8">
      <formula>B$9&lt;8/24</formula>
    </cfRule>
    <cfRule type="expression" dxfId="2972" priority="7">
      <formula>AND(B$9&gt;=8/24,B$9&lt;14/24)</formula>
    </cfRule>
  </conditionalFormatting>
  <conditionalFormatting sqref="B244:AF244 B246:B252 D246:AF252">
    <cfRule type="expression" dxfId="2971" priority="260">
      <formula>AND(B$9&gt;=14/24,B$9&lt;20/24)</formula>
    </cfRule>
    <cfRule type="expression" dxfId="2970" priority="259">
      <formula>B$9&gt;=20/24</formula>
    </cfRule>
    <cfRule type="expression" dxfId="2969" priority="262">
      <formula>B$9&lt;8/24</formula>
    </cfRule>
    <cfRule type="expression" dxfId="2968" priority="261">
      <formula>AND(B$9&gt;=8/24,B$9&lt;14/24)</formula>
    </cfRule>
  </conditionalFormatting>
  <conditionalFormatting sqref="C77:AF80">
    <cfRule type="expression" dxfId="2967" priority="160">
      <formula>C$9&lt;8/24</formula>
    </cfRule>
    <cfRule type="expression" dxfId="2966" priority="157">
      <formula>C$9&gt;=20/24</formula>
    </cfRule>
    <cfRule type="expression" dxfId="2965" priority="158">
      <formula>AND(C$9&gt;=14/24,C$9&lt;20/24)</formula>
    </cfRule>
    <cfRule type="expression" dxfId="2964" priority="159">
      <formula>AND(C$9&gt;=8/24,C$9&lt;14/24)</formula>
    </cfRule>
  </conditionalFormatting>
  <conditionalFormatting sqref="E67:F68 G68:L68">
    <cfRule type="expression" dxfId="2963" priority="55">
      <formula>E$9&gt;=20/24</formula>
    </cfRule>
    <cfRule type="expression" dxfId="2962" priority="56">
      <formula>AND(E$9&gt;=14/24,E$9&lt;20/24)</formula>
    </cfRule>
    <cfRule type="expression" dxfId="2961" priority="57">
      <formula>AND(E$9&gt;=8/24,E$9&lt;14/24)</formula>
    </cfRule>
    <cfRule type="expression" dxfId="2960" priority="58">
      <formula>E$9&lt;8/24</formula>
    </cfRule>
  </conditionalFormatting>
  <conditionalFormatting sqref="E63:H66 I63:I67 G67:H67 C75:AF80">
    <cfRule type="expression" dxfId="2959" priority="141">
      <formula>C63&gt;$AG63</formula>
    </cfRule>
  </conditionalFormatting>
  <conditionalFormatting sqref="E63:H66 I63:I67 G67:H67 J64:J67 K67">
    <cfRule type="expression" dxfId="2958" priority="179">
      <formula>E$9&gt;=20/24</formula>
    </cfRule>
  </conditionalFormatting>
  <conditionalFormatting sqref="E63:H66 I63:I67 J64:J67 G67:H67 K67">
    <cfRule type="expression" dxfId="2957" priority="180">
      <formula>AND(E$9&gt;=14/24,E$9&lt;20/24)</formula>
    </cfRule>
    <cfRule type="expression" dxfId="2956" priority="181">
      <formula>AND(E$9&gt;=8/24,E$9&lt;14/24)</formula>
    </cfRule>
    <cfRule type="expression" dxfId="2955" priority="182">
      <formula>E$9&lt;8/24</formula>
    </cfRule>
  </conditionalFormatting>
  <conditionalFormatting sqref="E56:Y56 B56:D57">
    <cfRule type="expression" dxfId="2954" priority="50">
      <formula>AND(B$9&gt;=8/24,B$9&lt;14/24)</formula>
    </cfRule>
    <cfRule type="expression" dxfId="2953" priority="59">
      <formula>B$9&lt;8/24</formula>
    </cfRule>
    <cfRule type="expression" dxfId="2952" priority="48">
      <formula>B$9&gt;=20/24</formula>
    </cfRule>
    <cfRule type="expression" dxfId="2951" priority="49">
      <formula>AND(B$9&gt;=14/24,B$9&lt;20/24)</formula>
    </cfRule>
  </conditionalFormatting>
  <conditionalFormatting sqref="E56:Y56">
    <cfRule type="expression" dxfId="2950" priority="47">
      <formula>E56&gt;$AG56</formula>
    </cfRule>
  </conditionalFormatting>
  <conditionalFormatting sqref="E57:Y57">
    <cfRule type="expression" dxfId="2949" priority="192">
      <formula>E$9&lt;8/24</formula>
    </cfRule>
  </conditionalFormatting>
  <conditionalFormatting sqref="E59:AF62">
    <cfRule type="expression" dxfId="2948" priority="194">
      <formula>AND(E$9&gt;=14/24,E$9&lt;20/24)</formula>
    </cfRule>
    <cfRule type="expression" dxfId="2947" priority="196">
      <formula>E$9&lt;8/24</formula>
    </cfRule>
    <cfRule type="expression" dxfId="2946" priority="195">
      <formula>AND(E$9&gt;=8/24,E$9&lt;14/24)</formula>
    </cfRule>
    <cfRule type="expression" dxfId="2945" priority="193">
      <formula>E$9&gt;=20/24</formula>
    </cfRule>
  </conditionalFormatting>
  <conditionalFormatting sqref="E62:AG62">
    <cfRule type="expression" dxfId="2944" priority="165">
      <formula>E62&gt;$AG62</formula>
    </cfRule>
  </conditionalFormatting>
  <conditionalFormatting sqref="F63:R65">
    <cfRule type="expression" dxfId="2943" priority="210">
      <formula>F$9&lt;8/24</formula>
    </cfRule>
    <cfRule type="expression" dxfId="2942" priority="209">
      <formula>AND(F$9&gt;=8/24,F$9&lt;14/24)</formula>
    </cfRule>
    <cfRule type="expression" dxfId="2941" priority="208">
      <formula>AND(F$9&gt;=14/24,F$9&lt;20/24)</formula>
    </cfRule>
    <cfRule type="expression" dxfId="2940" priority="207">
      <formula>F$9&gt;=20/24</formula>
    </cfRule>
  </conditionalFormatting>
  <conditionalFormatting sqref="J63:AF74 C63:D74 B63:B80 E67:F74 G68:I74">
    <cfRule type="expression" dxfId="2939" priority="18">
      <formula>B63&gt;$AG63</formula>
    </cfRule>
  </conditionalFormatting>
  <conditionalFormatting sqref="M66:R68">
    <cfRule type="expression" dxfId="2938" priority="1">
      <formula>M$9&gt;=20/24</formula>
    </cfRule>
    <cfRule type="expression" dxfId="2937" priority="2">
      <formula>AND(M$9&gt;=14/24,M$9&lt;20/24)</formula>
    </cfRule>
    <cfRule type="expression" dxfId="2936" priority="4">
      <formula>M$9&lt;8/24</formula>
    </cfRule>
    <cfRule type="expression" dxfId="2935" priority="3">
      <formula>AND(M$9&gt;=8/24,M$9&lt;14/24)</formula>
    </cfRule>
  </conditionalFormatting>
  <conditionalFormatting sqref="O3:P3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934" priority="265">
      <formula>C$9&gt;=20/24</formula>
    </cfRule>
  </conditionalFormatting>
  <conditionalFormatting sqref="S8">
    <cfRule type="expression" dxfId="2933" priority="253">
      <formula>AND(U$9&gt;=14/24,U$9&lt;20/24)</formula>
    </cfRule>
    <cfRule type="expression" dxfId="2932" priority="254">
      <formula>AND(U$9&gt;=8/24,U$9&lt;14/24)</formula>
    </cfRule>
    <cfRule type="expression" dxfId="2931" priority="255">
      <formula>U$9&lt;8/24</formula>
    </cfRule>
    <cfRule type="expression" dxfId="2930" priority="252">
      <formula>U$9&gt;=20/24</formula>
    </cfRule>
  </conditionalFormatting>
  <conditionalFormatting sqref="S63:V68">
    <cfRule type="expression" dxfId="2929" priority="206">
      <formula>S$9&lt;8/24</formula>
    </cfRule>
    <cfRule type="expression" dxfId="2928" priority="205">
      <formula>AND(S$9&gt;=8/24,S$9&lt;14/24)</formula>
    </cfRule>
    <cfRule type="expression" dxfId="2927" priority="203">
      <formula>S$9&gt;=20/24</formula>
    </cfRule>
    <cfRule type="expression" dxfId="2926" priority="204">
      <formula>AND(S$9&gt;=14/24,S$9&lt;20/24)</formula>
    </cfRule>
  </conditionalFormatting>
  <conditionalFormatting sqref="T63:AF68">
    <cfRule type="expression" dxfId="2925" priority="198">
      <formula>AND(T$9&gt;=14/24,T$9&lt;20/24)</formula>
    </cfRule>
    <cfRule type="expression" dxfId="2924" priority="200">
      <formula>T$9&lt;8/24</formula>
    </cfRule>
    <cfRule type="expression" dxfId="2923" priority="199">
      <formula>AND(T$9&gt;=8/24,T$9&lt;14/24)</formula>
    </cfRule>
    <cfRule type="expression" dxfId="2922" priority="197">
      <formula>T$9&gt;=20/24</formula>
    </cfRule>
  </conditionalFormatting>
  <conditionalFormatting sqref="V3 AB3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Z56:Z57 AA56:AF61 O57:Y57 E57:N61 O58:Z61">
    <cfRule type="expression" dxfId="2921" priority="188">
      <formula>E56&gt;$AG56</formula>
    </cfRule>
  </conditionalFormatting>
  <conditionalFormatting sqref="Z56:AF57 E57:Y57">
    <cfRule type="expression" dxfId="2920" priority="189">
      <formula>E$9&gt;=20/24</formula>
    </cfRule>
    <cfRule type="expression" dxfId="2919" priority="190">
      <formula>AND(E$9&gt;=14/24,E$9&lt;20/24)</formula>
    </cfRule>
    <cfRule type="expression" dxfId="2918" priority="191">
      <formula>AND(E$9&gt;=8/24,E$9&lt;14/24)</formula>
    </cfRule>
  </conditionalFormatting>
  <conditionalFormatting sqref="Z56:AF57">
    <cfRule type="expression" dxfId="2917" priority="201">
      <formula>Z$9&lt;8/24</formula>
    </cfRule>
  </conditionalFormatting>
  <conditionalFormatting sqref="AB8">
    <cfRule type="expression" dxfId="2916" priority="248">
      <formula>AD$9&gt;=20/24</formula>
    </cfRule>
    <cfRule type="expression" dxfId="2915" priority="250">
      <formula>AND(AD$9&gt;=8/24,AD$9&lt;14/24)</formula>
    </cfRule>
    <cfRule type="expression" dxfId="2914" priority="251">
      <formula>AD$9&lt;8/24</formula>
    </cfRule>
    <cfRule type="expression" dxfId="2913" priority="249">
      <formula>AND(AD$9&gt;=14/24,AD$9&lt;20/24)</formula>
    </cfRule>
  </conditionalFormatting>
  <conditionalFormatting sqref="AG58">
    <cfRule type="expression" dxfId="2912" priority="243">
      <formula>AG58&gt;$AG58</formula>
    </cfRule>
  </conditionalFormatting>
  <conditionalFormatting sqref="AG62">
    <cfRule type="expression" dxfId="2911" priority="228">
      <formula>AND(AG$9&gt;=8/24,AG$9&lt;14/24)</formula>
    </cfRule>
    <cfRule type="expression" dxfId="2910" priority="227">
      <formula>AND(AG$9&gt;=14/24,AG$9&lt;20/24)</formula>
    </cfRule>
    <cfRule type="expression" dxfId="2909" priority="226">
      <formula>AG$9&gt;=20/24</formula>
    </cfRule>
    <cfRule type="expression" dxfId="2908" priority="229">
      <formula>AG$9&lt;8/24</formula>
    </cfRule>
  </conditionalFormatting>
  <conditionalFormatting sqref="AG75:AG76 AG80">
    <cfRule type="expression" dxfId="2907" priority="221">
      <formula>AG75&gt;$AG75</formula>
    </cfRule>
  </conditionalFormatting>
  <conditionalFormatting sqref="AG80">
    <cfRule type="expression" dxfId="2906" priority="224">
      <formula>AND(AG$9&gt;=8/24,AG$9&lt;14/24)</formula>
    </cfRule>
    <cfRule type="expression" dxfId="2905" priority="225">
      <formula>AG$9&lt;8/24</formula>
    </cfRule>
    <cfRule type="expression" dxfId="2904" priority="222">
      <formula>AG$9&gt;=20/24</formula>
    </cfRule>
    <cfRule type="expression" dxfId="2903" priority="223">
      <formula>AND(AG$9&gt;=14/24,AG$9&lt;20/24)</formula>
    </cfRule>
  </conditionalFormatting>
  <conditionalFormatting sqref="AG97">
    <cfRule type="expression" dxfId="2902" priority="247">
      <formula>AG$9&lt;8/24</formula>
    </cfRule>
    <cfRule type="expression" dxfId="2901" priority="246">
      <formula>AND(AG$9&gt;=8/24,AG$9&lt;14/24)</formula>
    </cfRule>
    <cfRule type="expression" dxfId="2900" priority="245">
      <formula>AND(AG$9&gt;=14/24,AG$9&lt;20/24)</formula>
    </cfRule>
    <cfRule type="expression" dxfId="2899" priority="244">
      <formula>AG$9&gt;=20/24</formula>
    </cfRule>
  </conditionalFormatting>
  <conditionalFormatting sqref="AL4:AL6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898" priority="272">
      <formula>AJ$9&lt;8/24</formula>
    </cfRule>
    <cfRule type="expression" dxfId="2897" priority="269">
      <formula>AJ$9&gt;=20/24</formula>
    </cfRule>
    <cfRule type="expression" dxfId="2896" priority="270">
      <formula>AND(AJ$9&gt;=14/24,AJ$9&lt;20/24)</formula>
    </cfRule>
    <cfRule type="expression" dxfId="2895" priority="271">
      <formula>AND(AJ$9&gt;=8/24,AJ$9&lt;14/24)</formula>
    </cfRule>
  </conditionalFormatting>
  <conditionalFormatting sqref="AL88:AN88 AL94:AN94">
    <cfRule type="expression" dxfId="2894" priority="237">
      <formula>AND(AL$9&gt;=14/24,AL$9&lt;20/24)</formula>
    </cfRule>
    <cfRule type="expression" dxfId="2893" priority="239">
      <formula>AL$9&lt;8/24</formula>
    </cfRule>
    <cfRule type="expression" dxfId="2892" priority="238">
      <formula>AND(AL$9&gt;=8/24,AL$9&lt;14/24)</formula>
    </cfRule>
    <cfRule type="expression" dxfId="2891" priority="236">
      <formula>AL$9&gt;=20/24</formula>
    </cfRule>
  </conditionalFormatting>
  <conditionalFormatting sqref="AM15:AM21 AN16:AR21">
    <cfRule type="expression" dxfId="2890" priority="72">
      <formula>AX$9&gt;=20/24</formula>
    </cfRule>
    <cfRule type="expression" dxfId="2889" priority="74">
      <formula>AND(AX$9&gt;=8/24,AX$9&lt;14/24)</formula>
    </cfRule>
    <cfRule type="expression" dxfId="2888" priority="75">
      <formula>AX$9&lt;8/24</formula>
    </cfRule>
    <cfRule type="expression" dxfId="2887" priority="73">
      <formula>AND(AX$9&gt;=14/24,AX$9&lt;20/24)</formula>
    </cfRule>
  </conditionalFormatting>
  <conditionalFormatting sqref="AN89:AN92">
    <cfRule type="expression" dxfId="2886" priority="233">
      <formula>AND(AN$9&gt;=14/24,AN$9&lt;20/24)</formula>
    </cfRule>
    <cfRule type="expression" dxfId="2885" priority="234">
      <formula>AND(AN$9&gt;=8/24,AN$9&lt;14/24)</formula>
    </cfRule>
    <cfRule type="expression" dxfId="2884" priority="232">
      <formula>AN$9&gt;=20/24</formula>
    </cfRule>
    <cfRule type="expression" dxfId="2883" priority="235">
      <formula>AN$9&lt;8/24</formula>
    </cfRule>
  </conditionalFormatting>
  <conditionalFormatting sqref="AN15:AR15">
    <cfRule type="expression" dxfId="2882" priority="63">
      <formula>U$9&lt;8/24</formula>
    </cfRule>
    <cfRule type="expression" dxfId="2881" priority="62">
      <formula>AND(U$9&gt;=8/24,U$9&lt;14/24)</formula>
    </cfRule>
    <cfRule type="expression" dxfId="2880" priority="61">
      <formula>AND(U$9&gt;=14/24,U$9&lt;20/24)</formula>
    </cfRule>
    <cfRule type="expression" dxfId="2879" priority="60">
      <formula>U$9&gt;=20/24</formula>
    </cfRule>
  </conditionalFormatting>
  <conditionalFormatting sqref="AS15">
    <cfRule type="expression" dxfId="2878" priority="68">
      <formula>AA$9&gt;=20/24</formula>
    </cfRule>
    <cfRule type="expression" dxfId="2877" priority="69">
      <formula>AND(AA$9&gt;=14/24,AA$9&lt;20/24)</formula>
    </cfRule>
    <cfRule type="expression" dxfId="2876" priority="71">
      <formula>AA$9&lt;8/24</formula>
    </cfRule>
    <cfRule type="expression" dxfId="2875" priority="70">
      <formula>AND(AA$9&gt;=8/24,AA$9&lt;14/24)</formula>
    </cfRule>
  </conditionalFormatting>
  <conditionalFormatting sqref="AS16:AS21">
    <cfRule type="expression" dxfId="2874" priority="77">
      <formula>AND(BE$9&gt;=14/24,BE$9&lt;20/24)</formula>
    </cfRule>
    <cfRule type="expression" dxfId="2873" priority="79">
      <formula>BE$9&lt;8/24</formula>
    </cfRule>
    <cfRule type="expression" dxfId="2872" priority="78">
      <formula>AND(BE$9&gt;=8/24,BE$9&lt;14/24)</formula>
    </cfRule>
    <cfRule type="expression" dxfId="2871" priority="76">
      <formula>BE$9&gt;=20/24</formula>
    </cfRule>
  </conditionalFormatting>
  <conditionalFormatting sqref="AT15 AX15:BD15">
    <cfRule type="expression" dxfId="2870" priority="83">
      <formula>AC$9&lt;8/24</formula>
    </cfRule>
    <cfRule type="expression" dxfId="2869" priority="82">
      <formula>AND(AC$9&gt;=8/24,AC$9&lt;14/24)</formula>
    </cfRule>
    <cfRule type="expression" dxfId="2868" priority="81">
      <formula>AND(AC$9&gt;=14/24,AC$9&lt;20/24)</formula>
    </cfRule>
    <cfRule type="expression" dxfId="2867" priority="80">
      <formula>AC$9&gt;=20/24</formula>
    </cfRule>
  </conditionalFormatting>
  <conditionalFormatting sqref="AT16:AT21">
    <cfRule type="expression" dxfId="2866" priority="86">
      <formula>AND(BG$9&gt;=8/24,BG$9&lt;14/24)</formula>
    </cfRule>
    <cfRule type="expression" dxfId="2865" priority="87">
      <formula>BG$9&lt;8/24</formula>
    </cfRule>
    <cfRule type="expression" dxfId="2864" priority="84">
      <formula>BG$9&gt;=20/24</formula>
    </cfRule>
    <cfRule type="expression" dxfId="2863" priority="85">
      <formula>AND(BG$9&gt;=14/24,BG$9&lt;20/24)</formula>
    </cfRule>
  </conditionalFormatting>
  <conditionalFormatting sqref="AU15:AV15 BE15">
    <cfRule type="expression" dxfId="2862" priority="88">
      <formula>AE$9&gt;=20/24</formula>
    </cfRule>
    <cfRule type="expression" dxfId="2861" priority="89">
      <formula>AND(AE$9&gt;=14/24,AE$9&lt;20/24)</formula>
    </cfRule>
    <cfRule type="expression" dxfId="2860" priority="90">
      <formula>AND(AE$9&gt;=8/24,AE$9&lt;14/24)</formula>
    </cfRule>
    <cfRule type="expression" dxfId="2859" priority="91">
      <formula>AE$9&lt;8/24</formula>
    </cfRule>
  </conditionalFormatting>
  <conditionalFormatting sqref="AU16:BD21">
    <cfRule type="expression" dxfId="2858" priority="93">
      <formula>AND(BI$9&gt;=14/24,BI$9&lt;20/24)</formula>
    </cfRule>
    <cfRule type="expression" dxfId="2857" priority="94">
      <formula>AND(BI$9&gt;=8/24,BI$9&lt;14/24)</formula>
    </cfRule>
    <cfRule type="expression" dxfId="2856" priority="95">
      <formula>BI$9&lt;8/24</formula>
    </cfRule>
    <cfRule type="expression" dxfId="2855" priority="92">
      <formula>BI$9&gt;=20/24</formula>
    </cfRule>
  </conditionalFormatting>
  <conditionalFormatting sqref="AW15">
    <cfRule type="expression" dxfId="2854" priority="64">
      <formula>B$9&gt;=20/24</formula>
    </cfRule>
    <cfRule type="expression" dxfId="2853" priority="67">
      <formula>B$9&lt;8/24</formula>
    </cfRule>
    <cfRule type="expression" dxfId="2852" priority="66">
      <formula>AND(B$9&gt;=8/24,B$9&lt;14/24)</formula>
    </cfRule>
    <cfRule type="expression" dxfId="2851" priority="65">
      <formula>AND(B$9&gt;=14/24,B$9&lt;20/24)</formula>
    </cfRule>
  </conditionalFormatting>
  <conditionalFormatting sqref="BE16:BE21">
    <cfRule type="expression" dxfId="2850" priority="96">
      <formula>BT$9&gt;=20/24</formula>
    </cfRule>
    <cfRule type="expression" dxfId="2849" priority="97">
      <formula>AND(BT$9&gt;=14/24,BT$9&lt;20/24)</formula>
    </cfRule>
    <cfRule type="expression" dxfId="2848" priority="98">
      <formula>AND(BT$9&gt;=8/24,BT$9&lt;14/24)</formula>
    </cfRule>
    <cfRule type="expression" dxfId="2847" priority="99">
      <formula>BT$9&lt;8/24</formula>
    </cfRule>
  </conditionalFormatting>
  <conditionalFormatting sqref="BF15">
    <cfRule type="expression" dxfId="2846" priority="100">
      <formula>AQ$9&gt;=20/24</formula>
    </cfRule>
    <cfRule type="expression" dxfId="2845" priority="102">
      <formula>AND(AQ$9&gt;=8/24,AQ$9&lt;14/24)</formula>
    </cfRule>
    <cfRule type="expression" dxfId="2844" priority="103">
      <formula>AQ$9&lt;8/24</formula>
    </cfRule>
    <cfRule type="expression" dxfId="2843" priority="101">
      <formula>AND(AQ$9&gt;=14/24,AQ$9&lt;20/24)</formula>
    </cfRule>
  </conditionalFormatting>
  <conditionalFormatting sqref="BF16:BF21">
    <cfRule type="expression" dxfId="2842" priority="104">
      <formula>BV$9&gt;=20/24</formula>
    </cfRule>
    <cfRule type="expression" dxfId="2841" priority="105">
      <formula>AND(BV$9&gt;=14/24,BV$9&lt;20/24)</formula>
    </cfRule>
    <cfRule type="expression" dxfId="2840" priority="106">
      <formula>AND(BV$9&gt;=8/24,BV$9&lt;14/24)</formula>
    </cfRule>
    <cfRule type="expression" dxfId="2839" priority="107">
      <formula>BV$9&lt;8/24</formula>
    </cfRule>
  </conditionalFormatting>
  <conditionalFormatting sqref="BG15">
    <cfRule type="expression" dxfId="2838" priority="108">
      <formula>AS$9&gt;=20/24</formula>
    </cfRule>
    <cfRule type="expression" dxfId="2837" priority="109">
      <formula>AND(AS$9&gt;=14/24,AS$9&lt;20/24)</formula>
    </cfRule>
    <cfRule type="expression" dxfId="2836" priority="110">
      <formula>AND(AS$9&gt;=8/24,AS$9&lt;14/24)</formula>
    </cfRule>
    <cfRule type="expression" dxfId="2835" priority="111">
      <formula>AS$9&lt;8/24</formula>
    </cfRule>
  </conditionalFormatting>
  <conditionalFormatting sqref="BG16:BG21">
    <cfRule type="expression" dxfId="2834" priority="114">
      <formula>AND(BX$9&gt;=8/24,BX$9&lt;14/24)</formula>
    </cfRule>
    <cfRule type="expression" dxfId="2833" priority="113">
      <formula>AND(BX$9&gt;=14/24,BX$9&lt;20/24)</formula>
    </cfRule>
    <cfRule type="expression" dxfId="2832" priority="112">
      <formula>BX$9&gt;=20/24</formula>
    </cfRule>
    <cfRule type="expression" dxfId="2831" priority="115">
      <formula>BX$9&lt;8/24</formula>
    </cfRule>
  </conditionalFormatting>
  <conditionalFormatting sqref="BH15:BJ15">
    <cfRule type="expression" dxfId="2830" priority="116">
      <formula>AU$9&gt;=20/24</formula>
    </cfRule>
    <cfRule type="expression" dxfId="2829" priority="117">
      <formula>AND(AU$9&gt;=14/24,AU$9&lt;20/24)</formula>
    </cfRule>
    <cfRule type="expression" dxfId="2828" priority="118">
      <formula>AND(AU$9&gt;=8/24,AU$9&lt;14/24)</formula>
    </cfRule>
    <cfRule type="expression" dxfId="2827" priority="119">
      <formula>AU$9&lt;8/24</formula>
    </cfRule>
  </conditionalFormatting>
  <conditionalFormatting sqref="BH16:BJ21">
    <cfRule type="expression" dxfId="2826" priority="123">
      <formula>BZ$9&lt;8/24</formula>
    </cfRule>
    <cfRule type="expression" dxfId="2825" priority="122">
      <formula>AND(BZ$9&gt;=8/24,BZ$9&lt;14/24)</formula>
    </cfRule>
    <cfRule type="expression" dxfId="2824" priority="120">
      <formula>BZ$9&gt;=20/24</formula>
    </cfRule>
    <cfRule type="expression" dxfId="2823" priority="121">
      <formula>AND(BZ$9&gt;=14/24,BZ$9&lt;20/24)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9728-97E0-464E-8F0B-2B27E0D1296A}">
  <dimension ref="A1:CJ294"/>
  <sheetViews>
    <sheetView zoomScaleNormal="100" workbookViewId="0">
      <pane xSplit="1" ySplit="10" topLeftCell="B107" activePane="bottomRight" state="frozen"/>
      <selection activeCell="Z63" sqref="Z63"/>
      <selection pane="topRight" activeCell="Z63" sqref="Z63"/>
      <selection pane="bottomLeft" activeCell="Z63" sqref="Z63"/>
      <selection pane="bottomRight" activeCell="A126" sqref="A126:XFD12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2080/10/14</v>
      </c>
      <c r="C4" s="272"/>
      <c r="D4" s="272"/>
      <c r="E4" s="273" t="str">
        <f ca="1">"2080/"&amp;"10/"&amp;INT(MID(CELL("filename",G6),FIND("]",CELL("filename",G6))+1,200))</f>
        <v>2080/10/14</v>
      </c>
      <c r="F4" s="273"/>
      <c r="G4" s="273"/>
      <c r="H4" s="273" t="str">
        <f ca="1">TEXT(E4,"dddd")</f>
        <v>Monday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576</v>
      </c>
      <c r="C5" s="30">
        <f t="shared" si="0"/>
        <v>596</v>
      </c>
      <c r="D5" s="30">
        <f t="shared" si="0"/>
        <v>601</v>
      </c>
      <c r="E5" s="30">
        <f t="shared" si="0"/>
        <v>594</v>
      </c>
      <c r="F5" s="30">
        <f t="shared" si="0"/>
        <v>672.4</v>
      </c>
      <c r="G5" s="30">
        <f t="shared" si="0"/>
        <v>673</v>
      </c>
      <c r="H5" s="30">
        <f t="shared" si="0"/>
        <v>669</v>
      </c>
      <c r="I5" s="30">
        <f t="shared" si="0"/>
        <v>681.6</v>
      </c>
      <c r="J5" s="30">
        <f t="shared" si="0"/>
        <v>611.6</v>
      </c>
      <c r="K5" s="30">
        <f t="shared" si="0"/>
        <v>360.7</v>
      </c>
      <c r="L5" s="30">
        <f t="shared" si="0"/>
        <v>243.2</v>
      </c>
      <c r="M5" s="30">
        <f t="shared" si="0"/>
        <v>449</v>
      </c>
      <c r="N5" s="30">
        <f t="shared" si="0"/>
        <v>552</v>
      </c>
      <c r="O5" s="30">
        <f t="shared" si="0"/>
        <v>616</v>
      </c>
      <c r="P5" s="30">
        <f t="shared" si="0"/>
        <v>675.5</v>
      </c>
      <c r="Q5" s="30">
        <f t="shared" si="0"/>
        <v>702.8</v>
      </c>
      <c r="R5" s="30">
        <f t="shared" si="0"/>
        <v>636.79999999999995</v>
      </c>
      <c r="S5" s="30">
        <f t="shared" si="0"/>
        <v>719.19999999999993</v>
      </c>
      <c r="T5" s="30">
        <f t="shared" si="0"/>
        <v>740.9</v>
      </c>
      <c r="U5" s="30">
        <f t="shared" si="0"/>
        <v>587.50000000000011</v>
      </c>
      <c r="V5" s="30">
        <f t="shared" si="0"/>
        <v>607.6</v>
      </c>
      <c r="W5" s="30">
        <f t="shared" si="0"/>
        <v>627.1</v>
      </c>
      <c r="X5" s="30">
        <f t="shared" si="0"/>
        <v>454.39999999999992</v>
      </c>
      <c r="Y5" s="30">
        <f t="shared" si="0"/>
        <v>326</v>
      </c>
      <c r="Z5" s="30">
        <f t="shared" si="0"/>
        <v>326.39999999999998</v>
      </c>
      <c r="AA5" s="30">
        <f t="shared" si="0"/>
        <v>457.1</v>
      </c>
      <c r="AB5" s="30">
        <f t="shared" si="0"/>
        <v>601.4</v>
      </c>
      <c r="AC5" s="30">
        <f t="shared" si="0"/>
        <v>674.3</v>
      </c>
      <c r="AD5" s="30">
        <f t="shared" si="0"/>
        <v>697.7</v>
      </c>
      <c r="AE5" s="30">
        <f t="shared" si="0"/>
        <v>632.9</v>
      </c>
      <c r="AF5" s="30">
        <f>B92</f>
        <v>611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1714MW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Load=1186</v>
      </c>
      <c r="B7" s="35">
        <f>B100</f>
        <v>1221.0900000000001</v>
      </c>
      <c r="C7" s="35">
        <f t="shared" ref="C7:AF7" si="1">C100</f>
        <v>1186.0900000000001</v>
      </c>
      <c r="D7" s="35">
        <f t="shared" si="1"/>
        <v>1206.0900000000001</v>
      </c>
      <c r="E7" s="35">
        <f t="shared" si="1"/>
        <v>1211.0900000000001</v>
      </c>
      <c r="F7" s="35">
        <f t="shared" si="1"/>
        <v>1214.0900000000001</v>
      </c>
      <c r="G7" s="35">
        <f t="shared" si="1"/>
        <v>1292.49</v>
      </c>
      <c r="H7" s="35">
        <f t="shared" si="1"/>
        <v>1303.0900000000001</v>
      </c>
      <c r="I7" s="35">
        <f t="shared" si="1"/>
        <v>1289.0900000000001</v>
      </c>
      <c r="J7" s="35">
        <f t="shared" si="1"/>
        <v>1498.0900000000001</v>
      </c>
      <c r="K7" s="35">
        <f t="shared" si="1"/>
        <v>1607.29</v>
      </c>
      <c r="L7" s="35">
        <f t="shared" si="1"/>
        <v>1714.2900000000002</v>
      </c>
      <c r="M7" s="35">
        <f t="shared" si="1"/>
        <v>1649.29</v>
      </c>
      <c r="N7" s="35">
        <f t="shared" si="1"/>
        <v>1554.39</v>
      </c>
      <c r="O7" s="35">
        <f t="shared" si="1"/>
        <v>1574.5900000000001</v>
      </c>
      <c r="P7" s="35">
        <f t="shared" si="1"/>
        <v>1530.4900000000002</v>
      </c>
      <c r="Q7" s="35">
        <f t="shared" si="1"/>
        <v>1547.69</v>
      </c>
      <c r="R7" s="35">
        <f t="shared" si="1"/>
        <v>1556.89</v>
      </c>
      <c r="S7" s="35">
        <f t="shared" si="1"/>
        <v>1468.69</v>
      </c>
      <c r="T7" s="35">
        <f t="shared" si="1"/>
        <v>1509.3899999999999</v>
      </c>
      <c r="U7" s="35">
        <f t="shared" si="1"/>
        <v>1522.9900000000002</v>
      </c>
      <c r="V7" s="35">
        <f t="shared" si="1"/>
        <v>1486.5900000000001</v>
      </c>
      <c r="W7" s="35">
        <f t="shared" si="1"/>
        <v>1602.4900000000002</v>
      </c>
      <c r="X7" s="35">
        <f t="shared" si="1"/>
        <v>1688.0900000000001</v>
      </c>
      <c r="Y7" s="35">
        <f t="shared" si="1"/>
        <v>1844.99</v>
      </c>
      <c r="Z7" s="35">
        <f t="shared" si="1"/>
        <v>1826.5900000000001</v>
      </c>
      <c r="AA7" s="35">
        <f t="shared" si="1"/>
        <v>1772.5900000000001</v>
      </c>
      <c r="AB7" s="35">
        <f t="shared" si="1"/>
        <v>1620.19</v>
      </c>
      <c r="AC7" s="35">
        <f t="shared" si="1"/>
        <v>1579.8899999999999</v>
      </c>
      <c r="AD7" s="35">
        <f t="shared" si="1"/>
        <v>1592.99</v>
      </c>
      <c r="AE7" s="35">
        <f t="shared" si="1"/>
        <v>1393.2900000000002</v>
      </c>
      <c r="AF7" s="35">
        <f t="shared" si="1"/>
        <v>1280.79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30" t="str">
        <f>"DAILY SYSTEM PEAK : "&amp;MAX(AM22:BJ22)&amp;" MW"</f>
        <v>DAILY SYSTEM PEAK : 1826.59 MW</v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30" t="str">
        <f>"DAILY NATIONAL PEAK : "&amp;MAX(AM24:BJ24)&amp;" MW"</f>
        <v>DAILY NATIONAL PEAK : 1826.59 MW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</v>
      </c>
      <c r="C11" s="45">
        <v>27</v>
      </c>
      <c r="D11" s="45">
        <v>27</v>
      </c>
      <c r="E11" s="45">
        <v>27</v>
      </c>
      <c r="F11" s="45">
        <v>27</v>
      </c>
      <c r="G11" s="45">
        <v>27</v>
      </c>
      <c r="H11" s="45">
        <v>27</v>
      </c>
      <c r="I11" s="45">
        <v>27</v>
      </c>
      <c r="J11" s="45">
        <v>27</v>
      </c>
      <c r="K11" s="45">
        <v>27</v>
      </c>
      <c r="L11" s="45">
        <v>27</v>
      </c>
      <c r="M11" s="45">
        <v>27</v>
      </c>
      <c r="N11" s="45">
        <v>27</v>
      </c>
      <c r="O11" s="45">
        <v>27</v>
      </c>
      <c r="P11" s="45">
        <v>27</v>
      </c>
      <c r="Q11" s="45">
        <v>27</v>
      </c>
      <c r="R11" s="45">
        <v>27</v>
      </c>
      <c r="S11" s="45">
        <v>27</v>
      </c>
      <c r="T11" s="45">
        <v>27</v>
      </c>
      <c r="U11" s="45">
        <v>27</v>
      </c>
      <c r="V11" s="45">
        <v>27</v>
      </c>
      <c r="W11" s="45">
        <v>27</v>
      </c>
      <c r="X11" s="45">
        <v>27</v>
      </c>
      <c r="Y11" s="45">
        <v>27</v>
      </c>
      <c r="Z11" s="45">
        <v>27</v>
      </c>
      <c r="AA11" s="45">
        <v>27</v>
      </c>
      <c r="AB11" s="45">
        <v>30.2</v>
      </c>
      <c r="AC11" s="45">
        <v>30.2</v>
      </c>
      <c r="AD11" s="45">
        <v>30.2</v>
      </c>
      <c r="AE11" s="45">
        <v>30.2</v>
      </c>
      <c r="AF11" s="45">
        <v>30.2</v>
      </c>
      <c r="AG11" s="46">
        <v>86</v>
      </c>
      <c r="AH11" s="47">
        <f t="shared" ref="AH11:AH84" si="2">MAX(B11:AF11)</f>
        <v>30.2</v>
      </c>
      <c r="AI11" s="48">
        <f t="shared" ref="AI11:AI84" si="3">MIN(B11:AF11)</f>
        <v>27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14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</v>
      </c>
      <c r="L13" s="45">
        <v>10</v>
      </c>
      <c r="M13" s="45">
        <v>10</v>
      </c>
      <c r="N13" s="45">
        <v>10</v>
      </c>
      <c r="O13" s="45">
        <v>10</v>
      </c>
      <c r="P13" s="45">
        <v>10</v>
      </c>
      <c r="Q13" s="45">
        <v>10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2080/10/14)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15.2</v>
      </c>
      <c r="C14" s="45">
        <v>15.2</v>
      </c>
      <c r="D14" s="45">
        <v>15.2</v>
      </c>
      <c r="E14" s="45">
        <v>15.2</v>
      </c>
      <c r="F14" s="45">
        <v>15.2</v>
      </c>
      <c r="G14" s="45">
        <v>15.2</v>
      </c>
      <c r="H14" s="45">
        <v>15.2</v>
      </c>
      <c r="I14" s="45">
        <v>15.2</v>
      </c>
      <c r="J14" s="45">
        <v>15.2</v>
      </c>
      <c r="K14" s="45">
        <v>15.2</v>
      </c>
      <c r="L14" s="45">
        <v>15.2</v>
      </c>
      <c r="M14" s="45">
        <v>15.2</v>
      </c>
      <c r="N14" s="45">
        <v>15.2</v>
      </c>
      <c r="O14" s="45">
        <v>15.2</v>
      </c>
      <c r="P14" s="45">
        <v>15.2</v>
      </c>
      <c r="Q14" s="45">
        <v>15.2</v>
      </c>
      <c r="R14" s="45">
        <v>15.2</v>
      </c>
      <c r="S14" s="45">
        <v>15.2</v>
      </c>
      <c r="T14" s="45">
        <v>15.2</v>
      </c>
      <c r="U14" s="45">
        <v>15.2</v>
      </c>
      <c r="V14" s="45">
        <v>15.2</v>
      </c>
      <c r="W14" s="45">
        <v>15.2</v>
      </c>
      <c r="X14" s="45">
        <v>15.2</v>
      </c>
      <c r="Y14" s="45">
        <v>15.2</v>
      </c>
      <c r="Z14" s="45">
        <v>15.2</v>
      </c>
      <c r="AA14" s="45">
        <v>15.2</v>
      </c>
      <c r="AB14" s="45">
        <v>15.2</v>
      </c>
      <c r="AC14" s="45">
        <v>15.2</v>
      </c>
      <c r="AD14" s="45">
        <v>15.2</v>
      </c>
      <c r="AE14" s="45">
        <v>15.2</v>
      </c>
      <c r="AF14" s="45">
        <v>15.2</v>
      </c>
      <c r="AG14" s="46">
        <v>52.4</v>
      </c>
      <c r="AH14" s="47">
        <f t="shared" si="2"/>
        <v>15.2</v>
      </c>
      <c r="AI14" s="48">
        <f t="shared" si="3"/>
        <v>15.2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28.6</v>
      </c>
      <c r="C15" s="45">
        <v>28.6</v>
      </c>
      <c r="D15" s="45">
        <v>28.6</v>
      </c>
      <c r="E15" s="45">
        <v>28.6</v>
      </c>
      <c r="F15" s="45">
        <v>28.6</v>
      </c>
      <c r="G15" s="45">
        <v>28.6</v>
      </c>
      <c r="H15" s="45">
        <v>28.6</v>
      </c>
      <c r="I15" s="45">
        <v>28.6</v>
      </c>
      <c r="J15" s="45">
        <v>28.6</v>
      </c>
      <c r="K15" s="45">
        <v>28.6</v>
      </c>
      <c r="L15" s="45">
        <v>28.6</v>
      </c>
      <c r="M15" s="45">
        <v>28.6</v>
      </c>
      <c r="N15" s="45">
        <v>28.6</v>
      </c>
      <c r="O15" s="45">
        <v>28.6</v>
      </c>
      <c r="P15" s="45">
        <v>28.6</v>
      </c>
      <c r="Q15" s="45">
        <v>28.6</v>
      </c>
      <c r="R15" s="45">
        <v>28.6</v>
      </c>
      <c r="S15" s="45">
        <v>28.6</v>
      </c>
      <c r="T15" s="45">
        <v>28.6</v>
      </c>
      <c r="U15" s="45">
        <v>28.6</v>
      </c>
      <c r="V15" s="45">
        <v>28.6</v>
      </c>
      <c r="W15" s="45">
        <v>28.6</v>
      </c>
      <c r="X15" s="45">
        <v>28.6</v>
      </c>
      <c r="Y15" s="45">
        <v>28.6</v>
      </c>
      <c r="Z15" s="45">
        <v>28.6</v>
      </c>
      <c r="AA15" s="45">
        <v>28.6</v>
      </c>
      <c r="AB15" s="45">
        <v>28.6</v>
      </c>
      <c r="AC15" s="45">
        <v>28.6</v>
      </c>
      <c r="AD15" s="45">
        <v>28.6</v>
      </c>
      <c r="AE15" s="45">
        <v>28.6</v>
      </c>
      <c r="AF15" s="45">
        <v>28.6</v>
      </c>
      <c r="AG15" s="49">
        <v>50</v>
      </c>
      <c r="AH15" s="47">
        <f t="shared" si="2"/>
        <v>28.6</v>
      </c>
      <c r="AI15" s="48">
        <f t="shared" si="3"/>
        <v>28.6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15.8</v>
      </c>
      <c r="D16" s="45">
        <v>15.8</v>
      </c>
      <c r="E16" s="45">
        <v>15.8</v>
      </c>
      <c r="F16" s="45">
        <v>15.8</v>
      </c>
      <c r="G16" s="45">
        <v>15.8</v>
      </c>
      <c r="H16" s="45">
        <v>15.8</v>
      </c>
      <c r="I16" s="45">
        <v>15.8</v>
      </c>
      <c r="J16" s="45">
        <v>15.8</v>
      </c>
      <c r="K16" s="45">
        <v>15.8</v>
      </c>
      <c r="L16" s="45">
        <v>15.8</v>
      </c>
      <c r="M16" s="45">
        <v>15.8</v>
      </c>
      <c r="N16" s="45">
        <v>15.8</v>
      </c>
      <c r="O16" s="45">
        <v>15.8</v>
      </c>
      <c r="P16" s="45">
        <v>15.8</v>
      </c>
      <c r="Q16" s="45">
        <v>15.8</v>
      </c>
      <c r="R16" s="45">
        <v>15.8</v>
      </c>
      <c r="S16" s="45">
        <v>15.8</v>
      </c>
      <c r="T16" s="45">
        <v>15.8</v>
      </c>
      <c r="U16" s="45">
        <v>15.8</v>
      </c>
      <c r="V16" s="45">
        <v>15.8</v>
      </c>
      <c r="W16" s="45">
        <v>15.8</v>
      </c>
      <c r="X16" s="45">
        <v>15.8</v>
      </c>
      <c r="Y16" s="45">
        <v>15.8</v>
      </c>
      <c r="Z16" s="45">
        <v>15.8</v>
      </c>
      <c r="AA16" s="45">
        <v>15.8</v>
      </c>
      <c r="AB16" s="45">
        <v>15.8</v>
      </c>
      <c r="AC16" s="45">
        <v>15.8</v>
      </c>
      <c r="AD16" s="45">
        <v>15.8</v>
      </c>
      <c r="AE16" s="45">
        <v>15.8</v>
      </c>
      <c r="AF16" s="45">
        <v>15.8</v>
      </c>
      <c r="AG16" s="49">
        <v>45</v>
      </c>
      <c r="AH16" s="47">
        <f t="shared" si="2"/>
        <v>15.8</v>
      </c>
      <c r="AI16" s="48">
        <f t="shared" si="3"/>
        <v>15.8</v>
      </c>
      <c r="AK16" s="50"/>
      <c r="AL16" s="160" t="s">
        <v>7</v>
      </c>
      <c r="AM16" s="227">
        <f t="shared" ref="AM16:AR16" si="4">B58</f>
        <v>477.85000000000008</v>
      </c>
      <c r="AN16" s="227">
        <f t="shared" si="4"/>
        <v>477.85000000000008</v>
      </c>
      <c r="AO16" s="227">
        <f t="shared" si="4"/>
        <v>477.85000000000008</v>
      </c>
      <c r="AP16" s="227">
        <f t="shared" si="4"/>
        <v>477.85000000000008</v>
      </c>
      <c r="AQ16" s="227">
        <f t="shared" si="4"/>
        <v>477.85000000000008</v>
      </c>
      <c r="AR16" s="227">
        <f t="shared" si="4"/>
        <v>477.85000000000008</v>
      </c>
      <c r="AS16" s="227">
        <f>I58</f>
        <v>477.85000000000008</v>
      </c>
      <c r="AT16" s="227">
        <f>K58</f>
        <v>477.85000000000008</v>
      </c>
      <c r="AU16" s="227">
        <f t="shared" ref="AU16:BD16" si="5">M58</f>
        <v>477.85000000000008</v>
      </c>
      <c r="AV16" s="227">
        <f t="shared" si="5"/>
        <v>477.85000000000008</v>
      </c>
      <c r="AW16" s="227">
        <f t="shared" si="5"/>
        <v>477.85000000000008</v>
      </c>
      <c r="AX16" s="227">
        <f t="shared" si="5"/>
        <v>477.85000000000008</v>
      </c>
      <c r="AY16" s="227">
        <f t="shared" si="5"/>
        <v>477.85000000000008</v>
      </c>
      <c r="AZ16" s="227">
        <f t="shared" si="5"/>
        <v>477.85000000000008</v>
      </c>
      <c r="BA16" s="227">
        <f t="shared" si="5"/>
        <v>477.85000000000008</v>
      </c>
      <c r="BB16" s="227">
        <f t="shared" si="5"/>
        <v>477.85000000000008</v>
      </c>
      <c r="BC16" s="227">
        <f t="shared" si="5"/>
        <v>477.85000000000008</v>
      </c>
      <c r="BD16" s="227">
        <f t="shared" si="5"/>
        <v>477.85000000000008</v>
      </c>
      <c r="BE16" s="227">
        <f>X58</f>
        <v>477.85000000000008</v>
      </c>
      <c r="BF16" s="227">
        <f>Z58</f>
        <v>477.85000000000008</v>
      </c>
      <c r="BG16" s="227">
        <f>AB58</f>
        <v>478.55000000000007</v>
      </c>
      <c r="BH16" s="227">
        <f>AD58</f>
        <v>478.55000000000007</v>
      </c>
      <c r="BI16" s="227">
        <f>AE58</f>
        <v>478.55000000000007</v>
      </c>
      <c r="BJ16" s="227">
        <f>AF58</f>
        <v>478.55000000000007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 t="shared" ref="AM17:AR17" si="6">B62</f>
        <v>35.1</v>
      </c>
      <c r="AN17" s="227">
        <f t="shared" si="6"/>
        <v>35.1</v>
      </c>
      <c r="AO17" s="227">
        <f t="shared" si="6"/>
        <v>35.1</v>
      </c>
      <c r="AP17" s="227">
        <f t="shared" si="6"/>
        <v>35.1</v>
      </c>
      <c r="AQ17" s="227">
        <f t="shared" si="6"/>
        <v>35.1</v>
      </c>
      <c r="AR17" s="227">
        <f t="shared" si="6"/>
        <v>35.1</v>
      </c>
      <c r="AS17" s="227">
        <f>I62</f>
        <v>35.1</v>
      </c>
      <c r="AT17" s="227">
        <f>K62</f>
        <v>95.1</v>
      </c>
      <c r="AU17" s="227">
        <f t="shared" ref="AU17:BD17" si="7">M62</f>
        <v>339.9</v>
      </c>
      <c r="AV17" s="227">
        <f t="shared" si="7"/>
        <v>85.9</v>
      </c>
      <c r="AW17" s="227">
        <f t="shared" si="7"/>
        <v>70.900000000000006</v>
      </c>
      <c r="AX17" s="227">
        <f t="shared" si="7"/>
        <v>60.9</v>
      </c>
      <c r="AY17" s="227">
        <f t="shared" si="7"/>
        <v>135.9</v>
      </c>
      <c r="AZ17" s="227">
        <f t="shared" si="7"/>
        <v>115.8</v>
      </c>
      <c r="BA17" s="227">
        <f t="shared" si="7"/>
        <v>115.8</v>
      </c>
      <c r="BB17" s="227">
        <f t="shared" si="7"/>
        <v>75.8</v>
      </c>
      <c r="BC17" s="227">
        <f t="shared" si="7"/>
        <v>75.8</v>
      </c>
      <c r="BD17" s="227">
        <f t="shared" si="7"/>
        <v>65.8</v>
      </c>
      <c r="BE17" s="227">
        <f>X62</f>
        <v>65.8</v>
      </c>
      <c r="BF17" s="227">
        <f>Z62</f>
        <v>421.1</v>
      </c>
      <c r="BG17" s="227">
        <f>AB62</f>
        <v>231.1</v>
      </c>
      <c r="BH17" s="227">
        <f>AD62</f>
        <v>111.2</v>
      </c>
      <c r="BI17" s="227">
        <f>AE62</f>
        <v>75.2</v>
      </c>
      <c r="BJ17" s="227">
        <f>AF62</f>
        <v>65.2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si="2"/>
        <v>7.5</v>
      </c>
      <c r="AI18" s="48">
        <f t="shared" si="3"/>
        <v>7.5</v>
      </c>
      <c r="AK18" s="50"/>
      <c r="AL18" s="160" t="s">
        <v>593</v>
      </c>
      <c r="AM18" s="227">
        <f t="shared" ref="AM18:AR18" si="8">B76</f>
        <v>97.140000000000015</v>
      </c>
      <c r="AN18" s="227">
        <f t="shared" si="8"/>
        <v>97.140000000000015</v>
      </c>
      <c r="AO18" s="227">
        <f t="shared" si="8"/>
        <v>97.140000000000015</v>
      </c>
      <c r="AP18" s="227">
        <f t="shared" si="8"/>
        <v>97.140000000000015</v>
      </c>
      <c r="AQ18" s="227">
        <f t="shared" si="8"/>
        <v>107.14000000000001</v>
      </c>
      <c r="AR18" s="227">
        <f t="shared" si="8"/>
        <v>107.14000000000001</v>
      </c>
      <c r="AS18" s="227">
        <f>I76</f>
        <v>107.14000000000001</v>
      </c>
      <c r="AT18" s="227">
        <f>K76</f>
        <v>272.74</v>
      </c>
      <c r="AU18" s="227">
        <f t="shared" ref="AU18:BD18" si="9">M76</f>
        <v>308.33999999999997</v>
      </c>
      <c r="AV18" s="227">
        <f t="shared" si="9"/>
        <v>261.64</v>
      </c>
      <c r="AW18" s="227">
        <f t="shared" si="9"/>
        <v>223.83999999999997</v>
      </c>
      <c r="AX18" s="227">
        <f t="shared" si="9"/>
        <v>225.73999999999998</v>
      </c>
      <c r="AY18" s="227">
        <f t="shared" si="9"/>
        <v>258.44</v>
      </c>
      <c r="AZ18" s="227">
        <f t="shared" si="9"/>
        <v>260.44</v>
      </c>
      <c r="BA18" s="227">
        <f t="shared" si="9"/>
        <v>238.23999999999998</v>
      </c>
      <c r="BB18" s="227">
        <f t="shared" si="9"/>
        <v>236.53999999999996</v>
      </c>
      <c r="BC18" s="227">
        <f t="shared" si="9"/>
        <v>228.44</v>
      </c>
      <c r="BD18" s="227">
        <f t="shared" si="9"/>
        <v>205.43999999999997</v>
      </c>
      <c r="BE18" s="227">
        <f>X76</f>
        <v>267.34000000000003</v>
      </c>
      <c r="BF18" s="227">
        <f>Z76</f>
        <v>351.64</v>
      </c>
      <c r="BG18" s="227">
        <f>AB76</f>
        <v>253.43999999999997</v>
      </c>
      <c r="BH18" s="227">
        <f>AD76</f>
        <v>208.93999999999997</v>
      </c>
      <c r="BI18" s="227">
        <f>AE76</f>
        <v>141.83999999999997</v>
      </c>
      <c r="BJ18" s="227">
        <f>AF76</f>
        <v>104.14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2"/>
        <v>11.8</v>
      </c>
      <c r="AI19" s="48">
        <f t="shared" si="3"/>
        <v>11.8</v>
      </c>
      <c r="AK19" s="50"/>
      <c r="AL19" s="160" t="s">
        <v>594</v>
      </c>
      <c r="AM19" s="227">
        <f t="shared" ref="AM19:AR19" si="10">B92</f>
        <v>611</v>
      </c>
      <c r="AN19" s="227">
        <f t="shared" si="10"/>
        <v>576</v>
      </c>
      <c r="AO19" s="227">
        <f t="shared" si="10"/>
        <v>596</v>
      </c>
      <c r="AP19" s="227">
        <f t="shared" si="10"/>
        <v>601</v>
      </c>
      <c r="AQ19" s="227">
        <f t="shared" si="10"/>
        <v>594</v>
      </c>
      <c r="AR19" s="227">
        <f t="shared" si="10"/>
        <v>672.4</v>
      </c>
      <c r="AS19" s="227">
        <f>I92</f>
        <v>669</v>
      </c>
      <c r="AT19" s="227">
        <f>K92</f>
        <v>611.6</v>
      </c>
      <c r="AU19" s="227">
        <f t="shared" ref="AU19:BD19" si="11">M92</f>
        <v>243.2</v>
      </c>
      <c r="AV19" s="227">
        <f t="shared" si="11"/>
        <v>449</v>
      </c>
      <c r="AW19" s="227">
        <f t="shared" si="11"/>
        <v>552</v>
      </c>
      <c r="AX19" s="227">
        <f t="shared" si="11"/>
        <v>616</v>
      </c>
      <c r="AY19" s="227">
        <f t="shared" si="11"/>
        <v>675.5</v>
      </c>
      <c r="AZ19" s="227">
        <f t="shared" si="11"/>
        <v>702.8</v>
      </c>
      <c r="BA19" s="227">
        <f t="shared" si="11"/>
        <v>636.79999999999995</v>
      </c>
      <c r="BB19" s="227">
        <f t="shared" si="11"/>
        <v>719.19999999999993</v>
      </c>
      <c r="BC19" s="227">
        <f t="shared" si="11"/>
        <v>740.9</v>
      </c>
      <c r="BD19" s="227">
        <f t="shared" si="11"/>
        <v>587.50000000000011</v>
      </c>
      <c r="BE19" s="227">
        <f>X92</f>
        <v>627.1</v>
      </c>
      <c r="BF19" s="227">
        <f>Z92</f>
        <v>326</v>
      </c>
      <c r="BG19" s="227">
        <f>AB92</f>
        <v>457.1</v>
      </c>
      <c r="BH19" s="227">
        <f>AD92</f>
        <v>674.3</v>
      </c>
      <c r="BI19" s="227">
        <f>AE92</f>
        <v>697.7</v>
      </c>
      <c r="BJ19" s="227">
        <f>AF92</f>
        <v>632.9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160" t="s">
        <v>595</v>
      </c>
      <c r="AM20" s="227">
        <f t="shared" ref="AM20:AR20" si="12">B80</f>
        <v>0</v>
      </c>
      <c r="AN20" s="227">
        <f t="shared" si="12"/>
        <v>0</v>
      </c>
      <c r="AO20" s="227">
        <f t="shared" si="12"/>
        <v>0</v>
      </c>
      <c r="AP20" s="227">
        <f t="shared" si="12"/>
        <v>0</v>
      </c>
      <c r="AQ20" s="227">
        <f t="shared" si="12"/>
        <v>0</v>
      </c>
      <c r="AR20" s="227">
        <f t="shared" si="12"/>
        <v>0</v>
      </c>
      <c r="AS20" s="227">
        <f>I80</f>
        <v>0</v>
      </c>
      <c r="AT20" s="227">
        <f>K80</f>
        <v>0</v>
      </c>
      <c r="AU20" s="227">
        <f t="shared" ref="AU20:BD20" si="13">M80</f>
        <v>0</v>
      </c>
      <c r="AV20" s="227">
        <f t="shared" si="13"/>
        <v>0</v>
      </c>
      <c r="AW20" s="227">
        <f t="shared" si="13"/>
        <v>0</v>
      </c>
      <c r="AX20" s="227">
        <f t="shared" si="13"/>
        <v>0</v>
      </c>
      <c r="AY20" s="227">
        <f t="shared" si="13"/>
        <v>0</v>
      </c>
      <c r="AZ20" s="227">
        <f t="shared" si="13"/>
        <v>0</v>
      </c>
      <c r="BA20" s="227">
        <f t="shared" si="13"/>
        <v>0</v>
      </c>
      <c r="BB20" s="227">
        <f t="shared" si="13"/>
        <v>0</v>
      </c>
      <c r="BC20" s="227">
        <f t="shared" si="13"/>
        <v>0</v>
      </c>
      <c r="BD20" s="227">
        <f t="shared" si="13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160" t="s">
        <v>596</v>
      </c>
      <c r="AM21" s="227">
        <f t="shared" ref="AM21:AR21" si="14">B98</f>
        <v>0</v>
      </c>
      <c r="AN21" s="227">
        <f t="shared" si="14"/>
        <v>0</v>
      </c>
      <c r="AO21" s="227">
        <f t="shared" si="14"/>
        <v>0</v>
      </c>
      <c r="AP21" s="227">
        <f t="shared" si="14"/>
        <v>0</v>
      </c>
      <c r="AQ21" s="227">
        <f t="shared" si="14"/>
        <v>0</v>
      </c>
      <c r="AR21" s="227">
        <f t="shared" si="14"/>
        <v>0</v>
      </c>
      <c r="AS21" s="227">
        <f>I98</f>
        <v>0</v>
      </c>
      <c r="AT21" s="227">
        <f>K98</f>
        <v>150</v>
      </c>
      <c r="AU21" s="227">
        <f t="shared" ref="AU21:BD21" si="15">M98</f>
        <v>280</v>
      </c>
      <c r="AV21" s="227">
        <f t="shared" si="15"/>
        <v>280</v>
      </c>
      <c r="AW21" s="227">
        <f t="shared" si="15"/>
        <v>250</v>
      </c>
      <c r="AX21" s="227">
        <f t="shared" si="15"/>
        <v>150</v>
      </c>
      <c r="AY21" s="227">
        <f t="shared" si="15"/>
        <v>0</v>
      </c>
      <c r="AZ21" s="227">
        <f t="shared" si="15"/>
        <v>0</v>
      </c>
      <c r="BA21" s="227">
        <f t="shared" si="15"/>
        <v>0</v>
      </c>
      <c r="BB21" s="227">
        <f t="shared" si="15"/>
        <v>0</v>
      </c>
      <c r="BC21" s="227">
        <f t="shared" si="15"/>
        <v>0</v>
      </c>
      <c r="BD21" s="227">
        <f t="shared" si="15"/>
        <v>150</v>
      </c>
      <c r="BE21" s="227">
        <f>X98</f>
        <v>250</v>
      </c>
      <c r="BF21" s="227">
        <f>Z98</f>
        <v>250</v>
      </c>
      <c r="BG21" s="227">
        <f>AB98</f>
        <v>200</v>
      </c>
      <c r="BH21" s="227">
        <f>AD98</f>
        <v>120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2"/>
        <v>7.8</v>
      </c>
      <c r="AI22" s="48">
        <f t="shared" si="3"/>
        <v>7.8</v>
      </c>
      <c r="AK22" s="50"/>
      <c r="AL22" s="229" t="s">
        <v>597</v>
      </c>
      <c r="AM22" s="228">
        <f>SUM(AM16:AM21)</f>
        <v>1221.0900000000001</v>
      </c>
      <c r="AN22" s="228">
        <f t="shared" ref="AN22:BJ22" si="16">SUM(AN16:AN21)</f>
        <v>1186.0900000000001</v>
      </c>
      <c r="AO22" s="228">
        <f t="shared" si="16"/>
        <v>1206.0900000000001</v>
      </c>
      <c r="AP22" s="228">
        <f t="shared" si="16"/>
        <v>1211.0900000000001</v>
      </c>
      <c r="AQ22" s="228">
        <f t="shared" si="16"/>
        <v>1214.0900000000001</v>
      </c>
      <c r="AR22" s="228">
        <f t="shared" si="16"/>
        <v>1292.49</v>
      </c>
      <c r="AS22" s="228">
        <f t="shared" si="16"/>
        <v>1289.0900000000001</v>
      </c>
      <c r="AT22" s="228">
        <f t="shared" si="16"/>
        <v>1607.29</v>
      </c>
      <c r="AU22" s="228">
        <f t="shared" si="16"/>
        <v>1649.29</v>
      </c>
      <c r="AV22" s="228">
        <f t="shared" si="16"/>
        <v>1554.39</v>
      </c>
      <c r="AW22" s="228">
        <f t="shared" si="16"/>
        <v>1574.5900000000001</v>
      </c>
      <c r="AX22" s="228">
        <f t="shared" si="16"/>
        <v>1530.4900000000002</v>
      </c>
      <c r="AY22" s="228">
        <f t="shared" si="16"/>
        <v>1547.69</v>
      </c>
      <c r="AZ22" s="228">
        <f t="shared" si="16"/>
        <v>1556.89</v>
      </c>
      <c r="BA22" s="228">
        <f t="shared" si="16"/>
        <v>1468.69</v>
      </c>
      <c r="BB22" s="228">
        <f t="shared" si="16"/>
        <v>1509.3899999999999</v>
      </c>
      <c r="BC22" s="228">
        <f t="shared" si="16"/>
        <v>1522.9900000000002</v>
      </c>
      <c r="BD22" s="228">
        <f t="shared" si="16"/>
        <v>1486.5900000000001</v>
      </c>
      <c r="BE22" s="228">
        <f t="shared" si="16"/>
        <v>1688.0900000000001</v>
      </c>
      <c r="BF22" s="228">
        <f t="shared" si="16"/>
        <v>1826.5900000000001</v>
      </c>
      <c r="BG22" s="228">
        <f t="shared" si="16"/>
        <v>1620.19</v>
      </c>
      <c r="BH22" s="228">
        <f t="shared" si="16"/>
        <v>1592.99</v>
      </c>
      <c r="BI22" s="228">
        <f t="shared" si="16"/>
        <v>1393.2900000000002</v>
      </c>
      <c r="BJ22" s="228">
        <f t="shared" si="16"/>
        <v>1280.79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6.2</v>
      </c>
      <c r="C23" s="45">
        <v>6.2</v>
      </c>
      <c r="D23" s="45">
        <v>6.2</v>
      </c>
      <c r="E23" s="45">
        <v>6.2</v>
      </c>
      <c r="F23" s="45">
        <v>6.2</v>
      </c>
      <c r="G23" s="45">
        <v>6.2</v>
      </c>
      <c r="H23" s="45">
        <v>6.2</v>
      </c>
      <c r="I23" s="45">
        <v>6.2</v>
      </c>
      <c r="J23" s="45">
        <v>6.2</v>
      </c>
      <c r="K23" s="45">
        <v>6.2</v>
      </c>
      <c r="L23" s="45">
        <v>6.2</v>
      </c>
      <c r="M23" s="45">
        <v>6.2</v>
      </c>
      <c r="N23" s="45">
        <v>6.2</v>
      </c>
      <c r="O23" s="45">
        <v>6.2</v>
      </c>
      <c r="P23" s="45">
        <v>6.2</v>
      </c>
      <c r="Q23" s="45">
        <v>6.2</v>
      </c>
      <c r="R23" s="45">
        <v>6.2</v>
      </c>
      <c r="S23" s="45">
        <v>6.2</v>
      </c>
      <c r="T23" s="45">
        <v>6.2</v>
      </c>
      <c r="U23" s="45">
        <v>6.2</v>
      </c>
      <c r="V23" s="45">
        <v>6.2</v>
      </c>
      <c r="W23" s="45">
        <v>6.2</v>
      </c>
      <c r="X23" s="45">
        <v>6.2</v>
      </c>
      <c r="Y23" s="45">
        <v>6.2</v>
      </c>
      <c r="Z23" s="45">
        <v>6.2</v>
      </c>
      <c r="AA23" s="45">
        <v>6.2</v>
      </c>
      <c r="AB23" s="45">
        <v>6.2</v>
      </c>
      <c r="AC23" s="45">
        <v>6.2</v>
      </c>
      <c r="AD23" s="45">
        <v>6.2</v>
      </c>
      <c r="AE23" s="45">
        <v>6.2</v>
      </c>
      <c r="AF23" s="45">
        <v>6.2</v>
      </c>
      <c r="AG23" s="49">
        <v>24.2</v>
      </c>
      <c r="AH23" s="47">
        <f t="shared" si="2"/>
        <v>6.2</v>
      </c>
      <c r="AI23" s="48">
        <f t="shared" si="3"/>
        <v>6.2</v>
      </c>
      <c r="AK23" s="50"/>
      <c r="AL23" s="229" t="s">
        <v>249</v>
      </c>
      <c r="AM23" s="228">
        <f t="shared" ref="AM23:AR23" si="17">B107*-1</f>
        <v>0</v>
      </c>
      <c r="AN23" s="228">
        <f t="shared" si="17"/>
        <v>0</v>
      </c>
      <c r="AO23" s="228">
        <f t="shared" si="17"/>
        <v>0</v>
      </c>
      <c r="AP23" s="228">
        <f t="shared" si="17"/>
        <v>0</v>
      </c>
      <c r="AQ23" s="228">
        <f t="shared" si="17"/>
        <v>0</v>
      </c>
      <c r="AR23" s="228">
        <f t="shared" si="17"/>
        <v>0</v>
      </c>
      <c r="AS23" s="228">
        <f>I107*-1</f>
        <v>0</v>
      </c>
      <c r="AT23" s="228">
        <f>K107*-1</f>
        <v>0</v>
      </c>
      <c r="AU23" s="228">
        <f t="shared" ref="AU23:BD23" si="18">M107*-1</f>
        <v>0</v>
      </c>
      <c r="AV23" s="228">
        <f t="shared" si="18"/>
        <v>0</v>
      </c>
      <c r="AW23" s="228">
        <f t="shared" si="18"/>
        <v>0</v>
      </c>
      <c r="AX23" s="228">
        <f t="shared" si="18"/>
        <v>0</v>
      </c>
      <c r="AY23" s="228">
        <f t="shared" si="18"/>
        <v>0</v>
      </c>
      <c r="AZ23" s="228">
        <f t="shared" si="18"/>
        <v>0</v>
      </c>
      <c r="BA23" s="228">
        <f t="shared" si="18"/>
        <v>0</v>
      </c>
      <c r="BB23" s="228">
        <f t="shared" si="18"/>
        <v>0</v>
      </c>
      <c r="BC23" s="228">
        <f t="shared" si="18"/>
        <v>0</v>
      </c>
      <c r="BD23" s="228">
        <f t="shared" si="18"/>
        <v>0</v>
      </c>
      <c r="BE23" s="228">
        <f>X107*-1</f>
        <v>0</v>
      </c>
      <c r="BF23" s="228">
        <f>Z107*-1</f>
        <v>0</v>
      </c>
      <c r="BG23" s="228">
        <f>AB107*-1</f>
        <v>0</v>
      </c>
      <c r="BH23" s="228">
        <f>AD107*-1</f>
        <v>0</v>
      </c>
      <c r="BI23" s="228">
        <f>AE107*-1</f>
        <v>0</v>
      </c>
      <c r="BJ23" s="228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>
        <v>7.3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49">
        <v>28</v>
      </c>
      <c r="AH24" s="47">
        <f t="shared" si="2"/>
        <v>7.3</v>
      </c>
      <c r="AI24" s="48">
        <f t="shared" si="3"/>
        <v>7.3</v>
      </c>
      <c r="AK24" s="50"/>
      <c r="AL24" s="229" t="s">
        <v>598</v>
      </c>
      <c r="AM24" s="228">
        <f>AM22+AM23</f>
        <v>1221.0900000000001</v>
      </c>
      <c r="AN24" s="228">
        <f t="shared" ref="AN24:BJ24" si="19">AN22+AN23</f>
        <v>1186.0900000000001</v>
      </c>
      <c r="AO24" s="228">
        <f t="shared" si="19"/>
        <v>1206.0900000000001</v>
      </c>
      <c r="AP24" s="228">
        <f t="shared" si="19"/>
        <v>1211.0900000000001</v>
      </c>
      <c r="AQ24" s="228">
        <f t="shared" si="19"/>
        <v>1214.0900000000001</v>
      </c>
      <c r="AR24" s="228">
        <f t="shared" si="19"/>
        <v>1292.49</v>
      </c>
      <c r="AS24" s="228">
        <f t="shared" si="19"/>
        <v>1289.0900000000001</v>
      </c>
      <c r="AT24" s="228">
        <f t="shared" si="19"/>
        <v>1607.29</v>
      </c>
      <c r="AU24" s="228">
        <f t="shared" si="19"/>
        <v>1649.29</v>
      </c>
      <c r="AV24" s="228">
        <f t="shared" si="19"/>
        <v>1554.39</v>
      </c>
      <c r="AW24" s="228">
        <f t="shared" si="19"/>
        <v>1574.5900000000001</v>
      </c>
      <c r="AX24" s="228">
        <f t="shared" si="19"/>
        <v>1530.4900000000002</v>
      </c>
      <c r="AY24" s="228">
        <f t="shared" si="19"/>
        <v>1547.69</v>
      </c>
      <c r="AZ24" s="228">
        <f t="shared" si="19"/>
        <v>1556.89</v>
      </c>
      <c r="BA24" s="228">
        <f t="shared" si="19"/>
        <v>1468.69</v>
      </c>
      <c r="BB24" s="228">
        <f t="shared" si="19"/>
        <v>1509.3899999999999</v>
      </c>
      <c r="BC24" s="228">
        <f t="shared" si="19"/>
        <v>1522.9900000000002</v>
      </c>
      <c r="BD24" s="228">
        <f t="shared" si="19"/>
        <v>1486.5900000000001</v>
      </c>
      <c r="BE24" s="228">
        <f t="shared" si="19"/>
        <v>1688.0900000000001</v>
      </c>
      <c r="BF24" s="228">
        <f t="shared" si="19"/>
        <v>1826.5900000000001</v>
      </c>
      <c r="BG24" s="228">
        <f t="shared" si="19"/>
        <v>1620.19</v>
      </c>
      <c r="BH24" s="228">
        <f t="shared" si="19"/>
        <v>1592.99</v>
      </c>
      <c r="BI24" s="228">
        <f t="shared" si="19"/>
        <v>1393.2900000000002</v>
      </c>
      <c r="BJ24" s="228">
        <f t="shared" si="19"/>
        <v>1280.79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5.3</v>
      </c>
      <c r="C25" s="45">
        <v>5.3</v>
      </c>
      <c r="D25" s="45">
        <v>5.3</v>
      </c>
      <c r="E25" s="45">
        <v>5.3</v>
      </c>
      <c r="F25" s="45">
        <v>5.3</v>
      </c>
      <c r="G25" s="45">
        <v>5.3</v>
      </c>
      <c r="H25" s="45">
        <v>5.3</v>
      </c>
      <c r="I25" s="45">
        <v>5.3</v>
      </c>
      <c r="J25" s="45">
        <v>5.3</v>
      </c>
      <c r="K25" s="45">
        <v>5.3</v>
      </c>
      <c r="L25" s="45">
        <v>5.3</v>
      </c>
      <c r="M25" s="45">
        <v>5.3</v>
      </c>
      <c r="N25" s="45">
        <v>5.3</v>
      </c>
      <c r="O25" s="45">
        <v>5.3</v>
      </c>
      <c r="P25" s="45">
        <v>5.3</v>
      </c>
      <c r="Q25" s="45">
        <v>5.3</v>
      </c>
      <c r="R25" s="45">
        <v>5.3</v>
      </c>
      <c r="S25" s="45">
        <v>5.3</v>
      </c>
      <c r="T25" s="45">
        <v>5.3</v>
      </c>
      <c r="U25" s="45">
        <v>5.3</v>
      </c>
      <c r="V25" s="45">
        <v>5.3</v>
      </c>
      <c r="W25" s="45">
        <v>5.3</v>
      </c>
      <c r="X25" s="45">
        <v>5.3</v>
      </c>
      <c r="Y25" s="45">
        <v>5.3</v>
      </c>
      <c r="Z25" s="45">
        <v>5.3</v>
      </c>
      <c r="AA25" s="45">
        <v>5.3</v>
      </c>
      <c r="AB25" s="45">
        <v>5.3</v>
      </c>
      <c r="AC25" s="45">
        <v>5.3</v>
      </c>
      <c r="AD25" s="45">
        <v>5.3</v>
      </c>
      <c r="AE25" s="45">
        <v>5.3</v>
      </c>
      <c r="AF25" s="45">
        <v>5.3</v>
      </c>
      <c r="AG25" s="52">
        <v>30</v>
      </c>
      <c r="AH25" s="47">
        <f t="shared" si="2"/>
        <v>5.3</v>
      </c>
      <c r="AI25" s="48">
        <f t="shared" si="3"/>
        <v>5.3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8.4</v>
      </c>
      <c r="C26" s="45">
        <v>8.4</v>
      </c>
      <c r="D26" s="45">
        <v>8.4</v>
      </c>
      <c r="E26" s="45">
        <v>8.4</v>
      </c>
      <c r="F26" s="45">
        <v>8.4</v>
      </c>
      <c r="G26" s="45">
        <v>8.4</v>
      </c>
      <c r="H26" s="45">
        <v>8.4</v>
      </c>
      <c r="I26" s="45">
        <v>8.4</v>
      </c>
      <c r="J26" s="45">
        <v>8.4</v>
      </c>
      <c r="K26" s="45">
        <v>8.4</v>
      </c>
      <c r="L26" s="45">
        <v>8.4</v>
      </c>
      <c r="M26" s="45">
        <v>8.4</v>
      </c>
      <c r="N26" s="45">
        <v>8.4</v>
      </c>
      <c r="O26" s="45">
        <v>8.4</v>
      </c>
      <c r="P26" s="45">
        <v>8.4</v>
      </c>
      <c r="Q26" s="45">
        <v>8.4</v>
      </c>
      <c r="R26" s="45">
        <v>8.4</v>
      </c>
      <c r="S26" s="45">
        <v>8.4</v>
      </c>
      <c r="T26" s="45">
        <v>8.4</v>
      </c>
      <c r="U26" s="45">
        <v>8.4</v>
      </c>
      <c r="V26" s="45">
        <v>8.4</v>
      </c>
      <c r="W26" s="45">
        <v>8.4</v>
      </c>
      <c r="X26" s="45">
        <v>8.4</v>
      </c>
      <c r="Y26" s="45">
        <v>8.4</v>
      </c>
      <c r="Z26" s="45">
        <v>8.4</v>
      </c>
      <c r="AA26" s="45">
        <v>8.4</v>
      </c>
      <c r="AB26" s="45">
        <v>8.4</v>
      </c>
      <c r="AC26" s="45">
        <v>8.4</v>
      </c>
      <c r="AD26" s="45">
        <v>8.4</v>
      </c>
      <c r="AE26" s="45">
        <v>8.4</v>
      </c>
      <c r="AF26" s="45">
        <v>8.4</v>
      </c>
      <c r="AG26" s="49">
        <v>25</v>
      </c>
      <c r="AH26" s="47">
        <f t="shared" si="2"/>
        <v>8.4</v>
      </c>
      <c r="AI26" s="48">
        <f t="shared" si="3"/>
        <v>8.4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6.9</v>
      </c>
      <c r="C29" s="45">
        <v>6.9</v>
      </c>
      <c r="D29" s="45">
        <v>6.9</v>
      </c>
      <c r="E29" s="45">
        <v>6.9</v>
      </c>
      <c r="F29" s="45">
        <v>6.9</v>
      </c>
      <c r="G29" s="45">
        <v>6.9</v>
      </c>
      <c r="H29" s="45">
        <v>6.9</v>
      </c>
      <c r="I29" s="45">
        <v>6.9</v>
      </c>
      <c r="J29" s="45">
        <v>6.9</v>
      </c>
      <c r="K29" s="45">
        <v>6.9</v>
      </c>
      <c r="L29" s="45">
        <v>6.9</v>
      </c>
      <c r="M29" s="45">
        <v>6.9</v>
      </c>
      <c r="N29" s="45">
        <v>6.9</v>
      </c>
      <c r="O29" s="45">
        <v>6.9</v>
      </c>
      <c r="P29" s="45">
        <v>6.9</v>
      </c>
      <c r="Q29" s="45">
        <v>6.9</v>
      </c>
      <c r="R29" s="45">
        <v>6.9</v>
      </c>
      <c r="S29" s="45">
        <v>6.9</v>
      </c>
      <c r="T29" s="45">
        <v>6.9</v>
      </c>
      <c r="U29" s="45">
        <v>6.9</v>
      </c>
      <c r="V29" s="45">
        <v>6.9</v>
      </c>
      <c r="W29" s="45">
        <v>6.9</v>
      </c>
      <c r="X29" s="45">
        <v>6.9</v>
      </c>
      <c r="Y29" s="45">
        <v>6.9</v>
      </c>
      <c r="Z29" s="45">
        <v>6.9</v>
      </c>
      <c r="AA29" s="45">
        <v>6.9</v>
      </c>
      <c r="AB29" s="45">
        <v>6.9</v>
      </c>
      <c r="AC29" s="45">
        <v>6.9</v>
      </c>
      <c r="AD29" s="45">
        <v>6.9</v>
      </c>
      <c r="AE29" s="45">
        <v>6.9</v>
      </c>
      <c r="AF29" s="45">
        <v>6.9</v>
      </c>
      <c r="AG29" s="49">
        <v>25</v>
      </c>
      <c r="AH29" s="47">
        <f t="shared" si="2"/>
        <v>6.9</v>
      </c>
      <c r="AI29" s="48">
        <f t="shared" si="3"/>
        <v>6.9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7.8</v>
      </c>
      <c r="C30" s="45">
        <v>7.8</v>
      </c>
      <c r="D30" s="45">
        <v>7.8</v>
      </c>
      <c r="E30" s="45">
        <v>7.8</v>
      </c>
      <c r="F30" s="45">
        <v>7.8</v>
      </c>
      <c r="G30" s="45">
        <v>7.8</v>
      </c>
      <c r="H30" s="45">
        <v>7.8</v>
      </c>
      <c r="I30" s="45">
        <v>7.8</v>
      </c>
      <c r="J30" s="45">
        <v>7.8</v>
      </c>
      <c r="K30" s="45">
        <v>7.8</v>
      </c>
      <c r="L30" s="45">
        <v>7.8</v>
      </c>
      <c r="M30" s="45">
        <v>7.8</v>
      </c>
      <c r="N30" s="45">
        <v>7.8</v>
      </c>
      <c r="O30" s="45">
        <v>7.8</v>
      </c>
      <c r="P30" s="45">
        <v>7.8</v>
      </c>
      <c r="Q30" s="45">
        <v>7.8</v>
      </c>
      <c r="R30" s="45">
        <v>7.8</v>
      </c>
      <c r="S30" s="45">
        <v>7.8</v>
      </c>
      <c r="T30" s="45">
        <v>7.8</v>
      </c>
      <c r="U30" s="45">
        <v>7.8</v>
      </c>
      <c r="V30" s="45">
        <v>7.8</v>
      </c>
      <c r="W30" s="45">
        <v>7.8</v>
      </c>
      <c r="X30" s="45">
        <v>7.8</v>
      </c>
      <c r="Y30" s="45">
        <v>7.8</v>
      </c>
      <c r="Z30" s="45">
        <v>7.8</v>
      </c>
      <c r="AA30" s="45">
        <v>7.8</v>
      </c>
      <c r="AB30" s="45">
        <v>7.8</v>
      </c>
      <c r="AC30" s="45">
        <v>7.8</v>
      </c>
      <c r="AD30" s="45">
        <v>7.8</v>
      </c>
      <c r="AE30" s="45">
        <v>7.8</v>
      </c>
      <c r="AF30" s="45">
        <v>7.8</v>
      </c>
      <c r="AG30" s="49">
        <v>23.5</v>
      </c>
      <c r="AH30" s="47">
        <f t="shared" si="2"/>
        <v>7.8</v>
      </c>
      <c r="AI30" s="48">
        <f t="shared" si="3"/>
        <v>7.8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2"/>
        <v>3</v>
      </c>
      <c r="AI31" s="48">
        <f t="shared" si="3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12.5</v>
      </c>
      <c r="C34" s="45">
        <v>12.5</v>
      </c>
      <c r="D34" s="45">
        <v>12.5</v>
      </c>
      <c r="E34" s="45">
        <v>12.5</v>
      </c>
      <c r="F34" s="45">
        <v>12.5</v>
      </c>
      <c r="G34" s="45">
        <v>12.5</v>
      </c>
      <c r="H34" s="45">
        <v>12.5</v>
      </c>
      <c r="I34" s="45">
        <v>12.5</v>
      </c>
      <c r="J34" s="45">
        <v>12.5</v>
      </c>
      <c r="K34" s="45">
        <v>12.5</v>
      </c>
      <c r="L34" s="45">
        <v>12.5</v>
      </c>
      <c r="M34" s="45">
        <v>12.5</v>
      </c>
      <c r="N34" s="45">
        <v>12.5</v>
      </c>
      <c r="O34" s="45">
        <v>12.5</v>
      </c>
      <c r="P34" s="45">
        <v>12.5</v>
      </c>
      <c r="Q34" s="45">
        <v>12.5</v>
      </c>
      <c r="R34" s="45">
        <v>12.5</v>
      </c>
      <c r="S34" s="45">
        <v>12.5</v>
      </c>
      <c r="T34" s="45">
        <v>12.5</v>
      </c>
      <c r="U34" s="45">
        <v>12.5</v>
      </c>
      <c r="V34" s="45">
        <v>12.5</v>
      </c>
      <c r="W34" s="45">
        <v>12.5</v>
      </c>
      <c r="X34" s="45">
        <v>12.5</v>
      </c>
      <c r="Y34" s="45">
        <v>12.5</v>
      </c>
      <c r="Z34" s="45">
        <v>12.5</v>
      </c>
      <c r="AA34" s="45">
        <v>12.5</v>
      </c>
      <c r="AB34" s="45">
        <v>12.5</v>
      </c>
      <c r="AC34" s="45">
        <v>12.5</v>
      </c>
      <c r="AD34" s="45">
        <v>12.5</v>
      </c>
      <c r="AE34" s="45">
        <v>12.5</v>
      </c>
      <c r="AF34" s="45">
        <v>12.5</v>
      </c>
      <c r="AG34" s="49">
        <v>22</v>
      </c>
      <c r="AH34" s="47">
        <f t="shared" si="2"/>
        <v>12.5</v>
      </c>
      <c r="AI34" s="48">
        <f t="shared" si="3"/>
        <v>12.5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6.5</v>
      </c>
      <c r="C35" s="45">
        <v>6.5</v>
      </c>
      <c r="D35" s="45">
        <v>6.5</v>
      </c>
      <c r="E35" s="45">
        <v>6.5</v>
      </c>
      <c r="F35" s="45">
        <v>6.5</v>
      </c>
      <c r="G35" s="45">
        <v>6.5</v>
      </c>
      <c r="H35" s="45">
        <v>6.5</v>
      </c>
      <c r="I35" s="45">
        <v>6.5</v>
      </c>
      <c r="J35" s="45">
        <v>6.5</v>
      </c>
      <c r="K35" s="45">
        <v>6.5</v>
      </c>
      <c r="L35" s="45">
        <v>6.5</v>
      </c>
      <c r="M35" s="45">
        <v>6.5</v>
      </c>
      <c r="N35" s="45">
        <v>6.5</v>
      </c>
      <c r="O35" s="45">
        <v>6.5</v>
      </c>
      <c r="P35" s="45">
        <v>6.5</v>
      </c>
      <c r="Q35" s="45">
        <v>6.5</v>
      </c>
      <c r="R35" s="45">
        <v>6.5</v>
      </c>
      <c r="S35" s="45">
        <v>6.5</v>
      </c>
      <c r="T35" s="45">
        <v>6.5</v>
      </c>
      <c r="U35" s="45">
        <v>6.5</v>
      </c>
      <c r="V35" s="45">
        <v>6.5</v>
      </c>
      <c r="W35" s="45">
        <v>6.5</v>
      </c>
      <c r="X35" s="45">
        <v>6.5</v>
      </c>
      <c r="Y35" s="45">
        <v>6.5</v>
      </c>
      <c r="Z35" s="45">
        <v>6.5</v>
      </c>
      <c r="AA35" s="45">
        <v>6.5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2"/>
        <v>6.5</v>
      </c>
      <c r="AI35" s="48">
        <f t="shared" si="3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18.2</v>
      </c>
      <c r="C57" s="57">
        <v>18.2</v>
      </c>
      <c r="D57" s="57">
        <v>18.2</v>
      </c>
      <c r="E57" s="57">
        <v>21.1</v>
      </c>
      <c r="F57" s="57">
        <v>21.6</v>
      </c>
      <c r="G57" s="57">
        <v>20.9</v>
      </c>
      <c r="H57" s="57">
        <v>20.9</v>
      </c>
      <c r="I57" s="57">
        <v>20.9</v>
      </c>
      <c r="J57" s="57">
        <v>21</v>
      </c>
      <c r="K57" s="57">
        <v>19.399999999999999</v>
      </c>
      <c r="L57" s="57">
        <v>19.399999999999999</v>
      </c>
      <c r="M57" s="51">
        <v>17.899999999999999</v>
      </c>
      <c r="N57" s="51">
        <v>17.899999999999999</v>
      </c>
      <c r="O57" s="51">
        <v>17.899999999999999</v>
      </c>
      <c r="P57" s="51">
        <v>17.899999999999999</v>
      </c>
      <c r="Q57" s="51">
        <v>17.899999999999999</v>
      </c>
      <c r="R57" s="51">
        <v>22.8</v>
      </c>
      <c r="S57" s="51">
        <v>22.8</v>
      </c>
      <c r="T57" s="51">
        <v>22.8</v>
      </c>
      <c r="U57" s="51">
        <v>22.8</v>
      </c>
      <c r="V57" s="51">
        <v>22.8</v>
      </c>
      <c r="W57" s="51">
        <v>22.8</v>
      </c>
      <c r="X57" s="51">
        <v>22.8</v>
      </c>
      <c r="Y57" s="51">
        <v>22.8</v>
      </c>
      <c r="Z57" s="51">
        <v>22.8</v>
      </c>
      <c r="AA57" s="51">
        <v>22.8</v>
      </c>
      <c r="AB57" s="57">
        <f>4.5+11.7</f>
        <v>16.2</v>
      </c>
      <c r="AC57" s="57">
        <f>4.5+11.7</f>
        <v>16.2</v>
      </c>
      <c r="AD57" s="57">
        <f>4.5+11.7</f>
        <v>16.2</v>
      </c>
      <c r="AE57" s="57">
        <f>4.5+11.7</f>
        <v>16.2</v>
      </c>
      <c r="AF57" s="57">
        <f>4.5+11.7</f>
        <v>16.2</v>
      </c>
      <c r="AG57" s="55">
        <v>240</v>
      </c>
      <c r="AH57" s="47">
        <f t="shared" si="2"/>
        <v>22.8</v>
      </c>
      <c r="AI57" s="48">
        <f t="shared" si="3"/>
        <v>16.2</v>
      </c>
      <c r="AK57" s="50"/>
    </row>
    <row r="58" spans="1:88" ht="15.75" thickBot="1" x14ac:dyDescent="0.3">
      <c r="A58" s="59" t="s">
        <v>58</v>
      </c>
      <c r="B58" s="60">
        <f t="shared" ref="B58:C58" si="20">SUM(B11:B56)</f>
        <v>477.85000000000008</v>
      </c>
      <c r="C58" s="60">
        <f t="shared" si="20"/>
        <v>477.85000000000008</v>
      </c>
      <c r="D58" s="60">
        <f t="shared" ref="D58" si="21">SUM(D11:D56)</f>
        <v>477.85000000000008</v>
      </c>
      <c r="E58" s="60">
        <f t="shared" ref="E58:AF58" si="22">SUM(E11:E56)</f>
        <v>477.85000000000008</v>
      </c>
      <c r="F58" s="60">
        <f t="shared" si="22"/>
        <v>477.85000000000008</v>
      </c>
      <c r="G58" s="60">
        <f t="shared" si="22"/>
        <v>477.85000000000008</v>
      </c>
      <c r="H58" s="60">
        <f t="shared" si="22"/>
        <v>477.85000000000008</v>
      </c>
      <c r="I58" s="60">
        <f t="shared" si="22"/>
        <v>477.85000000000008</v>
      </c>
      <c r="J58" s="60">
        <f t="shared" si="22"/>
        <v>477.85000000000008</v>
      </c>
      <c r="K58" s="60">
        <f t="shared" si="22"/>
        <v>477.85000000000008</v>
      </c>
      <c r="L58" s="60">
        <f t="shared" si="22"/>
        <v>477.85000000000008</v>
      </c>
      <c r="M58" s="60">
        <f t="shared" si="22"/>
        <v>477.85000000000008</v>
      </c>
      <c r="N58" s="60">
        <f t="shared" si="22"/>
        <v>477.85000000000008</v>
      </c>
      <c r="O58" s="60">
        <f t="shared" si="22"/>
        <v>477.85000000000008</v>
      </c>
      <c r="P58" s="60">
        <f t="shared" si="22"/>
        <v>477.85000000000008</v>
      </c>
      <c r="Q58" s="60">
        <f t="shared" ref="Q58" si="23">SUM(Q11:Q56)</f>
        <v>477.85000000000008</v>
      </c>
      <c r="R58" s="60">
        <f t="shared" si="22"/>
        <v>477.85000000000008</v>
      </c>
      <c r="S58" s="60">
        <f t="shared" ref="S58:T58" si="24">SUM(S11:S56)</f>
        <v>477.85000000000008</v>
      </c>
      <c r="T58" s="60">
        <f t="shared" si="24"/>
        <v>477.85000000000008</v>
      </c>
      <c r="U58" s="60">
        <f t="shared" ref="U58:V58" si="25">SUM(U11:U56)</f>
        <v>477.85000000000008</v>
      </c>
      <c r="V58" s="60">
        <f t="shared" si="25"/>
        <v>477.85000000000008</v>
      </c>
      <c r="W58" s="60">
        <f t="shared" ref="W58:X58" si="26">SUM(W11:W56)</f>
        <v>477.85000000000008</v>
      </c>
      <c r="X58" s="60">
        <f t="shared" si="26"/>
        <v>477.85000000000008</v>
      </c>
      <c r="Y58" s="60">
        <f t="shared" ref="Y58:Z58" si="27">SUM(Y11:Y56)</f>
        <v>477.85000000000008</v>
      </c>
      <c r="Z58" s="60">
        <f t="shared" si="27"/>
        <v>477.85000000000008</v>
      </c>
      <c r="AA58" s="60">
        <f t="shared" ref="AA58" si="28">SUM(AA11:AA56)</f>
        <v>477.85000000000008</v>
      </c>
      <c r="AB58" s="60">
        <f t="shared" si="22"/>
        <v>478.55000000000007</v>
      </c>
      <c r="AC58" s="60">
        <f t="shared" si="22"/>
        <v>478.55000000000007</v>
      </c>
      <c r="AD58" s="60">
        <f t="shared" si="22"/>
        <v>478.55000000000007</v>
      </c>
      <c r="AE58" s="60">
        <f t="shared" si="22"/>
        <v>478.55000000000007</v>
      </c>
      <c r="AF58" s="60">
        <f t="shared" si="22"/>
        <v>478.55000000000007</v>
      </c>
      <c r="AG58" s="61">
        <f>SUM(AG14:AG56)</f>
        <v>1042.4000000000001</v>
      </c>
      <c r="AH58" s="47">
        <f t="shared" si="2"/>
        <v>478.55000000000007</v>
      </c>
      <c r="AI58" s="48">
        <f t="shared" si="3"/>
        <v>477.85000000000008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80</v>
      </c>
      <c r="K59" s="45">
        <v>60</v>
      </c>
      <c r="L59" s="45">
        <v>304</v>
      </c>
      <c r="M59" s="45">
        <v>304</v>
      </c>
      <c r="N59" s="63">
        <v>50</v>
      </c>
      <c r="O59" s="63">
        <v>35</v>
      </c>
      <c r="P59" s="63">
        <v>25</v>
      </c>
      <c r="Q59" s="63">
        <v>100</v>
      </c>
      <c r="R59" s="63">
        <v>80</v>
      </c>
      <c r="S59" s="63">
        <v>80</v>
      </c>
      <c r="T59" s="63">
        <v>40</v>
      </c>
      <c r="U59" s="63">
        <v>40</v>
      </c>
      <c r="V59" s="63">
        <v>30</v>
      </c>
      <c r="W59" s="63">
        <v>30</v>
      </c>
      <c r="X59" s="63">
        <v>30</v>
      </c>
      <c r="Y59" s="63">
        <v>270</v>
      </c>
      <c r="Z59" s="63">
        <v>380</v>
      </c>
      <c r="AA59" s="63">
        <v>360</v>
      </c>
      <c r="AB59" s="45">
        <v>190</v>
      </c>
      <c r="AC59" s="45">
        <v>50</v>
      </c>
      <c r="AD59" s="45">
        <v>70</v>
      </c>
      <c r="AE59" s="45">
        <v>40</v>
      </c>
      <c r="AF59" s="45">
        <v>30</v>
      </c>
      <c r="AG59" s="52">
        <v>456</v>
      </c>
      <c r="AH59" s="47">
        <f t="shared" si="2"/>
        <v>380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27</v>
      </c>
      <c r="AI60" s="48">
        <f t="shared" si="3"/>
        <v>27</v>
      </c>
      <c r="AK60" s="50"/>
    </row>
    <row r="61" spans="1:88" ht="15.75" thickBot="1" x14ac:dyDescent="0.3">
      <c r="A61" s="66" t="s">
        <v>61</v>
      </c>
      <c r="B61" s="67">
        <v>8.1</v>
      </c>
      <c r="C61" s="67">
        <v>8.1</v>
      </c>
      <c r="D61" s="67">
        <v>8.1</v>
      </c>
      <c r="E61" s="67">
        <v>8.1</v>
      </c>
      <c r="F61" s="67">
        <v>8.1</v>
      </c>
      <c r="G61" s="67">
        <v>8.1</v>
      </c>
      <c r="H61" s="67">
        <v>8.1</v>
      </c>
      <c r="I61" s="67">
        <v>8.1</v>
      </c>
      <c r="J61" s="67">
        <v>8.1</v>
      </c>
      <c r="K61" s="67">
        <v>8.1</v>
      </c>
      <c r="L61" s="67">
        <v>8.1</v>
      </c>
      <c r="M61" s="67">
        <v>8.9</v>
      </c>
      <c r="N61" s="67">
        <v>8.9</v>
      </c>
      <c r="O61" s="67">
        <v>8.9</v>
      </c>
      <c r="P61" s="67">
        <v>8.9</v>
      </c>
      <c r="Q61" s="67">
        <v>8.9</v>
      </c>
      <c r="R61" s="67">
        <v>8.8000000000000007</v>
      </c>
      <c r="S61" s="67">
        <v>8.8000000000000007</v>
      </c>
      <c r="T61" s="67">
        <v>8.8000000000000007</v>
      </c>
      <c r="U61" s="67">
        <v>8.8000000000000007</v>
      </c>
      <c r="V61" s="67">
        <v>8.8000000000000007</v>
      </c>
      <c r="W61" s="67">
        <v>8.8000000000000007</v>
      </c>
      <c r="X61" s="67">
        <v>8.8000000000000007</v>
      </c>
      <c r="Y61" s="67">
        <v>14.1</v>
      </c>
      <c r="Z61" s="67">
        <v>14.1</v>
      </c>
      <c r="AA61" s="67">
        <v>14.1</v>
      </c>
      <c r="AB61" s="67">
        <v>14.1</v>
      </c>
      <c r="AC61" s="67">
        <v>14</v>
      </c>
      <c r="AD61" s="67">
        <v>14.2</v>
      </c>
      <c r="AE61" s="67">
        <v>8.1999999999999993</v>
      </c>
      <c r="AF61" s="67">
        <v>8.1999999999999993</v>
      </c>
      <c r="AG61" s="68">
        <v>22.1</v>
      </c>
      <c r="AH61" s="47">
        <f t="shared" si="2"/>
        <v>14.2</v>
      </c>
      <c r="AI61" s="48">
        <f t="shared" si="3"/>
        <v>8.1</v>
      </c>
      <c r="AK61" s="50"/>
    </row>
    <row r="62" spans="1:88" ht="15.75" thickBot="1" x14ac:dyDescent="0.3">
      <c r="A62" s="69" t="s">
        <v>62</v>
      </c>
      <c r="B62" s="60">
        <f t="shared" ref="B62:C62" si="29">SUM(B59:B61)</f>
        <v>35.1</v>
      </c>
      <c r="C62" s="60">
        <f t="shared" si="29"/>
        <v>35.1</v>
      </c>
      <c r="D62" s="60">
        <f t="shared" ref="D62" si="30">SUM(D59:D61)</f>
        <v>35.1</v>
      </c>
      <c r="E62" s="60">
        <f t="shared" ref="E62:AG62" si="31">SUM(E59:E61)</f>
        <v>35.1</v>
      </c>
      <c r="F62" s="60">
        <f t="shared" si="31"/>
        <v>35.1</v>
      </c>
      <c r="G62" s="60">
        <f t="shared" si="31"/>
        <v>35.1</v>
      </c>
      <c r="H62" s="60">
        <f t="shared" si="31"/>
        <v>35.1</v>
      </c>
      <c r="I62" s="60">
        <f t="shared" si="31"/>
        <v>35.1</v>
      </c>
      <c r="J62" s="60">
        <f t="shared" si="31"/>
        <v>115.1</v>
      </c>
      <c r="K62" s="60">
        <f t="shared" si="31"/>
        <v>95.1</v>
      </c>
      <c r="L62" s="60">
        <f t="shared" si="31"/>
        <v>339.1</v>
      </c>
      <c r="M62" s="60">
        <f t="shared" si="31"/>
        <v>339.9</v>
      </c>
      <c r="N62" s="60">
        <f t="shared" si="31"/>
        <v>85.9</v>
      </c>
      <c r="O62" s="60">
        <f t="shared" si="31"/>
        <v>70.900000000000006</v>
      </c>
      <c r="P62" s="60">
        <f t="shared" si="31"/>
        <v>60.9</v>
      </c>
      <c r="Q62" s="60">
        <f t="shared" si="31"/>
        <v>135.9</v>
      </c>
      <c r="R62" s="60">
        <f t="shared" si="31"/>
        <v>115.8</v>
      </c>
      <c r="S62" s="60">
        <f t="shared" ref="S62:T62" si="32">SUM(S59:S61)</f>
        <v>115.8</v>
      </c>
      <c r="T62" s="60">
        <f t="shared" si="32"/>
        <v>75.8</v>
      </c>
      <c r="U62" s="60">
        <f t="shared" ref="U62:V62" si="33">SUM(U59:U61)</f>
        <v>75.8</v>
      </c>
      <c r="V62" s="60">
        <f t="shared" si="33"/>
        <v>65.8</v>
      </c>
      <c r="W62" s="60">
        <f t="shared" ref="W62:X62" si="34">SUM(W59:W61)</f>
        <v>65.8</v>
      </c>
      <c r="X62" s="60">
        <f t="shared" si="34"/>
        <v>65.8</v>
      </c>
      <c r="Y62" s="60">
        <f t="shared" ref="Y62:Z62" si="35">SUM(Y59:Y61)</f>
        <v>311.10000000000002</v>
      </c>
      <c r="Z62" s="60">
        <f t="shared" si="35"/>
        <v>421.1</v>
      </c>
      <c r="AA62" s="60">
        <f t="shared" ref="AA62" si="36">SUM(AA59:AA61)</f>
        <v>401.1</v>
      </c>
      <c r="AB62" s="60">
        <f t="shared" si="31"/>
        <v>231.1</v>
      </c>
      <c r="AC62" s="60">
        <f t="shared" si="31"/>
        <v>91</v>
      </c>
      <c r="AD62" s="60">
        <f t="shared" si="31"/>
        <v>111.2</v>
      </c>
      <c r="AE62" s="60">
        <f t="shared" si="31"/>
        <v>75.2</v>
      </c>
      <c r="AF62" s="60">
        <f t="shared" si="31"/>
        <v>65.2</v>
      </c>
      <c r="AG62" s="61">
        <f t="shared" si="31"/>
        <v>538.1</v>
      </c>
      <c r="AH62" s="47">
        <f t="shared" si="2"/>
        <v>421.1</v>
      </c>
      <c r="AI62" s="48">
        <f t="shared" si="3"/>
        <v>35.1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10</v>
      </c>
      <c r="I63" s="45">
        <v>0</v>
      </c>
      <c r="J63" s="45">
        <v>61.1</v>
      </c>
      <c r="K63" s="45">
        <v>98.2</v>
      </c>
      <c r="L63" s="45">
        <v>142</v>
      </c>
      <c r="M63" s="45">
        <v>113.2</v>
      </c>
      <c r="N63" s="45">
        <v>62</v>
      </c>
      <c r="O63" s="45">
        <v>61</v>
      </c>
      <c r="P63" s="45">
        <v>61</v>
      </c>
      <c r="Q63" s="45">
        <v>73.400000000000006</v>
      </c>
      <c r="R63" s="45">
        <v>73.599999999999994</v>
      </c>
      <c r="S63" s="45">
        <v>61.7</v>
      </c>
      <c r="T63" s="45">
        <v>61.7</v>
      </c>
      <c r="U63" s="45">
        <v>61.3</v>
      </c>
      <c r="V63" s="45">
        <v>61.3</v>
      </c>
      <c r="W63" s="45">
        <v>61.3</v>
      </c>
      <c r="X63" s="45">
        <v>93.2</v>
      </c>
      <c r="Y63" s="45">
        <v>141.4</v>
      </c>
      <c r="Z63" s="45">
        <v>141.4</v>
      </c>
      <c r="AA63" s="45">
        <v>112.1</v>
      </c>
      <c r="AB63" s="45">
        <v>73.3</v>
      </c>
      <c r="AC63" s="45">
        <v>45.3</v>
      </c>
      <c r="AD63" s="45">
        <v>45.3</v>
      </c>
      <c r="AE63" s="45">
        <v>0</v>
      </c>
      <c r="AF63" s="45">
        <v>0</v>
      </c>
      <c r="AG63" s="52">
        <v>144</v>
      </c>
      <c r="AH63" s="47">
        <f t="shared" si="2"/>
        <v>142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22</v>
      </c>
      <c r="C64" s="65">
        <v>22</v>
      </c>
      <c r="D64" s="65">
        <v>22</v>
      </c>
      <c r="E64" s="65">
        <v>22</v>
      </c>
      <c r="F64" s="65">
        <v>22</v>
      </c>
      <c r="G64" s="65">
        <v>22</v>
      </c>
      <c r="H64" s="65">
        <v>22</v>
      </c>
      <c r="I64" s="65">
        <v>22</v>
      </c>
      <c r="J64" s="65">
        <v>35</v>
      </c>
      <c r="K64" s="65">
        <v>27</v>
      </c>
      <c r="L64" s="65">
        <v>35</v>
      </c>
      <c r="M64" s="65">
        <v>34.799999999999997</v>
      </c>
      <c r="N64" s="65">
        <v>34.799999999999997</v>
      </c>
      <c r="O64" s="65">
        <v>25</v>
      </c>
      <c r="P64" s="65">
        <v>25</v>
      </c>
      <c r="Q64" s="65">
        <v>25.6</v>
      </c>
      <c r="R64" s="65">
        <v>32.200000000000003</v>
      </c>
      <c r="S64" s="65">
        <v>24.9</v>
      </c>
      <c r="T64" s="65">
        <v>34.799999999999997</v>
      </c>
      <c r="U64" s="65">
        <v>34.799999999999997</v>
      </c>
      <c r="V64" s="65">
        <v>27.6</v>
      </c>
      <c r="W64" s="65">
        <v>24.8</v>
      </c>
      <c r="X64" s="65">
        <v>25.1</v>
      </c>
      <c r="Y64" s="65">
        <v>34.799999999999997</v>
      </c>
      <c r="Z64" s="65">
        <v>34.799999999999997</v>
      </c>
      <c r="AA64" s="65">
        <v>34.799999999999997</v>
      </c>
      <c r="AB64" s="45">
        <v>34.799999999999997</v>
      </c>
      <c r="AC64" s="45">
        <v>34.799999999999997</v>
      </c>
      <c r="AD64" s="45">
        <v>34.799999999999997</v>
      </c>
      <c r="AE64" s="45">
        <v>34.799999999999997</v>
      </c>
      <c r="AF64" s="45">
        <v>22.9</v>
      </c>
      <c r="AG64" s="55">
        <v>70</v>
      </c>
      <c r="AH64" s="47">
        <f t="shared" si="2"/>
        <v>35</v>
      </c>
      <c r="AI64" s="48">
        <f t="shared" si="3"/>
        <v>22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42.3</v>
      </c>
      <c r="K65" s="65">
        <v>62.1</v>
      </c>
      <c r="L65" s="65">
        <v>67.2</v>
      </c>
      <c r="M65" s="65">
        <v>62.1</v>
      </c>
      <c r="N65" s="65">
        <v>62.1</v>
      </c>
      <c r="O65" s="65">
        <v>32</v>
      </c>
      <c r="P65" s="65">
        <v>32</v>
      </c>
      <c r="Q65" s="65">
        <v>33.299999999999997</v>
      </c>
      <c r="R65" s="65">
        <v>33.4</v>
      </c>
      <c r="S65" s="65">
        <v>47.7</v>
      </c>
      <c r="T65" s="65">
        <v>47.2</v>
      </c>
      <c r="U65" s="65">
        <v>47.2</v>
      </c>
      <c r="V65" s="65">
        <v>34.1</v>
      </c>
      <c r="W65" s="65">
        <v>33.5</v>
      </c>
      <c r="X65" s="65">
        <v>67.8</v>
      </c>
      <c r="Y65" s="65">
        <v>68</v>
      </c>
      <c r="Z65" s="65">
        <v>68</v>
      </c>
      <c r="AA65" s="65">
        <v>64.2</v>
      </c>
      <c r="AB65" s="45">
        <v>54.3</v>
      </c>
      <c r="AC65" s="45">
        <v>37.799999999999997</v>
      </c>
      <c r="AD65" s="45">
        <v>37.799999999999997</v>
      </c>
      <c r="AE65" s="45">
        <v>16</v>
      </c>
      <c r="AF65" s="45">
        <v>0</v>
      </c>
      <c r="AG65" s="55">
        <v>69</v>
      </c>
      <c r="AH65" s="47">
        <f t="shared" si="2"/>
        <v>68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32.200000000000003</v>
      </c>
      <c r="C66" s="65">
        <v>32.200000000000003</v>
      </c>
      <c r="D66" s="65">
        <v>32.200000000000003</v>
      </c>
      <c r="E66" s="65">
        <v>32.200000000000003</v>
      </c>
      <c r="F66" s="65">
        <v>32.200000000000003</v>
      </c>
      <c r="G66" s="65">
        <v>32.200000000000003</v>
      </c>
      <c r="H66" s="65">
        <v>32.200000000000003</v>
      </c>
      <c r="I66" s="65">
        <v>32.200000000000003</v>
      </c>
      <c r="J66" s="65">
        <v>32.200000000000003</v>
      </c>
      <c r="K66" s="65">
        <v>32.200000000000003</v>
      </c>
      <c r="L66" s="65">
        <v>32.200000000000003</v>
      </c>
      <c r="M66" s="65">
        <v>37.299999999999997</v>
      </c>
      <c r="N66" s="65">
        <v>37.299999999999997</v>
      </c>
      <c r="O66" s="65">
        <v>37.299999999999997</v>
      </c>
      <c r="P66" s="65">
        <v>37.299999999999997</v>
      </c>
      <c r="Q66" s="65">
        <v>38</v>
      </c>
      <c r="R66" s="65">
        <v>38.299999999999997</v>
      </c>
      <c r="S66" s="65">
        <v>38.299999999999997</v>
      </c>
      <c r="T66" s="65">
        <v>38.299999999999997</v>
      </c>
      <c r="U66" s="65">
        <v>38.299999999999997</v>
      </c>
      <c r="V66" s="65">
        <v>38.299999999999997</v>
      </c>
      <c r="W66" s="65">
        <v>38.299999999999997</v>
      </c>
      <c r="X66" s="65">
        <v>38.299999999999997</v>
      </c>
      <c r="Y66" s="65">
        <v>38.299999999999997</v>
      </c>
      <c r="Z66" s="65">
        <v>38.299999999999997</v>
      </c>
      <c r="AA66" s="65">
        <v>38.6</v>
      </c>
      <c r="AB66" s="45">
        <v>36.299999999999997</v>
      </c>
      <c r="AC66" s="45">
        <v>36.299999999999997</v>
      </c>
      <c r="AD66" s="45">
        <v>36.299999999999997</v>
      </c>
      <c r="AE66" s="45">
        <v>38.299999999999997</v>
      </c>
      <c r="AF66" s="45">
        <v>38.299999999999997</v>
      </c>
      <c r="AG66" s="55">
        <v>60</v>
      </c>
      <c r="AH66" s="47">
        <f t="shared" si="2"/>
        <v>38.6</v>
      </c>
      <c r="AI66" s="48">
        <f t="shared" si="3"/>
        <v>32.200000000000003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10</v>
      </c>
      <c r="G67" s="45">
        <v>10</v>
      </c>
      <c r="H67" s="45">
        <v>10</v>
      </c>
      <c r="I67" s="45">
        <v>10</v>
      </c>
      <c r="J67" s="45">
        <v>10</v>
      </c>
      <c r="K67" s="45">
        <v>10</v>
      </c>
      <c r="L67" s="45">
        <v>15</v>
      </c>
      <c r="M67" s="65">
        <v>14</v>
      </c>
      <c r="N67" s="65">
        <v>14</v>
      </c>
      <c r="O67" s="65">
        <v>10</v>
      </c>
      <c r="P67" s="65">
        <v>10</v>
      </c>
      <c r="Q67" s="65">
        <v>27</v>
      </c>
      <c r="R67" s="65">
        <v>23.2</v>
      </c>
      <c r="S67" s="65">
        <v>10.199999999999999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26.2</v>
      </c>
      <c r="Z67" s="65">
        <v>26.2</v>
      </c>
      <c r="AA67" s="65">
        <v>25.6</v>
      </c>
      <c r="AB67" s="45">
        <v>11.8</v>
      </c>
      <c r="AC67" s="45">
        <v>11.8</v>
      </c>
      <c r="AD67" s="45">
        <v>11.8</v>
      </c>
      <c r="AE67" s="45">
        <v>9.8000000000000007</v>
      </c>
      <c r="AF67" s="45">
        <v>0</v>
      </c>
      <c r="AG67" s="55">
        <v>30</v>
      </c>
      <c r="AH67" s="47">
        <f t="shared" si="2"/>
        <v>27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0.3</v>
      </c>
      <c r="L68" s="45">
        <v>2.2999999999999998</v>
      </c>
      <c r="M68" s="65">
        <v>4</v>
      </c>
      <c r="N68" s="65">
        <v>8.5</v>
      </c>
      <c r="O68" s="65">
        <v>15.6</v>
      </c>
      <c r="P68" s="65">
        <v>17.5</v>
      </c>
      <c r="Q68" s="65">
        <v>18.2</v>
      </c>
      <c r="R68" s="65">
        <v>16.8</v>
      </c>
      <c r="S68" s="65">
        <v>12.5</v>
      </c>
      <c r="T68" s="65">
        <v>11.6</v>
      </c>
      <c r="U68" s="65">
        <v>3.9</v>
      </c>
      <c r="V68" s="65">
        <v>1.2</v>
      </c>
      <c r="W68" s="65">
        <v>0.4</v>
      </c>
      <c r="X68" s="65">
        <v>0</v>
      </c>
      <c r="Y68" s="65">
        <v>0</v>
      </c>
      <c r="Z68" s="65">
        <v>0</v>
      </c>
      <c r="AA68" s="6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18.2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10.7</v>
      </c>
      <c r="C71" s="65">
        <v>10.7</v>
      </c>
      <c r="D71" s="65">
        <v>10.7</v>
      </c>
      <c r="E71" s="65">
        <v>10.7</v>
      </c>
      <c r="F71" s="65">
        <v>10.7</v>
      </c>
      <c r="G71" s="65">
        <v>10.7</v>
      </c>
      <c r="H71" s="65">
        <v>10.7</v>
      </c>
      <c r="I71" s="65">
        <v>10.7</v>
      </c>
      <c r="J71" s="65">
        <v>10.7</v>
      </c>
      <c r="K71" s="65">
        <v>10.7</v>
      </c>
      <c r="L71" s="65">
        <v>10.7</v>
      </c>
      <c r="M71" s="65">
        <v>10.7</v>
      </c>
      <c r="N71" s="65">
        <v>10.7</v>
      </c>
      <c r="O71" s="65">
        <v>10.7</v>
      </c>
      <c r="P71" s="65">
        <v>10.7</v>
      </c>
      <c r="Q71" s="65">
        <v>10.7</v>
      </c>
      <c r="R71" s="65">
        <v>10.7</v>
      </c>
      <c r="S71" s="65">
        <v>10.7</v>
      </c>
      <c r="T71" s="65">
        <v>10.7</v>
      </c>
      <c r="U71" s="65">
        <v>10.7</v>
      </c>
      <c r="V71" s="65">
        <v>10.7</v>
      </c>
      <c r="W71" s="65">
        <v>10.7</v>
      </c>
      <c r="X71" s="65">
        <v>10.7</v>
      </c>
      <c r="Y71" s="65">
        <v>10.7</v>
      </c>
      <c r="Z71" s="65">
        <v>10.7</v>
      </c>
      <c r="AA71" s="65">
        <v>10.7</v>
      </c>
      <c r="AB71" s="65">
        <v>10.7</v>
      </c>
      <c r="AC71" s="65">
        <v>10.7</v>
      </c>
      <c r="AD71" s="65">
        <v>10.7</v>
      </c>
      <c r="AE71" s="65">
        <v>10.7</v>
      </c>
      <c r="AF71" s="65">
        <v>10.7</v>
      </c>
      <c r="AG71" s="55">
        <v>14.1</v>
      </c>
      <c r="AH71" s="47">
        <f t="shared" si="2"/>
        <v>10.7</v>
      </c>
      <c r="AI71" s="48">
        <f t="shared" si="3"/>
        <v>10.7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3.2</v>
      </c>
      <c r="C72" s="65">
        <v>3.2</v>
      </c>
      <c r="D72" s="65">
        <v>3.2</v>
      </c>
      <c r="E72" s="65">
        <v>3.2</v>
      </c>
      <c r="F72" s="65">
        <v>3.2</v>
      </c>
      <c r="G72" s="65">
        <v>3.2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3.2</v>
      </c>
      <c r="Y72" s="65">
        <v>3.2</v>
      </c>
      <c r="Z72" s="65">
        <v>3.2</v>
      </c>
      <c r="AA72" s="65">
        <v>3.2</v>
      </c>
      <c r="AB72" s="65">
        <v>3.2</v>
      </c>
      <c r="AC72" s="65">
        <v>3.2</v>
      </c>
      <c r="AD72" s="65">
        <v>3.2</v>
      </c>
      <c r="AE72" s="65">
        <v>3.2</v>
      </c>
      <c r="AF72" s="65">
        <v>3.2</v>
      </c>
      <c r="AG72" s="55">
        <v>14</v>
      </c>
      <c r="AH72" s="47">
        <f t="shared" si="2"/>
        <v>3.2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C76" si="37">SUM(B63:B75)</f>
        <v>97.140000000000015</v>
      </c>
      <c r="C76" s="60">
        <f t="shared" si="37"/>
        <v>97.140000000000015</v>
      </c>
      <c r="D76" s="60">
        <f t="shared" ref="D76" si="38">SUM(D63:D75)</f>
        <v>97.140000000000015</v>
      </c>
      <c r="E76" s="60">
        <f t="shared" ref="E76:AG76" si="39">SUM(E63:E75)</f>
        <v>97.140000000000015</v>
      </c>
      <c r="F76" s="60">
        <f t="shared" si="39"/>
        <v>107.14000000000001</v>
      </c>
      <c r="G76" s="60">
        <f t="shared" si="39"/>
        <v>107.14000000000001</v>
      </c>
      <c r="H76" s="60">
        <f t="shared" si="39"/>
        <v>117.14000000000001</v>
      </c>
      <c r="I76" s="60">
        <f t="shared" si="39"/>
        <v>107.14000000000001</v>
      </c>
      <c r="J76" s="60">
        <f t="shared" si="39"/>
        <v>223.53999999999994</v>
      </c>
      <c r="K76" s="60">
        <f t="shared" si="39"/>
        <v>272.74</v>
      </c>
      <c r="L76" s="60">
        <f t="shared" si="39"/>
        <v>336.64</v>
      </c>
      <c r="M76" s="60">
        <f t="shared" si="39"/>
        <v>308.33999999999997</v>
      </c>
      <c r="N76" s="60">
        <f t="shared" si="39"/>
        <v>261.64</v>
      </c>
      <c r="O76" s="60">
        <f t="shared" si="39"/>
        <v>223.83999999999997</v>
      </c>
      <c r="P76" s="60">
        <f t="shared" si="39"/>
        <v>225.73999999999998</v>
      </c>
      <c r="Q76" s="60">
        <f t="shared" si="39"/>
        <v>258.44</v>
      </c>
      <c r="R76" s="60">
        <f t="shared" si="39"/>
        <v>260.44</v>
      </c>
      <c r="S76" s="60">
        <f t="shared" ref="S76:T76" si="40">SUM(S63:S75)</f>
        <v>238.23999999999998</v>
      </c>
      <c r="T76" s="60">
        <f t="shared" si="40"/>
        <v>236.53999999999996</v>
      </c>
      <c r="U76" s="60">
        <f t="shared" ref="U76:V76" si="41">SUM(U63:U75)</f>
        <v>228.44</v>
      </c>
      <c r="V76" s="60">
        <f t="shared" si="41"/>
        <v>205.43999999999997</v>
      </c>
      <c r="W76" s="60">
        <f t="shared" ref="W76:X76" si="42">SUM(W63:W75)</f>
        <v>201.23999999999995</v>
      </c>
      <c r="X76" s="60">
        <f t="shared" si="42"/>
        <v>267.34000000000003</v>
      </c>
      <c r="Y76" s="60">
        <f t="shared" ref="Y76:Z76" si="43">SUM(Y63:Y75)</f>
        <v>351.64</v>
      </c>
      <c r="Z76" s="60">
        <f t="shared" si="43"/>
        <v>351.64</v>
      </c>
      <c r="AA76" s="60">
        <f t="shared" ref="AA76" si="44">SUM(AA63:AA75)</f>
        <v>318.23999999999995</v>
      </c>
      <c r="AB76" s="60">
        <f t="shared" si="39"/>
        <v>253.43999999999997</v>
      </c>
      <c r="AC76" s="60">
        <f t="shared" si="39"/>
        <v>208.93999999999997</v>
      </c>
      <c r="AD76" s="60">
        <f t="shared" si="39"/>
        <v>208.93999999999997</v>
      </c>
      <c r="AE76" s="60">
        <f t="shared" si="39"/>
        <v>141.83999999999997</v>
      </c>
      <c r="AF76" s="60">
        <f t="shared" si="39"/>
        <v>104.14</v>
      </c>
      <c r="AG76" s="61">
        <f t="shared" si="39"/>
        <v>489.91</v>
      </c>
      <c r="AH76" s="47">
        <f t="shared" si="2"/>
        <v>351.64</v>
      </c>
      <c r="AI76" s="48">
        <f t="shared" si="3"/>
        <v>97.140000000000015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C80" si="45">B77+B78+B79</f>
        <v>0</v>
      </c>
      <c r="C80" s="60">
        <f t="shared" si="45"/>
        <v>0</v>
      </c>
      <c r="D80" s="60">
        <f t="shared" ref="D80" si="46">D77+D78+D79</f>
        <v>0</v>
      </c>
      <c r="E80" s="60">
        <f t="shared" ref="E80:AF80" si="47">E77+E78+E79</f>
        <v>0</v>
      </c>
      <c r="F80" s="60">
        <f t="shared" si="47"/>
        <v>0</v>
      </c>
      <c r="G80" s="60">
        <f t="shared" si="47"/>
        <v>0</v>
      </c>
      <c r="H80" s="60">
        <f t="shared" si="47"/>
        <v>0</v>
      </c>
      <c r="I80" s="60">
        <f t="shared" si="47"/>
        <v>0</v>
      </c>
      <c r="J80" s="60">
        <f t="shared" si="47"/>
        <v>0</v>
      </c>
      <c r="K80" s="60">
        <f t="shared" si="47"/>
        <v>0</v>
      </c>
      <c r="L80" s="60">
        <f t="shared" si="47"/>
        <v>0</v>
      </c>
      <c r="M80" s="60">
        <f t="shared" si="47"/>
        <v>0</v>
      </c>
      <c r="N80" s="60">
        <f t="shared" si="47"/>
        <v>0</v>
      </c>
      <c r="O80" s="60">
        <f t="shared" si="47"/>
        <v>0</v>
      </c>
      <c r="P80" s="60">
        <f t="shared" si="47"/>
        <v>0</v>
      </c>
      <c r="Q80" s="60">
        <f t="shared" si="47"/>
        <v>0</v>
      </c>
      <c r="R80" s="60">
        <f t="shared" si="47"/>
        <v>0</v>
      </c>
      <c r="S80" s="60">
        <f t="shared" ref="S80:T80" si="48">S77+S78+S79</f>
        <v>0</v>
      </c>
      <c r="T80" s="60">
        <f t="shared" si="48"/>
        <v>0</v>
      </c>
      <c r="U80" s="60">
        <f t="shared" ref="U80:V80" si="49">U77+U78+U79</f>
        <v>0</v>
      </c>
      <c r="V80" s="60">
        <f t="shared" si="49"/>
        <v>0</v>
      </c>
      <c r="W80" s="60">
        <f t="shared" ref="W80:X80" si="50">W77+W78+W79</f>
        <v>0</v>
      </c>
      <c r="X80" s="60">
        <f t="shared" si="50"/>
        <v>0</v>
      </c>
      <c r="Y80" s="60">
        <f t="shared" ref="Y80:Z80" si="51">Y77+Y78+Y79</f>
        <v>0</v>
      </c>
      <c r="Z80" s="60">
        <f t="shared" si="51"/>
        <v>0</v>
      </c>
      <c r="AA80" s="60">
        <f t="shared" ref="AA80" si="52">AA77+AA78+AA79</f>
        <v>0</v>
      </c>
      <c r="AB80" s="60">
        <f t="shared" si="47"/>
        <v>0</v>
      </c>
      <c r="AC80" s="60">
        <f t="shared" si="47"/>
        <v>0</v>
      </c>
      <c r="AD80" s="60">
        <f t="shared" si="47"/>
        <v>0</v>
      </c>
      <c r="AE80" s="60">
        <f t="shared" si="47"/>
        <v>0</v>
      </c>
      <c r="AF80" s="60">
        <f t="shared" si="47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45</v>
      </c>
      <c r="C81" s="45">
        <v>70</v>
      </c>
      <c r="D81" s="45">
        <v>70</v>
      </c>
      <c r="E81" s="45">
        <v>78</v>
      </c>
      <c r="F81" s="45">
        <v>67.2</v>
      </c>
      <c r="G81" s="45">
        <v>69</v>
      </c>
      <c r="H81" s="45">
        <v>75</v>
      </c>
      <c r="I81" s="45">
        <v>71</v>
      </c>
      <c r="J81" s="45">
        <v>50.6</v>
      </c>
      <c r="K81" s="45">
        <v>64.3</v>
      </c>
      <c r="L81" s="45">
        <v>61.6</v>
      </c>
      <c r="M81" s="45">
        <v>56.2</v>
      </c>
      <c r="N81" s="45">
        <v>43</v>
      </c>
      <c r="O81" s="45">
        <v>55</v>
      </c>
      <c r="P81" s="45">
        <v>55</v>
      </c>
      <c r="Q81" s="45">
        <v>66</v>
      </c>
      <c r="R81" s="45">
        <v>69.8</v>
      </c>
      <c r="S81" s="45">
        <v>67.099999999999994</v>
      </c>
      <c r="T81" s="45">
        <v>56.8</v>
      </c>
      <c r="U81" s="45">
        <v>66.2</v>
      </c>
      <c r="V81" s="45">
        <v>63.6</v>
      </c>
      <c r="W81" s="45">
        <v>61.6</v>
      </c>
      <c r="X81" s="45">
        <v>66.8</v>
      </c>
      <c r="Y81" s="45">
        <v>60</v>
      </c>
      <c r="Z81" s="45">
        <v>68.2</v>
      </c>
      <c r="AA81" s="45">
        <v>62</v>
      </c>
      <c r="AB81" s="45">
        <v>58</v>
      </c>
      <c r="AC81" s="45">
        <v>59</v>
      </c>
      <c r="AD81" s="45">
        <v>56.9</v>
      </c>
      <c r="AE81" s="45">
        <v>56.5</v>
      </c>
      <c r="AF81" s="45">
        <v>59.6</v>
      </c>
      <c r="AG81" s="52"/>
      <c r="AH81" s="47">
        <f t="shared" si="2"/>
        <v>78</v>
      </c>
      <c r="AI81" s="48">
        <f t="shared" si="3"/>
        <v>43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390</v>
      </c>
      <c r="C83" s="65">
        <v>400</v>
      </c>
      <c r="D83" s="65">
        <v>400</v>
      </c>
      <c r="E83" s="65">
        <v>399</v>
      </c>
      <c r="F83" s="65">
        <v>413.2</v>
      </c>
      <c r="G83" s="65">
        <v>436.4</v>
      </c>
      <c r="H83" s="65">
        <v>445</v>
      </c>
      <c r="I83" s="65">
        <v>442</v>
      </c>
      <c r="J83" s="65">
        <v>438</v>
      </c>
      <c r="K83" s="65">
        <v>407.1</v>
      </c>
      <c r="L83" s="65">
        <v>160.1</v>
      </c>
      <c r="M83" s="65">
        <v>79</v>
      </c>
      <c r="N83" s="65">
        <v>297</v>
      </c>
      <c r="O83" s="65">
        <v>392</v>
      </c>
      <c r="P83" s="65">
        <v>401</v>
      </c>
      <c r="Q83" s="65">
        <v>391</v>
      </c>
      <c r="R83" s="65">
        <v>404</v>
      </c>
      <c r="S83" s="65">
        <v>369.2</v>
      </c>
      <c r="T83" s="65">
        <v>453.5</v>
      </c>
      <c r="U83" s="65">
        <v>466.8</v>
      </c>
      <c r="V83" s="65">
        <v>395.6</v>
      </c>
      <c r="W83" s="65">
        <v>421.8</v>
      </c>
      <c r="X83" s="65">
        <v>437.3</v>
      </c>
      <c r="Y83" s="65">
        <v>271.39999999999998</v>
      </c>
      <c r="Z83" s="65">
        <v>132.6</v>
      </c>
      <c r="AA83" s="65">
        <v>131.80000000000001</v>
      </c>
      <c r="AB83" s="65">
        <v>257.8</v>
      </c>
      <c r="AC83" s="65">
        <v>399</v>
      </c>
      <c r="AD83" s="65">
        <v>423</v>
      </c>
      <c r="AE83" s="65">
        <v>413.4</v>
      </c>
      <c r="AF83" s="65">
        <v>380.5</v>
      </c>
      <c r="AG83" s="75"/>
      <c r="AH83" s="47">
        <f t="shared" si="2"/>
        <v>466.8</v>
      </c>
      <c r="AI83" s="48">
        <f t="shared" si="3"/>
        <v>79</v>
      </c>
      <c r="AK83" s="50"/>
    </row>
    <row r="84" spans="1:40" x14ac:dyDescent="0.25">
      <c r="A84" s="54" t="s">
        <v>84</v>
      </c>
      <c r="B84" s="65">
        <v>6</v>
      </c>
      <c r="C84" s="65">
        <v>6</v>
      </c>
      <c r="D84" s="65">
        <v>6</v>
      </c>
      <c r="E84" s="76">
        <v>6</v>
      </c>
      <c r="F84" s="76">
        <v>3</v>
      </c>
      <c r="G84" s="76">
        <v>3</v>
      </c>
      <c r="H84" s="76">
        <v>3</v>
      </c>
      <c r="I84" s="76">
        <v>3</v>
      </c>
      <c r="J84" s="76">
        <v>3</v>
      </c>
      <c r="K84" s="76">
        <v>3</v>
      </c>
      <c r="L84" s="76">
        <v>3</v>
      </c>
      <c r="M84" s="76">
        <v>5</v>
      </c>
      <c r="N84" s="76">
        <v>5</v>
      </c>
      <c r="O84" s="76">
        <v>5</v>
      </c>
      <c r="P84" s="76">
        <v>24</v>
      </c>
      <c r="Q84" s="76">
        <v>42</v>
      </c>
      <c r="R84" s="76">
        <v>41</v>
      </c>
      <c r="S84" s="76">
        <v>26</v>
      </c>
      <c r="T84" s="76">
        <v>21.5</v>
      </c>
      <c r="U84" s="76">
        <v>26.9</v>
      </c>
      <c r="V84" s="76">
        <v>6.7</v>
      </c>
      <c r="W84" s="76">
        <v>9.5</v>
      </c>
      <c r="X84" s="76">
        <v>8.4</v>
      </c>
      <c r="Y84" s="76">
        <v>8.4</v>
      </c>
      <c r="Z84" s="76">
        <v>6.7</v>
      </c>
      <c r="AA84" s="76">
        <v>6.7</v>
      </c>
      <c r="AB84" s="76">
        <v>10.3</v>
      </c>
      <c r="AC84" s="76">
        <v>13</v>
      </c>
      <c r="AD84" s="76">
        <v>20</v>
      </c>
      <c r="AE84" s="76">
        <v>38.799999999999997</v>
      </c>
      <c r="AF84" s="76">
        <v>38.9</v>
      </c>
      <c r="AG84" s="75"/>
      <c r="AH84" s="47">
        <f t="shared" si="2"/>
        <v>42</v>
      </c>
      <c r="AI84" s="48">
        <f t="shared" si="3"/>
        <v>3</v>
      </c>
      <c r="AK84" s="50"/>
    </row>
    <row r="85" spans="1:40" x14ac:dyDescent="0.25">
      <c r="A85" s="54" t="s">
        <v>85</v>
      </c>
      <c r="B85" s="45">
        <v>120</v>
      </c>
      <c r="C85" s="45">
        <v>100</v>
      </c>
      <c r="D85" s="45">
        <v>120</v>
      </c>
      <c r="E85" s="45">
        <v>118</v>
      </c>
      <c r="F85" s="45">
        <v>110.6</v>
      </c>
      <c r="G85" s="45">
        <v>112</v>
      </c>
      <c r="H85" s="45">
        <v>105</v>
      </c>
      <c r="I85" s="45">
        <v>108</v>
      </c>
      <c r="J85" s="45">
        <v>114</v>
      </c>
      <c r="K85" s="45">
        <v>66.8</v>
      </c>
      <c r="L85" s="45">
        <v>66</v>
      </c>
      <c r="M85" s="45">
        <v>36</v>
      </c>
      <c r="N85" s="45">
        <v>36</v>
      </c>
      <c r="O85" s="45">
        <v>28</v>
      </c>
      <c r="P85" s="45">
        <v>60</v>
      </c>
      <c r="Q85" s="45">
        <v>102</v>
      </c>
      <c r="R85" s="45">
        <v>108</v>
      </c>
      <c r="S85" s="45">
        <v>102.2</v>
      </c>
      <c r="T85" s="45">
        <v>110.6</v>
      </c>
      <c r="U85" s="45">
        <v>103</v>
      </c>
      <c r="V85" s="45">
        <v>60</v>
      </c>
      <c r="W85" s="45">
        <v>54.4</v>
      </c>
      <c r="X85" s="45">
        <v>51.2</v>
      </c>
      <c r="Y85" s="45">
        <v>51.2</v>
      </c>
      <c r="Z85" s="45">
        <v>50</v>
      </c>
      <c r="AA85" s="45">
        <v>57.4</v>
      </c>
      <c r="AB85" s="45">
        <v>70</v>
      </c>
      <c r="AC85" s="45">
        <v>69</v>
      </c>
      <c r="AD85" s="45">
        <v>101</v>
      </c>
      <c r="AE85" s="45">
        <v>119</v>
      </c>
      <c r="AF85" s="45">
        <v>84</v>
      </c>
      <c r="AG85" s="75"/>
      <c r="AH85" s="47">
        <f t="shared" ref="AH85:AH130" si="53">MAX(B85:AF85)</f>
        <v>120</v>
      </c>
      <c r="AI85" s="48">
        <f t="shared" ref="AI85:AI130" si="54">MIN(B85:AF85)</f>
        <v>28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3"/>
        <v>0</v>
      </c>
      <c r="AI86" s="48">
        <f t="shared" si="54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3"/>
        <v>0</v>
      </c>
      <c r="AI87" s="48">
        <f t="shared" si="54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3"/>
        <v>0</v>
      </c>
      <c r="AI88" s="48">
        <f t="shared" si="54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3"/>
        <v>0</v>
      </c>
      <c r="AI89" s="48">
        <f t="shared" si="54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3"/>
        <v>0</v>
      </c>
      <c r="AI90" s="48">
        <f t="shared" si="54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50</v>
      </c>
      <c r="C91" s="77">
        <v>0</v>
      </c>
      <c r="D91" s="77">
        <v>0</v>
      </c>
      <c r="E91" s="77">
        <v>0</v>
      </c>
      <c r="F91" s="77">
        <v>0</v>
      </c>
      <c r="G91" s="77">
        <v>52</v>
      </c>
      <c r="H91" s="77">
        <v>45</v>
      </c>
      <c r="I91" s="77">
        <v>45</v>
      </c>
      <c r="J91" s="77">
        <v>76</v>
      </c>
      <c r="K91" s="77">
        <v>70.400000000000006</v>
      </c>
      <c r="L91" s="77">
        <v>70</v>
      </c>
      <c r="M91" s="77">
        <v>67</v>
      </c>
      <c r="N91" s="77">
        <v>68</v>
      </c>
      <c r="O91" s="77">
        <v>72</v>
      </c>
      <c r="P91" s="77">
        <v>76</v>
      </c>
      <c r="Q91" s="77">
        <v>74.5</v>
      </c>
      <c r="R91" s="77">
        <v>80</v>
      </c>
      <c r="S91" s="77">
        <v>72.3</v>
      </c>
      <c r="T91" s="77">
        <v>76.8</v>
      </c>
      <c r="U91" s="77">
        <v>78</v>
      </c>
      <c r="V91" s="77">
        <v>61.6</v>
      </c>
      <c r="W91" s="77">
        <v>60.3</v>
      </c>
      <c r="X91" s="77">
        <v>63.4</v>
      </c>
      <c r="Y91" s="77">
        <v>63.4</v>
      </c>
      <c r="Z91" s="77">
        <v>68.5</v>
      </c>
      <c r="AA91" s="77">
        <v>68.5</v>
      </c>
      <c r="AB91" s="77">
        <v>61</v>
      </c>
      <c r="AC91" s="77">
        <v>61.4</v>
      </c>
      <c r="AD91" s="77">
        <v>73.400000000000006</v>
      </c>
      <c r="AE91" s="77">
        <v>70</v>
      </c>
      <c r="AF91" s="77">
        <v>69.900000000000006</v>
      </c>
      <c r="AG91" s="85"/>
      <c r="AH91" s="47">
        <f t="shared" si="53"/>
        <v>80</v>
      </c>
      <c r="AI91" s="48">
        <f t="shared" si="54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55">SUMIF(B81:B91,"&gt;0")</f>
        <v>611</v>
      </c>
      <c r="C92" s="60">
        <f t="shared" si="55"/>
        <v>576</v>
      </c>
      <c r="D92" s="60">
        <f t="shared" ref="D92" si="56">SUMIF(D81:D91,"&gt;0")</f>
        <v>596</v>
      </c>
      <c r="E92" s="60">
        <f t="shared" ref="E92:AF92" si="57">SUMIF(E81:E91,"&gt;0")</f>
        <v>601</v>
      </c>
      <c r="F92" s="60">
        <f t="shared" si="57"/>
        <v>594</v>
      </c>
      <c r="G92" s="60">
        <f t="shared" si="57"/>
        <v>672.4</v>
      </c>
      <c r="H92" s="60">
        <f t="shared" si="57"/>
        <v>673</v>
      </c>
      <c r="I92" s="60">
        <f t="shared" si="57"/>
        <v>669</v>
      </c>
      <c r="J92" s="60">
        <f t="shared" si="57"/>
        <v>681.6</v>
      </c>
      <c r="K92" s="60">
        <f t="shared" si="57"/>
        <v>611.6</v>
      </c>
      <c r="L92" s="60">
        <f t="shared" si="57"/>
        <v>360.7</v>
      </c>
      <c r="M92" s="60">
        <f t="shared" si="57"/>
        <v>243.2</v>
      </c>
      <c r="N92" s="60">
        <f t="shared" si="57"/>
        <v>449</v>
      </c>
      <c r="O92" s="60">
        <f t="shared" si="57"/>
        <v>552</v>
      </c>
      <c r="P92" s="60">
        <f t="shared" si="57"/>
        <v>616</v>
      </c>
      <c r="Q92" s="60">
        <f t="shared" si="57"/>
        <v>675.5</v>
      </c>
      <c r="R92" s="60">
        <f t="shared" si="57"/>
        <v>702.8</v>
      </c>
      <c r="S92" s="60">
        <f t="shared" ref="S92:T92" si="58">SUMIF(S81:S91,"&gt;0")</f>
        <v>636.79999999999995</v>
      </c>
      <c r="T92" s="60">
        <f t="shared" si="58"/>
        <v>719.19999999999993</v>
      </c>
      <c r="U92" s="60">
        <f t="shared" ref="U92:V92" si="59">SUMIF(U81:U91,"&gt;0")</f>
        <v>740.9</v>
      </c>
      <c r="V92" s="60">
        <f t="shared" si="59"/>
        <v>587.50000000000011</v>
      </c>
      <c r="W92" s="60">
        <f t="shared" ref="W92:X92" si="60">SUMIF(W81:W91,"&gt;0")</f>
        <v>607.6</v>
      </c>
      <c r="X92" s="60">
        <f t="shared" si="60"/>
        <v>627.1</v>
      </c>
      <c r="Y92" s="60">
        <f t="shared" ref="Y92:Z92" si="61">SUMIF(Y81:Y91,"&gt;0")</f>
        <v>454.39999999999992</v>
      </c>
      <c r="Z92" s="60">
        <f t="shared" si="61"/>
        <v>326</v>
      </c>
      <c r="AA92" s="60">
        <f t="shared" ref="AA92" si="62">SUMIF(AA81:AA91,"&gt;0")</f>
        <v>326.39999999999998</v>
      </c>
      <c r="AB92" s="60">
        <f t="shared" si="57"/>
        <v>457.1</v>
      </c>
      <c r="AC92" s="60">
        <f t="shared" si="57"/>
        <v>601.4</v>
      </c>
      <c r="AD92" s="60">
        <f t="shared" si="57"/>
        <v>674.3</v>
      </c>
      <c r="AE92" s="60">
        <f t="shared" si="57"/>
        <v>697.7</v>
      </c>
      <c r="AF92" s="60">
        <f t="shared" si="57"/>
        <v>632.9</v>
      </c>
      <c r="AG92" s="88">
        <f>SUM(AG81:AG91)</f>
        <v>0</v>
      </c>
      <c r="AH92" s="47">
        <f t="shared" si="53"/>
        <v>740.9</v>
      </c>
      <c r="AI92" s="48">
        <f t="shared" si="54"/>
        <v>243.2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3"/>
        <v>0</v>
      </c>
      <c r="AI93" s="48">
        <f t="shared" si="54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3"/>
        <v>0</v>
      </c>
      <c r="AI94" s="48">
        <f t="shared" si="54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3"/>
        <v>0</v>
      </c>
      <c r="AI95" s="48">
        <f t="shared" si="54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3"/>
        <v>0</v>
      </c>
      <c r="AI96" s="48">
        <f t="shared" si="54"/>
        <v>0</v>
      </c>
    </row>
    <row r="97" spans="1:37" ht="15.75" thickBot="1" x14ac:dyDescent="0.3">
      <c r="A97" s="74" t="s">
        <v>99</v>
      </c>
      <c r="B97" s="95">
        <f t="shared" ref="B97:C97" si="63">B58+B62+B80+B76+B92+B96</f>
        <v>1221.0900000000001</v>
      </c>
      <c r="C97" s="95">
        <f t="shared" si="63"/>
        <v>1186.0900000000001</v>
      </c>
      <c r="D97" s="95">
        <f t="shared" ref="D97" si="64">D58+D62+D80+D76+D92+D96</f>
        <v>1206.0900000000001</v>
      </c>
      <c r="E97" s="95">
        <f t="shared" ref="E97:AG97" si="65">E58+E62+E80+E76+E92+E96</f>
        <v>1211.0900000000001</v>
      </c>
      <c r="F97" s="95">
        <f t="shared" si="65"/>
        <v>1214.0900000000001</v>
      </c>
      <c r="G97" s="95">
        <f t="shared" si="65"/>
        <v>1292.49</v>
      </c>
      <c r="H97" s="95">
        <f t="shared" si="65"/>
        <v>1303.0900000000001</v>
      </c>
      <c r="I97" s="95">
        <f t="shared" si="65"/>
        <v>1289.0900000000001</v>
      </c>
      <c r="J97" s="95">
        <f t="shared" si="65"/>
        <v>1498.0900000000001</v>
      </c>
      <c r="K97" s="95">
        <f t="shared" si="65"/>
        <v>1457.29</v>
      </c>
      <c r="L97" s="95">
        <f t="shared" si="65"/>
        <v>1514.2900000000002</v>
      </c>
      <c r="M97" s="95">
        <f t="shared" si="65"/>
        <v>1369.29</v>
      </c>
      <c r="N97" s="95">
        <f t="shared" si="65"/>
        <v>1274.3900000000001</v>
      </c>
      <c r="O97" s="95">
        <f t="shared" si="65"/>
        <v>1324.5900000000001</v>
      </c>
      <c r="P97" s="95">
        <f t="shared" si="65"/>
        <v>1380.4900000000002</v>
      </c>
      <c r="Q97" s="95">
        <f t="shared" si="65"/>
        <v>1547.69</v>
      </c>
      <c r="R97" s="95">
        <f t="shared" si="65"/>
        <v>1556.89</v>
      </c>
      <c r="S97" s="95">
        <f t="shared" ref="S97:T97" si="66">S58+S62+S80+S76+S92+S96</f>
        <v>1468.69</v>
      </c>
      <c r="T97" s="95">
        <f t="shared" si="66"/>
        <v>1509.3899999999999</v>
      </c>
      <c r="U97" s="95">
        <f t="shared" ref="U97:V97" si="67">U58+U62+U80+U76+U92+U96</f>
        <v>1522.9900000000002</v>
      </c>
      <c r="V97" s="95">
        <f t="shared" si="67"/>
        <v>1336.5900000000001</v>
      </c>
      <c r="W97" s="95">
        <f t="shared" ref="W97:X97" si="68">W58+W62+W80+W76+W92+W96</f>
        <v>1352.4900000000002</v>
      </c>
      <c r="X97" s="95">
        <f t="shared" si="68"/>
        <v>1438.0900000000001</v>
      </c>
      <c r="Y97" s="95">
        <f t="shared" ref="Y97:Z97" si="69">Y58+Y62+Y80+Y76+Y92+Y96</f>
        <v>1594.99</v>
      </c>
      <c r="Z97" s="95">
        <f t="shared" si="69"/>
        <v>1576.5900000000001</v>
      </c>
      <c r="AA97" s="95">
        <f t="shared" ref="AA97" si="70">AA58+AA62+AA80+AA76+AA92+AA96</f>
        <v>1523.5900000000001</v>
      </c>
      <c r="AB97" s="95">
        <f t="shared" si="65"/>
        <v>1420.19</v>
      </c>
      <c r="AC97" s="95">
        <f t="shared" si="65"/>
        <v>1379.8899999999999</v>
      </c>
      <c r="AD97" s="95">
        <f t="shared" si="65"/>
        <v>1472.99</v>
      </c>
      <c r="AE97" s="95">
        <f t="shared" si="65"/>
        <v>1393.2900000000002</v>
      </c>
      <c r="AF97" s="95">
        <f t="shared" si="65"/>
        <v>1280.79</v>
      </c>
      <c r="AG97" s="61">
        <f t="shared" si="65"/>
        <v>2231.81</v>
      </c>
      <c r="AH97" s="47">
        <f t="shared" si="53"/>
        <v>1594.99</v>
      </c>
      <c r="AI97" s="48">
        <f t="shared" si="54"/>
        <v>1186.0900000000001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200</v>
      </c>
      <c r="M98" s="97">
        <v>280</v>
      </c>
      <c r="N98" s="97">
        <v>280</v>
      </c>
      <c r="O98" s="97">
        <v>250</v>
      </c>
      <c r="P98" s="97">
        <v>150</v>
      </c>
      <c r="Q98" s="97"/>
      <c r="R98" s="97"/>
      <c r="S98" s="97"/>
      <c r="T98" s="97"/>
      <c r="U98" s="97"/>
      <c r="V98" s="97">
        <v>150</v>
      </c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200</v>
      </c>
      <c r="AC98" s="97">
        <v>200</v>
      </c>
      <c r="AD98" s="97">
        <v>120</v>
      </c>
      <c r="AE98" s="97"/>
      <c r="AF98" s="97"/>
      <c r="AG98" s="88"/>
      <c r="AH98" s="47">
        <f t="shared" si="53"/>
        <v>280</v>
      </c>
      <c r="AI98" s="48">
        <f t="shared" si="54"/>
        <v>120</v>
      </c>
    </row>
    <row r="99" spans="1:37" ht="15.75" thickBot="1" x14ac:dyDescent="0.3">
      <c r="A99" s="74" t="s">
        <v>101</v>
      </c>
      <c r="B99" s="95">
        <f t="shared" ref="B99:C99" si="71">B97+B98</f>
        <v>1221.0900000000001</v>
      </c>
      <c r="C99" s="95">
        <f t="shared" si="71"/>
        <v>1186.0900000000001</v>
      </c>
      <c r="D99" s="95">
        <f t="shared" ref="D99" si="72">D97+D98</f>
        <v>1206.0900000000001</v>
      </c>
      <c r="E99" s="95">
        <f t="shared" ref="E99:AF99" si="73">E97+E98</f>
        <v>1211.0900000000001</v>
      </c>
      <c r="F99" s="95">
        <f t="shared" si="73"/>
        <v>1214.0900000000001</v>
      </c>
      <c r="G99" s="95">
        <f t="shared" si="73"/>
        <v>1292.49</v>
      </c>
      <c r="H99" s="95">
        <f t="shared" si="73"/>
        <v>1303.0900000000001</v>
      </c>
      <c r="I99" s="95">
        <f t="shared" si="73"/>
        <v>1289.0900000000001</v>
      </c>
      <c r="J99" s="95">
        <f t="shared" si="73"/>
        <v>1498.0900000000001</v>
      </c>
      <c r="K99" s="95">
        <f t="shared" si="73"/>
        <v>1607.29</v>
      </c>
      <c r="L99" s="95">
        <f t="shared" si="73"/>
        <v>1714.2900000000002</v>
      </c>
      <c r="M99" s="95">
        <f t="shared" si="73"/>
        <v>1649.29</v>
      </c>
      <c r="N99" s="95">
        <f t="shared" si="73"/>
        <v>1554.39</v>
      </c>
      <c r="O99" s="95">
        <f t="shared" si="73"/>
        <v>1574.5900000000001</v>
      </c>
      <c r="P99" s="95">
        <f t="shared" si="73"/>
        <v>1530.4900000000002</v>
      </c>
      <c r="Q99" s="95">
        <f t="shared" si="73"/>
        <v>1547.69</v>
      </c>
      <c r="R99" s="95">
        <f t="shared" si="73"/>
        <v>1556.89</v>
      </c>
      <c r="S99" s="95">
        <f t="shared" ref="S99:T99" si="74">S97+S98</f>
        <v>1468.69</v>
      </c>
      <c r="T99" s="95">
        <f t="shared" si="74"/>
        <v>1509.3899999999999</v>
      </c>
      <c r="U99" s="95">
        <f t="shared" ref="U99:V99" si="75">U97+U98</f>
        <v>1522.9900000000002</v>
      </c>
      <c r="V99" s="95">
        <f t="shared" si="75"/>
        <v>1486.5900000000001</v>
      </c>
      <c r="W99" s="95">
        <f t="shared" ref="W99:X99" si="76">W97+W98</f>
        <v>1602.4900000000002</v>
      </c>
      <c r="X99" s="95">
        <f t="shared" si="76"/>
        <v>1688.0900000000001</v>
      </c>
      <c r="Y99" s="95">
        <f t="shared" ref="Y99:Z99" si="77">Y97+Y98</f>
        <v>1844.99</v>
      </c>
      <c r="Z99" s="95">
        <f t="shared" si="77"/>
        <v>1826.5900000000001</v>
      </c>
      <c r="AA99" s="95">
        <f t="shared" ref="AA99" si="78">AA97+AA98</f>
        <v>1773.5900000000001</v>
      </c>
      <c r="AB99" s="95">
        <f t="shared" si="73"/>
        <v>1620.19</v>
      </c>
      <c r="AC99" s="95">
        <f t="shared" si="73"/>
        <v>1579.8899999999999</v>
      </c>
      <c r="AD99" s="95">
        <f t="shared" si="73"/>
        <v>1592.99</v>
      </c>
      <c r="AE99" s="95">
        <f t="shared" si="73"/>
        <v>1393.2900000000002</v>
      </c>
      <c r="AF99" s="95">
        <f t="shared" si="73"/>
        <v>1280.79</v>
      </c>
      <c r="AG99" s="88">
        <f>AG96+AG92+AG80+AG76+AG58+AG98</f>
        <v>1693.71</v>
      </c>
      <c r="AH99" s="47">
        <f t="shared" si="53"/>
        <v>1844.99</v>
      </c>
      <c r="AI99" s="48">
        <f t="shared" si="54"/>
        <v>1186.0900000000001</v>
      </c>
    </row>
    <row r="100" spans="1:37" ht="15.75" thickBot="1" x14ac:dyDescent="0.3">
      <c r="A100" s="74" t="s">
        <v>102</v>
      </c>
      <c r="B100" s="95">
        <f t="shared" ref="B100:C100" si="79">B99-(B107)</f>
        <v>1221.0900000000001</v>
      </c>
      <c r="C100" s="95">
        <f t="shared" si="79"/>
        <v>1186.0900000000001</v>
      </c>
      <c r="D100" s="95">
        <f t="shared" ref="D100" si="80">D99-(D107)</f>
        <v>1206.0900000000001</v>
      </c>
      <c r="E100" s="95">
        <f t="shared" ref="E100:M100" si="81">E99-(E107)</f>
        <v>1211.0900000000001</v>
      </c>
      <c r="F100" s="95">
        <f t="shared" si="81"/>
        <v>1214.0900000000001</v>
      </c>
      <c r="G100" s="95">
        <f t="shared" si="81"/>
        <v>1292.49</v>
      </c>
      <c r="H100" s="95">
        <f t="shared" si="81"/>
        <v>1303.0900000000001</v>
      </c>
      <c r="I100" s="95">
        <f t="shared" si="81"/>
        <v>1289.0900000000001</v>
      </c>
      <c r="J100" s="95">
        <f t="shared" si="81"/>
        <v>1498.0900000000001</v>
      </c>
      <c r="K100" s="95">
        <f t="shared" si="81"/>
        <v>1607.29</v>
      </c>
      <c r="L100" s="95">
        <f t="shared" si="81"/>
        <v>1714.2900000000002</v>
      </c>
      <c r="M100" s="95">
        <f t="shared" si="81"/>
        <v>1649.29</v>
      </c>
      <c r="N100" s="95">
        <f>N99-(N107)</f>
        <v>1554.39</v>
      </c>
      <c r="O100" s="95">
        <f t="shared" ref="O100:AF100" si="82">O99-(O107)</f>
        <v>1574.5900000000001</v>
      </c>
      <c r="P100" s="95">
        <f t="shared" si="82"/>
        <v>1530.4900000000002</v>
      </c>
      <c r="Q100" s="95">
        <f t="shared" si="82"/>
        <v>1547.69</v>
      </c>
      <c r="R100" s="95">
        <f t="shared" si="82"/>
        <v>1556.89</v>
      </c>
      <c r="S100" s="95">
        <f t="shared" ref="S100:T100" si="83">S99-(S107)</f>
        <v>1468.69</v>
      </c>
      <c r="T100" s="95">
        <f t="shared" si="83"/>
        <v>1509.3899999999999</v>
      </c>
      <c r="U100" s="95">
        <f t="shared" ref="U100:V100" si="84">U99-(U107)</f>
        <v>1522.9900000000002</v>
      </c>
      <c r="V100" s="95">
        <f t="shared" si="84"/>
        <v>1486.5900000000001</v>
      </c>
      <c r="W100" s="95">
        <f t="shared" ref="W100:X100" si="85">W99-(W107)</f>
        <v>1602.4900000000002</v>
      </c>
      <c r="X100" s="95">
        <f t="shared" si="85"/>
        <v>1688.0900000000001</v>
      </c>
      <c r="Y100" s="95">
        <f t="shared" ref="Y100:Z100" si="86">Y99-(Y107)</f>
        <v>1844.99</v>
      </c>
      <c r="Z100" s="95">
        <f t="shared" si="86"/>
        <v>1826.5900000000001</v>
      </c>
      <c r="AA100" s="95">
        <f t="shared" ref="AA100" si="87">AA99-(AA107)</f>
        <v>1772.5900000000001</v>
      </c>
      <c r="AB100" s="95">
        <f t="shared" si="82"/>
        <v>1620.19</v>
      </c>
      <c r="AC100" s="95">
        <f t="shared" si="82"/>
        <v>1579.8899999999999</v>
      </c>
      <c r="AD100" s="95">
        <f t="shared" si="82"/>
        <v>1592.99</v>
      </c>
      <c r="AE100" s="95">
        <f t="shared" si="82"/>
        <v>1393.2900000000002</v>
      </c>
      <c r="AF100" s="95">
        <f t="shared" si="82"/>
        <v>1280.79</v>
      </c>
      <c r="AG100" s="88"/>
      <c r="AH100" s="47">
        <f t="shared" si="53"/>
        <v>1844.99</v>
      </c>
      <c r="AI100" s="48">
        <f t="shared" si="54"/>
        <v>1186.0900000000001</v>
      </c>
    </row>
    <row r="101" spans="1:37" x14ac:dyDescent="0.25">
      <c r="A101" s="44" t="s">
        <v>84</v>
      </c>
      <c r="B101" s="76">
        <f t="shared" ref="B101:C101" si="88">IF(B84&lt;0,B84*-1,0)</f>
        <v>0</v>
      </c>
      <c r="C101" s="76">
        <f t="shared" si="88"/>
        <v>0</v>
      </c>
      <c r="D101" s="76">
        <f t="shared" ref="D101" si="89">IF(D84&lt;0,D84*-1,0)</f>
        <v>0</v>
      </c>
      <c r="E101" s="76">
        <f t="shared" ref="E101:AF101" si="90">IF(E84&lt;0,E84*-1,0)</f>
        <v>0</v>
      </c>
      <c r="F101" s="76">
        <f t="shared" si="90"/>
        <v>0</v>
      </c>
      <c r="G101" s="76">
        <f t="shared" si="90"/>
        <v>0</v>
      </c>
      <c r="H101" s="76">
        <f t="shared" si="90"/>
        <v>0</v>
      </c>
      <c r="I101" s="76">
        <f t="shared" si="90"/>
        <v>0</v>
      </c>
      <c r="J101" s="76">
        <f t="shared" si="90"/>
        <v>0</v>
      </c>
      <c r="K101" s="76">
        <f t="shared" si="90"/>
        <v>0</v>
      </c>
      <c r="L101" s="76">
        <f t="shared" si="90"/>
        <v>0</v>
      </c>
      <c r="M101" s="76">
        <f t="shared" si="90"/>
        <v>0</v>
      </c>
      <c r="N101" s="76">
        <f t="shared" si="90"/>
        <v>0</v>
      </c>
      <c r="O101" s="76">
        <f t="shared" si="90"/>
        <v>0</v>
      </c>
      <c r="P101" s="76">
        <f t="shared" si="90"/>
        <v>0</v>
      </c>
      <c r="Q101" s="76">
        <f t="shared" si="90"/>
        <v>0</v>
      </c>
      <c r="R101" s="76">
        <f t="shared" si="90"/>
        <v>0</v>
      </c>
      <c r="S101" s="76">
        <f t="shared" ref="S101:T101" si="91">IF(S84&lt;0,S84*-1,0)</f>
        <v>0</v>
      </c>
      <c r="T101" s="76">
        <f t="shared" si="91"/>
        <v>0</v>
      </c>
      <c r="U101" s="76">
        <f t="shared" ref="U101:V101" si="92">IF(U84&lt;0,U84*-1,0)</f>
        <v>0</v>
      </c>
      <c r="V101" s="76">
        <f t="shared" si="92"/>
        <v>0</v>
      </c>
      <c r="W101" s="76">
        <f t="shared" ref="W101:X101" si="93">IF(W84&lt;0,W84*-1,0)</f>
        <v>0</v>
      </c>
      <c r="X101" s="76">
        <f t="shared" si="93"/>
        <v>0</v>
      </c>
      <c r="Y101" s="76">
        <f t="shared" ref="Y101:Z101" si="94">IF(Y84&lt;0,Y84*-1,0)</f>
        <v>0</v>
      </c>
      <c r="Z101" s="76">
        <f t="shared" si="94"/>
        <v>0</v>
      </c>
      <c r="AA101" s="76">
        <f t="shared" ref="AA101" si="95">IF(AA84&lt;0,AA84*-1,0)</f>
        <v>0</v>
      </c>
      <c r="AB101" s="76">
        <f t="shared" si="90"/>
        <v>0</v>
      </c>
      <c r="AC101" s="76">
        <f t="shared" si="90"/>
        <v>0</v>
      </c>
      <c r="AD101" s="76">
        <f t="shared" si="90"/>
        <v>0</v>
      </c>
      <c r="AE101" s="76">
        <f t="shared" si="90"/>
        <v>0</v>
      </c>
      <c r="AF101" s="76">
        <f t="shared" si="90"/>
        <v>0</v>
      </c>
      <c r="AG101" s="52"/>
      <c r="AH101" s="47">
        <f t="shared" si="53"/>
        <v>0</v>
      </c>
      <c r="AI101" s="48">
        <f t="shared" si="54"/>
        <v>0</v>
      </c>
    </row>
    <row r="102" spans="1:37" x14ac:dyDescent="0.25">
      <c r="A102" s="54" t="s">
        <v>82</v>
      </c>
      <c r="B102" s="76">
        <f t="shared" ref="B102:C102" si="96">IF(B82&lt;0,B82*-1,0)</f>
        <v>0</v>
      </c>
      <c r="C102" s="76">
        <f t="shared" si="96"/>
        <v>0</v>
      </c>
      <c r="D102" s="76">
        <f t="shared" ref="D102" si="97">IF(D82&lt;0,D82*-1,0)</f>
        <v>0</v>
      </c>
      <c r="E102" s="76">
        <f t="shared" ref="E102:AF102" si="98">IF(E82&lt;0,E82*-1,0)</f>
        <v>0</v>
      </c>
      <c r="F102" s="76">
        <f t="shared" si="98"/>
        <v>0</v>
      </c>
      <c r="G102" s="76">
        <f t="shared" si="98"/>
        <v>0</v>
      </c>
      <c r="H102" s="76">
        <f t="shared" si="98"/>
        <v>0</v>
      </c>
      <c r="I102" s="76">
        <f t="shared" si="98"/>
        <v>0</v>
      </c>
      <c r="J102" s="76">
        <f t="shared" si="98"/>
        <v>0</v>
      </c>
      <c r="K102" s="76">
        <f t="shared" si="98"/>
        <v>0</v>
      </c>
      <c r="L102" s="76">
        <f t="shared" si="98"/>
        <v>0</v>
      </c>
      <c r="M102" s="76">
        <f t="shared" si="98"/>
        <v>0</v>
      </c>
      <c r="N102" s="76">
        <f t="shared" si="98"/>
        <v>0</v>
      </c>
      <c r="O102" s="76">
        <f t="shared" si="98"/>
        <v>0</v>
      </c>
      <c r="P102" s="76">
        <f t="shared" si="98"/>
        <v>0</v>
      </c>
      <c r="Q102" s="76">
        <f t="shared" si="98"/>
        <v>0</v>
      </c>
      <c r="R102" s="76">
        <f t="shared" si="98"/>
        <v>0</v>
      </c>
      <c r="S102" s="76">
        <f t="shared" ref="S102:T102" si="99">IF(S82&lt;0,S82*-1,0)</f>
        <v>0</v>
      </c>
      <c r="T102" s="76">
        <f t="shared" si="99"/>
        <v>0</v>
      </c>
      <c r="U102" s="76">
        <f t="shared" ref="U102:V102" si="100">IF(U82&lt;0,U82*-1,0)</f>
        <v>0</v>
      </c>
      <c r="V102" s="76">
        <f t="shared" si="100"/>
        <v>0</v>
      </c>
      <c r="W102" s="76">
        <f t="shared" ref="W102:X102" si="101">IF(W82&lt;0,W82*-1,0)</f>
        <v>0</v>
      </c>
      <c r="X102" s="76">
        <f t="shared" si="101"/>
        <v>0</v>
      </c>
      <c r="Y102" s="76">
        <f t="shared" ref="Y102:Z102" si="102">IF(Y82&lt;0,Y82*-1,0)</f>
        <v>0</v>
      </c>
      <c r="Z102" s="76">
        <f t="shared" si="102"/>
        <v>0</v>
      </c>
      <c r="AA102" s="76">
        <f t="shared" ref="AA102" si="103">IF(AA82&lt;0,AA82*-1,0)</f>
        <v>0</v>
      </c>
      <c r="AB102" s="76">
        <f t="shared" si="98"/>
        <v>0</v>
      </c>
      <c r="AC102" s="76">
        <f t="shared" si="98"/>
        <v>0</v>
      </c>
      <c r="AD102" s="76">
        <f t="shared" si="98"/>
        <v>0</v>
      </c>
      <c r="AE102" s="76">
        <f t="shared" si="98"/>
        <v>0</v>
      </c>
      <c r="AF102" s="76">
        <f t="shared" si="98"/>
        <v>0</v>
      </c>
      <c r="AG102" s="55"/>
      <c r="AH102" s="47">
        <f t="shared" si="53"/>
        <v>0</v>
      </c>
      <c r="AI102" s="48">
        <f t="shared" si="54"/>
        <v>0</v>
      </c>
    </row>
    <row r="103" spans="1:37" x14ac:dyDescent="0.25">
      <c r="A103" s="84" t="s">
        <v>103</v>
      </c>
      <c r="B103" s="76">
        <f t="shared" ref="B103:C103" si="104">IF(B85&lt;0,B85*-1,0)</f>
        <v>0</v>
      </c>
      <c r="C103" s="76">
        <f t="shared" si="104"/>
        <v>0</v>
      </c>
      <c r="D103" s="76">
        <f t="shared" ref="D103" si="105">IF(D85&lt;0,D85*-1,0)</f>
        <v>0</v>
      </c>
      <c r="E103" s="76">
        <f t="shared" ref="E103:AF103" si="106">IF(E85&lt;0,E85*-1,0)</f>
        <v>0</v>
      </c>
      <c r="F103" s="76">
        <f t="shared" si="106"/>
        <v>0</v>
      </c>
      <c r="G103" s="76">
        <f t="shared" si="106"/>
        <v>0</v>
      </c>
      <c r="H103" s="76">
        <f t="shared" si="106"/>
        <v>0</v>
      </c>
      <c r="I103" s="76">
        <f t="shared" si="106"/>
        <v>0</v>
      </c>
      <c r="J103" s="76">
        <f t="shared" si="106"/>
        <v>0</v>
      </c>
      <c r="K103" s="76">
        <f t="shared" si="106"/>
        <v>0</v>
      </c>
      <c r="L103" s="76">
        <f t="shared" si="106"/>
        <v>0</v>
      </c>
      <c r="M103" s="76">
        <f t="shared" si="106"/>
        <v>0</v>
      </c>
      <c r="N103" s="76">
        <f t="shared" si="106"/>
        <v>0</v>
      </c>
      <c r="O103" s="76">
        <f t="shared" si="106"/>
        <v>0</v>
      </c>
      <c r="P103" s="76">
        <f t="shared" si="106"/>
        <v>0</v>
      </c>
      <c r="Q103" s="76">
        <f t="shared" si="106"/>
        <v>0</v>
      </c>
      <c r="R103" s="76">
        <f t="shared" si="106"/>
        <v>0</v>
      </c>
      <c r="S103" s="76">
        <f t="shared" ref="S103:T103" si="107">IF(S85&lt;0,S85*-1,0)</f>
        <v>0</v>
      </c>
      <c r="T103" s="76">
        <f t="shared" si="107"/>
        <v>0</v>
      </c>
      <c r="U103" s="76">
        <f t="shared" ref="U103:V103" si="108">IF(U85&lt;0,U85*-1,0)</f>
        <v>0</v>
      </c>
      <c r="V103" s="76">
        <f t="shared" si="108"/>
        <v>0</v>
      </c>
      <c r="W103" s="76">
        <f t="shared" ref="W103:X103" si="109">IF(W85&lt;0,W85*-1,0)</f>
        <v>0</v>
      </c>
      <c r="X103" s="76">
        <f t="shared" si="109"/>
        <v>0</v>
      </c>
      <c r="Y103" s="76">
        <f t="shared" ref="Y103:Z103" si="110">IF(Y85&lt;0,Y85*-1,0)</f>
        <v>0</v>
      </c>
      <c r="Z103" s="76">
        <f t="shared" si="110"/>
        <v>0</v>
      </c>
      <c r="AA103" s="76">
        <f t="shared" ref="AA103" si="111">IF(AA85&lt;0,AA85*-1,0)</f>
        <v>0</v>
      </c>
      <c r="AB103" s="76">
        <f t="shared" si="106"/>
        <v>0</v>
      </c>
      <c r="AC103" s="76">
        <f t="shared" si="106"/>
        <v>0</v>
      </c>
      <c r="AD103" s="76">
        <f t="shared" si="106"/>
        <v>0</v>
      </c>
      <c r="AE103" s="76">
        <f t="shared" si="106"/>
        <v>0</v>
      </c>
      <c r="AF103" s="76">
        <f t="shared" si="106"/>
        <v>0</v>
      </c>
      <c r="AG103" s="98"/>
      <c r="AH103" s="47">
        <f t="shared" si="53"/>
        <v>0</v>
      </c>
      <c r="AI103" s="48">
        <f t="shared" si="54"/>
        <v>0</v>
      </c>
    </row>
    <row r="104" spans="1:37" x14ac:dyDescent="0.25">
      <c r="A104" s="84" t="s">
        <v>104</v>
      </c>
      <c r="B104" s="76">
        <f t="shared" ref="B104:C104" si="112">IF(B83&lt;0,B83*-1,0)</f>
        <v>0</v>
      </c>
      <c r="C104" s="76">
        <f t="shared" si="112"/>
        <v>0</v>
      </c>
      <c r="D104" s="76">
        <f t="shared" ref="D104" si="113">IF(D83&lt;0,D83*-1,0)</f>
        <v>0</v>
      </c>
      <c r="E104" s="76">
        <f t="shared" ref="E104:AF104" si="114">IF(E83&lt;0,E83*-1,0)</f>
        <v>0</v>
      </c>
      <c r="F104" s="76">
        <f t="shared" si="114"/>
        <v>0</v>
      </c>
      <c r="G104" s="76">
        <f t="shared" si="114"/>
        <v>0</v>
      </c>
      <c r="H104" s="76">
        <f t="shared" si="114"/>
        <v>0</v>
      </c>
      <c r="I104" s="76">
        <f t="shared" si="114"/>
        <v>0</v>
      </c>
      <c r="J104" s="76">
        <f t="shared" si="114"/>
        <v>0</v>
      </c>
      <c r="K104" s="76">
        <f t="shared" si="114"/>
        <v>0</v>
      </c>
      <c r="L104" s="76">
        <f t="shared" si="114"/>
        <v>0</v>
      </c>
      <c r="M104" s="76">
        <f t="shared" si="114"/>
        <v>0</v>
      </c>
      <c r="N104" s="76">
        <f t="shared" si="114"/>
        <v>0</v>
      </c>
      <c r="O104" s="76">
        <f t="shared" si="114"/>
        <v>0</v>
      </c>
      <c r="P104" s="76">
        <f t="shared" si="114"/>
        <v>0</v>
      </c>
      <c r="Q104" s="76">
        <f t="shared" si="114"/>
        <v>0</v>
      </c>
      <c r="R104" s="76">
        <f t="shared" si="114"/>
        <v>0</v>
      </c>
      <c r="S104" s="76">
        <f t="shared" ref="S104:T104" si="115">IF(S83&lt;0,S83*-1,0)</f>
        <v>0</v>
      </c>
      <c r="T104" s="76">
        <f t="shared" si="115"/>
        <v>0</v>
      </c>
      <c r="U104" s="76">
        <f t="shared" ref="U104:V104" si="116">IF(U83&lt;0,U83*-1,0)</f>
        <v>0</v>
      </c>
      <c r="V104" s="76">
        <f t="shared" si="116"/>
        <v>0</v>
      </c>
      <c r="W104" s="76">
        <f t="shared" ref="W104:X104" si="117">IF(W83&lt;0,W83*-1,0)</f>
        <v>0</v>
      </c>
      <c r="X104" s="76">
        <f t="shared" si="117"/>
        <v>0</v>
      </c>
      <c r="Y104" s="76">
        <f t="shared" ref="Y104:Z104" si="118">IF(Y83&lt;0,Y83*-1,0)</f>
        <v>0</v>
      </c>
      <c r="Z104" s="76">
        <f t="shared" si="118"/>
        <v>0</v>
      </c>
      <c r="AA104" s="76">
        <f t="shared" ref="AA104" si="119">IF(AA83&lt;0,AA83*-1,0)</f>
        <v>0</v>
      </c>
      <c r="AB104" s="76">
        <f t="shared" si="114"/>
        <v>0</v>
      </c>
      <c r="AC104" s="76">
        <f t="shared" si="114"/>
        <v>0</v>
      </c>
      <c r="AD104" s="76">
        <f t="shared" si="114"/>
        <v>0</v>
      </c>
      <c r="AE104" s="76">
        <f t="shared" si="114"/>
        <v>0</v>
      </c>
      <c r="AF104" s="76">
        <f t="shared" si="114"/>
        <v>0</v>
      </c>
      <c r="AG104" s="98"/>
      <c r="AH104" s="47">
        <f t="shared" si="53"/>
        <v>0</v>
      </c>
      <c r="AI104" s="48">
        <f t="shared" si="54"/>
        <v>0</v>
      </c>
    </row>
    <row r="105" spans="1:37" x14ac:dyDescent="0.25">
      <c r="A105" s="84" t="s">
        <v>81</v>
      </c>
      <c r="B105" s="76">
        <f t="shared" ref="B105:C105" si="120">IF(B81&lt;0,B81*-1,0)</f>
        <v>0</v>
      </c>
      <c r="C105" s="76">
        <f t="shared" si="120"/>
        <v>0</v>
      </c>
      <c r="D105" s="76">
        <f t="shared" ref="D105" si="121">IF(D81&lt;0,D81*-1,0)</f>
        <v>0</v>
      </c>
      <c r="E105" s="76">
        <f t="shared" ref="E105:AF105" si="122">IF(E81&lt;0,E81*-1,0)</f>
        <v>0</v>
      </c>
      <c r="F105" s="76">
        <f t="shared" si="122"/>
        <v>0</v>
      </c>
      <c r="G105" s="76">
        <f t="shared" si="122"/>
        <v>0</v>
      </c>
      <c r="H105" s="76">
        <f t="shared" si="122"/>
        <v>0</v>
      </c>
      <c r="I105" s="76">
        <f t="shared" si="122"/>
        <v>0</v>
      </c>
      <c r="J105" s="76">
        <f t="shared" si="122"/>
        <v>0</v>
      </c>
      <c r="K105" s="76">
        <f t="shared" si="122"/>
        <v>0</v>
      </c>
      <c r="L105" s="76">
        <f t="shared" si="122"/>
        <v>0</v>
      </c>
      <c r="M105" s="76">
        <f t="shared" si="122"/>
        <v>0</v>
      </c>
      <c r="N105" s="76">
        <f t="shared" si="122"/>
        <v>0</v>
      </c>
      <c r="O105" s="76">
        <f t="shared" si="122"/>
        <v>0</v>
      </c>
      <c r="P105" s="76">
        <f t="shared" si="122"/>
        <v>0</v>
      </c>
      <c r="Q105" s="76">
        <f t="shared" si="122"/>
        <v>0</v>
      </c>
      <c r="R105" s="76">
        <f t="shared" si="122"/>
        <v>0</v>
      </c>
      <c r="S105" s="76">
        <f t="shared" ref="S105:T105" si="123">IF(S81&lt;0,S81*-1,0)</f>
        <v>0</v>
      </c>
      <c r="T105" s="76">
        <f t="shared" si="123"/>
        <v>0</v>
      </c>
      <c r="U105" s="76">
        <f t="shared" ref="U105:V105" si="124">IF(U81&lt;0,U81*-1,0)</f>
        <v>0</v>
      </c>
      <c r="V105" s="76">
        <f t="shared" si="124"/>
        <v>0</v>
      </c>
      <c r="W105" s="76">
        <f t="shared" ref="W105:X105" si="125">IF(W81&lt;0,W81*-1,0)</f>
        <v>0</v>
      </c>
      <c r="X105" s="76">
        <f t="shared" si="125"/>
        <v>0</v>
      </c>
      <c r="Y105" s="76">
        <f t="shared" ref="Y105:Z105" si="126">IF(Y81&lt;0,Y81*-1,0)</f>
        <v>0</v>
      </c>
      <c r="Z105" s="76">
        <f t="shared" si="126"/>
        <v>0</v>
      </c>
      <c r="AA105" s="76">
        <f t="shared" ref="AA105" si="127">IF(AA81&lt;0,AA81*-1,0)</f>
        <v>0</v>
      </c>
      <c r="AB105" s="76">
        <f t="shared" si="122"/>
        <v>0</v>
      </c>
      <c r="AC105" s="76">
        <f t="shared" si="122"/>
        <v>0</v>
      </c>
      <c r="AD105" s="76">
        <f t="shared" si="122"/>
        <v>0</v>
      </c>
      <c r="AE105" s="76">
        <f t="shared" si="122"/>
        <v>0</v>
      </c>
      <c r="AF105" s="76">
        <f t="shared" si="122"/>
        <v>0</v>
      </c>
      <c r="AG105" s="98"/>
      <c r="AH105" s="47">
        <f t="shared" si="53"/>
        <v>0</v>
      </c>
      <c r="AI105" s="48">
        <f t="shared" si="54"/>
        <v>0</v>
      </c>
    </row>
    <row r="106" spans="1:37" ht="15.75" thickBot="1" x14ac:dyDescent="0.3">
      <c r="A106" s="84" t="s">
        <v>105</v>
      </c>
      <c r="B106" s="94">
        <v>4</v>
      </c>
      <c r="C106" s="94">
        <v>4</v>
      </c>
      <c r="D106" s="94">
        <v>4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1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3"/>
        <v>4</v>
      </c>
      <c r="AI106" s="48">
        <f t="shared" si="54"/>
        <v>0</v>
      </c>
    </row>
    <row r="107" spans="1:37" ht="15.75" thickBot="1" x14ac:dyDescent="0.3">
      <c r="A107" s="99" t="s">
        <v>106</v>
      </c>
      <c r="B107" s="60">
        <v>0</v>
      </c>
      <c r="C107" s="60">
        <v>0</v>
      </c>
      <c r="D107" s="60">
        <v>0</v>
      </c>
      <c r="E107" s="60">
        <f t="shared" ref="E107:AF107" si="128">SUM(E101:E106)</f>
        <v>0</v>
      </c>
      <c r="F107" s="60">
        <f t="shared" si="128"/>
        <v>0</v>
      </c>
      <c r="G107" s="60">
        <f t="shared" si="128"/>
        <v>0</v>
      </c>
      <c r="H107" s="60">
        <f t="shared" si="128"/>
        <v>0</v>
      </c>
      <c r="I107" s="60">
        <f t="shared" si="128"/>
        <v>0</v>
      </c>
      <c r="J107" s="60">
        <f t="shared" si="128"/>
        <v>0</v>
      </c>
      <c r="K107" s="60">
        <f t="shared" si="128"/>
        <v>0</v>
      </c>
      <c r="L107" s="60">
        <f t="shared" si="128"/>
        <v>0</v>
      </c>
      <c r="M107" s="60">
        <f t="shared" si="128"/>
        <v>0</v>
      </c>
      <c r="N107" s="60">
        <f t="shared" si="128"/>
        <v>0</v>
      </c>
      <c r="O107" s="60">
        <f t="shared" si="128"/>
        <v>0</v>
      </c>
      <c r="P107" s="60">
        <f t="shared" si="128"/>
        <v>0</v>
      </c>
      <c r="Q107" s="60">
        <f t="shared" si="128"/>
        <v>0</v>
      </c>
      <c r="R107" s="60">
        <f t="shared" si="128"/>
        <v>0</v>
      </c>
      <c r="S107" s="60">
        <f t="shared" ref="S107:T107" si="129">SUM(S101:S106)</f>
        <v>0</v>
      </c>
      <c r="T107" s="60">
        <f t="shared" si="129"/>
        <v>0</v>
      </c>
      <c r="U107" s="60">
        <f t="shared" ref="U107:V107" si="130">SUM(U101:U106)</f>
        <v>0</v>
      </c>
      <c r="V107" s="60">
        <f t="shared" si="130"/>
        <v>0</v>
      </c>
      <c r="W107" s="60">
        <f t="shared" ref="W107:X107" si="131">SUM(W101:W106)</f>
        <v>0</v>
      </c>
      <c r="X107" s="60">
        <f t="shared" si="131"/>
        <v>0</v>
      </c>
      <c r="Y107" s="60">
        <f t="shared" ref="Y107:Z107" si="132">SUM(Y101:Y106)</f>
        <v>0</v>
      </c>
      <c r="Z107" s="60">
        <f t="shared" si="132"/>
        <v>0</v>
      </c>
      <c r="AA107" s="60">
        <f t="shared" ref="AA107" si="133">SUM(AA101:AA106)</f>
        <v>1</v>
      </c>
      <c r="AB107" s="60">
        <f t="shared" si="128"/>
        <v>0</v>
      </c>
      <c r="AC107" s="60">
        <f t="shared" si="128"/>
        <v>0</v>
      </c>
      <c r="AD107" s="60">
        <f t="shared" si="128"/>
        <v>0</v>
      </c>
      <c r="AE107" s="60">
        <f t="shared" si="128"/>
        <v>0</v>
      </c>
      <c r="AF107" s="60">
        <f t="shared" si="128"/>
        <v>0</v>
      </c>
      <c r="AG107" s="88"/>
      <c r="AH107" s="47">
        <f t="shared" si="53"/>
        <v>1</v>
      </c>
      <c r="AI107" s="48">
        <f t="shared" si="54"/>
        <v>0</v>
      </c>
      <c r="AK107" s="50"/>
    </row>
    <row r="108" spans="1:37" ht="15.75" thickBot="1" x14ac:dyDescent="0.3">
      <c r="A108" s="74" t="s">
        <v>107</v>
      </c>
      <c r="B108" s="60">
        <f t="shared" ref="B108:C108" si="134">B92-B107</f>
        <v>611</v>
      </c>
      <c r="C108" s="60">
        <f t="shared" si="134"/>
        <v>576</v>
      </c>
      <c r="D108" s="60">
        <f t="shared" ref="D108" si="135">D92-D107</f>
        <v>596</v>
      </c>
      <c r="E108" s="60">
        <f t="shared" ref="E108:AF108" si="136">E92-E107</f>
        <v>601</v>
      </c>
      <c r="F108" s="60">
        <f t="shared" si="136"/>
        <v>594</v>
      </c>
      <c r="G108" s="60">
        <f t="shared" si="136"/>
        <v>672.4</v>
      </c>
      <c r="H108" s="60">
        <f t="shared" si="136"/>
        <v>673</v>
      </c>
      <c r="I108" s="60">
        <f t="shared" si="136"/>
        <v>669</v>
      </c>
      <c r="J108" s="60">
        <f t="shared" si="136"/>
        <v>681.6</v>
      </c>
      <c r="K108" s="60">
        <f t="shared" si="136"/>
        <v>611.6</v>
      </c>
      <c r="L108" s="60">
        <f t="shared" si="136"/>
        <v>360.7</v>
      </c>
      <c r="M108" s="60">
        <f t="shared" si="136"/>
        <v>243.2</v>
      </c>
      <c r="N108" s="60">
        <f t="shared" si="136"/>
        <v>449</v>
      </c>
      <c r="O108" s="60">
        <f t="shared" si="136"/>
        <v>552</v>
      </c>
      <c r="P108" s="60">
        <f t="shared" si="136"/>
        <v>616</v>
      </c>
      <c r="Q108" s="60">
        <f t="shared" si="136"/>
        <v>675.5</v>
      </c>
      <c r="R108" s="60">
        <f t="shared" si="136"/>
        <v>702.8</v>
      </c>
      <c r="S108" s="60">
        <f t="shared" ref="S108:T108" si="137">S92-S107</f>
        <v>636.79999999999995</v>
      </c>
      <c r="T108" s="60">
        <f t="shared" si="137"/>
        <v>719.19999999999993</v>
      </c>
      <c r="U108" s="60">
        <f t="shared" ref="U108:V108" si="138">U92-U107</f>
        <v>740.9</v>
      </c>
      <c r="V108" s="60">
        <f t="shared" si="138"/>
        <v>587.50000000000011</v>
      </c>
      <c r="W108" s="60">
        <f t="shared" ref="W108:X108" si="139">W92-W107</f>
        <v>607.6</v>
      </c>
      <c r="X108" s="60">
        <f t="shared" si="139"/>
        <v>627.1</v>
      </c>
      <c r="Y108" s="60">
        <f t="shared" ref="Y108:Z108" si="140">Y92-Y107</f>
        <v>454.39999999999992</v>
      </c>
      <c r="Z108" s="60">
        <f t="shared" si="140"/>
        <v>326</v>
      </c>
      <c r="AA108" s="60">
        <f t="shared" ref="AA108" si="141">AA92-AA107</f>
        <v>325.39999999999998</v>
      </c>
      <c r="AB108" s="60">
        <f t="shared" si="136"/>
        <v>457.1</v>
      </c>
      <c r="AC108" s="60">
        <f t="shared" si="136"/>
        <v>601.4</v>
      </c>
      <c r="AD108" s="60">
        <f t="shared" si="136"/>
        <v>674.3</v>
      </c>
      <c r="AE108" s="60">
        <f t="shared" si="136"/>
        <v>697.7</v>
      </c>
      <c r="AF108" s="60">
        <f t="shared" si="136"/>
        <v>632.9</v>
      </c>
      <c r="AG108" s="88"/>
      <c r="AH108" s="47">
        <f t="shared" si="53"/>
        <v>740.9</v>
      </c>
      <c r="AI108" s="48">
        <f t="shared" si="54"/>
        <v>243.2</v>
      </c>
    </row>
    <row r="109" spans="1:37" x14ac:dyDescent="0.25">
      <c r="A109" s="100" t="s">
        <v>108</v>
      </c>
      <c r="B109" s="101">
        <v>50.02</v>
      </c>
      <c r="C109" s="101">
        <v>50.02</v>
      </c>
      <c r="D109" s="101">
        <v>50.03</v>
      </c>
      <c r="E109" s="101">
        <v>50.042999999999999</v>
      </c>
      <c r="F109" s="101">
        <v>50.03</v>
      </c>
      <c r="G109" s="101">
        <v>50</v>
      </c>
      <c r="H109" s="101">
        <v>50.04</v>
      </c>
      <c r="I109" s="101">
        <v>50.058999999999997</v>
      </c>
      <c r="J109" s="101">
        <v>50.033999999999999</v>
      </c>
      <c r="K109" s="101">
        <v>49.973999999999997</v>
      </c>
      <c r="L109" s="101">
        <v>50.018000000000001</v>
      </c>
      <c r="M109" s="101">
        <v>50.042999999999999</v>
      </c>
      <c r="N109" s="101">
        <v>49.951999999999998</v>
      </c>
      <c r="O109" s="101">
        <v>49.945</v>
      </c>
      <c r="P109" s="101">
        <v>50.08</v>
      </c>
      <c r="Q109" s="101">
        <v>50.036999999999999</v>
      </c>
      <c r="R109" s="101">
        <v>49.948</v>
      </c>
      <c r="S109" s="101">
        <v>50.13</v>
      </c>
      <c r="T109" s="101">
        <v>49.92</v>
      </c>
      <c r="U109" s="101">
        <v>50.06</v>
      </c>
      <c r="V109" s="101">
        <v>50.02</v>
      </c>
      <c r="W109" s="101">
        <v>50.14</v>
      </c>
      <c r="X109" s="101">
        <v>50.07</v>
      </c>
      <c r="Y109" s="101">
        <v>50.06</v>
      </c>
      <c r="Z109" s="101">
        <v>49.99</v>
      </c>
      <c r="AA109" s="101">
        <v>50.07</v>
      </c>
      <c r="AB109" s="101">
        <v>50.177</v>
      </c>
      <c r="AC109" s="101">
        <v>50.021999999999998</v>
      </c>
      <c r="AD109" s="101">
        <v>50.066000000000003</v>
      </c>
      <c r="AE109" s="101">
        <v>50.104999999999997</v>
      </c>
      <c r="AF109" s="101">
        <v>49.987000000000002</v>
      </c>
      <c r="AG109" s="102"/>
      <c r="AH109" s="47">
        <f t="shared" si="53"/>
        <v>50.177</v>
      </c>
      <c r="AI109" s="48">
        <f t="shared" si="54"/>
        <v>49.92</v>
      </c>
    </row>
    <row r="110" spans="1:37" x14ac:dyDescent="0.25">
      <c r="A110" s="103" t="s">
        <v>109</v>
      </c>
      <c r="B110" s="65">
        <v>129.69999999999999</v>
      </c>
      <c r="C110" s="65">
        <v>129.4</v>
      </c>
      <c r="D110" s="65">
        <v>129.69999999999999</v>
      </c>
      <c r="E110" s="65">
        <v>129.4</v>
      </c>
      <c r="F110" s="65">
        <v>128.66</v>
      </c>
      <c r="G110" s="65">
        <v>129</v>
      </c>
      <c r="H110" s="65">
        <v>128.4</v>
      </c>
      <c r="I110" s="65">
        <v>128.4</v>
      </c>
      <c r="J110" s="65">
        <v>125.9</v>
      </c>
      <c r="K110" s="65">
        <v>127.1</v>
      </c>
      <c r="L110" s="65">
        <v>126.4</v>
      </c>
      <c r="M110" s="65">
        <v>125.8</v>
      </c>
      <c r="N110" s="65">
        <v>126.1</v>
      </c>
      <c r="O110" s="65">
        <v>126.1</v>
      </c>
      <c r="P110" s="65">
        <v>126.1</v>
      </c>
      <c r="Q110" s="65">
        <v>127.3</v>
      </c>
      <c r="R110" s="65">
        <v>125.9</v>
      </c>
      <c r="S110" s="65">
        <v>125.2</v>
      </c>
      <c r="T110" s="65">
        <v>124.1</v>
      </c>
      <c r="U110" s="65">
        <v>124.2</v>
      </c>
      <c r="V110" s="65">
        <v>129.69999999999999</v>
      </c>
      <c r="W110" s="65">
        <v>128</v>
      </c>
      <c r="X110" s="65">
        <v>127.8</v>
      </c>
      <c r="Y110" s="65">
        <v>125.9</v>
      </c>
      <c r="Z110" s="65">
        <v>126.1</v>
      </c>
      <c r="AA110" s="65">
        <v>126.1</v>
      </c>
      <c r="AB110" s="65">
        <v>129.1</v>
      </c>
      <c r="AC110" s="65">
        <v>128.6</v>
      </c>
      <c r="AD110" s="65">
        <v>126.8</v>
      </c>
      <c r="AE110" s="65">
        <v>128.80000000000001</v>
      </c>
      <c r="AF110" s="65">
        <v>129.1</v>
      </c>
      <c r="AG110" s="104"/>
      <c r="AH110" s="47">
        <f t="shared" si="53"/>
        <v>129.69999999999999</v>
      </c>
      <c r="AI110" s="48">
        <f t="shared" si="54"/>
        <v>124.1</v>
      </c>
    </row>
    <row r="111" spans="1:37" x14ac:dyDescent="0.25">
      <c r="A111" s="103" t="s">
        <v>110</v>
      </c>
      <c r="B111" s="65">
        <v>132.69999999999999</v>
      </c>
      <c r="C111" s="65">
        <v>132</v>
      </c>
      <c r="D111" s="65">
        <v>132.6</v>
      </c>
      <c r="E111" s="65">
        <v>132.5</v>
      </c>
      <c r="F111" s="65">
        <v>131.80000000000001</v>
      </c>
      <c r="G111" s="65">
        <v>132.19999999999999</v>
      </c>
      <c r="H111" s="65">
        <v>131.5</v>
      </c>
      <c r="I111" s="65">
        <v>131.19999999999999</v>
      </c>
      <c r="J111" s="65">
        <v>128.19999999999999</v>
      </c>
      <c r="K111" s="65">
        <v>128</v>
      </c>
      <c r="L111" s="65">
        <v>127.2</v>
      </c>
      <c r="M111" s="65">
        <v>126.6</v>
      </c>
      <c r="N111" s="65">
        <v>127.6</v>
      </c>
      <c r="O111" s="65">
        <v>127.6</v>
      </c>
      <c r="P111" s="65">
        <v>127.9</v>
      </c>
      <c r="Q111" s="65">
        <v>129.19999999999999</v>
      </c>
      <c r="R111" s="65">
        <v>128.19999999999999</v>
      </c>
      <c r="S111" s="65">
        <v>127.8</v>
      </c>
      <c r="T111" s="65">
        <v>127</v>
      </c>
      <c r="U111" s="65">
        <v>125.3</v>
      </c>
      <c r="V111" s="65">
        <v>131</v>
      </c>
      <c r="W111" s="65">
        <v>129.5</v>
      </c>
      <c r="X111" s="65">
        <v>129.19999999999999</v>
      </c>
      <c r="Y111" s="65">
        <v>126.6</v>
      </c>
      <c r="Z111" s="65">
        <v>127</v>
      </c>
      <c r="AA111" s="65">
        <v>127</v>
      </c>
      <c r="AB111" s="65">
        <v>130.4</v>
      </c>
      <c r="AC111" s="65">
        <v>130.1</v>
      </c>
      <c r="AD111" s="65">
        <v>129.19999999999999</v>
      </c>
      <c r="AE111" s="65">
        <v>126.3</v>
      </c>
      <c r="AF111" s="65">
        <v>132.1</v>
      </c>
      <c r="AG111" s="104"/>
      <c r="AH111" s="47">
        <f t="shared" si="53"/>
        <v>132.69999999999999</v>
      </c>
      <c r="AI111" s="48">
        <f t="shared" si="54"/>
        <v>125.3</v>
      </c>
    </row>
    <row r="112" spans="1:37" x14ac:dyDescent="0.25">
      <c r="A112" s="103" t="s">
        <v>111</v>
      </c>
      <c r="B112" s="65">
        <v>131</v>
      </c>
      <c r="C112" s="65">
        <v>131</v>
      </c>
      <c r="D112" s="65">
        <v>131</v>
      </c>
      <c r="E112" s="65">
        <v>128.9</v>
      </c>
      <c r="F112" s="65">
        <v>126.2</v>
      </c>
      <c r="G112" s="65">
        <v>128.1</v>
      </c>
      <c r="H112" s="65">
        <v>126.4</v>
      </c>
      <c r="I112" s="65">
        <v>127.5</v>
      </c>
      <c r="J112" s="65">
        <v>126.8</v>
      </c>
      <c r="K112" s="65">
        <v>127.6</v>
      </c>
      <c r="L112" s="65">
        <v>125.2</v>
      </c>
      <c r="M112" s="65">
        <v>127.45</v>
      </c>
      <c r="N112" s="65">
        <v>128.5</v>
      </c>
      <c r="O112" s="65">
        <v>129.19999999999999</v>
      </c>
      <c r="P112" s="65">
        <v>127.5</v>
      </c>
      <c r="Q112" s="65">
        <v>127</v>
      </c>
      <c r="R112" s="65">
        <v>127.2</v>
      </c>
      <c r="S112" s="65">
        <v>125.3</v>
      </c>
      <c r="T112" s="65">
        <v>123.8</v>
      </c>
      <c r="U112" s="65">
        <v>126.6</v>
      </c>
      <c r="V112" s="65">
        <v>131.9</v>
      </c>
      <c r="W112" s="65">
        <v>127.6</v>
      </c>
      <c r="X112" s="65">
        <v>128.5</v>
      </c>
      <c r="Y112" s="65">
        <v>130.5</v>
      </c>
      <c r="Z112" s="65">
        <v>131.1</v>
      </c>
      <c r="AA112" s="65">
        <v>131.1</v>
      </c>
      <c r="AB112" s="65">
        <v>130.19999999999999</v>
      </c>
      <c r="AC112" s="65">
        <v>130.4</v>
      </c>
      <c r="AD112" s="65">
        <v>126.6</v>
      </c>
      <c r="AE112" s="65">
        <v>127.7</v>
      </c>
      <c r="AF112" s="65">
        <v>128.4</v>
      </c>
      <c r="AG112" s="104"/>
      <c r="AH112" s="47">
        <f t="shared" si="53"/>
        <v>131.9</v>
      </c>
      <c r="AI112" s="48">
        <f t="shared" si="54"/>
        <v>123.8</v>
      </c>
    </row>
    <row r="113" spans="1:35" x14ac:dyDescent="0.25">
      <c r="A113" s="105" t="s">
        <v>112</v>
      </c>
      <c r="B113" s="65">
        <v>133</v>
      </c>
      <c r="C113" s="65">
        <v>133.9</v>
      </c>
      <c r="D113" s="65">
        <v>132</v>
      </c>
      <c r="E113" s="65">
        <v>130</v>
      </c>
      <c r="F113" s="65">
        <v>128.1</v>
      </c>
      <c r="G113" s="65">
        <v>130.1</v>
      </c>
      <c r="H113" s="65">
        <v>128.19999999999999</v>
      </c>
      <c r="I113" s="65">
        <v>130.97999999999999</v>
      </c>
      <c r="J113" s="65">
        <v>128.69999999999999</v>
      </c>
      <c r="K113" s="65">
        <v>129</v>
      </c>
      <c r="L113" s="65">
        <v>125.4</v>
      </c>
      <c r="M113" s="65">
        <v>127.5</v>
      </c>
      <c r="N113" s="65">
        <v>128.69999999999999</v>
      </c>
      <c r="O113" s="65">
        <v>129.69999999999999</v>
      </c>
      <c r="P113" s="65">
        <v>129.4</v>
      </c>
      <c r="Q113" s="65">
        <v>128.69999999999999</v>
      </c>
      <c r="R113" s="65">
        <v>129</v>
      </c>
      <c r="S113" s="65">
        <v>126.6</v>
      </c>
      <c r="T113" s="65">
        <v>125.3</v>
      </c>
      <c r="U113" s="65">
        <v>126.6</v>
      </c>
      <c r="V113" s="65">
        <v>132</v>
      </c>
      <c r="W113" s="65">
        <v>128.4</v>
      </c>
      <c r="X113" s="65">
        <v>127.8</v>
      </c>
      <c r="Y113" s="65">
        <v>129.19999999999999</v>
      </c>
      <c r="Z113" s="65">
        <v>131.4</v>
      </c>
      <c r="AA113" s="65">
        <v>131.4</v>
      </c>
      <c r="AB113" s="65">
        <v>132.19999999999999</v>
      </c>
      <c r="AC113" s="65">
        <v>132.80000000000001</v>
      </c>
      <c r="AD113" s="65">
        <v>130</v>
      </c>
      <c r="AE113" s="65">
        <v>131.19999999999999</v>
      </c>
      <c r="AF113" s="65">
        <v>130.19999999999999</v>
      </c>
      <c r="AG113" s="104"/>
      <c r="AH113" s="47">
        <f t="shared" si="53"/>
        <v>133.9</v>
      </c>
      <c r="AI113" s="48">
        <f t="shared" si="54"/>
        <v>125.3</v>
      </c>
    </row>
    <row r="114" spans="1:35" x14ac:dyDescent="0.25">
      <c r="A114" s="105" t="s">
        <v>113</v>
      </c>
      <c r="B114" s="106">
        <v>130.6</v>
      </c>
      <c r="C114" s="106">
        <v>130.4</v>
      </c>
      <c r="D114" s="106">
        <v>131.4</v>
      </c>
      <c r="E114" s="106">
        <v>131.4</v>
      </c>
      <c r="F114" s="106">
        <v>129.80000000000001</v>
      </c>
      <c r="G114" s="106">
        <v>132.9</v>
      </c>
      <c r="H114" s="106">
        <v>134.69999999999999</v>
      </c>
      <c r="I114" s="106">
        <v>134</v>
      </c>
      <c r="J114" s="106">
        <v>132.4</v>
      </c>
      <c r="K114" s="106">
        <v>135.9</v>
      </c>
      <c r="L114" s="106">
        <v>133.5</v>
      </c>
      <c r="M114" s="106">
        <v>133.30000000000001</v>
      </c>
      <c r="N114" s="106">
        <v>132.1</v>
      </c>
      <c r="O114" s="106">
        <v>133.4</v>
      </c>
      <c r="P114" s="106">
        <v>133.5</v>
      </c>
      <c r="Q114" s="106">
        <v>137.80000000000001</v>
      </c>
      <c r="R114" s="106">
        <v>133.30000000000001</v>
      </c>
      <c r="S114" s="106">
        <v>132.19999999999999</v>
      </c>
      <c r="T114" s="106">
        <v>131.30000000000001</v>
      </c>
      <c r="U114" s="106">
        <v>130.5</v>
      </c>
      <c r="V114" s="106">
        <v>136.69999999999999</v>
      </c>
      <c r="W114" s="106">
        <v>135</v>
      </c>
      <c r="X114" s="106">
        <v>134.5</v>
      </c>
      <c r="Y114" s="106">
        <v>132.9</v>
      </c>
      <c r="Z114" s="106">
        <v>132.9</v>
      </c>
      <c r="AA114" s="106">
        <v>132.9</v>
      </c>
      <c r="AB114" s="106">
        <v>136.19999999999999</v>
      </c>
      <c r="AC114" s="106">
        <v>135</v>
      </c>
      <c r="AD114" s="106">
        <v>132</v>
      </c>
      <c r="AE114" s="106">
        <v>130.9</v>
      </c>
      <c r="AF114" s="106">
        <v>132.30000000000001</v>
      </c>
      <c r="AG114" s="107"/>
      <c r="AH114" s="47">
        <f t="shared" si="53"/>
        <v>137.80000000000001</v>
      </c>
      <c r="AI114" s="48">
        <f t="shared" si="54"/>
        <v>129.80000000000001</v>
      </c>
    </row>
    <row r="115" spans="1:35" x14ac:dyDescent="0.25">
      <c r="A115" s="103" t="s">
        <v>114</v>
      </c>
      <c r="B115" s="65">
        <v>133</v>
      </c>
      <c r="C115" s="65">
        <v>132.80000000000001</v>
      </c>
      <c r="D115" s="65">
        <v>125</v>
      </c>
      <c r="E115" s="65">
        <v>135</v>
      </c>
      <c r="F115" s="65">
        <v>131.9</v>
      </c>
      <c r="G115" s="65">
        <v>129.5</v>
      </c>
      <c r="H115" s="65">
        <v>126.2</v>
      </c>
      <c r="I115" s="65">
        <v>136</v>
      </c>
      <c r="J115" s="65">
        <v>139.30000000000001</v>
      </c>
      <c r="K115" s="65">
        <v>126.7</v>
      </c>
      <c r="L115" s="65">
        <v>130.1</v>
      </c>
      <c r="M115" s="65">
        <v>129.1</v>
      </c>
      <c r="N115" s="65">
        <v>132.69999999999999</v>
      </c>
      <c r="O115" s="65">
        <v>130.5</v>
      </c>
      <c r="P115" s="65">
        <v>133.9</v>
      </c>
      <c r="Q115" s="65">
        <v>128.6</v>
      </c>
      <c r="R115" s="65">
        <v>130</v>
      </c>
      <c r="S115" s="65">
        <v>130.9</v>
      </c>
      <c r="T115" s="65">
        <v>132.69999999999999</v>
      </c>
      <c r="U115" s="65">
        <v>126.9</v>
      </c>
      <c r="V115" s="65">
        <v>130.97999999999999</v>
      </c>
      <c r="W115" s="65">
        <v>133.4</v>
      </c>
      <c r="X115" s="65">
        <v>133.4</v>
      </c>
      <c r="Y115" s="65">
        <v>131.19999999999999</v>
      </c>
      <c r="Z115" s="65">
        <v>128.9</v>
      </c>
      <c r="AA115" s="65">
        <v>128.9</v>
      </c>
      <c r="AB115" s="65">
        <v>132</v>
      </c>
      <c r="AC115" s="65">
        <v>131</v>
      </c>
      <c r="AD115" s="65">
        <v>133.5</v>
      </c>
      <c r="AE115" s="65">
        <v>131.80000000000001</v>
      </c>
      <c r="AF115" s="65">
        <v>133</v>
      </c>
      <c r="AG115" s="104"/>
      <c r="AH115" s="47">
        <f t="shared" si="53"/>
        <v>139.30000000000001</v>
      </c>
      <c r="AI115" s="48">
        <f t="shared" si="54"/>
        <v>125</v>
      </c>
    </row>
    <row r="116" spans="1:35" ht="15.75" thickBot="1" x14ac:dyDescent="0.3">
      <c r="A116" s="103" t="s">
        <v>115</v>
      </c>
      <c r="B116" s="92">
        <v>67.2</v>
      </c>
      <c r="C116" s="92">
        <v>66.599999999999994</v>
      </c>
      <c r="D116" s="92">
        <v>66.599999999999994</v>
      </c>
      <c r="E116" s="92">
        <v>67</v>
      </c>
      <c r="F116" s="92">
        <v>66.599999999999994</v>
      </c>
      <c r="G116" s="92">
        <v>66.900000000000006</v>
      </c>
      <c r="H116" s="92">
        <v>66.8</v>
      </c>
      <c r="I116" s="92">
        <v>66</v>
      </c>
      <c r="J116" s="92">
        <v>64.3</v>
      </c>
      <c r="K116" s="92">
        <v>64.599999999999994</v>
      </c>
      <c r="L116" s="92">
        <v>64.2</v>
      </c>
      <c r="M116" s="92">
        <v>63.8</v>
      </c>
      <c r="N116" s="92">
        <v>64.400000000000006</v>
      </c>
      <c r="O116" s="92">
        <v>64.3</v>
      </c>
      <c r="P116" s="92">
        <v>64.3</v>
      </c>
      <c r="Q116" s="92">
        <v>65.2</v>
      </c>
      <c r="R116" s="92">
        <v>64.900000000000006</v>
      </c>
      <c r="S116" s="92">
        <v>64.7</v>
      </c>
      <c r="T116" s="92">
        <v>64.5</v>
      </c>
      <c r="U116" s="92">
        <v>64.2</v>
      </c>
      <c r="V116" s="92">
        <v>66.099999999999994</v>
      </c>
      <c r="W116" s="92">
        <v>65</v>
      </c>
      <c r="X116" s="92">
        <v>64.599999999999994</v>
      </c>
      <c r="Y116" s="92">
        <v>63.4</v>
      </c>
      <c r="Z116" s="92">
        <v>63.6</v>
      </c>
      <c r="AA116" s="92">
        <v>63.6</v>
      </c>
      <c r="AB116" s="92">
        <v>65.5</v>
      </c>
      <c r="AC116" s="92">
        <v>65.099999999999994</v>
      </c>
      <c r="AD116" s="92">
        <v>64.900000000000006</v>
      </c>
      <c r="AE116" s="92">
        <v>65.8</v>
      </c>
      <c r="AF116" s="92">
        <v>66.3</v>
      </c>
      <c r="AG116" s="108"/>
      <c r="AH116" s="47">
        <f t="shared" si="53"/>
        <v>67.2</v>
      </c>
      <c r="AI116" s="48">
        <f t="shared" si="54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3"/>
        <v>0</v>
      </c>
      <c r="AI117" s="48">
        <f t="shared" si="54"/>
        <v>0</v>
      </c>
    </row>
    <row r="118" spans="1:35" ht="15.75" thickBot="1" x14ac:dyDescent="0.3">
      <c r="A118" s="110" t="s">
        <v>117</v>
      </c>
      <c r="B118" s="111">
        <f t="shared" ref="B118:C118" si="142">SUM(B22,B28,B31:B32,B66,B68:B69,B71,B73,B119:B123,B155,B161,B167,B176,B178,B190,B197,B200:B201,B208,B210,B212,B216:B218,B220:B222,B227,B233:B234,B236:B238,B246,B251)</f>
        <v>159.63999999999999</v>
      </c>
      <c r="C118" s="111">
        <f t="shared" si="142"/>
        <v>114.24000000000001</v>
      </c>
      <c r="D118" s="111">
        <f t="shared" ref="D118" si="143">SUM(D22,D28,D31:D32,D66,D68:D69,D71,D73,D119:D123,D155,D161,D167,D176,D178,D190,D197,D200:D201,D208,D210,D212,D216:D218,D220:D222,D227,D233:D234,D236:D238,D246,D251)</f>
        <v>112.64</v>
      </c>
      <c r="E118" s="111">
        <f t="shared" ref="E118:O118" si="144">SUM(E22,E28,E31:E32,E66,E68:E69,E71,E73,E119:E123,E155,E161,E167,E176,E178,E190,E197,E200:E201,E208,E210,E212,E216:E218,E220:E222,E227,E233:E234,E236:E238,E246,E251)</f>
        <v>137.54000000000002</v>
      </c>
      <c r="F118" s="111">
        <f t="shared" si="144"/>
        <v>134.24</v>
      </c>
      <c r="G118" s="111">
        <f t="shared" si="144"/>
        <v>156.02000000000001</v>
      </c>
      <c r="H118" s="111">
        <f t="shared" si="144"/>
        <v>193.39999999999998</v>
      </c>
      <c r="I118" s="111">
        <f t="shared" si="144"/>
        <v>233.54000000000002</v>
      </c>
      <c r="J118" s="111">
        <f t="shared" si="144"/>
        <v>275.24</v>
      </c>
      <c r="K118" s="111">
        <f t="shared" si="144"/>
        <v>366.16</v>
      </c>
      <c r="L118" s="111">
        <f t="shared" si="144"/>
        <v>396.78000000000003</v>
      </c>
      <c r="M118" s="111">
        <f t="shared" si="144"/>
        <v>399.90800000000002</v>
      </c>
      <c r="N118" s="111">
        <f t="shared" si="144"/>
        <v>363.94</v>
      </c>
      <c r="O118" s="111">
        <f t="shared" si="144"/>
        <v>356.14</v>
      </c>
      <c r="P118" s="111">
        <v>42</v>
      </c>
      <c r="Q118" s="111">
        <f t="shared" ref="Q118:AF118" si="145">SUM(Q22,Q28,Q31:Q32,Q66,Q68:Q69,Q71,Q73,Q119:Q123,Q155,Q161,Q167,Q176,Q178,Q190,Q197,Q200:Q201,Q208,Q210,Q212,Q216:Q218,Q220:Q222,Q227,Q233:Q234,Q236:Q238,Q246,Q251)</f>
        <v>333.28399999999999</v>
      </c>
      <c r="R118" s="111">
        <f t="shared" si="145"/>
        <v>334.20799999999997</v>
      </c>
      <c r="S118" s="111">
        <f t="shared" ref="S118:T118" si="146">SUM(S22,S28,S31:S32,S66,S68:S69,S71,S73,S119:S123,S155,S161,S167,S176,S178,S190,S197,S200:S201,S208,S210,S212,S216:S218,S220:S222,S227,S233:S234,S236:S238,S246,S251)</f>
        <v>306.04000000000002</v>
      </c>
      <c r="T118" s="111">
        <f t="shared" si="146"/>
        <v>307.08</v>
      </c>
      <c r="U118" s="111">
        <f t="shared" ref="U118:V118" si="147">SUM(U22,U28,U31:U32,U66,U68:U69,U71,U73,U119:U123,U155,U161,U167,U176,U178,U190,U197,U200:U201,U208,U210,U212,U216:U218,U220:U222,U227,U233:U234,U236:U238,U246,U251)</f>
        <v>312.26</v>
      </c>
      <c r="V118" s="111">
        <f t="shared" si="147"/>
        <v>312.56</v>
      </c>
      <c r="W118" s="111">
        <f t="shared" ref="W118:X118" si="148">SUM(W22,W28,W31:W32,W66,W68:W69,W71,W73,W119:W123,W155,W161,W167,W176,W178,W190,W197,W200:W201,W208,W210,W212,W216:W218,W220:W222,W227,W233:W234,W236:W238,W246,W251)</f>
        <v>329.24</v>
      </c>
      <c r="X118" s="111">
        <f t="shared" si="148"/>
        <v>368.52000000000004</v>
      </c>
      <c r="Y118" s="111">
        <f t="shared" ref="Y118:Z118" si="149">SUM(Y22,Y28,Y31:Y32,Y66,Y68:Y69,Y71,Y73,Y119:Y123,Y155,Y161,Y167,Y176,Y178,Y190,Y197,Y200:Y201,Y208,Y210,Y212,Y216:Y218,Y220:Y222,Y227,Y233:Y234,Y236:Y238,Y246,Y251)</f>
        <v>429.28000000000003</v>
      </c>
      <c r="Z118" s="111">
        <f t="shared" si="149"/>
        <v>433.98</v>
      </c>
      <c r="AA118" s="111">
        <f t="shared" ref="AA118" si="150">SUM(AA22,AA28,AA31:AA32,AA66,AA68:AA69,AA71,AA73,AA119:AA123,AA155,AA161,AA167,AA176,AA178,AA190,AA197,AA200:AA201,AA208,AA210,AA212,AA216:AA218,AA220:AA222,AA227,AA233:AA234,AA236:AA238,AA246,AA251)</f>
        <v>416.88000000000005</v>
      </c>
      <c r="AB118" s="111">
        <f t="shared" si="145"/>
        <v>388.089</v>
      </c>
      <c r="AC118" s="111">
        <f t="shared" si="145"/>
        <v>363.05199999999996</v>
      </c>
      <c r="AD118" s="111">
        <f t="shared" si="145"/>
        <v>321.66199999999998</v>
      </c>
      <c r="AE118" s="111">
        <f t="shared" si="145"/>
        <v>253.39899999999997</v>
      </c>
      <c r="AF118" s="111">
        <f t="shared" si="145"/>
        <v>187.03</v>
      </c>
      <c r="AG118" s="112"/>
      <c r="AH118" s="47">
        <f t="shared" si="53"/>
        <v>433.98</v>
      </c>
      <c r="AI118" s="48">
        <f t="shared" si="54"/>
        <v>42</v>
      </c>
    </row>
    <row r="119" spans="1:35" x14ac:dyDescent="0.25">
      <c r="A119" s="172" t="s">
        <v>118</v>
      </c>
      <c r="B119" s="113">
        <v>-18</v>
      </c>
      <c r="C119" s="113">
        <v>-18</v>
      </c>
      <c r="D119" s="113">
        <v>-25</v>
      </c>
      <c r="E119" s="113">
        <v>-15.7</v>
      </c>
      <c r="F119" s="113">
        <v>-19.3</v>
      </c>
      <c r="G119" s="113">
        <v>-10.3</v>
      </c>
      <c r="H119" s="113">
        <v>1.3</v>
      </c>
      <c r="I119" s="113">
        <v>9.3000000000000007</v>
      </c>
      <c r="J119" s="113">
        <v>13.4</v>
      </c>
      <c r="K119" s="113">
        <v>29.4</v>
      </c>
      <c r="L119" s="113">
        <v>45</v>
      </c>
      <c r="M119" s="113">
        <v>34.5</v>
      </c>
      <c r="N119" s="113">
        <v>22.5</v>
      </c>
      <c r="O119" s="113">
        <v>25.1</v>
      </c>
      <c r="P119" s="113">
        <v>29.7</v>
      </c>
      <c r="Q119" s="113">
        <v>26.3</v>
      </c>
      <c r="R119" s="113">
        <v>25.1</v>
      </c>
      <c r="S119" s="113">
        <v>18.899999999999999</v>
      </c>
      <c r="T119" s="113">
        <v>17.7</v>
      </c>
      <c r="U119" s="113">
        <v>18.899999999999999</v>
      </c>
      <c r="V119" s="113">
        <v>22.9</v>
      </c>
      <c r="W119" s="113">
        <v>20.3</v>
      </c>
      <c r="X119" s="113">
        <v>37.1</v>
      </c>
      <c r="Y119" s="113">
        <v>40.200000000000003</v>
      </c>
      <c r="Z119" s="113">
        <v>42.74</v>
      </c>
      <c r="AA119" s="113">
        <v>41.5</v>
      </c>
      <c r="AB119" s="113">
        <v>31.9</v>
      </c>
      <c r="AC119" s="113">
        <v>23.7</v>
      </c>
      <c r="AD119" s="113">
        <v>21</v>
      </c>
      <c r="AE119" s="113">
        <v>8.8000000000000007</v>
      </c>
      <c r="AF119" s="113">
        <v>-3.6</v>
      </c>
      <c r="AG119" s="114">
        <v>75</v>
      </c>
      <c r="AH119" s="47">
        <f t="shared" si="53"/>
        <v>45</v>
      </c>
      <c r="AI119" s="48">
        <f t="shared" si="54"/>
        <v>-25</v>
      </c>
    </row>
    <row r="120" spans="1:35" x14ac:dyDescent="0.25">
      <c r="A120" s="173" t="s">
        <v>119</v>
      </c>
      <c r="B120" s="115">
        <v>4</v>
      </c>
      <c r="C120" s="115">
        <v>-28</v>
      </c>
      <c r="D120" s="115">
        <v>-17</v>
      </c>
      <c r="E120" s="115">
        <v>-23</v>
      </c>
      <c r="F120" s="115">
        <v>-29.3</v>
      </c>
      <c r="G120" s="115">
        <v>-18</v>
      </c>
      <c r="H120" s="115">
        <v>-0.9</v>
      </c>
      <c r="I120" s="115">
        <v>7</v>
      </c>
      <c r="J120" s="115">
        <v>10.4</v>
      </c>
      <c r="K120" s="115">
        <v>37.299999999999997</v>
      </c>
      <c r="L120" s="115">
        <v>59.2</v>
      </c>
      <c r="M120" s="115">
        <v>46.4</v>
      </c>
      <c r="N120" s="115">
        <v>32.200000000000003</v>
      </c>
      <c r="O120" s="115">
        <v>34.700000000000003</v>
      </c>
      <c r="P120" s="115">
        <v>34</v>
      </c>
      <c r="Q120" s="115">
        <v>30</v>
      </c>
      <c r="R120" s="115">
        <v>27.6</v>
      </c>
      <c r="S120" s="115">
        <v>20</v>
      </c>
      <c r="T120" s="115">
        <v>18.399999999999999</v>
      </c>
      <c r="U120" s="115">
        <v>18.399999999999999</v>
      </c>
      <c r="V120" s="115">
        <v>31.5</v>
      </c>
      <c r="W120" s="115">
        <v>27.9</v>
      </c>
      <c r="X120" s="115">
        <v>48.2</v>
      </c>
      <c r="Y120" s="115">
        <v>52.9</v>
      </c>
      <c r="Z120" s="115">
        <v>56.4</v>
      </c>
      <c r="AA120" s="115">
        <v>55.1</v>
      </c>
      <c r="AB120" s="115">
        <v>41.8</v>
      </c>
      <c r="AC120" s="115">
        <v>32.299999999999997</v>
      </c>
      <c r="AD120" s="115">
        <v>23.5</v>
      </c>
      <c r="AE120" s="115">
        <v>7.1</v>
      </c>
      <c r="AF120" s="115">
        <v>-9.3000000000000007</v>
      </c>
      <c r="AG120" s="114">
        <v>240</v>
      </c>
      <c r="AH120" s="47">
        <f t="shared" si="53"/>
        <v>59.2</v>
      </c>
      <c r="AI120" s="48">
        <f t="shared" si="54"/>
        <v>-29.3</v>
      </c>
    </row>
    <row r="121" spans="1:35" x14ac:dyDescent="0.25">
      <c r="A121" s="173" t="s">
        <v>120</v>
      </c>
      <c r="B121" s="115">
        <v>0</v>
      </c>
      <c r="C121" s="115">
        <v>-5.4</v>
      </c>
      <c r="D121" s="115">
        <v>-7</v>
      </c>
      <c r="E121" s="115">
        <v>-11</v>
      </c>
      <c r="F121" s="115">
        <v>-9</v>
      </c>
      <c r="G121" s="115">
        <v>-7</v>
      </c>
      <c r="H121" s="115">
        <v>0</v>
      </c>
      <c r="I121" s="115">
        <v>8</v>
      </c>
      <c r="J121" s="115">
        <v>20</v>
      </c>
      <c r="K121" s="115">
        <v>52</v>
      </c>
      <c r="L121" s="115">
        <v>45</v>
      </c>
      <c r="M121" s="115">
        <v>44.6</v>
      </c>
      <c r="N121" s="115">
        <v>45</v>
      </c>
      <c r="O121" s="115">
        <v>44</v>
      </c>
      <c r="P121" s="115">
        <v>33</v>
      </c>
      <c r="Q121" s="115">
        <v>26.4</v>
      </c>
      <c r="R121" s="115">
        <v>24</v>
      </c>
      <c r="S121" s="115">
        <v>18</v>
      </c>
      <c r="T121" s="115">
        <v>20</v>
      </c>
      <c r="U121" s="115">
        <v>24</v>
      </c>
      <c r="V121" s="115">
        <v>33</v>
      </c>
      <c r="W121" s="115">
        <v>40</v>
      </c>
      <c r="X121" s="115">
        <v>44</v>
      </c>
      <c r="Y121" s="115">
        <v>58</v>
      </c>
      <c r="Z121" s="115">
        <v>57</v>
      </c>
      <c r="AA121" s="115">
        <v>50</v>
      </c>
      <c r="AB121" s="115">
        <v>55.4</v>
      </c>
      <c r="AC121" s="115">
        <v>51</v>
      </c>
      <c r="AD121" s="115">
        <v>31.2</v>
      </c>
      <c r="AE121" s="115">
        <v>12</v>
      </c>
      <c r="AF121" s="115">
        <v>-3.9</v>
      </c>
      <c r="AG121" s="114">
        <v>240</v>
      </c>
      <c r="AH121" s="47">
        <f t="shared" si="53"/>
        <v>58</v>
      </c>
      <c r="AI121" s="48">
        <f t="shared" si="54"/>
        <v>-11</v>
      </c>
    </row>
    <row r="122" spans="1:35" ht="15.75" thickBot="1" x14ac:dyDescent="0.3">
      <c r="A122" s="173" t="s">
        <v>121</v>
      </c>
      <c r="B122" s="115">
        <v>-2</v>
      </c>
      <c r="C122" s="115">
        <v>-10</v>
      </c>
      <c r="D122" s="115">
        <v>-9</v>
      </c>
      <c r="E122" s="115">
        <v>-12</v>
      </c>
      <c r="F122" s="115">
        <v>-9</v>
      </c>
      <c r="G122" s="115">
        <v>-10</v>
      </c>
      <c r="H122" s="115">
        <v>0</v>
      </c>
      <c r="I122" s="115">
        <v>2</v>
      </c>
      <c r="J122" s="115">
        <v>5</v>
      </c>
      <c r="K122" s="115">
        <v>22</v>
      </c>
      <c r="L122" s="115">
        <v>23</v>
      </c>
      <c r="M122" s="115">
        <v>21.9</v>
      </c>
      <c r="N122" s="115">
        <v>20</v>
      </c>
      <c r="O122" s="115">
        <v>21</v>
      </c>
      <c r="P122" s="115">
        <v>14</v>
      </c>
      <c r="Q122" s="115">
        <v>10.4</v>
      </c>
      <c r="R122" s="115">
        <v>7.6</v>
      </c>
      <c r="S122" s="115">
        <v>4.0999999999999996</v>
      </c>
      <c r="T122" s="115">
        <v>1.4</v>
      </c>
      <c r="U122" s="115">
        <v>6.2</v>
      </c>
      <c r="V122" s="115">
        <v>18.3</v>
      </c>
      <c r="W122" s="115">
        <v>22.5</v>
      </c>
      <c r="X122" s="115">
        <v>25.4</v>
      </c>
      <c r="Y122" s="115">
        <v>29.8</v>
      </c>
      <c r="Z122" s="115">
        <v>30.1</v>
      </c>
      <c r="AA122" s="115">
        <v>29.6</v>
      </c>
      <c r="AB122" s="115">
        <v>27.8</v>
      </c>
      <c r="AC122" s="115">
        <v>26.7</v>
      </c>
      <c r="AD122" s="115">
        <v>11.6</v>
      </c>
      <c r="AE122" s="115">
        <v>4</v>
      </c>
      <c r="AF122" s="115">
        <v>0.2</v>
      </c>
      <c r="AG122" s="114">
        <v>60</v>
      </c>
      <c r="AH122" s="47">
        <f t="shared" si="53"/>
        <v>30.1</v>
      </c>
      <c r="AI122" s="48">
        <f t="shared" si="54"/>
        <v>-12</v>
      </c>
    </row>
    <row r="123" spans="1:35" x14ac:dyDescent="0.25">
      <c r="A123" s="172" t="s">
        <v>259</v>
      </c>
      <c r="B123" s="117">
        <v>90</v>
      </c>
      <c r="C123" s="117">
        <v>90</v>
      </c>
      <c r="D123" s="117">
        <v>85</v>
      </c>
      <c r="E123" s="117">
        <f>71*1.6</f>
        <v>113.60000000000001</v>
      </c>
      <c r="F123" s="117">
        <f>72*1.6</f>
        <v>115.2</v>
      </c>
      <c r="G123" s="117">
        <f>72.3*1.6</f>
        <v>115.68</v>
      </c>
      <c r="H123" s="117">
        <f>67.1*1.6</f>
        <v>107.36</v>
      </c>
      <c r="I123" s="117">
        <f>76*1.6</f>
        <v>121.60000000000001</v>
      </c>
      <c r="J123" s="117">
        <f>88*1.6</f>
        <v>140.80000000000001</v>
      </c>
      <c r="K123" s="117">
        <f>87.2*1.6</f>
        <v>139.52000000000001</v>
      </c>
      <c r="L123" s="117">
        <f>85.4*1.6</f>
        <v>136.64000000000001</v>
      </c>
      <c r="M123" s="117">
        <f>1.64*96.2</f>
        <v>157.768</v>
      </c>
      <c r="N123" s="117">
        <v>145</v>
      </c>
      <c r="O123" s="117">
        <v>125</v>
      </c>
      <c r="P123" s="117">
        <v>110</v>
      </c>
      <c r="Q123" s="117">
        <f>1.64*79.6</f>
        <v>130.54399999999998</v>
      </c>
      <c r="R123" s="117">
        <f>1.64*86.2</f>
        <v>141.36799999999999</v>
      </c>
      <c r="S123" s="117">
        <f>88*1.6</f>
        <v>140.80000000000001</v>
      </c>
      <c r="T123" s="117">
        <f>91.4*1.6</f>
        <v>146.24</v>
      </c>
      <c r="U123" s="117">
        <f>93.2*1.6</f>
        <v>149.12</v>
      </c>
      <c r="V123" s="117">
        <f>71.2*1.6</f>
        <v>113.92000000000002</v>
      </c>
      <c r="W123" s="117">
        <f>79*1.6</f>
        <v>126.4</v>
      </c>
      <c r="X123" s="117">
        <f>76.3*1.6</f>
        <v>122.08</v>
      </c>
      <c r="Y123" s="117">
        <f>97.9*1.6</f>
        <v>156.64000000000001</v>
      </c>
      <c r="Z123" s="117">
        <f>97.5*1.6</f>
        <v>156</v>
      </c>
      <c r="AA123" s="117">
        <f>92.9*1.6</f>
        <v>148.64000000000001</v>
      </c>
      <c r="AB123" s="117">
        <f>84.7*1.67</f>
        <v>141.44900000000001</v>
      </c>
      <c r="AC123" s="117">
        <f>83.6*1.67</f>
        <v>139.61199999999999</v>
      </c>
      <c r="AD123" s="117">
        <f>86.6*1.67</f>
        <v>144.62199999999999</v>
      </c>
      <c r="AE123" s="117">
        <f>77.7*1.67</f>
        <v>129.75899999999999</v>
      </c>
      <c r="AF123" s="117">
        <f>67*1.67</f>
        <v>111.89</v>
      </c>
      <c r="AG123" s="118">
        <v>120</v>
      </c>
      <c r="AH123" s="47">
        <f t="shared" si="53"/>
        <v>157.768</v>
      </c>
      <c r="AI123" s="48">
        <f t="shared" si="54"/>
        <v>85</v>
      </c>
    </row>
    <row r="124" spans="1:35" x14ac:dyDescent="0.25">
      <c r="A124" s="173" t="s">
        <v>258</v>
      </c>
      <c r="B124" s="117">
        <v>80</v>
      </c>
      <c r="C124" s="117">
        <v>83</v>
      </c>
      <c r="D124" s="117">
        <v>81</v>
      </c>
      <c r="E124" s="117">
        <v>81</v>
      </c>
      <c r="F124" s="117">
        <v>82</v>
      </c>
      <c r="G124" s="117">
        <v>82</v>
      </c>
      <c r="H124" s="117">
        <v>78</v>
      </c>
      <c r="I124" s="117">
        <v>85</v>
      </c>
      <c r="J124" s="117">
        <v>94</v>
      </c>
      <c r="K124" s="117">
        <v>94</v>
      </c>
      <c r="L124" s="117">
        <v>92.3</v>
      </c>
      <c r="M124" s="117">
        <v>100.4</v>
      </c>
      <c r="N124" s="117">
        <v>90</v>
      </c>
      <c r="O124" s="117">
        <v>88.3</v>
      </c>
      <c r="P124" s="117">
        <v>85.8</v>
      </c>
      <c r="Q124" s="117">
        <v>87.7</v>
      </c>
      <c r="R124" s="117">
        <v>89</v>
      </c>
      <c r="S124" s="117">
        <v>92.9</v>
      </c>
      <c r="T124" s="117">
        <v>96.1</v>
      </c>
      <c r="U124" s="117">
        <v>97.1</v>
      </c>
      <c r="V124" s="117">
        <v>77.8</v>
      </c>
      <c r="W124" s="117">
        <v>85.6</v>
      </c>
      <c r="X124" s="117">
        <v>82.4</v>
      </c>
      <c r="Y124" s="117">
        <v>100.9</v>
      </c>
      <c r="Z124" s="117">
        <v>100.2</v>
      </c>
      <c r="AA124" s="117">
        <v>96.8</v>
      </c>
      <c r="AB124" s="117">
        <v>91.5</v>
      </c>
      <c r="AC124" s="117">
        <v>90.4</v>
      </c>
      <c r="AD124" s="117">
        <v>83.6</v>
      </c>
      <c r="AE124" s="117">
        <v>86.2</v>
      </c>
      <c r="AF124" s="117">
        <v>79.2</v>
      </c>
      <c r="AG124" s="118"/>
      <c r="AH124" s="47"/>
      <c r="AI124" s="48"/>
    </row>
    <row r="125" spans="1:35" x14ac:dyDescent="0.25">
      <c r="A125" s="173" t="s">
        <v>255</v>
      </c>
      <c r="B125" s="117">
        <v>36</v>
      </c>
      <c r="C125" s="117">
        <v>65</v>
      </c>
      <c r="D125" s="117">
        <v>65</v>
      </c>
      <c r="E125" s="117">
        <v>66</v>
      </c>
      <c r="F125" s="117">
        <v>72.5</v>
      </c>
      <c r="G125" s="117">
        <v>58</v>
      </c>
      <c r="H125" s="117">
        <v>45.3</v>
      </c>
      <c r="I125" s="117">
        <v>35</v>
      </c>
      <c r="J125" s="117">
        <v>30</v>
      </c>
      <c r="K125" s="117">
        <v>-32.299999999999997</v>
      </c>
      <c r="L125" s="117">
        <v>-47</v>
      </c>
      <c r="M125" s="117">
        <v>26.4</v>
      </c>
      <c r="N125" s="117">
        <v>-11</v>
      </c>
      <c r="O125" s="117">
        <v>-14</v>
      </c>
      <c r="P125" s="117">
        <v>-1.5</v>
      </c>
      <c r="Q125" s="117">
        <v>6.7</v>
      </c>
      <c r="R125" s="117">
        <v>15.7</v>
      </c>
      <c r="S125" s="117">
        <v>26.5</v>
      </c>
      <c r="T125" s="117">
        <v>27.3</v>
      </c>
      <c r="U125" s="117">
        <v>23.7</v>
      </c>
      <c r="V125" s="117">
        <v>-12.8</v>
      </c>
      <c r="W125" s="117">
        <v>-6.2</v>
      </c>
      <c r="X125" s="117">
        <v>-28.9</v>
      </c>
      <c r="Y125" s="117">
        <v>-33.799999999999997</v>
      </c>
      <c r="Z125" s="117">
        <v>-34.200000000000003</v>
      </c>
      <c r="AA125" s="117">
        <v>-31.6</v>
      </c>
      <c r="AB125" s="117">
        <v>-25.5</v>
      </c>
      <c r="AC125" s="117">
        <v>-15.3</v>
      </c>
      <c r="AD125" s="117">
        <v>8.6999999999999993</v>
      </c>
      <c r="AE125" s="117">
        <v>36.6</v>
      </c>
      <c r="AF125" s="117">
        <v>54.7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80</v>
      </c>
      <c r="C126" s="117">
        <v>95</v>
      </c>
      <c r="D126" s="117">
        <v>89</v>
      </c>
      <c r="E126" s="117">
        <v>87</v>
      </c>
      <c r="F126" s="117">
        <v>87</v>
      </c>
      <c r="G126" s="117">
        <v>86</v>
      </c>
      <c r="H126" s="117">
        <v>79</v>
      </c>
      <c r="I126" s="117">
        <v>90</v>
      </c>
      <c r="J126" s="117">
        <v>95</v>
      </c>
      <c r="K126" s="117">
        <v>92</v>
      </c>
      <c r="L126" s="117">
        <v>69</v>
      </c>
      <c r="M126" s="117">
        <v>83.2</v>
      </c>
      <c r="N126" s="117">
        <v>89</v>
      </c>
      <c r="O126" s="117">
        <v>83</v>
      </c>
      <c r="P126" s="117">
        <v>81</v>
      </c>
      <c r="Q126" s="117">
        <v>86.7</v>
      </c>
      <c r="R126" s="117">
        <v>85</v>
      </c>
      <c r="S126" s="117">
        <v>90.4</v>
      </c>
      <c r="T126" s="117">
        <v>95.5</v>
      </c>
      <c r="U126" s="117">
        <v>98.5</v>
      </c>
      <c r="V126" s="117">
        <v>72.2</v>
      </c>
      <c r="W126" s="117">
        <v>83.2</v>
      </c>
      <c r="X126" s="117">
        <v>77.599999999999994</v>
      </c>
      <c r="Y126" s="117">
        <v>85.1</v>
      </c>
      <c r="Z126" s="117">
        <v>78.400000000000006</v>
      </c>
      <c r="AA126" s="117">
        <v>74.900000000000006</v>
      </c>
      <c r="AB126" s="117">
        <v>77</v>
      </c>
      <c r="AC126" s="117">
        <v>88.9</v>
      </c>
      <c r="AD126" s="117">
        <v>89.2</v>
      </c>
      <c r="AE126" s="117">
        <v>82</v>
      </c>
      <c r="AF126" s="117">
        <v>80.8</v>
      </c>
      <c r="AG126" s="114"/>
      <c r="AH126" s="47">
        <f t="shared" si="53"/>
        <v>98.5</v>
      </c>
      <c r="AI126" s="48">
        <f t="shared" si="54"/>
        <v>69</v>
      </c>
    </row>
    <row r="127" spans="1:35" x14ac:dyDescent="0.25">
      <c r="A127" s="172" t="s">
        <v>587</v>
      </c>
      <c r="B127" s="117">
        <v>17</v>
      </c>
      <c r="C127" s="117">
        <v>40</v>
      </c>
      <c r="D127" s="117">
        <v>37</v>
      </c>
      <c r="E127" s="117">
        <v>35.1</v>
      </c>
      <c r="F127" s="117">
        <v>40</v>
      </c>
      <c r="G127" s="117">
        <v>29</v>
      </c>
      <c r="H127" s="117">
        <v>20</v>
      </c>
      <c r="I127" s="117">
        <v>20</v>
      </c>
      <c r="J127" s="117">
        <v>12.1</v>
      </c>
      <c r="K127" s="117">
        <v>3.4</v>
      </c>
      <c r="L127" s="117">
        <v>-13</v>
      </c>
      <c r="M127" s="117">
        <v>-3.4</v>
      </c>
      <c r="N127" s="117">
        <v>1.8</v>
      </c>
      <c r="O127" s="117">
        <v>0</v>
      </c>
      <c r="P127" s="117">
        <v>-4.7</v>
      </c>
      <c r="Q127" s="117">
        <v>-9.5</v>
      </c>
      <c r="R127" s="117">
        <v>-5.3</v>
      </c>
      <c r="S127" s="117">
        <v>2.1</v>
      </c>
      <c r="T127" s="117">
        <v>4.7</v>
      </c>
      <c r="U127" s="117">
        <v>2.2000000000000002</v>
      </c>
      <c r="V127" s="117">
        <v>-1</v>
      </c>
      <c r="W127" s="117">
        <v>-2.2000000000000002</v>
      </c>
      <c r="X127" s="117">
        <v>-8.1</v>
      </c>
      <c r="Y127" s="117">
        <v>-15</v>
      </c>
      <c r="Z127" s="117">
        <v>-17.3</v>
      </c>
      <c r="AA127" s="117">
        <v>-14.3</v>
      </c>
      <c r="AB127" s="117">
        <v>-3.1</v>
      </c>
      <c r="AC127" s="117">
        <v>0</v>
      </c>
      <c r="AD127" s="117">
        <v>4.4000000000000004</v>
      </c>
      <c r="AE127" s="117">
        <v>11.9</v>
      </c>
      <c r="AF127" s="117">
        <v>17</v>
      </c>
      <c r="AG127" s="114"/>
      <c r="AH127" s="47">
        <f t="shared" si="53"/>
        <v>40</v>
      </c>
      <c r="AI127" s="48">
        <f t="shared" si="54"/>
        <v>-17.3</v>
      </c>
    </row>
    <row r="128" spans="1:35" x14ac:dyDescent="0.25">
      <c r="A128" s="173" t="s">
        <v>123</v>
      </c>
      <c r="B128" s="106">
        <v>-11</v>
      </c>
      <c r="C128" s="106">
        <v>-6.5</v>
      </c>
      <c r="D128" s="106">
        <v>-6.5</v>
      </c>
      <c r="E128" s="106">
        <v>-6.3</v>
      </c>
      <c r="F128" s="106">
        <v>-6.1</v>
      </c>
      <c r="G128" s="106">
        <v>-11</v>
      </c>
      <c r="H128" s="106">
        <v>-16.2</v>
      </c>
      <c r="I128" s="106">
        <v>-24</v>
      </c>
      <c r="J128" s="106">
        <v>-33</v>
      </c>
      <c r="K128" s="106">
        <v>-41.4</v>
      </c>
      <c r="L128" s="106">
        <v>-46</v>
      </c>
      <c r="M128" s="106">
        <v>-45.6</v>
      </c>
      <c r="N128" s="106">
        <v>-33</v>
      </c>
      <c r="O128" s="106">
        <v>-26.5</v>
      </c>
      <c r="P128" s="106">
        <v>-15</v>
      </c>
      <c r="Q128" s="106">
        <v>-16</v>
      </c>
      <c r="R128" s="106">
        <v>-16.2</v>
      </c>
      <c r="S128" s="106">
        <v>-21.3</v>
      </c>
      <c r="T128" s="106">
        <v>-22</v>
      </c>
      <c r="U128" s="106">
        <v>-29.5</v>
      </c>
      <c r="V128" s="106">
        <v>-34.299999999999997</v>
      </c>
      <c r="W128" s="106">
        <v>-42.5</v>
      </c>
      <c r="X128" s="106">
        <v>-53.2</v>
      </c>
      <c r="Y128" s="106">
        <v>-61.2</v>
      </c>
      <c r="Z128" s="106">
        <v>-52.2</v>
      </c>
      <c r="AA128" s="106">
        <v>-42</v>
      </c>
      <c r="AB128" s="106">
        <v>-35.5</v>
      </c>
      <c r="AC128" s="106">
        <v>-30.6</v>
      </c>
      <c r="AD128" s="106">
        <v>-23</v>
      </c>
      <c r="AE128" s="106">
        <v>-20.9</v>
      </c>
      <c r="AF128" s="106">
        <v>-11.5</v>
      </c>
      <c r="AG128" s="114"/>
      <c r="AH128" s="47">
        <f t="shared" si="53"/>
        <v>-6.1</v>
      </c>
      <c r="AI128" s="48">
        <f t="shared" si="54"/>
        <v>-61.2</v>
      </c>
    </row>
    <row r="129" spans="1:37" x14ac:dyDescent="0.25">
      <c r="A129" s="173" t="s">
        <v>260</v>
      </c>
      <c r="B129" s="106">
        <v>-26</v>
      </c>
      <c r="C129" s="106">
        <v>-38</v>
      </c>
      <c r="D129" s="106">
        <v>-31</v>
      </c>
      <c r="E129" s="106">
        <v>-31.6</v>
      </c>
      <c r="F129" s="106">
        <v>32.299999999999997</v>
      </c>
      <c r="G129" s="106">
        <v>-25</v>
      </c>
      <c r="H129" s="106">
        <v>-21.5</v>
      </c>
      <c r="I129" s="106">
        <v>-26.3</v>
      </c>
      <c r="J129" s="106">
        <v>-29.4</v>
      </c>
      <c r="K129" s="106">
        <v>-39</v>
      </c>
      <c r="L129" s="106">
        <v>-20</v>
      </c>
      <c r="M129" s="106">
        <v>-27.5</v>
      </c>
      <c r="N129" s="106">
        <v>-35</v>
      </c>
      <c r="O129" s="106">
        <v>-33.4</v>
      </c>
      <c r="P129" s="106">
        <v>-27</v>
      </c>
      <c r="Q129" s="106">
        <v>-26.2</v>
      </c>
      <c r="R129" s="106">
        <v>28</v>
      </c>
      <c r="S129" s="106">
        <v>-26.6</v>
      </c>
      <c r="T129" s="106">
        <v>-32.200000000000003</v>
      </c>
      <c r="U129" s="106">
        <v>-30.4</v>
      </c>
      <c r="V129" s="106">
        <v>-26.7</v>
      </c>
      <c r="W129" s="106">
        <v>-33.1</v>
      </c>
      <c r="X129" s="106">
        <v>-27.2</v>
      </c>
      <c r="Y129" s="106">
        <v>-34.200000000000003</v>
      </c>
      <c r="Z129" s="106">
        <v>-31.3</v>
      </c>
      <c r="AA129" s="106">
        <v>-27.41</v>
      </c>
      <c r="AB129" s="106">
        <v>-29.7</v>
      </c>
      <c r="AC129" s="106">
        <v>-38.6</v>
      </c>
      <c r="AD129" s="106">
        <v>-36.4</v>
      </c>
      <c r="AE129" s="106">
        <v>-23</v>
      </c>
      <c r="AF129" s="106">
        <v>-21.1</v>
      </c>
      <c r="AG129" s="114"/>
      <c r="AH129" s="47">
        <f t="shared" si="53"/>
        <v>32.299999999999997</v>
      </c>
      <c r="AI129" s="48">
        <f t="shared" si="54"/>
        <v>-39</v>
      </c>
    </row>
    <row r="130" spans="1:37" ht="15.75" thickBot="1" x14ac:dyDescent="0.3">
      <c r="A130" s="173" t="s">
        <v>257</v>
      </c>
      <c r="B130" s="106">
        <v>93</v>
      </c>
      <c r="C130" s="106">
        <v>84</v>
      </c>
      <c r="D130" s="106">
        <v>82</v>
      </c>
      <c r="E130" s="106">
        <v>88</v>
      </c>
      <c r="F130" s="106">
        <v>93.1</v>
      </c>
      <c r="G130" s="106">
        <v>97</v>
      </c>
      <c r="H130" s="106">
        <v>96</v>
      </c>
      <c r="I130" s="106">
        <v>98.3</v>
      </c>
      <c r="J130" s="106">
        <v>111.2</v>
      </c>
      <c r="K130" s="106">
        <v>100</v>
      </c>
      <c r="L130" s="106">
        <v>110</v>
      </c>
      <c r="M130" s="106">
        <v>100</v>
      </c>
      <c r="N130" s="106">
        <v>97</v>
      </c>
      <c r="O130" s="106">
        <v>90.3</v>
      </c>
      <c r="P130" s="106">
        <v>96</v>
      </c>
      <c r="Q130" s="106">
        <v>120</v>
      </c>
      <c r="R130" s="106">
        <v>111.6</v>
      </c>
      <c r="S130" s="106">
        <v>116</v>
      </c>
      <c r="T130" s="106">
        <v>120.9</v>
      </c>
      <c r="U130" s="106">
        <v>115.9</v>
      </c>
      <c r="V130" s="106">
        <v>96.6</v>
      </c>
      <c r="W130" s="106">
        <v>97.2</v>
      </c>
      <c r="X130" s="106">
        <v>108.8</v>
      </c>
      <c r="Y130" s="106">
        <v>117.7</v>
      </c>
      <c r="Z130" s="106">
        <v>108.1</v>
      </c>
      <c r="AA130" s="106">
        <v>103.2</v>
      </c>
      <c r="AB130" s="106">
        <v>99</v>
      </c>
      <c r="AC130" s="106">
        <v>94.3</v>
      </c>
      <c r="AD130" s="106">
        <v>108.1</v>
      </c>
      <c r="AE130" s="106">
        <v>102.1</v>
      </c>
      <c r="AF130" s="106">
        <v>100.6</v>
      </c>
      <c r="AG130" s="114"/>
      <c r="AH130" s="47">
        <f t="shared" si="53"/>
        <v>120.9</v>
      </c>
      <c r="AI130" s="48">
        <f t="shared" si="54"/>
        <v>82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1984.9</v>
      </c>
      <c r="C132" s="147">
        <v>1985.1</v>
      </c>
      <c r="D132" s="147">
        <v>1985.32</v>
      </c>
      <c r="E132" s="147">
        <v>1985.5</v>
      </c>
      <c r="F132" s="147">
        <v>1985.7</v>
      </c>
      <c r="G132" s="147">
        <v>1985.9</v>
      </c>
      <c r="H132" s="147"/>
      <c r="I132" s="147">
        <v>1986.1</v>
      </c>
      <c r="J132" s="147"/>
      <c r="K132" s="147">
        <v>1986.12</v>
      </c>
      <c r="L132" s="147"/>
      <c r="M132" s="147">
        <v>1985.7</v>
      </c>
      <c r="N132" s="147">
        <v>1984.85</v>
      </c>
      <c r="O132" s="147">
        <v>1984.75</v>
      </c>
      <c r="P132" s="147">
        <v>1984.85</v>
      </c>
      <c r="Q132" s="147">
        <v>1984.8</v>
      </c>
      <c r="R132" s="147">
        <v>1984.75</v>
      </c>
      <c r="S132" s="147">
        <v>1984.7</v>
      </c>
      <c r="T132" s="147">
        <v>1984.59</v>
      </c>
      <c r="U132" s="147">
        <v>1984.63</v>
      </c>
      <c r="V132" s="147">
        <v>1984.63</v>
      </c>
      <c r="W132" s="147"/>
      <c r="X132" s="147">
        <v>1984.77</v>
      </c>
      <c r="Y132" s="147"/>
      <c r="Z132" s="147">
        <v>1984.32</v>
      </c>
      <c r="AA132" s="147"/>
      <c r="AB132" s="147">
        <v>1983.3</v>
      </c>
      <c r="AC132" s="147"/>
      <c r="AD132" s="147">
        <v>1983.38</v>
      </c>
      <c r="AE132" s="147">
        <v>1983.4</v>
      </c>
      <c r="AF132" s="148">
        <v>1983.48</v>
      </c>
      <c r="AG132" s="149"/>
      <c r="AH132" s="47"/>
      <c r="AI132" s="48"/>
    </row>
    <row r="133" spans="1:37" x14ac:dyDescent="0.25">
      <c r="A133" s="185" t="s">
        <v>238</v>
      </c>
      <c r="B133" s="150">
        <v>520.48</v>
      </c>
      <c r="C133" s="150">
        <v>520.85</v>
      </c>
      <c r="D133" s="150">
        <v>521.14</v>
      </c>
      <c r="E133" s="150">
        <v>521.48</v>
      </c>
      <c r="F133" s="150">
        <v>521.78</v>
      </c>
      <c r="G133" s="150">
        <v>522.08000000000004</v>
      </c>
      <c r="H133" s="150"/>
      <c r="I133" s="150">
        <v>522.23</v>
      </c>
      <c r="J133" s="150"/>
      <c r="K133" s="150">
        <v>522.12</v>
      </c>
      <c r="L133" s="150"/>
      <c r="M133" s="150">
        <v>521.71</v>
      </c>
      <c r="N133" s="150">
        <v>521.44000000000005</v>
      </c>
      <c r="O133" s="150">
        <v>521.34</v>
      </c>
      <c r="P133" s="150">
        <v>521.28</v>
      </c>
      <c r="Q133" s="150">
        <v>521.19000000000005</v>
      </c>
      <c r="R133" s="150">
        <v>521.04</v>
      </c>
      <c r="S133" s="150">
        <v>520.98</v>
      </c>
      <c r="T133" s="150">
        <v>520.9</v>
      </c>
      <c r="U133" s="150">
        <v>520.82000000000005</v>
      </c>
      <c r="V133" s="150">
        <v>520.72</v>
      </c>
      <c r="W133" s="150"/>
      <c r="X133" s="150">
        <v>520.58000000000004</v>
      </c>
      <c r="Y133" s="150"/>
      <c r="Z133" s="150">
        <v>519.96</v>
      </c>
      <c r="AA133" s="150"/>
      <c r="AB133" s="150">
        <v>519.4</v>
      </c>
      <c r="AC133" s="150"/>
      <c r="AD133" s="150">
        <v>519.39</v>
      </c>
      <c r="AE133" s="150">
        <v>519.47</v>
      </c>
      <c r="AF133" s="151">
        <v>519.86</v>
      </c>
      <c r="AG133" s="149"/>
      <c r="AH133" s="47"/>
      <c r="AI133" s="48"/>
    </row>
    <row r="134" spans="1:37" x14ac:dyDescent="0.25">
      <c r="A134" s="185" t="s">
        <v>239</v>
      </c>
      <c r="B134" s="150">
        <v>622.15</v>
      </c>
      <c r="C134" s="150">
        <v>622.21</v>
      </c>
      <c r="D134" s="150">
        <v>622.32000000000005</v>
      </c>
      <c r="E134" s="150">
        <v>622.39</v>
      </c>
      <c r="F134" s="150">
        <v>622.41999999999996</v>
      </c>
      <c r="G134" s="150">
        <v>622.58000000000004</v>
      </c>
      <c r="H134" s="150"/>
      <c r="I134" s="150">
        <v>622.58000000000004</v>
      </c>
      <c r="J134" s="150"/>
      <c r="K134" s="150">
        <v>622.46</v>
      </c>
      <c r="L134" s="150"/>
      <c r="M134" s="150">
        <v>622.4</v>
      </c>
      <c r="N134" s="150">
        <v>622.49</v>
      </c>
      <c r="O134" s="150">
        <v>622.54999999999995</v>
      </c>
      <c r="P134" s="150">
        <v>622.6</v>
      </c>
      <c r="Q134" s="150">
        <v>622.66</v>
      </c>
      <c r="R134" s="150">
        <v>622.72</v>
      </c>
      <c r="S134" s="150">
        <v>622.69000000000005</v>
      </c>
      <c r="T134" s="150">
        <v>622.70000000000005</v>
      </c>
      <c r="U134" s="150">
        <v>622.59</v>
      </c>
      <c r="V134" s="150">
        <v>622.59</v>
      </c>
      <c r="W134" s="150"/>
      <c r="X134" s="150">
        <v>622.54999999999995</v>
      </c>
      <c r="Y134" s="150"/>
      <c r="Z134" s="150">
        <v>622.45000000000005</v>
      </c>
      <c r="AA134" s="150"/>
      <c r="AB134" s="150">
        <v>622.30999999999995</v>
      </c>
      <c r="AC134" s="150"/>
      <c r="AD134" s="150">
        <v>622.19000000000005</v>
      </c>
      <c r="AE134" s="150">
        <v>622.1</v>
      </c>
      <c r="AF134" s="151">
        <v>622.1</v>
      </c>
      <c r="AG134" s="149"/>
      <c r="AH134" s="47"/>
      <c r="AI134" s="48"/>
    </row>
    <row r="135" spans="1:37" x14ac:dyDescent="0.25">
      <c r="A135" s="185" t="s">
        <v>240</v>
      </c>
      <c r="B135" s="150">
        <v>335.38</v>
      </c>
      <c r="C135" s="150">
        <v>335.7</v>
      </c>
      <c r="D135" s="150">
        <v>336</v>
      </c>
      <c r="E135" s="150">
        <v>336.32</v>
      </c>
      <c r="F135" s="150">
        <v>336.55</v>
      </c>
      <c r="G135" s="150">
        <v>336.79</v>
      </c>
      <c r="H135" s="150"/>
      <c r="I135" s="150">
        <v>336.89</v>
      </c>
      <c r="J135" s="150"/>
      <c r="K135" s="150">
        <v>336.73</v>
      </c>
      <c r="L135" s="150"/>
      <c r="M135" s="150">
        <v>336.4</v>
      </c>
      <c r="N135" s="150">
        <v>336.19</v>
      </c>
      <c r="O135" s="150">
        <v>336.15</v>
      </c>
      <c r="P135" s="150">
        <v>336.12</v>
      </c>
      <c r="Q135" s="150">
        <v>336.1</v>
      </c>
      <c r="R135" s="150">
        <v>336.11</v>
      </c>
      <c r="S135" s="150">
        <v>336.12</v>
      </c>
      <c r="T135" s="150">
        <v>335.97</v>
      </c>
      <c r="U135" s="150">
        <v>335.82</v>
      </c>
      <c r="V135" s="150">
        <v>335.66</v>
      </c>
      <c r="W135" s="150"/>
      <c r="X135" s="150">
        <v>335.57</v>
      </c>
      <c r="Y135" s="150"/>
      <c r="Z135" s="150">
        <v>335.15</v>
      </c>
      <c r="AA135" s="150"/>
      <c r="AB135" s="150">
        <v>334.85</v>
      </c>
      <c r="AC135" s="150"/>
      <c r="AD135" s="150">
        <v>334.54</v>
      </c>
      <c r="AE135" s="150">
        <v>334.45</v>
      </c>
      <c r="AF135" s="151">
        <v>334.7</v>
      </c>
      <c r="AG135" s="149"/>
      <c r="AH135" s="47"/>
      <c r="AI135" s="48"/>
    </row>
    <row r="136" spans="1:37" x14ac:dyDescent="0.25">
      <c r="A136" s="185" t="s">
        <v>384</v>
      </c>
      <c r="B136" s="150">
        <v>885.1</v>
      </c>
      <c r="C136" s="150">
        <v>885.5</v>
      </c>
      <c r="D136" s="150">
        <v>886.2</v>
      </c>
      <c r="E136" s="150">
        <v>886.7</v>
      </c>
      <c r="F136" s="150">
        <v>886.7</v>
      </c>
      <c r="G136" s="150">
        <v>886.9</v>
      </c>
      <c r="H136" s="150"/>
      <c r="I136" s="150">
        <v>886.7</v>
      </c>
      <c r="J136" s="150"/>
      <c r="K136" s="150">
        <v>886.6</v>
      </c>
      <c r="L136" s="150"/>
      <c r="M136" s="150">
        <v>886.4</v>
      </c>
      <c r="N136" s="150">
        <v>886.1</v>
      </c>
      <c r="O136" s="150">
        <v>885.9</v>
      </c>
      <c r="P136" s="150">
        <v>885.8</v>
      </c>
      <c r="Q136" s="150">
        <v>885.3</v>
      </c>
      <c r="R136" s="150">
        <v>884.1</v>
      </c>
      <c r="S136" s="150">
        <v>882.9</v>
      </c>
      <c r="T136" s="150">
        <v>883</v>
      </c>
      <c r="U136" s="150">
        <v>883.8</v>
      </c>
      <c r="V136" s="150">
        <v>884.4</v>
      </c>
      <c r="W136" s="150"/>
      <c r="X136" s="150">
        <v>885</v>
      </c>
      <c r="Y136" s="150"/>
      <c r="Z136" s="150">
        <v>884.2</v>
      </c>
      <c r="AA136" s="150"/>
      <c r="AB136" s="150">
        <v>883</v>
      </c>
      <c r="AC136" s="150"/>
      <c r="AD136" s="150">
        <v>882.6</v>
      </c>
      <c r="AE136" s="150">
        <v>882.4</v>
      </c>
      <c r="AF136" s="151">
        <v>882.8</v>
      </c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>
        <v>1519.44</v>
      </c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1519.46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51">SUM(B139:B243)</f>
        <v>0</v>
      </c>
      <c r="C244" s="134">
        <f t="shared" si="151"/>
        <v>0</v>
      </c>
      <c r="D244" s="134">
        <f t="shared" si="151"/>
        <v>0</v>
      </c>
      <c r="E244" s="134">
        <f t="shared" si="151"/>
        <v>0</v>
      </c>
      <c r="F244" s="134">
        <f t="shared" si="151"/>
        <v>0</v>
      </c>
      <c r="G244" s="134">
        <f t="shared" si="151"/>
        <v>0</v>
      </c>
      <c r="H244" s="134">
        <f t="shared" si="151"/>
        <v>0</v>
      </c>
      <c r="I244" s="134">
        <f t="shared" si="151"/>
        <v>0</v>
      </c>
      <c r="J244" s="134">
        <f t="shared" si="151"/>
        <v>0</v>
      </c>
      <c r="K244" s="134">
        <f t="shared" si="151"/>
        <v>0</v>
      </c>
      <c r="L244" s="134">
        <f t="shared" si="151"/>
        <v>0</v>
      </c>
      <c r="M244" s="134">
        <f t="shared" si="151"/>
        <v>0</v>
      </c>
      <c r="N244" s="134">
        <f t="shared" si="151"/>
        <v>0</v>
      </c>
      <c r="O244" s="134">
        <f t="shared" si="151"/>
        <v>0</v>
      </c>
      <c r="P244" s="134">
        <f t="shared" si="151"/>
        <v>0</v>
      </c>
      <c r="Q244" s="134">
        <f t="shared" si="151"/>
        <v>0</v>
      </c>
      <c r="R244" s="134">
        <f t="shared" si="151"/>
        <v>0</v>
      </c>
      <c r="S244" s="134">
        <f t="shared" si="151"/>
        <v>0</v>
      </c>
      <c r="T244" s="134">
        <f t="shared" si="151"/>
        <v>0</v>
      </c>
      <c r="U244" s="134">
        <f t="shared" si="151"/>
        <v>0</v>
      </c>
      <c r="V244" s="134">
        <f t="shared" si="151"/>
        <v>0</v>
      </c>
      <c r="W244" s="134">
        <f t="shared" si="151"/>
        <v>0</v>
      </c>
      <c r="X244" s="134">
        <f t="shared" si="151"/>
        <v>0</v>
      </c>
      <c r="Y244" s="134">
        <f t="shared" si="151"/>
        <v>0</v>
      </c>
      <c r="Z244" s="134">
        <f t="shared" si="151"/>
        <v>0</v>
      </c>
      <c r="AA244" s="134">
        <f t="shared" si="151"/>
        <v>0</v>
      </c>
      <c r="AB244" s="134">
        <f t="shared" si="151"/>
        <v>0</v>
      </c>
      <c r="AC244" s="134">
        <f t="shared" si="151"/>
        <v>0</v>
      </c>
      <c r="AD244" s="134">
        <f t="shared" si="151"/>
        <v>0</v>
      </c>
      <c r="AE244" s="134">
        <f t="shared" si="151"/>
        <v>0</v>
      </c>
      <c r="AF244" s="135">
        <f t="shared" si="151"/>
        <v>0</v>
      </c>
      <c r="AG244" s="136">
        <f t="shared" si="15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52">AF246</f>
        <v>0.3</v>
      </c>
      <c r="C246" s="138">
        <v>0.3</v>
      </c>
      <c r="D246" s="138">
        <f t="shared" ref="D246:S251" si="153">C246</f>
        <v>0.3</v>
      </c>
      <c r="E246" s="138">
        <f t="shared" si="153"/>
        <v>0.3</v>
      </c>
      <c r="F246" s="138">
        <f t="shared" si="153"/>
        <v>0.3</v>
      </c>
      <c r="G246" s="138">
        <f t="shared" si="153"/>
        <v>0.3</v>
      </c>
      <c r="H246" s="138">
        <f t="shared" si="153"/>
        <v>0.3</v>
      </c>
      <c r="I246" s="138">
        <f t="shared" si="153"/>
        <v>0.3</v>
      </c>
      <c r="J246" s="138">
        <f t="shared" si="153"/>
        <v>0.3</v>
      </c>
      <c r="K246" s="138">
        <f t="shared" si="153"/>
        <v>0.3</v>
      </c>
      <c r="L246" s="138">
        <f t="shared" si="153"/>
        <v>0.3</v>
      </c>
      <c r="M246" s="138">
        <f t="shared" si="153"/>
        <v>0.3</v>
      </c>
      <c r="N246" s="138">
        <f t="shared" si="153"/>
        <v>0.3</v>
      </c>
      <c r="O246" s="138">
        <f t="shared" si="153"/>
        <v>0.3</v>
      </c>
      <c r="P246" s="138">
        <f t="shared" si="153"/>
        <v>0.3</v>
      </c>
      <c r="Q246" s="138">
        <f t="shared" si="153"/>
        <v>0.3</v>
      </c>
      <c r="R246" s="138">
        <f t="shared" si="153"/>
        <v>0.3</v>
      </c>
      <c r="S246" s="138">
        <f t="shared" si="153"/>
        <v>0.3</v>
      </c>
      <c r="T246" s="138">
        <f t="shared" ref="T246:AF251" si="154">S246</f>
        <v>0.3</v>
      </c>
      <c r="U246" s="138">
        <f t="shared" si="154"/>
        <v>0.3</v>
      </c>
      <c r="V246" s="138">
        <f t="shared" si="154"/>
        <v>0.3</v>
      </c>
      <c r="W246" s="138">
        <f t="shared" si="154"/>
        <v>0.3</v>
      </c>
      <c r="X246" s="138">
        <f t="shared" si="154"/>
        <v>0.3</v>
      </c>
      <c r="Y246" s="138">
        <f t="shared" si="154"/>
        <v>0.3</v>
      </c>
      <c r="Z246" s="138">
        <f t="shared" si="154"/>
        <v>0.3</v>
      </c>
      <c r="AA246" s="138">
        <f t="shared" si="154"/>
        <v>0.3</v>
      </c>
      <c r="AB246" s="138">
        <f t="shared" si="154"/>
        <v>0.3</v>
      </c>
      <c r="AC246" s="138">
        <f t="shared" si="154"/>
        <v>0.3</v>
      </c>
      <c r="AD246" s="138">
        <f t="shared" si="154"/>
        <v>0.3</v>
      </c>
      <c r="AE246" s="138">
        <f t="shared" si="154"/>
        <v>0.3</v>
      </c>
      <c r="AF246" s="138">
        <f t="shared" si="15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52"/>
        <v>0.4</v>
      </c>
      <c r="C247" s="126">
        <v>0.4</v>
      </c>
      <c r="D247" s="126">
        <f t="shared" si="153"/>
        <v>0.4</v>
      </c>
      <c r="E247" s="126">
        <f t="shared" si="153"/>
        <v>0.4</v>
      </c>
      <c r="F247" s="126">
        <f t="shared" si="153"/>
        <v>0.4</v>
      </c>
      <c r="G247" s="126">
        <f t="shared" si="153"/>
        <v>0.4</v>
      </c>
      <c r="H247" s="126">
        <f t="shared" si="153"/>
        <v>0.4</v>
      </c>
      <c r="I247" s="126">
        <f t="shared" si="153"/>
        <v>0.4</v>
      </c>
      <c r="J247" s="126">
        <f t="shared" si="153"/>
        <v>0.4</v>
      </c>
      <c r="K247" s="126">
        <f t="shared" si="153"/>
        <v>0.4</v>
      </c>
      <c r="L247" s="126">
        <f t="shared" si="153"/>
        <v>0.4</v>
      </c>
      <c r="M247" s="126">
        <f t="shared" si="153"/>
        <v>0.4</v>
      </c>
      <c r="N247" s="126">
        <f t="shared" si="153"/>
        <v>0.4</v>
      </c>
      <c r="O247" s="126">
        <f t="shared" si="153"/>
        <v>0.4</v>
      </c>
      <c r="P247" s="126">
        <f t="shared" si="153"/>
        <v>0.4</v>
      </c>
      <c r="Q247" s="126">
        <f t="shared" si="153"/>
        <v>0.4</v>
      </c>
      <c r="R247" s="126">
        <f t="shared" si="153"/>
        <v>0.4</v>
      </c>
      <c r="S247" s="126">
        <f t="shared" si="153"/>
        <v>0.4</v>
      </c>
      <c r="T247" s="126">
        <f t="shared" si="154"/>
        <v>0.4</v>
      </c>
      <c r="U247" s="126">
        <f t="shared" si="154"/>
        <v>0.4</v>
      </c>
      <c r="V247" s="126">
        <f t="shared" si="154"/>
        <v>0.4</v>
      </c>
      <c r="W247" s="126">
        <f t="shared" si="154"/>
        <v>0.4</v>
      </c>
      <c r="X247" s="126">
        <f t="shared" si="154"/>
        <v>0.4</v>
      </c>
      <c r="Y247" s="126">
        <f t="shared" si="154"/>
        <v>0.4</v>
      </c>
      <c r="Z247" s="126">
        <f t="shared" si="154"/>
        <v>0.4</v>
      </c>
      <c r="AA247" s="126">
        <f t="shared" si="154"/>
        <v>0.4</v>
      </c>
      <c r="AB247" s="126">
        <f t="shared" si="154"/>
        <v>0.4</v>
      </c>
      <c r="AC247" s="126">
        <f t="shared" si="154"/>
        <v>0.4</v>
      </c>
      <c r="AD247" s="126">
        <f t="shared" si="154"/>
        <v>0.4</v>
      </c>
      <c r="AE247" s="126">
        <f t="shared" si="154"/>
        <v>0.4</v>
      </c>
      <c r="AF247" s="126">
        <f t="shared" si="15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52"/>
        <v>1.5</v>
      </c>
      <c r="C248" s="126">
        <v>1.5</v>
      </c>
      <c r="D248" s="126">
        <f t="shared" si="153"/>
        <v>1.5</v>
      </c>
      <c r="E248" s="126">
        <f t="shared" si="153"/>
        <v>1.5</v>
      </c>
      <c r="F248" s="126">
        <f t="shared" si="153"/>
        <v>1.5</v>
      </c>
      <c r="G248" s="126">
        <f t="shared" si="153"/>
        <v>1.5</v>
      </c>
      <c r="H248" s="126">
        <f t="shared" si="153"/>
        <v>1.5</v>
      </c>
      <c r="I248" s="126">
        <f t="shared" si="153"/>
        <v>1.5</v>
      </c>
      <c r="J248" s="126">
        <f t="shared" si="153"/>
        <v>1.5</v>
      </c>
      <c r="K248" s="126">
        <f t="shared" si="153"/>
        <v>1.5</v>
      </c>
      <c r="L248" s="126">
        <f t="shared" si="153"/>
        <v>1.5</v>
      </c>
      <c r="M248" s="126">
        <f t="shared" si="153"/>
        <v>1.5</v>
      </c>
      <c r="N248" s="126">
        <f t="shared" si="153"/>
        <v>1.5</v>
      </c>
      <c r="O248" s="126">
        <f t="shared" si="153"/>
        <v>1.5</v>
      </c>
      <c r="P248" s="126">
        <f t="shared" si="153"/>
        <v>1.5</v>
      </c>
      <c r="Q248" s="126">
        <f t="shared" si="153"/>
        <v>1.5</v>
      </c>
      <c r="R248" s="126">
        <f t="shared" si="153"/>
        <v>1.5</v>
      </c>
      <c r="S248" s="126">
        <f t="shared" si="153"/>
        <v>1.5</v>
      </c>
      <c r="T248" s="126">
        <f t="shared" si="154"/>
        <v>1.5</v>
      </c>
      <c r="U248" s="126">
        <f t="shared" si="154"/>
        <v>1.5</v>
      </c>
      <c r="V248" s="126">
        <f t="shared" si="154"/>
        <v>1.5</v>
      </c>
      <c r="W248" s="126">
        <f t="shared" si="154"/>
        <v>1.5</v>
      </c>
      <c r="X248" s="126">
        <f t="shared" si="154"/>
        <v>1.5</v>
      </c>
      <c r="Y248" s="126">
        <f t="shared" si="154"/>
        <v>1.5</v>
      </c>
      <c r="Z248" s="126">
        <f t="shared" si="154"/>
        <v>1.5</v>
      </c>
      <c r="AA248" s="126">
        <f t="shared" si="154"/>
        <v>1.5</v>
      </c>
      <c r="AB248" s="126">
        <f t="shared" si="154"/>
        <v>1.5</v>
      </c>
      <c r="AC248" s="126">
        <f t="shared" si="154"/>
        <v>1.5</v>
      </c>
      <c r="AD248" s="126">
        <f t="shared" si="154"/>
        <v>1.5</v>
      </c>
      <c r="AE248" s="126">
        <f t="shared" si="154"/>
        <v>1.5</v>
      </c>
      <c r="AF248" s="126">
        <f t="shared" si="15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52"/>
        <v>0.3</v>
      </c>
      <c r="C249" s="126">
        <v>0.3</v>
      </c>
      <c r="D249" s="126">
        <f t="shared" si="153"/>
        <v>0.3</v>
      </c>
      <c r="E249" s="126">
        <f t="shared" si="153"/>
        <v>0.3</v>
      </c>
      <c r="F249" s="126">
        <f t="shared" si="153"/>
        <v>0.3</v>
      </c>
      <c r="G249" s="126">
        <f t="shared" si="153"/>
        <v>0.3</v>
      </c>
      <c r="H249" s="126">
        <f t="shared" si="153"/>
        <v>0.3</v>
      </c>
      <c r="I249" s="126">
        <f t="shared" si="153"/>
        <v>0.3</v>
      </c>
      <c r="J249" s="126">
        <f t="shared" si="153"/>
        <v>0.3</v>
      </c>
      <c r="K249" s="126">
        <f t="shared" si="153"/>
        <v>0.3</v>
      </c>
      <c r="L249" s="126">
        <f t="shared" si="153"/>
        <v>0.3</v>
      </c>
      <c r="M249" s="126">
        <f t="shared" si="153"/>
        <v>0.3</v>
      </c>
      <c r="N249" s="126">
        <f t="shared" si="153"/>
        <v>0.3</v>
      </c>
      <c r="O249" s="126">
        <f t="shared" si="153"/>
        <v>0.3</v>
      </c>
      <c r="P249" s="126">
        <f t="shared" si="153"/>
        <v>0.3</v>
      </c>
      <c r="Q249" s="126">
        <f t="shared" si="153"/>
        <v>0.3</v>
      </c>
      <c r="R249" s="126">
        <f t="shared" si="153"/>
        <v>0.3</v>
      </c>
      <c r="S249" s="126">
        <f t="shared" si="153"/>
        <v>0.3</v>
      </c>
      <c r="T249" s="126">
        <f t="shared" si="154"/>
        <v>0.3</v>
      </c>
      <c r="U249" s="126">
        <f t="shared" si="154"/>
        <v>0.3</v>
      </c>
      <c r="V249" s="126">
        <f t="shared" si="154"/>
        <v>0.3</v>
      </c>
      <c r="W249" s="126">
        <f t="shared" si="154"/>
        <v>0.3</v>
      </c>
      <c r="X249" s="126">
        <f t="shared" si="154"/>
        <v>0.3</v>
      </c>
      <c r="Y249" s="126">
        <f t="shared" si="154"/>
        <v>0.3</v>
      </c>
      <c r="Z249" s="126">
        <f t="shared" si="154"/>
        <v>0.3</v>
      </c>
      <c r="AA249" s="126">
        <f t="shared" si="154"/>
        <v>0.3</v>
      </c>
      <c r="AB249" s="126">
        <f t="shared" si="154"/>
        <v>0.3</v>
      </c>
      <c r="AC249" s="126">
        <f t="shared" si="154"/>
        <v>0.3</v>
      </c>
      <c r="AD249" s="126">
        <f t="shared" si="154"/>
        <v>0.3</v>
      </c>
      <c r="AE249" s="126">
        <f t="shared" si="154"/>
        <v>0.3</v>
      </c>
      <c r="AF249" s="126">
        <f t="shared" si="15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52"/>
        <v>0.4</v>
      </c>
      <c r="C250" s="126">
        <v>0.4</v>
      </c>
      <c r="D250" s="126">
        <f t="shared" si="153"/>
        <v>0.4</v>
      </c>
      <c r="E250" s="126">
        <f t="shared" si="153"/>
        <v>0.4</v>
      </c>
      <c r="F250" s="126">
        <f t="shared" si="153"/>
        <v>0.4</v>
      </c>
      <c r="G250" s="126">
        <f t="shared" si="153"/>
        <v>0.4</v>
      </c>
      <c r="H250" s="126">
        <f t="shared" si="153"/>
        <v>0.4</v>
      </c>
      <c r="I250" s="126">
        <f t="shared" si="153"/>
        <v>0.4</v>
      </c>
      <c r="J250" s="126">
        <f t="shared" si="153"/>
        <v>0.4</v>
      </c>
      <c r="K250" s="126">
        <f t="shared" si="153"/>
        <v>0.4</v>
      </c>
      <c r="L250" s="126">
        <f t="shared" si="153"/>
        <v>0.4</v>
      </c>
      <c r="M250" s="126">
        <f t="shared" si="153"/>
        <v>0.4</v>
      </c>
      <c r="N250" s="126">
        <f t="shared" si="153"/>
        <v>0.4</v>
      </c>
      <c r="O250" s="126">
        <f t="shared" si="153"/>
        <v>0.4</v>
      </c>
      <c r="P250" s="126">
        <f t="shared" si="153"/>
        <v>0.4</v>
      </c>
      <c r="Q250" s="126">
        <f t="shared" si="153"/>
        <v>0.4</v>
      </c>
      <c r="R250" s="126">
        <f t="shared" si="153"/>
        <v>0.4</v>
      </c>
      <c r="S250" s="126">
        <f t="shared" si="153"/>
        <v>0.4</v>
      </c>
      <c r="T250" s="126">
        <f t="shared" si="154"/>
        <v>0.4</v>
      </c>
      <c r="U250" s="126">
        <f t="shared" si="154"/>
        <v>0.4</v>
      </c>
      <c r="V250" s="126">
        <f t="shared" si="154"/>
        <v>0.4</v>
      </c>
      <c r="W250" s="126">
        <f t="shared" si="154"/>
        <v>0.4</v>
      </c>
      <c r="X250" s="126">
        <f t="shared" si="154"/>
        <v>0.4</v>
      </c>
      <c r="Y250" s="126">
        <f t="shared" si="154"/>
        <v>0.4</v>
      </c>
      <c r="Z250" s="126">
        <f t="shared" si="154"/>
        <v>0.4</v>
      </c>
      <c r="AA250" s="126">
        <f t="shared" si="154"/>
        <v>0.4</v>
      </c>
      <c r="AB250" s="126">
        <f t="shared" si="154"/>
        <v>0.4</v>
      </c>
      <c r="AC250" s="126">
        <f t="shared" si="154"/>
        <v>0.4</v>
      </c>
      <c r="AD250" s="126">
        <f t="shared" si="154"/>
        <v>0.4</v>
      </c>
      <c r="AE250" s="126">
        <f t="shared" si="154"/>
        <v>0.4</v>
      </c>
      <c r="AF250" s="126">
        <f t="shared" si="15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52"/>
        <v>0.64</v>
      </c>
      <c r="C251" s="130">
        <v>0.64</v>
      </c>
      <c r="D251" s="130">
        <f t="shared" si="153"/>
        <v>0.64</v>
      </c>
      <c r="E251" s="130">
        <f t="shared" si="153"/>
        <v>0.64</v>
      </c>
      <c r="F251" s="130">
        <f t="shared" si="153"/>
        <v>0.64</v>
      </c>
      <c r="G251" s="130">
        <f t="shared" si="153"/>
        <v>0.64</v>
      </c>
      <c r="H251" s="130">
        <f t="shared" si="153"/>
        <v>0.64</v>
      </c>
      <c r="I251" s="130">
        <f t="shared" si="153"/>
        <v>0.64</v>
      </c>
      <c r="J251" s="130">
        <f t="shared" si="153"/>
        <v>0.64</v>
      </c>
      <c r="K251" s="130">
        <f t="shared" si="153"/>
        <v>0.64</v>
      </c>
      <c r="L251" s="130">
        <f t="shared" si="153"/>
        <v>0.64</v>
      </c>
      <c r="M251" s="130">
        <f t="shared" si="153"/>
        <v>0.64</v>
      </c>
      <c r="N251" s="130">
        <f t="shared" si="153"/>
        <v>0.64</v>
      </c>
      <c r="O251" s="130">
        <f t="shared" si="153"/>
        <v>0.64</v>
      </c>
      <c r="P251" s="130">
        <f t="shared" si="153"/>
        <v>0.64</v>
      </c>
      <c r="Q251" s="130">
        <f t="shared" si="153"/>
        <v>0.64</v>
      </c>
      <c r="R251" s="130">
        <f t="shared" si="153"/>
        <v>0.64</v>
      </c>
      <c r="S251" s="130">
        <f t="shared" si="153"/>
        <v>0.64</v>
      </c>
      <c r="T251" s="130">
        <f t="shared" si="154"/>
        <v>0.64</v>
      </c>
      <c r="U251" s="130">
        <f t="shared" si="154"/>
        <v>0.64</v>
      </c>
      <c r="V251" s="130">
        <f t="shared" si="154"/>
        <v>0.64</v>
      </c>
      <c r="W251" s="130">
        <f t="shared" si="154"/>
        <v>0.64</v>
      </c>
      <c r="X251" s="130">
        <f t="shared" si="154"/>
        <v>0.64</v>
      </c>
      <c r="Y251" s="130">
        <f t="shared" si="154"/>
        <v>0.64</v>
      </c>
      <c r="Z251" s="130">
        <f t="shared" si="154"/>
        <v>0.64</v>
      </c>
      <c r="AA251" s="130">
        <f t="shared" si="154"/>
        <v>0.64</v>
      </c>
      <c r="AB251" s="130">
        <f t="shared" si="154"/>
        <v>0.64</v>
      </c>
      <c r="AC251" s="130">
        <f t="shared" si="154"/>
        <v>0.64</v>
      </c>
      <c r="AD251" s="130">
        <f t="shared" si="154"/>
        <v>0.64</v>
      </c>
      <c r="AE251" s="130">
        <f t="shared" si="154"/>
        <v>0.64</v>
      </c>
      <c r="AF251" s="130">
        <f t="shared" si="15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55">SUM(B246:B251)</f>
        <v>3.54</v>
      </c>
      <c r="C252" s="134">
        <f t="shared" si="155"/>
        <v>3.54</v>
      </c>
      <c r="D252" s="134">
        <f t="shared" si="155"/>
        <v>3.54</v>
      </c>
      <c r="E252" s="134">
        <f t="shared" si="155"/>
        <v>3.54</v>
      </c>
      <c r="F252" s="134">
        <f t="shared" si="155"/>
        <v>3.54</v>
      </c>
      <c r="G252" s="134">
        <f t="shared" si="155"/>
        <v>3.54</v>
      </c>
      <c r="H252" s="134">
        <f t="shared" si="155"/>
        <v>3.54</v>
      </c>
      <c r="I252" s="134">
        <f t="shared" si="155"/>
        <v>3.54</v>
      </c>
      <c r="J252" s="134">
        <f t="shared" si="155"/>
        <v>3.54</v>
      </c>
      <c r="K252" s="134">
        <f t="shared" si="155"/>
        <v>3.54</v>
      </c>
      <c r="L252" s="134">
        <f t="shared" si="155"/>
        <v>3.54</v>
      </c>
      <c r="M252" s="134">
        <f t="shared" si="155"/>
        <v>3.54</v>
      </c>
      <c r="N252" s="134">
        <f t="shared" si="155"/>
        <v>3.54</v>
      </c>
      <c r="O252" s="134">
        <f t="shared" si="155"/>
        <v>3.54</v>
      </c>
      <c r="P252" s="134">
        <f t="shared" si="155"/>
        <v>3.54</v>
      </c>
      <c r="Q252" s="134">
        <f t="shared" si="155"/>
        <v>3.54</v>
      </c>
      <c r="R252" s="134">
        <f t="shared" si="155"/>
        <v>3.54</v>
      </c>
      <c r="S252" s="134">
        <f t="shared" si="155"/>
        <v>3.54</v>
      </c>
      <c r="T252" s="134">
        <f t="shared" si="155"/>
        <v>3.54</v>
      </c>
      <c r="U252" s="134">
        <f t="shared" si="155"/>
        <v>3.54</v>
      </c>
      <c r="V252" s="134">
        <f t="shared" si="155"/>
        <v>3.54</v>
      </c>
      <c r="W252" s="134">
        <f t="shared" si="155"/>
        <v>3.54</v>
      </c>
      <c r="X252" s="134">
        <f t="shared" si="155"/>
        <v>3.54</v>
      </c>
      <c r="Y252" s="134">
        <f t="shared" si="155"/>
        <v>3.54</v>
      </c>
      <c r="Z252" s="134">
        <f t="shared" si="155"/>
        <v>3.54</v>
      </c>
      <c r="AA252" s="134">
        <f t="shared" si="155"/>
        <v>3.54</v>
      </c>
      <c r="AB252" s="134">
        <f t="shared" si="155"/>
        <v>3.54</v>
      </c>
      <c r="AC252" s="134">
        <f t="shared" si="155"/>
        <v>3.54</v>
      </c>
      <c r="AD252" s="134">
        <f t="shared" si="155"/>
        <v>3.54</v>
      </c>
      <c r="AE252" s="134">
        <f t="shared" si="155"/>
        <v>3.54</v>
      </c>
      <c r="AF252" s="134">
        <f t="shared" si="155"/>
        <v>3.54</v>
      </c>
      <c r="AG252" s="143">
        <f t="shared" si="15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1714.2900000000002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2080/10/14)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822" priority="156">
      <formula>$AH11=0</formula>
    </cfRule>
  </conditionalFormatting>
  <conditionalFormatting sqref="A132:A253">
    <cfRule type="expression" dxfId="2821" priority="157">
      <formula>$AH132=0</formula>
    </cfRule>
  </conditionalFormatting>
  <conditionalFormatting sqref="B8 M8 S8 AB8">
    <cfRule type="expression" dxfId="2820" priority="209">
      <formula>C$9&lt;8/24</formula>
    </cfRule>
    <cfRule type="expression" dxfId="2819" priority="208">
      <formula>AND(C$9&gt;=8/24,C$9&lt;14/24)</formula>
    </cfRule>
    <cfRule type="expression" dxfId="2818" priority="207">
      <formula>AND(C$9&gt;=14/24,C$9&lt;20/24)</formula>
    </cfRule>
  </conditionalFormatting>
  <conditionalFormatting sqref="B57:D57">
    <cfRule type="expression" dxfId="2817" priority="119">
      <formula>B$9&lt;8/24</formula>
    </cfRule>
  </conditionalFormatting>
  <conditionalFormatting sqref="B62:D68 E63:L68">
    <cfRule type="expression" dxfId="2816" priority="107">
      <formula>B$9&gt;=20/24</formula>
    </cfRule>
    <cfRule type="expression" dxfId="2815" priority="108">
      <formula>AND(B$9&gt;=14/24,B$9&lt;20/24)</formula>
    </cfRule>
    <cfRule type="expression" dxfId="2814" priority="109">
      <formula>AND(B$9&gt;=8/24,B$9&lt;14/24)</formula>
    </cfRule>
    <cfRule type="expression" dxfId="2813" priority="110">
      <formula>B$9&lt;8/24</formula>
    </cfRule>
  </conditionalFormatting>
  <conditionalFormatting sqref="B59:M61 N60:Q61">
    <cfRule type="expression" dxfId="2812" priority="105">
      <formula>B$9&lt;8/24</formula>
    </cfRule>
    <cfRule type="expression" dxfId="2811" priority="104">
      <formula>AND(B$9&gt;=8/24,B$9&lt;14/24)</formula>
    </cfRule>
    <cfRule type="expression" dxfId="2810" priority="103">
      <formula>AND(B$9&gt;=14/24,B$9&lt;20/24)</formula>
    </cfRule>
    <cfRule type="expression" dxfId="2809" priority="102">
      <formula>B$9&gt;=20/24</formula>
    </cfRule>
  </conditionalFormatting>
  <conditionalFormatting sqref="B11:AC34 AD12:AE34 AF12:AF52 B35:AE52">
    <cfRule type="expression" dxfId="2808" priority="88">
      <formula>B$9&gt;=20/24</formula>
    </cfRule>
    <cfRule type="expression" dxfId="2807" priority="89">
      <formula>AND(B$9&gt;=14/24,B$9&lt;20/24)</formula>
    </cfRule>
    <cfRule type="expression" dxfId="2806" priority="90">
      <formula>AND(B$9&gt;=8/24,B$9&lt;14/24)</formula>
    </cfRule>
    <cfRule type="expression" dxfId="2805" priority="91">
      <formula>B$9&lt;8/24</formula>
    </cfRule>
  </conditionalFormatting>
  <conditionalFormatting sqref="B9:AF10">
    <cfRule type="expression" dxfId="2804" priority="160">
      <formula>AND(B$9&gt;=8/24,B$9&lt;14/24)</formula>
    </cfRule>
    <cfRule type="expression" dxfId="2803" priority="161">
      <formula>B$9&lt;8/24</formula>
    </cfRule>
    <cfRule type="expression" dxfId="2802" priority="159">
      <formula>AND(B$9&gt;=14/24,B$9&lt;20/24)</formula>
    </cfRule>
    <cfRule type="expression" dxfId="2801" priority="158">
      <formula>B$9&gt;=20/24</formula>
    </cfRule>
  </conditionalFormatting>
  <conditionalFormatting sqref="B11:AF54">
    <cfRule type="expression" dxfId="2800" priority="77">
      <formula>B11&gt;$AG11</formula>
    </cfRule>
  </conditionalFormatting>
  <conditionalFormatting sqref="B53:AF54">
    <cfRule type="expression" dxfId="2799" priority="76">
      <formula>B$9&lt;8/24</formula>
    </cfRule>
    <cfRule type="expression" dxfId="2798" priority="73">
      <formula>B$9&gt;=20/24</formula>
    </cfRule>
    <cfRule type="expression" dxfId="2797" priority="74">
      <formula>AND(B$9&gt;=14/24,B$9&lt;20/24)</formula>
    </cfRule>
    <cfRule type="expression" dxfId="2796" priority="75">
      <formula>AND(B$9&gt;=8/24,B$9&lt;14/24)</formula>
    </cfRule>
  </conditionalFormatting>
  <conditionalFormatting sqref="B55:AF55">
    <cfRule type="expression" dxfId="2795" priority="97">
      <formula>B55&gt;$AG55</formula>
    </cfRule>
  </conditionalFormatting>
  <conditionalFormatting sqref="B63:AF80">
    <cfRule type="expression" dxfId="2794" priority="82">
      <formula>B63&gt;$AG63</formula>
    </cfRule>
  </conditionalFormatting>
  <conditionalFormatting sqref="B69:AF74">
    <cfRule type="expression" dxfId="2793" priority="113">
      <formula>AND(B$9&gt;=8/24,B$9&lt;14/24)</formula>
    </cfRule>
    <cfRule type="expression" dxfId="2792" priority="114">
      <formula>B$9&lt;8/24</formula>
    </cfRule>
    <cfRule type="expression" dxfId="2791" priority="111">
      <formula>B$9&gt;=20/24</formula>
    </cfRule>
    <cfRule type="expression" dxfId="2790" priority="112">
      <formula>AND(B$9&gt;=14/24,B$9&lt;20/24)</formula>
    </cfRule>
  </conditionalFormatting>
  <conditionalFormatting sqref="B71:AF74">
    <cfRule type="expression" dxfId="2789" priority="86">
      <formula>B$9&lt;8/24</formula>
    </cfRule>
    <cfRule type="expression" dxfId="2788" priority="85">
      <formula>AND(B$9&gt;=8/24,B$9&lt;14/24)</formula>
    </cfRule>
    <cfRule type="expression" dxfId="2787" priority="84">
      <formula>AND(B$9&gt;=14/24,B$9&lt;20/24)</formula>
    </cfRule>
    <cfRule type="expression" dxfId="2786" priority="83">
      <formula>B$9&gt;=20/24</formula>
    </cfRule>
  </conditionalFormatting>
  <conditionalFormatting sqref="B77:AF80">
    <cfRule type="expression" dxfId="2785" priority="101">
      <formula>B$9&lt;8/24</formula>
    </cfRule>
    <cfRule type="expression" dxfId="2784" priority="100">
      <formula>AND(B$9&gt;=8/24,B$9&lt;14/24)</formula>
    </cfRule>
    <cfRule type="expression" dxfId="2783" priority="99">
      <formula>AND(B$9&gt;=14/24,B$9&lt;20/24)</formula>
    </cfRule>
    <cfRule type="expression" dxfId="2782" priority="98">
      <formula>B$9&gt;=20/24</formula>
    </cfRule>
  </conditionalFormatting>
  <conditionalFormatting sqref="B81:AF99">
    <cfRule type="expression" dxfId="2781" priority="79">
      <formula>AND(B$9&gt;=14/24,B$9&lt;20/24)</formula>
    </cfRule>
    <cfRule type="expression" dxfId="2780" priority="80">
      <formula>AND(B$9&gt;=8/24,B$9&lt;14/24)</formula>
    </cfRule>
    <cfRule type="expression" dxfId="2779" priority="78">
      <formula>B$9&gt;=20/24</formula>
    </cfRule>
    <cfRule type="expression" dxfId="2778" priority="81">
      <formula>B$9&lt;8/24</formula>
    </cfRule>
  </conditionalFormatting>
  <conditionalFormatting sqref="B101:AF117">
    <cfRule type="expression" dxfId="2777" priority="72">
      <formula>B$9&lt;8/24</formula>
    </cfRule>
    <cfRule type="expression" dxfId="2776" priority="69">
      <formula>B$9&gt;=20/24</formula>
    </cfRule>
    <cfRule type="expression" dxfId="2775" priority="70">
      <formula>AND(B$9&gt;=14/24,B$9&lt;20/24)</formula>
    </cfRule>
    <cfRule type="expression" dxfId="2774" priority="71">
      <formula>AND(B$9&gt;=8/24,B$9&lt;14/24)</formula>
    </cfRule>
  </conditionalFormatting>
  <conditionalFormatting sqref="B119:AF137">
    <cfRule type="expression" dxfId="2773" priority="66">
      <formula>AND(B$9&gt;=14/24,B$9&lt;20/24)</formula>
    </cfRule>
    <cfRule type="expression" dxfId="2772" priority="68">
      <formula>B$9&lt;8/24</formula>
    </cfRule>
    <cfRule type="expression" dxfId="2771" priority="67">
      <formula>AND(B$9&gt;=8/24,B$9&lt;14/24)</formula>
    </cfRule>
    <cfRule type="expression" dxfId="2770" priority="65">
      <formula>B$9&gt;=20/24</formula>
    </cfRule>
  </conditionalFormatting>
  <conditionalFormatting sqref="B244:AF244 B246:B252 D246:AF252">
    <cfRule type="expression" dxfId="2769" priority="203">
      <formula>B$9&lt;8/24</formula>
    </cfRule>
    <cfRule type="expression" dxfId="2768" priority="202">
      <formula>AND(B$9&gt;=8/24,B$9&lt;14/24)</formula>
    </cfRule>
    <cfRule type="expression" dxfId="2767" priority="200">
      <formula>B$9&gt;=20/24</formula>
    </cfRule>
    <cfRule type="expression" dxfId="2766" priority="201">
      <formula>AND(B$9&gt;=14/24,B$9&lt;20/24)</formula>
    </cfRule>
  </conditionalFormatting>
  <conditionalFormatting sqref="B62:AG62">
    <cfRule type="expression" dxfId="2765" priority="106">
      <formula>B62&gt;$AG62</formula>
    </cfRule>
  </conditionalFormatting>
  <conditionalFormatting sqref="E68:L68">
    <cfRule type="expression" dxfId="2764" priority="118">
      <formula>E$9&lt;8/24</formula>
    </cfRule>
    <cfRule type="expression" dxfId="2763" priority="115">
      <formula>E$9&gt;=20/24</formula>
    </cfRule>
    <cfRule type="expression" dxfId="2762" priority="116">
      <formula>AND(E$9&gt;=14/24,E$9&lt;20/24)</formula>
    </cfRule>
    <cfRule type="expression" dxfId="2761" priority="117">
      <formula>AND(E$9&gt;=8/24,E$9&lt;14/24)</formula>
    </cfRule>
  </conditionalFormatting>
  <conditionalFormatting sqref="E55:AA56 B55:D57 AB55:AF55">
    <cfRule type="expression" dxfId="2760" priority="93">
      <formula>B$9&gt;=20/24</formula>
    </cfRule>
  </conditionalFormatting>
  <conditionalFormatting sqref="E56:AA56 B56:D61 E59:M61 N60:Q61">
    <cfRule type="expression" dxfId="2759" priority="92">
      <formula>B56&gt;$AG56</formula>
    </cfRule>
  </conditionalFormatting>
  <conditionalFormatting sqref="E57:AA57">
    <cfRule type="expression" dxfId="2758" priority="133">
      <formula>E$9&lt;8/24</formula>
    </cfRule>
  </conditionalFormatting>
  <conditionalFormatting sqref="E63:AA67">
    <cfRule type="expression" dxfId="2757" priority="120">
      <formula>E$9&gt;=20/24</formula>
    </cfRule>
    <cfRule type="expression" dxfId="2756" priority="121">
      <formula>AND(E$9&gt;=14/24,E$9&lt;20/24)</formula>
    </cfRule>
    <cfRule type="expression" dxfId="2755" priority="122">
      <formula>AND(E$9&gt;=8/24,E$9&lt;14/24)</formula>
    </cfRule>
    <cfRule type="expression" dxfId="2754" priority="123">
      <formula>E$9&lt;8/24</formula>
    </cfRule>
  </conditionalFormatting>
  <conditionalFormatting sqref="F63:L65">
    <cfRule type="expression" dxfId="2753" priority="148">
      <formula>F$9&gt;=20/24</formula>
    </cfRule>
    <cfRule type="expression" dxfId="2752" priority="151">
      <formula>F$9&lt;8/24</formula>
    </cfRule>
    <cfRule type="expression" dxfId="2751" priority="149">
      <formula>AND(F$9&gt;=14/24,F$9&lt;20/24)</formula>
    </cfRule>
    <cfRule type="expression" dxfId="2750" priority="150">
      <formula>AND(F$9&gt;=8/24,F$9&lt;14/24)</formula>
    </cfRule>
  </conditionalFormatting>
  <conditionalFormatting sqref="L68:AA68">
    <cfRule type="expression" dxfId="2749" priority="147">
      <formula>L$9&lt;8/24</formula>
    </cfRule>
    <cfRule type="expression" dxfId="2748" priority="146">
      <formula>AND(L$9&gt;=8/24,L$9&lt;14/24)</formula>
    </cfRule>
    <cfRule type="expression" dxfId="2747" priority="145">
      <formula>AND(L$9&gt;=14/24,L$9&lt;20/24)</formula>
    </cfRule>
    <cfRule type="expression" dxfId="2746" priority="144">
      <formula>L$9&gt;=20/24</formula>
    </cfRule>
  </conditionalFormatting>
  <conditionalFormatting sqref="N59:Q59 R59:R61 S59:AF62 E62:R62">
    <cfRule type="expression" dxfId="2745" priority="137">
      <formula>E$9&lt;8/24</formula>
    </cfRule>
    <cfRule type="expression" dxfId="2744" priority="136">
      <formula>AND(E$9&gt;=8/24,E$9&lt;14/24)</formula>
    </cfRule>
    <cfRule type="expression" dxfId="2743" priority="135">
      <formula>AND(E$9&gt;=14/24,E$9&lt;20/24)</formula>
    </cfRule>
    <cfRule type="expression" dxfId="2742" priority="134">
      <formula>E$9&gt;=20/24</formula>
    </cfRule>
  </conditionalFormatting>
  <conditionalFormatting sqref="O3:P3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741" priority="206">
      <formula>C$9&gt;=20/24</formula>
    </cfRule>
  </conditionalFormatting>
  <conditionalFormatting sqref="S8">
    <cfRule type="expression" dxfId="2740" priority="196">
      <formula>U$9&lt;8/24</formula>
    </cfRule>
    <cfRule type="expression" dxfId="2739" priority="193">
      <formula>U$9&gt;=20/24</formula>
    </cfRule>
    <cfRule type="expression" dxfId="2738" priority="194">
      <formula>AND(U$9&gt;=14/24,U$9&lt;20/24)</formula>
    </cfRule>
    <cfRule type="expression" dxfId="2737" priority="195">
      <formula>AND(U$9&gt;=8/24,U$9&lt;14/24)</formula>
    </cfRule>
  </conditionalFormatting>
  <conditionalFormatting sqref="V3 AB3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736" priority="189">
      <formula>AD$9&gt;=20/24</formula>
    </cfRule>
    <cfRule type="expression" dxfId="2735" priority="190">
      <formula>AND(AD$9&gt;=14/24,AD$9&lt;20/24)</formula>
    </cfRule>
    <cfRule type="expression" dxfId="2734" priority="191">
      <formula>AND(AD$9&gt;=8/24,AD$9&lt;14/24)</formula>
    </cfRule>
    <cfRule type="expression" dxfId="2733" priority="192">
      <formula>AD$9&lt;8/24</formula>
    </cfRule>
  </conditionalFormatting>
  <conditionalFormatting sqref="AB55:AF55 B55:AA56">
    <cfRule type="expression" dxfId="2732" priority="96">
      <formula>B$9&lt;8/24</formula>
    </cfRule>
  </conditionalFormatting>
  <conditionalFormatting sqref="AB55:AF55 E55:AA56 B55:D57">
    <cfRule type="expression" dxfId="2731" priority="94">
      <formula>AND(B$9&gt;=14/24,B$9&lt;20/24)</formula>
    </cfRule>
    <cfRule type="expression" dxfId="2730" priority="95">
      <formula>AND(B$9&gt;=8/24,B$9&lt;14/24)</formula>
    </cfRule>
  </conditionalFormatting>
  <conditionalFormatting sqref="AB56:AF57 E57:AA57">
    <cfRule type="expression" dxfId="2729" priority="131">
      <formula>AND(E$9&gt;=14/24,E$9&lt;20/24)</formula>
    </cfRule>
    <cfRule type="expression" dxfId="2728" priority="130">
      <formula>E$9&gt;=20/24</formula>
    </cfRule>
    <cfRule type="expression" dxfId="2727" priority="132">
      <formula>AND(E$9&gt;=8/24,E$9&lt;14/24)</formula>
    </cfRule>
  </conditionalFormatting>
  <conditionalFormatting sqref="AB56:AF57">
    <cfRule type="expression" dxfId="2726" priority="142">
      <formula>AB$9&lt;8/24</formula>
    </cfRule>
  </conditionalFormatting>
  <conditionalFormatting sqref="AB56:AF61 E57:P58 Q57:Q59 R57:AA61 N59:P59">
    <cfRule type="expression" dxfId="2725" priority="129">
      <formula>E56&gt;$AG56</formula>
    </cfRule>
  </conditionalFormatting>
  <conditionalFormatting sqref="AB63:AF68">
    <cfRule type="expression" dxfId="2724" priority="138">
      <formula>AB$9&gt;=20/24</formula>
    </cfRule>
    <cfRule type="expression" dxfId="2723" priority="139">
      <formula>AND(AB$9&gt;=14/24,AB$9&lt;20/24)</formula>
    </cfRule>
    <cfRule type="expression" dxfId="2722" priority="140">
      <formula>AND(AB$9&gt;=8/24,AB$9&lt;14/24)</formula>
    </cfRule>
    <cfRule type="expression" dxfId="2721" priority="141">
      <formula>AB$9&lt;8/24</formula>
    </cfRule>
  </conditionalFormatting>
  <conditionalFormatting sqref="AD11:AF11">
    <cfRule type="expression" dxfId="2720" priority="125">
      <formula>AD$9&gt;=20/24</formula>
    </cfRule>
    <cfRule type="expression" dxfId="2719" priority="127">
      <formula>AND(AD$9&gt;=8/24,AD$9&lt;14/24)</formula>
    </cfRule>
    <cfRule type="expression" dxfId="2718" priority="128">
      <formula>AD$9&lt;8/24</formula>
    </cfRule>
    <cfRule type="expression" dxfId="2717" priority="126">
      <formula>AND(AD$9&gt;=14/24,AD$9&lt;20/24)</formula>
    </cfRule>
  </conditionalFormatting>
  <conditionalFormatting sqref="AG58">
    <cfRule type="expression" dxfId="2716" priority="184">
      <formula>AG58&gt;$AG58</formula>
    </cfRule>
  </conditionalFormatting>
  <conditionalFormatting sqref="AG62">
    <cfRule type="expression" dxfId="2715" priority="168">
      <formula>AND(AG$9&gt;=14/24,AG$9&lt;20/24)</formula>
    </cfRule>
    <cfRule type="expression" dxfId="2714" priority="167">
      <formula>AG$9&gt;=20/24</formula>
    </cfRule>
    <cfRule type="expression" dxfId="2713" priority="169">
      <formula>AND(AG$9&gt;=8/24,AG$9&lt;14/24)</formula>
    </cfRule>
    <cfRule type="expression" dxfId="2712" priority="170">
      <formula>AG$9&lt;8/24</formula>
    </cfRule>
  </conditionalFormatting>
  <conditionalFormatting sqref="AG75:AG76 AG80">
    <cfRule type="expression" dxfId="2711" priority="162">
      <formula>AG75&gt;$AG75</formula>
    </cfRule>
  </conditionalFormatting>
  <conditionalFormatting sqref="AG80">
    <cfRule type="expression" dxfId="2710" priority="166">
      <formula>AG$9&lt;8/24</formula>
    </cfRule>
    <cfRule type="expression" dxfId="2709" priority="164">
      <formula>AND(AG$9&gt;=14/24,AG$9&lt;20/24)</formula>
    </cfRule>
    <cfRule type="expression" dxfId="2708" priority="163">
      <formula>AG$9&gt;=20/24</formula>
    </cfRule>
    <cfRule type="expression" dxfId="2707" priority="165">
      <formula>AND(AG$9&gt;=8/24,AG$9&lt;14/24)</formula>
    </cfRule>
  </conditionalFormatting>
  <conditionalFormatting sqref="AG97">
    <cfRule type="expression" dxfId="2706" priority="188">
      <formula>AG$9&lt;8/24</formula>
    </cfRule>
    <cfRule type="expression" dxfId="2705" priority="187">
      <formula>AND(AG$9&gt;=8/24,AG$9&lt;14/24)</formula>
    </cfRule>
    <cfRule type="expression" dxfId="2704" priority="186">
      <formula>AND(AG$9&gt;=14/24,AG$9&lt;20/24)</formula>
    </cfRule>
    <cfRule type="expression" dxfId="2703" priority="185">
      <formula>AG$9&gt;=20/24</formula>
    </cfRule>
  </conditionalFormatting>
  <conditionalFormatting sqref="AL4:AL6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702" priority="213">
      <formula>AJ$9&lt;8/24</formula>
    </cfRule>
    <cfRule type="expression" dxfId="2701" priority="212">
      <formula>AND(AJ$9&gt;=8/24,AJ$9&lt;14/24)</formula>
    </cfRule>
    <cfRule type="expression" dxfId="2700" priority="211">
      <formula>AND(AJ$9&gt;=14/24,AJ$9&lt;20/24)</formula>
    </cfRule>
    <cfRule type="expression" dxfId="2699" priority="210">
      <formula>AJ$9&gt;=20/24</formula>
    </cfRule>
  </conditionalFormatting>
  <conditionalFormatting sqref="AL88:AN88 AL94:AN94">
    <cfRule type="expression" dxfId="2698" priority="180">
      <formula>AL$9&lt;8/24</formula>
    </cfRule>
    <cfRule type="expression" dxfId="2697" priority="179">
      <formula>AND(AL$9&gt;=8/24,AL$9&lt;14/24)</formula>
    </cfRule>
    <cfRule type="expression" dxfId="2696" priority="178">
      <formula>AND(AL$9&gt;=14/24,AL$9&lt;20/24)</formula>
    </cfRule>
    <cfRule type="expression" dxfId="2695" priority="177">
      <formula>AL$9&gt;=20/24</formula>
    </cfRule>
  </conditionalFormatting>
  <conditionalFormatting sqref="AM15:AM21 AN16:AR21">
    <cfRule type="expression" dxfId="2694" priority="15">
      <formula>AND(AX$9&gt;=8/24,AX$9&lt;14/24)</formula>
    </cfRule>
    <cfRule type="expression" dxfId="2693" priority="14">
      <formula>AND(AX$9&gt;=14/24,AX$9&lt;20/24)</formula>
    </cfRule>
    <cfRule type="expression" dxfId="2692" priority="13">
      <formula>AX$9&gt;=20/24</formula>
    </cfRule>
    <cfRule type="expression" dxfId="2691" priority="16">
      <formula>AX$9&lt;8/24</formula>
    </cfRule>
  </conditionalFormatting>
  <conditionalFormatting sqref="AN89:AN92">
    <cfRule type="expression" dxfId="2690" priority="176">
      <formula>AN$9&lt;8/24</formula>
    </cfRule>
    <cfRule type="expression" dxfId="2689" priority="175">
      <formula>AND(AN$9&gt;=8/24,AN$9&lt;14/24)</formula>
    </cfRule>
    <cfRule type="expression" dxfId="2688" priority="174">
      <formula>AND(AN$9&gt;=14/24,AN$9&lt;20/24)</formula>
    </cfRule>
    <cfRule type="expression" dxfId="2687" priority="173">
      <formula>AN$9&gt;=20/24</formula>
    </cfRule>
  </conditionalFormatting>
  <conditionalFormatting sqref="AN15:AR15">
    <cfRule type="expression" dxfId="2686" priority="3">
      <formula>AND(U$9&gt;=8/24,U$9&lt;14/24)</formula>
    </cfRule>
    <cfRule type="expression" dxfId="2685" priority="2">
      <formula>AND(U$9&gt;=14/24,U$9&lt;20/24)</formula>
    </cfRule>
    <cfRule type="expression" dxfId="2684" priority="1">
      <formula>U$9&gt;=20/24</formula>
    </cfRule>
    <cfRule type="expression" dxfId="2683" priority="4">
      <formula>U$9&lt;8/24</formula>
    </cfRule>
  </conditionalFormatting>
  <conditionalFormatting sqref="AS15">
    <cfRule type="expression" dxfId="2682" priority="10">
      <formula>AND(AA$9&gt;=14/24,AA$9&lt;20/24)</formula>
    </cfRule>
    <cfRule type="expression" dxfId="2681" priority="11">
      <formula>AND(AA$9&gt;=8/24,AA$9&lt;14/24)</formula>
    </cfRule>
    <cfRule type="expression" dxfId="2680" priority="9">
      <formula>AA$9&gt;=20/24</formula>
    </cfRule>
    <cfRule type="expression" dxfId="2679" priority="12">
      <formula>AA$9&lt;8/24</formula>
    </cfRule>
  </conditionalFormatting>
  <conditionalFormatting sqref="AS16:AS21">
    <cfRule type="expression" dxfId="2678" priority="18">
      <formula>AND(BE$9&gt;=14/24,BE$9&lt;20/24)</formula>
    </cfRule>
    <cfRule type="expression" dxfId="2677" priority="20">
      <formula>BE$9&lt;8/24</formula>
    </cfRule>
    <cfRule type="expression" dxfId="2676" priority="19">
      <formula>AND(BE$9&gt;=8/24,BE$9&lt;14/24)</formula>
    </cfRule>
    <cfRule type="expression" dxfId="2675" priority="17">
      <formula>BE$9&gt;=20/24</formula>
    </cfRule>
  </conditionalFormatting>
  <conditionalFormatting sqref="AT15 AX15:BD15">
    <cfRule type="expression" dxfId="2674" priority="21">
      <formula>AC$9&gt;=20/24</formula>
    </cfRule>
    <cfRule type="expression" dxfId="2673" priority="22">
      <formula>AND(AC$9&gt;=14/24,AC$9&lt;20/24)</formula>
    </cfRule>
    <cfRule type="expression" dxfId="2672" priority="23">
      <formula>AND(AC$9&gt;=8/24,AC$9&lt;14/24)</formula>
    </cfRule>
    <cfRule type="expression" dxfId="2671" priority="24">
      <formula>AC$9&lt;8/24</formula>
    </cfRule>
  </conditionalFormatting>
  <conditionalFormatting sqref="AT16:AT21">
    <cfRule type="expression" dxfId="2670" priority="28">
      <formula>BG$9&lt;8/24</formula>
    </cfRule>
    <cfRule type="expression" dxfId="2669" priority="26">
      <formula>AND(BG$9&gt;=14/24,BG$9&lt;20/24)</formula>
    </cfRule>
    <cfRule type="expression" dxfId="2668" priority="25">
      <formula>BG$9&gt;=20/24</formula>
    </cfRule>
    <cfRule type="expression" dxfId="2667" priority="27">
      <formula>AND(BG$9&gt;=8/24,BG$9&lt;14/24)</formula>
    </cfRule>
  </conditionalFormatting>
  <conditionalFormatting sqref="AU15:AV15 BE15">
    <cfRule type="expression" dxfId="2666" priority="32">
      <formula>AE$9&lt;8/24</formula>
    </cfRule>
    <cfRule type="expression" dxfId="2665" priority="31">
      <formula>AND(AE$9&gt;=8/24,AE$9&lt;14/24)</formula>
    </cfRule>
    <cfRule type="expression" dxfId="2664" priority="30">
      <formula>AND(AE$9&gt;=14/24,AE$9&lt;20/24)</formula>
    </cfRule>
    <cfRule type="expression" dxfId="2663" priority="29">
      <formula>AE$9&gt;=20/24</formula>
    </cfRule>
  </conditionalFormatting>
  <conditionalFormatting sqref="AU16:BD21">
    <cfRule type="expression" dxfId="2662" priority="35">
      <formula>AND(BI$9&gt;=8/24,BI$9&lt;14/24)</formula>
    </cfRule>
    <cfRule type="expression" dxfId="2661" priority="33">
      <formula>BI$9&gt;=20/24</formula>
    </cfRule>
    <cfRule type="expression" dxfId="2660" priority="34">
      <formula>AND(BI$9&gt;=14/24,BI$9&lt;20/24)</formula>
    </cfRule>
    <cfRule type="expression" dxfId="2659" priority="36">
      <formula>BI$9&lt;8/24</formula>
    </cfRule>
  </conditionalFormatting>
  <conditionalFormatting sqref="AW15">
    <cfRule type="expression" dxfId="2658" priority="6">
      <formula>AND(B$9&gt;=14/24,B$9&lt;20/24)</formula>
    </cfRule>
    <cfRule type="expression" dxfId="2657" priority="5">
      <formula>B$9&gt;=20/24</formula>
    </cfRule>
    <cfRule type="expression" dxfId="2656" priority="7">
      <formula>AND(B$9&gt;=8/24,B$9&lt;14/24)</formula>
    </cfRule>
    <cfRule type="expression" dxfId="2655" priority="8">
      <formula>B$9&lt;8/24</formula>
    </cfRule>
  </conditionalFormatting>
  <conditionalFormatting sqref="BE16:BE21">
    <cfRule type="expression" dxfId="2654" priority="37">
      <formula>BT$9&gt;=20/24</formula>
    </cfRule>
    <cfRule type="expression" dxfId="2653" priority="38">
      <formula>AND(BT$9&gt;=14/24,BT$9&lt;20/24)</formula>
    </cfRule>
    <cfRule type="expression" dxfId="2652" priority="39">
      <formula>AND(BT$9&gt;=8/24,BT$9&lt;14/24)</formula>
    </cfRule>
    <cfRule type="expression" dxfId="2651" priority="40">
      <formula>BT$9&lt;8/24</formula>
    </cfRule>
  </conditionalFormatting>
  <conditionalFormatting sqref="BF15">
    <cfRule type="expression" dxfId="2650" priority="44">
      <formula>AQ$9&lt;8/24</formula>
    </cfRule>
    <cfRule type="expression" dxfId="2649" priority="42">
      <formula>AND(AQ$9&gt;=14/24,AQ$9&lt;20/24)</formula>
    </cfRule>
    <cfRule type="expression" dxfId="2648" priority="43">
      <formula>AND(AQ$9&gt;=8/24,AQ$9&lt;14/24)</formula>
    </cfRule>
    <cfRule type="expression" dxfId="2647" priority="41">
      <formula>AQ$9&gt;=20/24</formula>
    </cfRule>
  </conditionalFormatting>
  <conditionalFormatting sqref="BF16:BF21">
    <cfRule type="expression" dxfId="2646" priority="48">
      <formula>BV$9&lt;8/24</formula>
    </cfRule>
    <cfRule type="expression" dxfId="2645" priority="47">
      <formula>AND(BV$9&gt;=8/24,BV$9&lt;14/24)</formula>
    </cfRule>
    <cfRule type="expression" dxfId="2644" priority="46">
      <formula>AND(BV$9&gt;=14/24,BV$9&lt;20/24)</formula>
    </cfRule>
    <cfRule type="expression" dxfId="2643" priority="45">
      <formula>BV$9&gt;=20/24</formula>
    </cfRule>
  </conditionalFormatting>
  <conditionalFormatting sqref="BG15">
    <cfRule type="expression" dxfId="2642" priority="49">
      <formula>AS$9&gt;=20/24</formula>
    </cfRule>
    <cfRule type="expression" dxfId="2641" priority="50">
      <formula>AND(AS$9&gt;=14/24,AS$9&lt;20/24)</formula>
    </cfRule>
    <cfRule type="expression" dxfId="2640" priority="52">
      <formula>AS$9&lt;8/24</formula>
    </cfRule>
    <cfRule type="expression" dxfId="2639" priority="51">
      <formula>AND(AS$9&gt;=8/24,AS$9&lt;14/24)</formula>
    </cfRule>
  </conditionalFormatting>
  <conditionalFormatting sqref="BG16:BG21">
    <cfRule type="expression" dxfId="2638" priority="53">
      <formula>BX$9&gt;=20/24</formula>
    </cfRule>
    <cfRule type="expression" dxfId="2637" priority="56">
      <formula>BX$9&lt;8/24</formula>
    </cfRule>
    <cfRule type="expression" dxfId="2636" priority="55">
      <formula>AND(BX$9&gt;=8/24,BX$9&lt;14/24)</formula>
    </cfRule>
    <cfRule type="expression" dxfId="2635" priority="54">
      <formula>AND(BX$9&gt;=14/24,BX$9&lt;20/24)</formula>
    </cfRule>
  </conditionalFormatting>
  <conditionalFormatting sqref="BH15:BJ15">
    <cfRule type="expression" dxfId="2634" priority="59">
      <formula>AND(AU$9&gt;=8/24,AU$9&lt;14/24)</formula>
    </cfRule>
    <cfRule type="expression" dxfId="2633" priority="58">
      <formula>AND(AU$9&gt;=14/24,AU$9&lt;20/24)</formula>
    </cfRule>
    <cfRule type="expression" dxfId="2632" priority="60">
      <formula>AU$9&lt;8/24</formula>
    </cfRule>
    <cfRule type="expression" dxfId="2631" priority="57">
      <formula>AU$9&gt;=20/24</formula>
    </cfRule>
  </conditionalFormatting>
  <conditionalFormatting sqref="BH16:BJ21">
    <cfRule type="expression" dxfId="2630" priority="64">
      <formula>BZ$9&lt;8/24</formula>
    </cfRule>
    <cfRule type="expression" dxfId="2629" priority="63">
      <formula>AND(BZ$9&gt;=8/24,BZ$9&lt;14/24)</formula>
    </cfRule>
    <cfRule type="expression" dxfId="2628" priority="62">
      <formula>AND(BZ$9&gt;=14/24,BZ$9&lt;20/24)</formula>
    </cfRule>
    <cfRule type="expression" dxfId="2627" priority="61">
      <formula>BZ$9&gt;=20/24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35F9-BF76-4EAC-88E7-C5A3CAB8F2B6}">
  <dimension ref="A1:CJ294"/>
  <sheetViews>
    <sheetView zoomScaleNormal="100" workbookViewId="0">
      <pane xSplit="1" ySplit="10" topLeftCell="B63" activePane="bottomRight" state="frozen"/>
      <selection activeCell="Z63" sqref="Z63"/>
      <selection pane="topRight" activeCell="Z63" sqref="Z63"/>
      <selection pane="bottomLeft" activeCell="Z63" sqref="Z63"/>
      <selection pane="bottomRight" activeCell="K63" sqref="K6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5703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thickBot="1" x14ac:dyDescent="0.3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72" t="str">
        <f ca="1">"2080/"&amp;"10/"&amp;INT(MID(CELL("filename",D6),FIND("]",CELL("filename",D6))+1,200))</f>
        <v>2080/10/15</v>
      </c>
      <c r="C4" s="272"/>
      <c r="D4" s="272"/>
      <c r="E4" s="273" t="str">
        <f ca="1">"2080/"&amp;"10/"&amp;INT(MID(CELL("filename",G6),FIND("]",CELL("filename",G6))+1,200))</f>
        <v>2080/10/15</v>
      </c>
      <c r="F4" s="273"/>
      <c r="G4" s="273"/>
      <c r="H4" s="273" t="str">
        <f ca="1">TEXT(E4,"dddd")</f>
        <v>Tuesday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C92</f>
        <v>623.9</v>
      </c>
      <c r="C5" s="30">
        <f t="shared" si="0"/>
        <v>639.30000000000007</v>
      </c>
      <c r="D5" s="30">
        <f t="shared" si="0"/>
        <v>624.4</v>
      </c>
      <c r="E5" s="30">
        <f t="shared" si="0"/>
        <v>626.29999999999995</v>
      </c>
      <c r="F5" s="30">
        <f t="shared" si="0"/>
        <v>649.80000000000007</v>
      </c>
      <c r="G5" s="30">
        <f t="shared" si="0"/>
        <v>663.1</v>
      </c>
      <c r="H5" s="30">
        <f t="shared" si="0"/>
        <v>668.59999999999991</v>
      </c>
      <c r="I5" s="30">
        <f t="shared" si="0"/>
        <v>677.5</v>
      </c>
      <c r="J5" s="30">
        <f t="shared" si="0"/>
        <v>627.1</v>
      </c>
      <c r="K5" s="30">
        <f t="shared" si="0"/>
        <v>626.4</v>
      </c>
      <c r="L5" s="30">
        <f t="shared" si="0"/>
        <v>558.9</v>
      </c>
      <c r="M5" s="30">
        <f t="shared" si="0"/>
        <v>556.9</v>
      </c>
      <c r="N5" s="30">
        <f t="shared" si="0"/>
        <v>558.29999999999995</v>
      </c>
      <c r="O5" s="30">
        <f t="shared" si="0"/>
        <v>590.9</v>
      </c>
      <c r="P5" s="30">
        <f t="shared" si="0"/>
        <v>676.6</v>
      </c>
      <c r="Q5" s="30">
        <f t="shared" si="0"/>
        <v>680</v>
      </c>
      <c r="R5" s="30">
        <f t="shared" si="0"/>
        <v>727.9</v>
      </c>
      <c r="S5" s="30">
        <f t="shared" si="0"/>
        <v>691.30000000000007</v>
      </c>
      <c r="T5" s="30">
        <f t="shared" si="0"/>
        <v>684.7</v>
      </c>
      <c r="U5" s="30">
        <f t="shared" si="0"/>
        <v>604.29999999999995</v>
      </c>
      <c r="V5" s="30">
        <f t="shared" si="0"/>
        <v>594.9</v>
      </c>
      <c r="W5" s="30">
        <f t="shared" si="0"/>
        <v>601.4</v>
      </c>
      <c r="X5" s="30">
        <f t="shared" si="0"/>
        <v>606.40000000000009</v>
      </c>
      <c r="Y5" s="30">
        <f t="shared" si="0"/>
        <v>597.70000000000005</v>
      </c>
      <c r="Z5" s="30">
        <f t="shared" si="0"/>
        <v>620.29999999999995</v>
      </c>
      <c r="AA5" s="30">
        <f t="shared" si="0"/>
        <v>580.79999999999995</v>
      </c>
      <c r="AB5" s="30">
        <f t="shared" si="0"/>
        <v>628.6</v>
      </c>
      <c r="AC5" s="30">
        <f t="shared" si="0"/>
        <v>674.2</v>
      </c>
      <c r="AD5" s="30">
        <f t="shared" si="0"/>
        <v>738</v>
      </c>
      <c r="AE5" s="30">
        <f t="shared" si="0"/>
        <v>705</v>
      </c>
      <c r="AF5" s="30">
        <f>B92</f>
        <v>620.5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Load=1215</v>
      </c>
      <c r="B7" s="35">
        <f>B100</f>
        <v>1233.49</v>
      </c>
      <c r="C7" s="35">
        <f t="shared" ref="C7:AF7" si="1">C100</f>
        <v>1235.69</v>
      </c>
      <c r="D7" s="35">
        <f t="shared" si="1"/>
        <v>1229.4900000000002</v>
      </c>
      <c r="E7" s="35">
        <f t="shared" si="1"/>
        <v>1215.49</v>
      </c>
      <c r="F7" s="35">
        <f t="shared" si="1"/>
        <v>1241.99</v>
      </c>
      <c r="G7" s="35">
        <f t="shared" si="1"/>
        <v>1276.29</v>
      </c>
      <c r="H7" s="35">
        <f t="shared" si="1"/>
        <v>1289.79</v>
      </c>
      <c r="I7" s="35">
        <f t="shared" si="1"/>
        <v>1433.3899999999999</v>
      </c>
      <c r="J7" s="35">
        <f t="shared" si="1"/>
        <v>1550.8899999999999</v>
      </c>
      <c r="K7" s="35">
        <f t="shared" si="1"/>
        <v>1639.29</v>
      </c>
      <c r="L7" s="35">
        <f t="shared" si="1"/>
        <v>1736.69</v>
      </c>
      <c r="M7" s="35">
        <f t="shared" si="1"/>
        <v>1669.69</v>
      </c>
      <c r="N7" s="35">
        <f t="shared" si="1"/>
        <v>1607.29</v>
      </c>
      <c r="O7" s="35">
        <f t="shared" si="1"/>
        <v>1591.59</v>
      </c>
      <c r="P7" s="35">
        <f t="shared" si="1"/>
        <v>1494.3899999999999</v>
      </c>
      <c r="Q7" s="35">
        <f t="shared" si="1"/>
        <v>1544.19</v>
      </c>
      <c r="R7" s="35">
        <f t="shared" si="1"/>
        <v>1522.79</v>
      </c>
      <c r="S7" s="35">
        <f t="shared" si="1"/>
        <v>1551.9900000000002</v>
      </c>
      <c r="T7" s="35">
        <f t="shared" si="1"/>
        <v>1558.4299999999998</v>
      </c>
      <c r="U7" s="35">
        <f t="shared" si="1"/>
        <v>1575.73</v>
      </c>
      <c r="V7" s="35">
        <f t="shared" si="1"/>
        <v>1550.19</v>
      </c>
      <c r="W7" s="35">
        <f t="shared" si="1"/>
        <v>1580.19</v>
      </c>
      <c r="X7" s="35">
        <f t="shared" si="1"/>
        <v>1656.9899999999998</v>
      </c>
      <c r="Y7" s="35">
        <f t="shared" si="1"/>
        <v>1819.69</v>
      </c>
      <c r="Z7" s="35">
        <f t="shared" si="1"/>
        <v>1851.29</v>
      </c>
      <c r="AA7" s="35">
        <f t="shared" si="1"/>
        <v>1732.5900000000001</v>
      </c>
      <c r="AB7" s="35">
        <f t="shared" si="1"/>
        <v>1693.0900000000001</v>
      </c>
      <c r="AC7" s="35">
        <f t="shared" si="1"/>
        <v>1681.29</v>
      </c>
      <c r="AD7" s="35">
        <f t="shared" si="1"/>
        <v>1440.89</v>
      </c>
      <c r="AE7" s="35">
        <f t="shared" si="1"/>
        <v>1474.69</v>
      </c>
      <c r="AF7" s="35">
        <f t="shared" si="1"/>
        <v>1307.69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1852.29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1851.29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</v>
      </c>
      <c r="C11" s="45">
        <v>25.4</v>
      </c>
      <c r="D11" s="45">
        <v>27.6</v>
      </c>
      <c r="E11" s="45">
        <v>28.4</v>
      </c>
      <c r="F11" s="45">
        <v>28.4</v>
      </c>
      <c r="G11" s="45">
        <v>28.4</v>
      </c>
      <c r="H11" s="45">
        <v>28.4</v>
      </c>
      <c r="I11" s="45">
        <v>28.4</v>
      </c>
      <c r="J11" s="45">
        <v>28.4</v>
      </c>
      <c r="K11" s="45">
        <v>28.4</v>
      </c>
      <c r="L11" s="45">
        <v>28.4</v>
      </c>
      <c r="M11" s="45">
        <v>27.2</v>
      </c>
      <c r="N11" s="45">
        <v>27.2</v>
      </c>
      <c r="O11" s="45">
        <v>25</v>
      </c>
      <c r="P11" s="45">
        <v>27.8</v>
      </c>
      <c r="Q11" s="45">
        <v>30.5</v>
      </c>
      <c r="R11" s="45">
        <v>26.9</v>
      </c>
      <c r="S11" s="45">
        <v>26.9</v>
      </c>
      <c r="T11" s="45">
        <v>26.9</v>
      </c>
      <c r="U11" s="45">
        <v>26.9</v>
      </c>
      <c r="V11" s="45">
        <v>26.9</v>
      </c>
      <c r="W11" s="45">
        <v>26.9</v>
      </c>
      <c r="X11" s="45">
        <v>26.9</v>
      </c>
      <c r="Y11" s="45">
        <v>26.9</v>
      </c>
      <c r="Z11" s="45">
        <v>26.9</v>
      </c>
      <c r="AA11" s="45">
        <v>26.9</v>
      </c>
      <c r="AB11" s="45">
        <v>26.9</v>
      </c>
      <c r="AC11" s="45">
        <v>26.9</v>
      </c>
      <c r="AD11" s="45">
        <v>26.9</v>
      </c>
      <c r="AE11" s="45">
        <v>26.9</v>
      </c>
      <c r="AF11" s="45">
        <v>26.9</v>
      </c>
      <c r="AG11" s="46">
        <v>86</v>
      </c>
      <c r="AH11" s="47">
        <f t="shared" ref="AH11:AH84" si="2">MAX(B11:AF11)</f>
        <v>30.5</v>
      </c>
      <c r="AI11" s="48">
        <f t="shared" ref="AI11:AI84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15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10.1</v>
      </c>
      <c r="C13" s="45">
        <v>10.1</v>
      </c>
      <c r="D13" s="45">
        <v>10.1</v>
      </c>
      <c r="E13" s="45">
        <v>10.1</v>
      </c>
      <c r="F13" s="45">
        <v>10.1</v>
      </c>
      <c r="G13" s="45">
        <v>10.1</v>
      </c>
      <c r="H13" s="45">
        <v>10.1</v>
      </c>
      <c r="I13" s="45">
        <v>10.1</v>
      </c>
      <c r="J13" s="45">
        <v>10.1</v>
      </c>
      <c r="K13" s="45">
        <v>10.1</v>
      </c>
      <c r="L13" s="45">
        <v>10.1</v>
      </c>
      <c r="M13" s="45">
        <v>10.1</v>
      </c>
      <c r="N13" s="45">
        <v>10.1</v>
      </c>
      <c r="O13" s="45">
        <v>10.1</v>
      </c>
      <c r="P13" s="45">
        <v>10.1</v>
      </c>
      <c r="Q13" s="45">
        <v>10.1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10.1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2080/10/15)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15.2</v>
      </c>
      <c r="C14" s="45">
        <v>15.2</v>
      </c>
      <c r="D14" s="45">
        <v>15.2</v>
      </c>
      <c r="E14" s="45">
        <v>15.3</v>
      </c>
      <c r="F14" s="45">
        <v>15.3</v>
      </c>
      <c r="G14" s="45">
        <v>15.3</v>
      </c>
      <c r="H14" s="45">
        <v>15.3</v>
      </c>
      <c r="I14" s="45">
        <v>15.3</v>
      </c>
      <c r="J14" s="45">
        <v>15.3</v>
      </c>
      <c r="K14" s="45">
        <v>15.3</v>
      </c>
      <c r="L14" s="45">
        <v>15.3</v>
      </c>
      <c r="M14" s="45">
        <v>15.2</v>
      </c>
      <c r="N14" s="45">
        <v>15.2</v>
      </c>
      <c r="O14" s="45">
        <v>15.2</v>
      </c>
      <c r="P14" s="45">
        <v>15.2</v>
      </c>
      <c r="Q14" s="45">
        <v>15.2</v>
      </c>
      <c r="R14" s="45">
        <v>15</v>
      </c>
      <c r="S14" s="45">
        <v>15</v>
      </c>
      <c r="T14" s="45">
        <v>15</v>
      </c>
      <c r="U14" s="45">
        <v>15</v>
      </c>
      <c r="V14" s="45">
        <v>15</v>
      </c>
      <c r="W14" s="45">
        <v>15</v>
      </c>
      <c r="X14" s="45">
        <v>15</v>
      </c>
      <c r="Y14" s="45">
        <v>15</v>
      </c>
      <c r="Z14" s="45">
        <v>15</v>
      </c>
      <c r="AA14" s="45">
        <v>15</v>
      </c>
      <c r="AB14" s="45">
        <v>15</v>
      </c>
      <c r="AC14" s="45">
        <v>15</v>
      </c>
      <c r="AD14" s="45">
        <v>15</v>
      </c>
      <c r="AE14" s="45">
        <v>15</v>
      </c>
      <c r="AF14" s="45">
        <v>15</v>
      </c>
      <c r="AG14" s="46">
        <v>52.4</v>
      </c>
      <c r="AH14" s="47">
        <f t="shared" si="2"/>
        <v>15.3</v>
      </c>
      <c r="AI14" s="48">
        <f t="shared" si="3"/>
        <v>15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26</v>
      </c>
      <c r="C15" s="45">
        <v>27</v>
      </c>
      <c r="D15" s="45">
        <v>29</v>
      </c>
      <c r="E15" s="45">
        <v>29</v>
      </c>
      <c r="F15" s="45">
        <v>29</v>
      </c>
      <c r="G15" s="45">
        <v>29</v>
      </c>
      <c r="H15" s="45">
        <v>29</v>
      </c>
      <c r="I15" s="45">
        <v>29</v>
      </c>
      <c r="J15" s="45">
        <v>29</v>
      </c>
      <c r="K15" s="45">
        <v>29</v>
      </c>
      <c r="L15" s="45">
        <v>29</v>
      </c>
      <c r="M15" s="45">
        <v>29.4</v>
      </c>
      <c r="N15" s="45">
        <v>29.4</v>
      </c>
      <c r="O15" s="45">
        <v>29.4</v>
      </c>
      <c r="P15" s="45">
        <v>29.4</v>
      </c>
      <c r="Q15" s="45">
        <v>29.4</v>
      </c>
      <c r="R15" s="45">
        <v>28.9</v>
      </c>
      <c r="S15" s="45">
        <v>28.9</v>
      </c>
      <c r="T15" s="45">
        <v>28.9</v>
      </c>
      <c r="U15" s="45">
        <v>28.9</v>
      </c>
      <c r="V15" s="45">
        <v>28.9</v>
      </c>
      <c r="W15" s="45">
        <v>28.9</v>
      </c>
      <c r="X15" s="45">
        <v>28.9</v>
      </c>
      <c r="Y15" s="45">
        <v>28.9</v>
      </c>
      <c r="Z15" s="51">
        <v>28.9</v>
      </c>
      <c r="AA15" s="51">
        <v>28.9</v>
      </c>
      <c r="AB15" s="51">
        <v>28.9</v>
      </c>
      <c r="AC15" s="51">
        <v>28.9</v>
      </c>
      <c r="AD15" s="51">
        <v>28.9</v>
      </c>
      <c r="AE15" s="51">
        <v>28.9</v>
      </c>
      <c r="AF15" s="51">
        <v>28.9</v>
      </c>
      <c r="AG15" s="49">
        <v>50</v>
      </c>
      <c r="AH15" s="47">
        <f t="shared" si="2"/>
        <v>29.4</v>
      </c>
      <c r="AI15" s="48">
        <f t="shared" si="3"/>
        <v>26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16.399999999999999</v>
      </c>
      <c r="C16" s="45">
        <v>16.399999999999999</v>
      </c>
      <c r="D16" s="45">
        <v>16.399999999999999</v>
      </c>
      <c r="E16" s="45">
        <v>16.399999999999999</v>
      </c>
      <c r="F16" s="45">
        <v>16.399999999999999</v>
      </c>
      <c r="G16" s="45">
        <v>16.399999999999999</v>
      </c>
      <c r="H16" s="45">
        <v>16.399999999999999</v>
      </c>
      <c r="I16" s="45">
        <v>16.399999999999999</v>
      </c>
      <c r="J16" s="45">
        <v>16.399999999999999</v>
      </c>
      <c r="K16" s="45">
        <v>16.399999999999999</v>
      </c>
      <c r="L16" s="45">
        <v>16.399999999999999</v>
      </c>
      <c r="M16" s="45">
        <v>15.7</v>
      </c>
      <c r="N16" s="45">
        <v>15.7</v>
      </c>
      <c r="O16" s="45">
        <v>15.7</v>
      </c>
      <c r="P16" s="45">
        <v>15.7</v>
      </c>
      <c r="Q16" s="45">
        <v>15.7</v>
      </c>
      <c r="R16" s="45">
        <v>15.3</v>
      </c>
      <c r="S16" s="45">
        <v>15.3</v>
      </c>
      <c r="T16" s="45">
        <v>15.3</v>
      </c>
      <c r="U16" s="45">
        <v>15.3</v>
      </c>
      <c r="V16" s="45">
        <v>15.3</v>
      </c>
      <c r="W16" s="45">
        <v>15.3</v>
      </c>
      <c r="X16" s="45">
        <v>15.3</v>
      </c>
      <c r="Y16" s="45">
        <v>15.3</v>
      </c>
      <c r="Z16" s="45">
        <v>15.3</v>
      </c>
      <c r="AA16" s="45">
        <v>15.3</v>
      </c>
      <c r="AB16" s="45">
        <v>15.3</v>
      </c>
      <c r="AC16" s="45">
        <v>15.3</v>
      </c>
      <c r="AD16" s="45">
        <v>15.3</v>
      </c>
      <c r="AE16" s="45">
        <v>15.3</v>
      </c>
      <c r="AF16" s="45">
        <v>15.3</v>
      </c>
      <c r="AG16" s="49">
        <v>45</v>
      </c>
      <c r="AH16" s="47">
        <f t="shared" si="2"/>
        <v>16.399999999999999</v>
      </c>
      <c r="AI16" s="48">
        <f t="shared" si="3"/>
        <v>15.3</v>
      </c>
      <c r="AK16" s="50"/>
      <c r="AL16" s="160" t="s">
        <v>7</v>
      </c>
      <c r="AM16" s="227">
        <f t="shared" ref="AM16:AR16" si="4">B58</f>
        <v>474.15000000000003</v>
      </c>
      <c r="AN16" s="227">
        <f t="shared" si="4"/>
        <v>472.55000000000007</v>
      </c>
      <c r="AO16" s="227">
        <f t="shared" si="4"/>
        <v>476.75000000000006</v>
      </c>
      <c r="AP16" s="227">
        <f t="shared" si="4"/>
        <v>477.65000000000003</v>
      </c>
      <c r="AQ16" s="227">
        <f t="shared" si="4"/>
        <v>477.65000000000003</v>
      </c>
      <c r="AR16" s="227">
        <f t="shared" si="4"/>
        <v>477.65000000000003</v>
      </c>
      <c r="AS16" s="227">
        <f>I58</f>
        <v>477.65000000000003</v>
      </c>
      <c r="AT16" s="227">
        <f>K58</f>
        <v>477.65000000000003</v>
      </c>
      <c r="AU16" s="227">
        <f t="shared" ref="AU16:BD16" si="5">M58</f>
        <v>471.65000000000003</v>
      </c>
      <c r="AV16" s="227">
        <f t="shared" si="5"/>
        <v>471.65000000000003</v>
      </c>
      <c r="AW16" s="227">
        <f t="shared" si="5"/>
        <v>469.45</v>
      </c>
      <c r="AX16" s="227">
        <f t="shared" si="5"/>
        <v>472.25</v>
      </c>
      <c r="AY16" s="227">
        <f t="shared" si="5"/>
        <v>474.95</v>
      </c>
      <c r="AZ16" s="227">
        <f t="shared" si="5"/>
        <v>464.85</v>
      </c>
      <c r="BA16" s="227">
        <f t="shared" si="5"/>
        <v>464.85</v>
      </c>
      <c r="BB16" s="227">
        <f t="shared" si="5"/>
        <v>464.85</v>
      </c>
      <c r="BC16" s="227">
        <f t="shared" si="5"/>
        <v>464.85</v>
      </c>
      <c r="BD16" s="227">
        <f t="shared" si="5"/>
        <v>464.85</v>
      </c>
      <c r="BE16" s="227">
        <f>X58</f>
        <v>464.85</v>
      </c>
      <c r="BF16" s="227">
        <f>Z58</f>
        <v>464.85</v>
      </c>
      <c r="BG16" s="227">
        <f>AB58</f>
        <v>464.85</v>
      </c>
      <c r="BH16" s="227">
        <f>AD58</f>
        <v>464.85</v>
      </c>
      <c r="BI16" s="227">
        <f>AE58</f>
        <v>464.85</v>
      </c>
      <c r="BJ16" s="227">
        <f>AF58</f>
        <v>464.85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 t="shared" ref="AM17:AR17" si="6">B62</f>
        <v>35.299999999999997</v>
      </c>
      <c r="AN17" s="227">
        <f t="shared" si="6"/>
        <v>35.700000000000003</v>
      </c>
      <c r="AO17" s="227">
        <f t="shared" si="6"/>
        <v>35.700000000000003</v>
      </c>
      <c r="AP17" s="227">
        <f t="shared" si="6"/>
        <v>35.700000000000003</v>
      </c>
      <c r="AQ17" s="227">
        <f t="shared" si="6"/>
        <v>35.700000000000003</v>
      </c>
      <c r="AR17" s="227">
        <f t="shared" si="6"/>
        <v>35.700000000000003</v>
      </c>
      <c r="AS17" s="227">
        <f>I62</f>
        <v>150.69999999999999</v>
      </c>
      <c r="AT17" s="227">
        <f>K62</f>
        <v>122.2</v>
      </c>
      <c r="AU17" s="227">
        <f t="shared" ref="AU17:BD17" si="7">M62</f>
        <v>147.30000000000001</v>
      </c>
      <c r="AV17" s="227">
        <f t="shared" si="7"/>
        <v>107.3</v>
      </c>
      <c r="AW17" s="227">
        <f>O62</f>
        <v>87.2</v>
      </c>
      <c r="AX17" s="227">
        <f t="shared" si="7"/>
        <v>67.2</v>
      </c>
      <c r="AY17" s="227">
        <f t="shared" si="7"/>
        <v>137.19999999999999</v>
      </c>
      <c r="AZ17" s="227">
        <f t="shared" si="7"/>
        <v>135.69999999999999</v>
      </c>
      <c r="BA17" s="227">
        <f t="shared" si="7"/>
        <v>125.7</v>
      </c>
      <c r="BB17" s="227">
        <f t="shared" si="7"/>
        <v>184.7</v>
      </c>
      <c r="BC17" s="227">
        <f t="shared" si="7"/>
        <v>184.7</v>
      </c>
      <c r="BD17" s="227">
        <f t="shared" si="7"/>
        <v>74.7</v>
      </c>
      <c r="BE17" s="227">
        <f>X62</f>
        <v>131.19999999999999</v>
      </c>
      <c r="BF17" s="227">
        <f>Z62</f>
        <v>201.2</v>
      </c>
      <c r="BG17" s="227">
        <f>AB62</f>
        <v>121.1</v>
      </c>
      <c r="BH17" s="227">
        <f>AD62</f>
        <v>121.1</v>
      </c>
      <c r="BI17" s="227">
        <f>AE62</f>
        <v>91.1</v>
      </c>
      <c r="BJ17" s="227">
        <f>AF62</f>
        <v>41.1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6.5</v>
      </c>
      <c r="S18" s="45">
        <v>6.5</v>
      </c>
      <c r="T18" s="45">
        <v>6.5</v>
      </c>
      <c r="U18" s="45">
        <v>6.5</v>
      </c>
      <c r="V18" s="45">
        <v>6.5</v>
      </c>
      <c r="W18" s="45">
        <v>6.5</v>
      </c>
      <c r="X18" s="45">
        <v>6.5</v>
      </c>
      <c r="Y18" s="45">
        <v>6.5</v>
      </c>
      <c r="Z18" s="45">
        <v>6.5</v>
      </c>
      <c r="AA18" s="45">
        <v>6.5</v>
      </c>
      <c r="AB18" s="45">
        <v>6.5</v>
      </c>
      <c r="AC18" s="45">
        <v>6.5</v>
      </c>
      <c r="AD18" s="45">
        <v>6.5</v>
      </c>
      <c r="AE18" s="45">
        <v>6.5</v>
      </c>
      <c r="AF18" s="45">
        <v>6.5</v>
      </c>
      <c r="AG18" s="49">
        <v>42</v>
      </c>
      <c r="AH18" s="47">
        <f t="shared" si="2"/>
        <v>7.5</v>
      </c>
      <c r="AI18" s="48">
        <f t="shared" si="3"/>
        <v>6.5</v>
      </c>
      <c r="AK18" s="50"/>
      <c r="AL18" s="160" t="s">
        <v>593</v>
      </c>
      <c r="AM18" s="227">
        <f t="shared" ref="AM18:AR18" si="8">B76</f>
        <v>103.53999999999999</v>
      </c>
      <c r="AN18" s="227">
        <f t="shared" si="8"/>
        <v>103.53999999999999</v>
      </c>
      <c r="AO18" s="227">
        <f t="shared" si="8"/>
        <v>77.739999999999995</v>
      </c>
      <c r="AP18" s="227">
        <f t="shared" si="8"/>
        <v>77.739999999999995</v>
      </c>
      <c r="AQ18" s="227">
        <f t="shared" si="8"/>
        <v>102.34</v>
      </c>
      <c r="AR18" s="227">
        <f t="shared" si="8"/>
        <v>113.13999999999999</v>
      </c>
      <c r="AS18" s="227">
        <f>I76</f>
        <v>136.43999999999997</v>
      </c>
      <c r="AT18" s="227">
        <f>K76</f>
        <v>262.34000000000003</v>
      </c>
      <c r="AU18" s="227">
        <f t="shared" ref="AU18:BD18" si="9">M76</f>
        <v>291.83999999999997</v>
      </c>
      <c r="AV18" s="227">
        <f t="shared" si="9"/>
        <v>271.44000000000005</v>
      </c>
      <c r="AW18" s="227">
        <f t="shared" si="9"/>
        <v>276.64000000000004</v>
      </c>
      <c r="AX18" s="227">
        <f t="shared" si="9"/>
        <v>264.04000000000002</v>
      </c>
      <c r="AY18" s="227">
        <f t="shared" si="9"/>
        <v>255.43999999999997</v>
      </c>
      <c r="AZ18" s="227">
        <f t="shared" si="9"/>
        <v>242.24</v>
      </c>
      <c r="BA18" s="227">
        <f t="shared" si="9"/>
        <v>233.54000000000002</v>
      </c>
      <c r="BB18" s="227">
        <f t="shared" si="9"/>
        <v>217.57999999999998</v>
      </c>
      <c r="BC18" s="227">
        <f t="shared" si="9"/>
        <v>241.48000000000002</v>
      </c>
      <c r="BD18" s="227">
        <f t="shared" si="9"/>
        <v>206.33999999999995</v>
      </c>
      <c r="BE18" s="227">
        <f>X76</f>
        <v>209.53999999999996</v>
      </c>
      <c r="BF18" s="227">
        <f>Z76</f>
        <v>338.54</v>
      </c>
      <c r="BG18" s="227">
        <f>AB76</f>
        <v>276.34000000000003</v>
      </c>
      <c r="BH18" s="227">
        <f>AD76</f>
        <v>180.73999999999998</v>
      </c>
      <c r="BI18" s="227">
        <f>AE76</f>
        <v>180.73999999999998</v>
      </c>
      <c r="BJ18" s="227">
        <f>AF76</f>
        <v>96.740000000000009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2"/>
        <v>11.8</v>
      </c>
      <c r="AI19" s="48">
        <f t="shared" si="3"/>
        <v>11.8</v>
      </c>
      <c r="AK19" s="50"/>
      <c r="AL19" s="160" t="s">
        <v>594</v>
      </c>
      <c r="AM19" s="227">
        <f t="shared" ref="AM19:AR19" si="10">B92</f>
        <v>620.5</v>
      </c>
      <c r="AN19" s="227">
        <f t="shared" si="10"/>
        <v>623.9</v>
      </c>
      <c r="AO19" s="227">
        <f t="shared" si="10"/>
        <v>639.30000000000007</v>
      </c>
      <c r="AP19" s="227">
        <f t="shared" si="10"/>
        <v>624.4</v>
      </c>
      <c r="AQ19" s="227">
        <f t="shared" si="10"/>
        <v>626.29999999999995</v>
      </c>
      <c r="AR19" s="227">
        <f t="shared" si="10"/>
        <v>649.80000000000007</v>
      </c>
      <c r="AS19" s="227">
        <f>I92</f>
        <v>668.59999999999991</v>
      </c>
      <c r="AT19" s="227">
        <f>K92</f>
        <v>627.1</v>
      </c>
      <c r="AU19" s="227">
        <f t="shared" ref="AU19:BD19" si="11">M92</f>
        <v>558.9</v>
      </c>
      <c r="AV19" s="227">
        <f t="shared" si="11"/>
        <v>556.9</v>
      </c>
      <c r="AW19" s="227">
        <f t="shared" si="11"/>
        <v>558.29999999999995</v>
      </c>
      <c r="AX19" s="227">
        <f t="shared" si="11"/>
        <v>590.9</v>
      </c>
      <c r="AY19" s="227">
        <f t="shared" si="11"/>
        <v>676.6</v>
      </c>
      <c r="AZ19" s="227">
        <f t="shared" si="11"/>
        <v>680</v>
      </c>
      <c r="BA19" s="227">
        <f t="shared" si="11"/>
        <v>727.9</v>
      </c>
      <c r="BB19" s="227">
        <f t="shared" si="11"/>
        <v>691.30000000000007</v>
      </c>
      <c r="BC19" s="227">
        <f t="shared" si="11"/>
        <v>684.7</v>
      </c>
      <c r="BD19" s="227">
        <f t="shared" si="11"/>
        <v>604.29999999999995</v>
      </c>
      <c r="BE19" s="227">
        <f>X92</f>
        <v>601.4</v>
      </c>
      <c r="BF19" s="227">
        <f>Z92</f>
        <v>597.70000000000005</v>
      </c>
      <c r="BG19" s="227">
        <f>AB92</f>
        <v>580.79999999999995</v>
      </c>
      <c r="BH19" s="227">
        <f>AD92</f>
        <v>674.2</v>
      </c>
      <c r="BI19" s="227">
        <f>AE92</f>
        <v>738</v>
      </c>
      <c r="BJ19" s="227">
        <f>AF92</f>
        <v>705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2"/>
        <v>7.8</v>
      </c>
      <c r="AI20" s="48">
        <f t="shared" si="3"/>
        <v>7.8</v>
      </c>
      <c r="AK20" s="50"/>
      <c r="AL20" s="160" t="s">
        <v>595</v>
      </c>
      <c r="AM20" s="227">
        <f t="shared" ref="AM20:AR20" si="12">B80</f>
        <v>0</v>
      </c>
      <c r="AN20" s="227">
        <f t="shared" si="12"/>
        <v>0</v>
      </c>
      <c r="AO20" s="227">
        <f t="shared" si="12"/>
        <v>0</v>
      </c>
      <c r="AP20" s="227">
        <f t="shared" si="12"/>
        <v>0</v>
      </c>
      <c r="AQ20" s="227">
        <f t="shared" si="12"/>
        <v>0</v>
      </c>
      <c r="AR20" s="227">
        <f t="shared" si="12"/>
        <v>0</v>
      </c>
      <c r="AS20" s="227">
        <f>I80</f>
        <v>0</v>
      </c>
      <c r="AT20" s="227">
        <f>K80</f>
        <v>0</v>
      </c>
      <c r="AU20" s="227">
        <f t="shared" ref="AU20:BD20" si="13">M80</f>
        <v>0</v>
      </c>
      <c r="AV20" s="227">
        <f t="shared" si="13"/>
        <v>0</v>
      </c>
      <c r="AW20" s="227">
        <f t="shared" si="13"/>
        <v>0</v>
      </c>
      <c r="AX20" s="227">
        <f t="shared" si="13"/>
        <v>0</v>
      </c>
      <c r="AY20" s="227">
        <f t="shared" si="13"/>
        <v>0</v>
      </c>
      <c r="AZ20" s="227">
        <f t="shared" si="13"/>
        <v>0</v>
      </c>
      <c r="BA20" s="227">
        <f t="shared" si="13"/>
        <v>0</v>
      </c>
      <c r="BB20" s="227">
        <f t="shared" si="13"/>
        <v>0</v>
      </c>
      <c r="BC20" s="227">
        <f t="shared" si="13"/>
        <v>0</v>
      </c>
      <c r="BD20" s="227">
        <f t="shared" si="13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2"/>
        <v>13</v>
      </c>
      <c r="AI21" s="48">
        <f t="shared" si="3"/>
        <v>13</v>
      </c>
      <c r="AK21" s="50"/>
      <c r="AL21" s="160" t="s">
        <v>596</v>
      </c>
      <c r="AM21" s="227">
        <f t="shared" ref="AM21:AR21" si="14">B98</f>
        <v>0</v>
      </c>
      <c r="AN21" s="227">
        <f t="shared" si="14"/>
        <v>0</v>
      </c>
      <c r="AO21" s="227">
        <f t="shared" si="14"/>
        <v>0</v>
      </c>
      <c r="AP21" s="227">
        <f t="shared" si="14"/>
        <v>0</v>
      </c>
      <c r="AQ21" s="227">
        <f t="shared" si="14"/>
        <v>0</v>
      </c>
      <c r="AR21" s="227">
        <f t="shared" si="14"/>
        <v>0</v>
      </c>
      <c r="AS21" s="227">
        <f>I98</f>
        <v>0</v>
      </c>
      <c r="AT21" s="227">
        <f>K98</f>
        <v>150</v>
      </c>
      <c r="AU21" s="227">
        <f t="shared" ref="AU21:BD21" si="15">M98</f>
        <v>200</v>
      </c>
      <c r="AV21" s="227">
        <f t="shared" si="15"/>
        <v>200</v>
      </c>
      <c r="AW21" s="227">
        <f t="shared" si="15"/>
        <v>200</v>
      </c>
      <c r="AX21" s="227">
        <f t="shared" si="15"/>
        <v>100</v>
      </c>
      <c r="AY21" s="227">
        <f t="shared" si="15"/>
        <v>0</v>
      </c>
      <c r="AZ21" s="227">
        <f t="shared" si="15"/>
        <v>0</v>
      </c>
      <c r="BA21" s="227">
        <f t="shared" si="15"/>
        <v>0</v>
      </c>
      <c r="BB21" s="227">
        <f t="shared" si="15"/>
        <v>0</v>
      </c>
      <c r="BC21" s="227">
        <f t="shared" si="15"/>
        <v>0</v>
      </c>
      <c r="BD21" s="227">
        <f t="shared" si="15"/>
        <v>200</v>
      </c>
      <c r="BE21" s="227">
        <f>X98</f>
        <v>250</v>
      </c>
      <c r="BF21" s="227">
        <f>Z98</f>
        <v>250</v>
      </c>
      <c r="BG21" s="227">
        <f>AB98</f>
        <v>250</v>
      </c>
      <c r="BH21" s="227">
        <f>AD98</f>
        <v>0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7.5</v>
      </c>
      <c r="C22" s="45">
        <v>7.5</v>
      </c>
      <c r="D22" s="45">
        <v>7.5</v>
      </c>
      <c r="E22" s="45">
        <v>7.5</v>
      </c>
      <c r="F22" s="45">
        <v>7.5</v>
      </c>
      <c r="G22" s="45">
        <v>7.5</v>
      </c>
      <c r="H22" s="45">
        <v>7.5</v>
      </c>
      <c r="I22" s="45">
        <v>7.5</v>
      </c>
      <c r="J22" s="45">
        <v>7.5</v>
      </c>
      <c r="K22" s="45">
        <v>7.5</v>
      </c>
      <c r="L22" s="45">
        <v>7.5</v>
      </c>
      <c r="M22" s="45">
        <v>7.9</v>
      </c>
      <c r="N22" s="45">
        <v>7.9</v>
      </c>
      <c r="O22" s="45">
        <v>7.9</v>
      </c>
      <c r="P22" s="45">
        <v>7.9</v>
      </c>
      <c r="Q22" s="45">
        <v>7.9</v>
      </c>
      <c r="R22" s="45">
        <v>7.2</v>
      </c>
      <c r="S22" s="45">
        <v>7.2</v>
      </c>
      <c r="T22" s="45">
        <v>7.2</v>
      </c>
      <c r="U22" s="45">
        <v>7.2</v>
      </c>
      <c r="V22" s="45">
        <v>7.2</v>
      </c>
      <c r="W22" s="45">
        <v>7.2</v>
      </c>
      <c r="X22" s="45">
        <v>7.2</v>
      </c>
      <c r="Y22" s="45">
        <v>7.2</v>
      </c>
      <c r="Z22" s="45">
        <v>7.2</v>
      </c>
      <c r="AA22" s="45">
        <v>7.2</v>
      </c>
      <c r="AB22" s="45">
        <v>7.2</v>
      </c>
      <c r="AC22" s="45">
        <v>7.2</v>
      </c>
      <c r="AD22" s="45">
        <v>7.2</v>
      </c>
      <c r="AE22" s="45">
        <v>7.2</v>
      </c>
      <c r="AF22" s="45">
        <v>7.2</v>
      </c>
      <c r="AG22" s="52">
        <v>30</v>
      </c>
      <c r="AH22" s="47">
        <f t="shared" si="2"/>
        <v>7.9</v>
      </c>
      <c r="AI22" s="48">
        <f t="shared" si="3"/>
        <v>7.2</v>
      </c>
      <c r="AK22" s="50"/>
      <c r="AL22" s="229" t="s">
        <v>597</v>
      </c>
      <c r="AM22" s="228">
        <f>SUM(AM16:AM21)</f>
        <v>1233.49</v>
      </c>
      <c r="AN22" s="228">
        <f t="shared" ref="AN22:BJ22" si="16">SUM(AN16:AN21)</f>
        <v>1235.69</v>
      </c>
      <c r="AO22" s="228">
        <f t="shared" si="16"/>
        <v>1229.4900000000002</v>
      </c>
      <c r="AP22" s="228">
        <f t="shared" si="16"/>
        <v>1215.49</v>
      </c>
      <c r="AQ22" s="228">
        <f t="shared" si="16"/>
        <v>1241.99</v>
      </c>
      <c r="AR22" s="228">
        <f t="shared" si="16"/>
        <v>1276.29</v>
      </c>
      <c r="AS22" s="228">
        <f t="shared" si="16"/>
        <v>1433.3899999999999</v>
      </c>
      <c r="AT22" s="228">
        <f t="shared" si="16"/>
        <v>1639.29</v>
      </c>
      <c r="AU22" s="228">
        <f t="shared" si="16"/>
        <v>1669.69</v>
      </c>
      <c r="AV22" s="228">
        <f t="shared" si="16"/>
        <v>1607.29</v>
      </c>
      <c r="AW22" s="228">
        <f t="shared" si="16"/>
        <v>1591.59</v>
      </c>
      <c r="AX22" s="228">
        <f t="shared" si="16"/>
        <v>1494.3899999999999</v>
      </c>
      <c r="AY22" s="228">
        <f t="shared" si="16"/>
        <v>1544.19</v>
      </c>
      <c r="AZ22" s="228">
        <f t="shared" si="16"/>
        <v>1522.79</v>
      </c>
      <c r="BA22" s="228">
        <f t="shared" si="16"/>
        <v>1551.9900000000002</v>
      </c>
      <c r="BB22" s="228">
        <f t="shared" si="16"/>
        <v>1558.4299999999998</v>
      </c>
      <c r="BC22" s="228">
        <f t="shared" si="16"/>
        <v>1575.73</v>
      </c>
      <c r="BD22" s="228">
        <f t="shared" si="16"/>
        <v>1550.19</v>
      </c>
      <c r="BE22" s="228">
        <f t="shared" si="16"/>
        <v>1656.9899999999998</v>
      </c>
      <c r="BF22" s="228">
        <f t="shared" si="16"/>
        <v>1852.29</v>
      </c>
      <c r="BG22" s="228">
        <f t="shared" si="16"/>
        <v>1693.0900000000001</v>
      </c>
      <c r="BH22" s="228">
        <f t="shared" si="16"/>
        <v>1440.89</v>
      </c>
      <c r="BI22" s="228">
        <f t="shared" si="16"/>
        <v>1474.69</v>
      </c>
      <c r="BJ22" s="228">
        <f t="shared" si="16"/>
        <v>1307.69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6.2</v>
      </c>
      <c r="C23" s="45">
        <v>6.2</v>
      </c>
      <c r="D23" s="45">
        <v>6.2</v>
      </c>
      <c r="E23" s="45">
        <v>6.2</v>
      </c>
      <c r="F23" s="45">
        <v>6.2</v>
      </c>
      <c r="G23" s="45">
        <v>6.2</v>
      </c>
      <c r="H23" s="45">
        <v>6.2</v>
      </c>
      <c r="I23" s="45">
        <v>6.2</v>
      </c>
      <c r="J23" s="45">
        <v>6.2</v>
      </c>
      <c r="K23" s="45">
        <v>6.2</v>
      </c>
      <c r="L23" s="45">
        <v>6.2</v>
      </c>
      <c r="M23" s="45">
        <v>6.2</v>
      </c>
      <c r="N23" s="45">
        <v>6.2</v>
      </c>
      <c r="O23" s="45">
        <v>6.2</v>
      </c>
      <c r="P23" s="45">
        <v>6.2</v>
      </c>
      <c r="Q23" s="45">
        <v>6.2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2"/>
        <v>6.2</v>
      </c>
      <c r="AI23" s="48">
        <f t="shared" si="3"/>
        <v>5.5</v>
      </c>
      <c r="AK23" s="50"/>
      <c r="AL23" s="229" t="s">
        <v>249</v>
      </c>
      <c r="AM23" s="228">
        <f t="shared" ref="AM23:AR23" si="17">B107*-1</f>
        <v>0</v>
      </c>
      <c r="AN23" s="228">
        <f t="shared" si="17"/>
        <v>0</v>
      </c>
      <c r="AO23" s="228">
        <f t="shared" si="17"/>
        <v>0</v>
      </c>
      <c r="AP23" s="228">
        <f t="shared" si="17"/>
        <v>0</v>
      </c>
      <c r="AQ23" s="228">
        <f t="shared" si="17"/>
        <v>0</v>
      </c>
      <c r="AR23" s="228">
        <f t="shared" si="17"/>
        <v>0</v>
      </c>
      <c r="AS23" s="228">
        <f>I107*-1</f>
        <v>0</v>
      </c>
      <c r="AT23" s="228">
        <f>K107*-1</f>
        <v>0</v>
      </c>
      <c r="AU23" s="228">
        <f t="shared" ref="AU23:BD23" si="18">M107*-1</f>
        <v>0</v>
      </c>
      <c r="AV23" s="228">
        <f t="shared" si="18"/>
        <v>0</v>
      </c>
      <c r="AW23" s="228">
        <f t="shared" si="18"/>
        <v>0</v>
      </c>
      <c r="AX23" s="228">
        <f t="shared" si="18"/>
        <v>0</v>
      </c>
      <c r="AY23" s="228">
        <f t="shared" si="18"/>
        <v>0</v>
      </c>
      <c r="AZ23" s="228">
        <f t="shared" si="18"/>
        <v>0</v>
      </c>
      <c r="BA23" s="228">
        <f t="shared" si="18"/>
        <v>0</v>
      </c>
      <c r="BB23" s="228">
        <f t="shared" si="18"/>
        <v>0</v>
      </c>
      <c r="BC23" s="228">
        <f t="shared" si="18"/>
        <v>0</v>
      </c>
      <c r="BD23" s="228">
        <f t="shared" si="18"/>
        <v>0</v>
      </c>
      <c r="BE23" s="228">
        <f>X107*-1</f>
        <v>0</v>
      </c>
      <c r="BF23" s="228">
        <f>Z107*-1</f>
        <v>-1</v>
      </c>
      <c r="BG23" s="228">
        <f>AB107*-1</f>
        <v>0</v>
      </c>
      <c r="BH23" s="228">
        <f>AD107*-1</f>
        <v>0</v>
      </c>
      <c r="BI23" s="228">
        <f>AE107*-1</f>
        <v>0</v>
      </c>
      <c r="BJ23" s="228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7.5</v>
      </c>
      <c r="N24" s="45">
        <v>7.5</v>
      </c>
      <c r="O24" s="45">
        <v>7.5</v>
      </c>
      <c r="P24" s="45">
        <v>7.5</v>
      </c>
      <c r="Q24" s="45">
        <v>7.5</v>
      </c>
      <c r="R24" s="45">
        <v>7.5</v>
      </c>
      <c r="S24" s="45">
        <v>7.5</v>
      </c>
      <c r="T24" s="45">
        <v>7.5</v>
      </c>
      <c r="U24" s="45">
        <v>7.5</v>
      </c>
      <c r="V24" s="45">
        <v>7.5</v>
      </c>
      <c r="W24" s="45">
        <v>7.5</v>
      </c>
      <c r="X24" s="45">
        <v>7.5</v>
      </c>
      <c r="Y24" s="45">
        <v>7.5</v>
      </c>
      <c r="Z24" s="45">
        <v>7.5</v>
      </c>
      <c r="AA24" s="45">
        <v>7.5</v>
      </c>
      <c r="AB24" s="45">
        <v>7.5</v>
      </c>
      <c r="AC24" s="45">
        <v>7.5</v>
      </c>
      <c r="AD24" s="45">
        <v>7.5</v>
      </c>
      <c r="AE24" s="45">
        <v>7.5</v>
      </c>
      <c r="AF24" s="45">
        <v>7.5</v>
      </c>
      <c r="AG24" s="49">
        <v>28</v>
      </c>
      <c r="AH24" s="47">
        <f t="shared" si="2"/>
        <v>7.5</v>
      </c>
      <c r="AI24" s="48">
        <f t="shared" si="3"/>
        <v>7.3</v>
      </c>
      <c r="AK24" s="50"/>
      <c r="AL24" s="229" t="s">
        <v>598</v>
      </c>
      <c r="AM24" s="228">
        <f>AM22+AM23</f>
        <v>1233.49</v>
      </c>
      <c r="AN24" s="228">
        <f t="shared" ref="AN24:BJ24" si="19">AN22+AN23</f>
        <v>1235.69</v>
      </c>
      <c r="AO24" s="228">
        <f t="shared" si="19"/>
        <v>1229.4900000000002</v>
      </c>
      <c r="AP24" s="228">
        <f t="shared" si="19"/>
        <v>1215.49</v>
      </c>
      <c r="AQ24" s="228">
        <f t="shared" si="19"/>
        <v>1241.99</v>
      </c>
      <c r="AR24" s="228">
        <f t="shared" si="19"/>
        <v>1276.29</v>
      </c>
      <c r="AS24" s="228">
        <f t="shared" si="19"/>
        <v>1433.3899999999999</v>
      </c>
      <c r="AT24" s="228">
        <f t="shared" si="19"/>
        <v>1639.29</v>
      </c>
      <c r="AU24" s="228">
        <f t="shared" si="19"/>
        <v>1669.69</v>
      </c>
      <c r="AV24" s="228">
        <f t="shared" si="19"/>
        <v>1607.29</v>
      </c>
      <c r="AW24" s="228">
        <f t="shared" si="19"/>
        <v>1591.59</v>
      </c>
      <c r="AX24" s="228">
        <f t="shared" si="19"/>
        <v>1494.3899999999999</v>
      </c>
      <c r="AY24" s="228">
        <f t="shared" si="19"/>
        <v>1544.19</v>
      </c>
      <c r="AZ24" s="228">
        <f t="shared" si="19"/>
        <v>1522.79</v>
      </c>
      <c r="BA24" s="228">
        <f t="shared" si="19"/>
        <v>1551.9900000000002</v>
      </c>
      <c r="BB24" s="228">
        <f t="shared" si="19"/>
        <v>1558.4299999999998</v>
      </c>
      <c r="BC24" s="228">
        <f t="shared" si="19"/>
        <v>1575.73</v>
      </c>
      <c r="BD24" s="228">
        <f t="shared" si="19"/>
        <v>1550.19</v>
      </c>
      <c r="BE24" s="228">
        <f t="shared" si="19"/>
        <v>1656.9899999999998</v>
      </c>
      <c r="BF24" s="228">
        <f t="shared" si="19"/>
        <v>1851.29</v>
      </c>
      <c r="BG24" s="228">
        <f t="shared" si="19"/>
        <v>1693.0900000000001</v>
      </c>
      <c r="BH24" s="228">
        <f t="shared" si="19"/>
        <v>1440.89</v>
      </c>
      <c r="BI24" s="228">
        <f t="shared" si="19"/>
        <v>1474.69</v>
      </c>
      <c r="BJ24" s="228">
        <f t="shared" si="19"/>
        <v>1307.69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5.3</v>
      </c>
      <c r="C25" s="45">
        <v>5.3</v>
      </c>
      <c r="D25" s="45">
        <v>5.3</v>
      </c>
      <c r="E25" s="45">
        <v>5.3</v>
      </c>
      <c r="F25" s="45">
        <v>5.3</v>
      </c>
      <c r="G25" s="45">
        <v>5.3</v>
      </c>
      <c r="H25" s="45">
        <v>5.3</v>
      </c>
      <c r="I25" s="45">
        <v>5.3</v>
      </c>
      <c r="J25" s="45">
        <v>5.3</v>
      </c>
      <c r="K25" s="45">
        <v>5.3</v>
      </c>
      <c r="L25" s="45">
        <v>5.3</v>
      </c>
      <c r="M25" s="45">
        <v>6.4</v>
      </c>
      <c r="N25" s="45">
        <v>6.4</v>
      </c>
      <c r="O25" s="45">
        <v>6.4</v>
      </c>
      <c r="P25" s="45">
        <v>6.4</v>
      </c>
      <c r="Q25" s="45">
        <v>6.4</v>
      </c>
      <c r="R25" s="45">
        <v>6.1</v>
      </c>
      <c r="S25" s="45">
        <v>6.1</v>
      </c>
      <c r="T25" s="45">
        <v>6.1</v>
      </c>
      <c r="U25" s="45">
        <v>6.1</v>
      </c>
      <c r="V25" s="45">
        <v>6.1</v>
      </c>
      <c r="W25" s="45">
        <v>6.1</v>
      </c>
      <c r="X25" s="45">
        <v>6.1</v>
      </c>
      <c r="Y25" s="45">
        <v>6.1</v>
      </c>
      <c r="Z25" s="45">
        <v>6.1</v>
      </c>
      <c r="AA25" s="45">
        <v>6.1</v>
      </c>
      <c r="AB25" s="45">
        <v>6.1</v>
      </c>
      <c r="AC25" s="45">
        <v>6.1</v>
      </c>
      <c r="AD25" s="45">
        <v>6.1</v>
      </c>
      <c r="AE25" s="45">
        <v>6.1</v>
      </c>
      <c r="AF25" s="45">
        <v>6.1</v>
      </c>
      <c r="AG25" s="52">
        <v>30</v>
      </c>
      <c r="AH25" s="47">
        <f t="shared" si="2"/>
        <v>6.4</v>
      </c>
      <c r="AI25" s="48">
        <f t="shared" si="3"/>
        <v>5.3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8.4</v>
      </c>
      <c r="C26" s="45">
        <v>8.4</v>
      </c>
      <c r="D26" s="45">
        <v>8.4</v>
      </c>
      <c r="E26" s="45">
        <v>8.4</v>
      </c>
      <c r="F26" s="45">
        <v>8.4</v>
      </c>
      <c r="G26" s="45">
        <v>8.4</v>
      </c>
      <c r="H26" s="45">
        <v>8.4</v>
      </c>
      <c r="I26" s="45">
        <v>8.4</v>
      </c>
      <c r="J26" s="45">
        <v>8.4</v>
      </c>
      <c r="K26" s="45">
        <v>8.4</v>
      </c>
      <c r="L26" s="45">
        <v>8.4</v>
      </c>
      <c r="M26" s="45">
        <v>8.1999999999999993</v>
      </c>
      <c r="N26" s="45">
        <v>8.1999999999999993</v>
      </c>
      <c r="O26" s="45">
        <v>8.1999999999999993</v>
      </c>
      <c r="P26" s="45">
        <v>8.1999999999999993</v>
      </c>
      <c r="Q26" s="45">
        <v>8.1999999999999993</v>
      </c>
      <c r="R26" s="45">
        <v>6.3</v>
      </c>
      <c r="S26" s="45">
        <v>6.3</v>
      </c>
      <c r="T26" s="45">
        <v>6.3</v>
      </c>
      <c r="U26" s="45">
        <v>6.3</v>
      </c>
      <c r="V26" s="45">
        <v>6.3</v>
      </c>
      <c r="W26" s="45">
        <v>6.3</v>
      </c>
      <c r="X26" s="45">
        <v>6.3</v>
      </c>
      <c r="Y26" s="45">
        <v>6.3</v>
      </c>
      <c r="Z26" s="45">
        <v>6.3</v>
      </c>
      <c r="AA26" s="45">
        <v>6.3</v>
      </c>
      <c r="AB26" s="45">
        <v>6.3</v>
      </c>
      <c r="AC26" s="45">
        <v>6.3</v>
      </c>
      <c r="AD26" s="45">
        <v>6.3</v>
      </c>
      <c r="AE26" s="45">
        <v>6.3</v>
      </c>
      <c r="AF26" s="45">
        <v>6.3</v>
      </c>
      <c r="AG26" s="49">
        <v>25</v>
      </c>
      <c r="AH26" s="47">
        <f t="shared" si="2"/>
        <v>8.4</v>
      </c>
      <c r="AI26" s="48">
        <f t="shared" si="3"/>
        <v>6.3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2"/>
        <v>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2"/>
        <v>6</v>
      </c>
      <c r="AI28" s="48">
        <f t="shared" si="3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6.9</v>
      </c>
      <c r="C29" s="45">
        <v>6.9</v>
      </c>
      <c r="D29" s="45">
        <v>6.9</v>
      </c>
      <c r="E29" s="45">
        <v>6.9</v>
      </c>
      <c r="F29" s="45">
        <v>6.9</v>
      </c>
      <c r="G29" s="45">
        <v>6.9</v>
      </c>
      <c r="H29" s="45">
        <v>6.9</v>
      </c>
      <c r="I29" s="45">
        <v>6.9</v>
      </c>
      <c r="J29" s="45">
        <v>6.9</v>
      </c>
      <c r="K29" s="45">
        <v>6.9</v>
      </c>
      <c r="L29" s="45">
        <v>6.9</v>
      </c>
      <c r="M29" s="45">
        <v>6.9</v>
      </c>
      <c r="N29" s="45">
        <v>6.9</v>
      </c>
      <c r="O29" s="45">
        <v>6.9</v>
      </c>
      <c r="P29" s="45">
        <v>6.9</v>
      </c>
      <c r="Q29" s="45">
        <v>6.9</v>
      </c>
      <c r="R29" s="45">
        <v>6.9</v>
      </c>
      <c r="S29" s="45">
        <v>6.9</v>
      </c>
      <c r="T29" s="45">
        <v>6.9</v>
      </c>
      <c r="U29" s="45">
        <v>6.9</v>
      </c>
      <c r="V29" s="45">
        <v>6.9</v>
      </c>
      <c r="W29" s="45">
        <v>6.9</v>
      </c>
      <c r="X29" s="45">
        <v>6.9</v>
      </c>
      <c r="Y29" s="45">
        <v>6.9</v>
      </c>
      <c r="Z29" s="45">
        <v>6.9</v>
      </c>
      <c r="AA29" s="45">
        <v>6.9</v>
      </c>
      <c r="AB29" s="45">
        <v>6.9</v>
      </c>
      <c r="AC29" s="45">
        <v>6.9</v>
      </c>
      <c r="AD29" s="45">
        <v>6.9</v>
      </c>
      <c r="AE29" s="45">
        <v>6.9</v>
      </c>
      <c r="AF29" s="45">
        <v>6.9</v>
      </c>
      <c r="AG29" s="49">
        <v>25</v>
      </c>
      <c r="AH29" s="47">
        <f t="shared" si="2"/>
        <v>6.9</v>
      </c>
      <c r="AI29" s="48">
        <f t="shared" si="3"/>
        <v>6.9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7.8</v>
      </c>
      <c r="C30" s="45">
        <v>7.8</v>
      </c>
      <c r="D30" s="45">
        <v>7.8</v>
      </c>
      <c r="E30" s="45">
        <v>7.8</v>
      </c>
      <c r="F30" s="45">
        <v>7.8</v>
      </c>
      <c r="G30" s="45">
        <v>7.8</v>
      </c>
      <c r="H30" s="45">
        <v>7.8</v>
      </c>
      <c r="I30" s="45">
        <v>7.8</v>
      </c>
      <c r="J30" s="45">
        <v>7.8</v>
      </c>
      <c r="K30" s="45">
        <v>7.8</v>
      </c>
      <c r="L30" s="45">
        <v>7.8</v>
      </c>
      <c r="M30" s="45">
        <v>7.1</v>
      </c>
      <c r="N30" s="45">
        <v>7.1</v>
      </c>
      <c r="O30" s="45">
        <v>7.1</v>
      </c>
      <c r="P30" s="45">
        <v>7.1</v>
      </c>
      <c r="Q30" s="45">
        <v>7.1</v>
      </c>
      <c r="R30" s="45">
        <v>7.5</v>
      </c>
      <c r="S30" s="45">
        <v>7.5</v>
      </c>
      <c r="T30" s="45">
        <v>7.5</v>
      </c>
      <c r="U30" s="45">
        <v>7.5</v>
      </c>
      <c r="V30" s="45">
        <v>7.5</v>
      </c>
      <c r="W30" s="45">
        <v>7.5</v>
      </c>
      <c r="X30" s="45">
        <v>7.5</v>
      </c>
      <c r="Y30" s="45">
        <v>7.5</v>
      </c>
      <c r="Z30" s="45">
        <v>7.5</v>
      </c>
      <c r="AA30" s="45">
        <v>7.5</v>
      </c>
      <c r="AB30" s="45">
        <v>7.5</v>
      </c>
      <c r="AC30" s="45">
        <v>7.5</v>
      </c>
      <c r="AD30" s="45">
        <v>7.5</v>
      </c>
      <c r="AE30" s="45">
        <v>7.5</v>
      </c>
      <c r="AF30" s="45">
        <v>7.5</v>
      </c>
      <c r="AG30" s="49">
        <v>23.5</v>
      </c>
      <c r="AH30" s="47">
        <f t="shared" si="2"/>
        <v>7.8</v>
      </c>
      <c r="AI30" s="48">
        <f t="shared" si="3"/>
        <v>7.1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2"/>
        <v>3</v>
      </c>
      <c r="AI31" s="48">
        <f t="shared" si="3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2"/>
        <v>5.5</v>
      </c>
      <c r="AI32" s="48">
        <f t="shared" si="3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2"/>
        <v>6</v>
      </c>
      <c r="AI33" s="48">
        <f t="shared" si="3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12.5</v>
      </c>
      <c r="C34" s="45">
        <v>12.5</v>
      </c>
      <c r="D34" s="45">
        <v>12.5</v>
      </c>
      <c r="E34" s="45">
        <v>12.5</v>
      </c>
      <c r="F34" s="45">
        <v>12.5</v>
      </c>
      <c r="G34" s="45">
        <v>12.5</v>
      </c>
      <c r="H34" s="45">
        <v>12.5</v>
      </c>
      <c r="I34" s="45">
        <v>12.5</v>
      </c>
      <c r="J34" s="45">
        <v>12.5</v>
      </c>
      <c r="K34" s="45">
        <v>12.5</v>
      </c>
      <c r="L34" s="45">
        <v>12.5</v>
      </c>
      <c r="M34" s="45">
        <v>7.8</v>
      </c>
      <c r="N34" s="45">
        <v>7.8</v>
      </c>
      <c r="O34" s="45">
        <v>7.8</v>
      </c>
      <c r="P34" s="45">
        <v>7.8</v>
      </c>
      <c r="Q34" s="45">
        <v>7.8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6.2</v>
      </c>
      <c r="AD34" s="45">
        <v>6.2</v>
      </c>
      <c r="AE34" s="45">
        <v>6.2</v>
      </c>
      <c r="AF34" s="45">
        <v>6.2</v>
      </c>
      <c r="AG34" s="49">
        <v>22</v>
      </c>
      <c r="AH34" s="47">
        <f t="shared" si="2"/>
        <v>12.5</v>
      </c>
      <c r="AI34" s="48">
        <f t="shared" si="3"/>
        <v>6.2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2"/>
        <v>4</v>
      </c>
      <c r="AI35" s="48">
        <f t="shared" si="3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2"/>
        <v>4</v>
      </c>
      <c r="AI36" s="48">
        <f t="shared" si="3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2"/>
        <v>5.7</v>
      </c>
      <c r="AI37" s="48">
        <f t="shared" si="3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2"/>
        <v>7.2</v>
      </c>
      <c r="AI38" s="48">
        <f t="shared" si="3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2"/>
        <v>5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2"/>
        <v>4</v>
      </c>
      <c r="AI41" s="48">
        <f t="shared" si="3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2"/>
        <v>1.8</v>
      </c>
      <c r="AI42" s="48">
        <f t="shared" si="3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2"/>
        <v>3.8</v>
      </c>
      <c r="AI43" s="48">
        <f t="shared" si="3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2"/>
        <v>4</v>
      </c>
      <c r="AI44" s="48">
        <f t="shared" si="3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2"/>
        <v>3</v>
      </c>
      <c r="AI46" s="48">
        <f t="shared" si="3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2"/>
        <v>3.5</v>
      </c>
      <c r="AI47" s="48">
        <f t="shared" si="3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2"/>
        <v>5</v>
      </c>
      <c r="AI48" s="48">
        <f t="shared" si="3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2"/>
        <v>3</v>
      </c>
      <c r="AI49" s="48">
        <f t="shared" si="3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2"/>
        <v>2.4500000000000002</v>
      </c>
      <c r="AI50" s="48">
        <f t="shared" si="3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"/>
        <v>3</v>
      </c>
      <c r="AI51" s="48">
        <f t="shared" si="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"/>
        <v>4</v>
      </c>
      <c r="AI52" s="48">
        <f t="shared" si="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"/>
        <v>4.5</v>
      </c>
      <c r="AI53" s="48">
        <f t="shared" si="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"/>
        <v>0</v>
      </c>
      <c r="AI54" s="48">
        <f t="shared" si="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"/>
        <v>0</v>
      </c>
      <c r="AI55" s="48">
        <f t="shared" si="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"/>
        <v>150</v>
      </c>
      <c r="AI56" s="48">
        <f t="shared" si="3"/>
        <v>150</v>
      </c>
      <c r="AK56" s="50"/>
    </row>
    <row r="57" spans="1:88" ht="15.75" thickBot="1" x14ac:dyDescent="0.3">
      <c r="A57" s="58" t="s">
        <v>57</v>
      </c>
      <c r="B57" s="57">
        <v>16.2</v>
      </c>
      <c r="C57" s="57">
        <v>16.2</v>
      </c>
      <c r="D57" s="57">
        <v>19.899999999999999</v>
      </c>
      <c r="E57" s="57">
        <v>19.899999999999999</v>
      </c>
      <c r="F57" s="57">
        <v>19.899999999999999</v>
      </c>
      <c r="G57" s="57">
        <v>20.8</v>
      </c>
      <c r="H57" s="57">
        <v>20.2</v>
      </c>
      <c r="I57" s="57">
        <v>19.7</v>
      </c>
      <c r="J57" s="57">
        <v>20.7</v>
      </c>
      <c r="K57" s="51">
        <v>20.3</v>
      </c>
      <c r="L57" s="51">
        <v>19.600000000000001</v>
      </c>
      <c r="M57" s="51">
        <f>5.8+13.9</f>
        <v>19.7</v>
      </c>
      <c r="N57" s="51">
        <f>14.1+6.1</f>
        <v>20.2</v>
      </c>
      <c r="O57" s="51">
        <f>15.1+6.3</f>
        <v>21.4</v>
      </c>
      <c r="P57" s="51">
        <f>13.4+5.9</f>
        <v>19.3</v>
      </c>
      <c r="Q57" s="51">
        <f>13+5.6</f>
        <v>18.600000000000001</v>
      </c>
      <c r="R57" s="51">
        <f t="shared" ref="R57:Z57" si="20">3.4+10.6</f>
        <v>14</v>
      </c>
      <c r="S57" s="51">
        <f t="shared" si="20"/>
        <v>14</v>
      </c>
      <c r="T57" s="51">
        <f t="shared" si="20"/>
        <v>14</v>
      </c>
      <c r="U57" s="51">
        <f t="shared" si="20"/>
        <v>14</v>
      </c>
      <c r="V57" s="51">
        <f t="shared" si="20"/>
        <v>14</v>
      </c>
      <c r="W57" s="51">
        <f t="shared" si="20"/>
        <v>14</v>
      </c>
      <c r="X57" s="51">
        <f t="shared" si="20"/>
        <v>14</v>
      </c>
      <c r="Y57" s="51">
        <f t="shared" si="20"/>
        <v>14</v>
      </c>
      <c r="Z57" s="57">
        <f t="shared" si="20"/>
        <v>14</v>
      </c>
      <c r="AA57" s="57">
        <f t="shared" ref="AA57:AF57" si="21">5.2+12.3</f>
        <v>17.5</v>
      </c>
      <c r="AB57" s="57">
        <f t="shared" si="21"/>
        <v>17.5</v>
      </c>
      <c r="AC57" s="57">
        <f t="shared" si="21"/>
        <v>17.5</v>
      </c>
      <c r="AD57" s="57">
        <f t="shared" si="21"/>
        <v>17.5</v>
      </c>
      <c r="AE57" s="57">
        <f t="shared" si="21"/>
        <v>17.5</v>
      </c>
      <c r="AF57" s="57">
        <f t="shared" si="21"/>
        <v>17.5</v>
      </c>
      <c r="AG57" s="55">
        <v>240</v>
      </c>
      <c r="AH57" s="47">
        <f t="shared" si="2"/>
        <v>21.4</v>
      </c>
      <c r="AI57" s="48">
        <f t="shared" si="3"/>
        <v>14</v>
      </c>
      <c r="AK57" s="50"/>
    </row>
    <row r="58" spans="1:88" ht="15.75" thickBot="1" x14ac:dyDescent="0.3">
      <c r="A58" s="59" t="s">
        <v>58</v>
      </c>
      <c r="B58" s="60">
        <f t="shared" ref="B58:C58" si="22">SUM(B11:B56)</f>
        <v>474.15000000000003</v>
      </c>
      <c r="C58" s="60">
        <f t="shared" si="22"/>
        <v>472.55000000000007</v>
      </c>
      <c r="D58" s="60">
        <f t="shared" ref="D58:AF58" si="23">SUM(D11:D56)</f>
        <v>476.75000000000006</v>
      </c>
      <c r="E58" s="60">
        <f t="shared" si="23"/>
        <v>477.65000000000003</v>
      </c>
      <c r="F58" s="60">
        <f t="shared" si="23"/>
        <v>477.65000000000003</v>
      </c>
      <c r="G58" s="60">
        <f t="shared" si="23"/>
        <v>477.65000000000003</v>
      </c>
      <c r="H58" s="60">
        <f t="shared" si="23"/>
        <v>477.65000000000003</v>
      </c>
      <c r="I58" s="60">
        <f t="shared" si="23"/>
        <v>477.65000000000003</v>
      </c>
      <c r="J58" s="60">
        <f t="shared" si="23"/>
        <v>477.65000000000003</v>
      </c>
      <c r="K58" s="60">
        <f t="shared" si="23"/>
        <v>477.65000000000003</v>
      </c>
      <c r="L58" s="60">
        <f t="shared" si="23"/>
        <v>477.65000000000003</v>
      </c>
      <c r="M58" s="60">
        <f t="shared" ref="M58" si="24">SUM(M11:M56)</f>
        <v>471.65000000000003</v>
      </c>
      <c r="N58" s="60">
        <f t="shared" si="23"/>
        <v>471.65000000000003</v>
      </c>
      <c r="O58" s="60">
        <f t="shared" si="23"/>
        <v>469.45</v>
      </c>
      <c r="P58" s="60">
        <f t="shared" si="23"/>
        <v>472.25</v>
      </c>
      <c r="Q58" s="60">
        <f t="shared" si="23"/>
        <v>474.95</v>
      </c>
      <c r="R58" s="60">
        <f t="shared" ref="R58:S58" si="25">SUM(R11:R56)</f>
        <v>464.85</v>
      </c>
      <c r="S58" s="60">
        <f t="shared" si="25"/>
        <v>464.85</v>
      </c>
      <c r="T58" s="60">
        <f t="shared" ref="T58:U58" si="26">SUM(T11:T56)</f>
        <v>464.85</v>
      </c>
      <c r="U58" s="60">
        <f t="shared" si="26"/>
        <v>464.85</v>
      </c>
      <c r="V58" s="60">
        <f t="shared" ref="V58:W58" si="27">SUM(V11:V56)</f>
        <v>464.85</v>
      </c>
      <c r="W58" s="60">
        <f t="shared" si="27"/>
        <v>464.85</v>
      </c>
      <c r="X58" s="60">
        <f t="shared" ref="X58:Z58" si="28">SUM(X11:X56)</f>
        <v>464.85</v>
      </c>
      <c r="Y58" s="60">
        <f t="shared" si="28"/>
        <v>464.85</v>
      </c>
      <c r="Z58" s="60">
        <f t="shared" si="28"/>
        <v>464.85</v>
      </c>
      <c r="AA58" s="60">
        <f t="shared" si="23"/>
        <v>464.85</v>
      </c>
      <c r="AB58" s="60">
        <f t="shared" ref="AB58" si="29">SUM(AB11:AB56)</f>
        <v>464.85</v>
      </c>
      <c r="AC58" s="60">
        <f t="shared" si="23"/>
        <v>464.85</v>
      </c>
      <c r="AD58" s="60">
        <f t="shared" si="23"/>
        <v>464.85</v>
      </c>
      <c r="AE58" s="60">
        <f t="shared" si="23"/>
        <v>464.85</v>
      </c>
      <c r="AF58" s="60">
        <f t="shared" si="23"/>
        <v>464.85</v>
      </c>
      <c r="AG58" s="61">
        <f>SUM(AG14:AG56)</f>
        <v>1042.4000000000001</v>
      </c>
      <c r="AH58" s="47">
        <f t="shared" si="2"/>
        <v>477.65000000000003</v>
      </c>
      <c r="AI58" s="48">
        <f t="shared" si="3"/>
        <v>464.85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115</v>
      </c>
      <c r="J59" s="45">
        <v>130</v>
      </c>
      <c r="K59" s="45">
        <v>85</v>
      </c>
      <c r="L59" s="45">
        <v>130</v>
      </c>
      <c r="M59" s="45">
        <v>110</v>
      </c>
      <c r="N59" s="63">
        <v>70</v>
      </c>
      <c r="O59" s="63">
        <v>50</v>
      </c>
      <c r="P59" s="63">
        <v>30</v>
      </c>
      <c r="Q59" s="63">
        <v>100</v>
      </c>
      <c r="R59" s="63">
        <v>100</v>
      </c>
      <c r="S59" s="63">
        <v>90</v>
      </c>
      <c r="T59" s="63">
        <v>150</v>
      </c>
      <c r="U59" s="63">
        <v>150</v>
      </c>
      <c r="V59" s="63">
        <v>40</v>
      </c>
      <c r="W59" s="63">
        <v>30</v>
      </c>
      <c r="X59" s="63">
        <v>90</v>
      </c>
      <c r="Y59" s="63">
        <v>170</v>
      </c>
      <c r="Z59" s="45">
        <v>160</v>
      </c>
      <c r="AA59" s="45">
        <v>80</v>
      </c>
      <c r="AB59" s="45">
        <v>80</v>
      </c>
      <c r="AC59" s="45">
        <v>80</v>
      </c>
      <c r="AD59" s="45">
        <v>80</v>
      </c>
      <c r="AE59" s="45">
        <v>50</v>
      </c>
      <c r="AF59" s="45">
        <v>0</v>
      </c>
      <c r="AG59" s="52">
        <v>456</v>
      </c>
      <c r="AH59" s="47">
        <f t="shared" si="2"/>
        <v>170</v>
      </c>
      <c r="AI59" s="48">
        <f t="shared" si="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"/>
        <v>27</v>
      </c>
      <c r="AI60" s="48">
        <f t="shared" si="3"/>
        <v>27</v>
      </c>
      <c r="AK60" s="50"/>
    </row>
    <row r="61" spans="1:88" ht="15.75" thickBot="1" x14ac:dyDescent="0.3">
      <c r="A61" s="66" t="s">
        <v>61</v>
      </c>
      <c r="B61" s="67">
        <v>8.3000000000000007</v>
      </c>
      <c r="C61" s="67">
        <v>8.6999999999999993</v>
      </c>
      <c r="D61" s="67">
        <v>8.6999999999999993</v>
      </c>
      <c r="E61" s="67">
        <v>8.6999999999999993</v>
      </c>
      <c r="F61" s="67">
        <v>8.6999999999999993</v>
      </c>
      <c r="G61" s="67">
        <v>8.6999999999999993</v>
      </c>
      <c r="H61" s="67">
        <v>8.6999999999999993</v>
      </c>
      <c r="I61" s="67">
        <v>8.6999999999999993</v>
      </c>
      <c r="J61" s="67">
        <v>8.6999999999999993</v>
      </c>
      <c r="K61" s="67">
        <v>10.199999999999999</v>
      </c>
      <c r="L61" s="67">
        <v>10.199999999999999</v>
      </c>
      <c r="M61" s="67">
        <v>10.3</v>
      </c>
      <c r="N61" s="67">
        <v>10.3</v>
      </c>
      <c r="O61" s="67">
        <v>10.199999999999999</v>
      </c>
      <c r="P61" s="67">
        <v>10.199999999999999</v>
      </c>
      <c r="Q61" s="67">
        <v>10.199999999999999</v>
      </c>
      <c r="R61" s="67">
        <v>8.6999999999999993</v>
      </c>
      <c r="S61" s="67">
        <v>8.6999999999999993</v>
      </c>
      <c r="T61" s="67">
        <v>7.7</v>
      </c>
      <c r="U61" s="67">
        <v>7.7</v>
      </c>
      <c r="V61" s="67">
        <v>7.7</v>
      </c>
      <c r="W61" s="67">
        <v>7.7</v>
      </c>
      <c r="X61" s="67">
        <v>14.2</v>
      </c>
      <c r="Y61" s="67">
        <v>14.2</v>
      </c>
      <c r="Z61" s="67">
        <v>14.2</v>
      </c>
      <c r="AA61" s="67">
        <v>14.1</v>
      </c>
      <c r="AB61" s="67">
        <v>14.1</v>
      </c>
      <c r="AC61" s="67">
        <v>14.1</v>
      </c>
      <c r="AD61" s="67">
        <v>14.1</v>
      </c>
      <c r="AE61" s="67">
        <v>14.1</v>
      </c>
      <c r="AF61" s="67">
        <v>14.1</v>
      </c>
      <c r="AG61" s="68">
        <v>22.1</v>
      </c>
      <c r="AH61" s="47">
        <f t="shared" si="2"/>
        <v>14.2</v>
      </c>
      <c r="AI61" s="48">
        <f t="shared" si="3"/>
        <v>7.7</v>
      </c>
      <c r="AK61" s="50"/>
    </row>
    <row r="62" spans="1:88" ht="15.75" thickBot="1" x14ac:dyDescent="0.3">
      <c r="A62" s="69" t="s">
        <v>62</v>
      </c>
      <c r="B62" s="60">
        <f t="shared" ref="B62:AG62" si="30">SUM(B59:B61)</f>
        <v>35.299999999999997</v>
      </c>
      <c r="C62" s="60">
        <f t="shared" si="30"/>
        <v>35.700000000000003</v>
      </c>
      <c r="D62" s="60">
        <f t="shared" si="30"/>
        <v>35.700000000000003</v>
      </c>
      <c r="E62" s="60">
        <f t="shared" si="30"/>
        <v>35.700000000000003</v>
      </c>
      <c r="F62" s="60">
        <f t="shared" si="30"/>
        <v>35.700000000000003</v>
      </c>
      <c r="G62" s="60">
        <f t="shared" si="30"/>
        <v>35.700000000000003</v>
      </c>
      <c r="H62" s="60">
        <f t="shared" si="30"/>
        <v>35.700000000000003</v>
      </c>
      <c r="I62" s="60">
        <f t="shared" si="30"/>
        <v>150.69999999999999</v>
      </c>
      <c r="J62" s="60">
        <f t="shared" si="30"/>
        <v>165.7</v>
      </c>
      <c r="K62" s="60">
        <f t="shared" si="30"/>
        <v>122.2</v>
      </c>
      <c r="L62" s="60">
        <f t="shared" si="30"/>
        <v>167.2</v>
      </c>
      <c r="M62" s="60">
        <f t="shared" ref="M62" si="31">SUM(M59:M61)</f>
        <v>147.30000000000001</v>
      </c>
      <c r="N62" s="60">
        <f t="shared" si="30"/>
        <v>107.3</v>
      </c>
      <c r="O62" s="60">
        <f>SUM(O59:O61)</f>
        <v>87.2</v>
      </c>
      <c r="P62" s="60">
        <f t="shared" si="30"/>
        <v>67.2</v>
      </c>
      <c r="Q62" s="60">
        <f t="shared" si="30"/>
        <v>137.19999999999999</v>
      </c>
      <c r="R62" s="60">
        <f t="shared" si="30"/>
        <v>135.69999999999999</v>
      </c>
      <c r="S62" s="60">
        <f t="shared" ref="S62:T62" si="32">SUM(S59:S61)</f>
        <v>125.7</v>
      </c>
      <c r="T62" s="60">
        <f t="shared" si="32"/>
        <v>184.7</v>
      </c>
      <c r="U62" s="60">
        <f t="shared" ref="U62:V62" si="33">SUM(U59:U61)</f>
        <v>184.7</v>
      </c>
      <c r="V62" s="60">
        <f t="shared" si="33"/>
        <v>74.7</v>
      </c>
      <c r="W62" s="60">
        <f t="shared" ref="W62:X62" si="34">SUM(W59:W61)</f>
        <v>64.7</v>
      </c>
      <c r="X62" s="60">
        <f t="shared" si="34"/>
        <v>131.19999999999999</v>
      </c>
      <c r="Y62" s="60">
        <f t="shared" ref="Y62:Z62" si="35">SUM(Y59:Y61)</f>
        <v>211.2</v>
      </c>
      <c r="Z62" s="60">
        <f t="shared" si="35"/>
        <v>201.2</v>
      </c>
      <c r="AA62" s="60">
        <f t="shared" si="30"/>
        <v>121.1</v>
      </c>
      <c r="AB62" s="60">
        <f t="shared" ref="AB62" si="36">SUM(AB59:AB61)</f>
        <v>121.1</v>
      </c>
      <c r="AC62" s="60">
        <f t="shared" si="30"/>
        <v>121.1</v>
      </c>
      <c r="AD62" s="60">
        <f t="shared" si="30"/>
        <v>121.1</v>
      </c>
      <c r="AE62" s="60">
        <f t="shared" si="30"/>
        <v>91.1</v>
      </c>
      <c r="AF62" s="60">
        <f t="shared" si="30"/>
        <v>41.1</v>
      </c>
      <c r="AG62" s="61">
        <f t="shared" si="30"/>
        <v>538.1</v>
      </c>
      <c r="AH62" s="47">
        <f t="shared" si="2"/>
        <v>211.2</v>
      </c>
      <c r="AI62" s="48">
        <f t="shared" si="3"/>
        <v>35.299999999999997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63.2</v>
      </c>
      <c r="K63" s="45">
        <v>91.7</v>
      </c>
      <c r="L63" s="45">
        <v>91.4</v>
      </c>
      <c r="M63" s="45">
        <v>110</v>
      </c>
      <c r="N63" s="45">
        <v>92</v>
      </c>
      <c r="O63" s="45">
        <v>91</v>
      </c>
      <c r="P63" s="45">
        <v>91.8</v>
      </c>
      <c r="Q63" s="45">
        <v>81</v>
      </c>
      <c r="R63" s="45">
        <v>70.7</v>
      </c>
      <c r="S63" s="45">
        <v>71.5</v>
      </c>
      <c r="T63" s="45">
        <v>60.9</v>
      </c>
      <c r="U63" s="45">
        <v>75.400000000000006</v>
      </c>
      <c r="V63" s="45">
        <v>61.9</v>
      </c>
      <c r="W63" s="45">
        <v>61.9</v>
      </c>
      <c r="X63" s="45">
        <v>61.9</v>
      </c>
      <c r="Y63" s="45">
        <v>96.6</v>
      </c>
      <c r="Z63" s="45">
        <v>132.6</v>
      </c>
      <c r="AA63" s="45">
        <v>85.4</v>
      </c>
      <c r="AB63" s="45">
        <v>85.4</v>
      </c>
      <c r="AC63" s="45">
        <v>46</v>
      </c>
      <c r="AD63" s="45">
        <v>31</v>
      </c>
      <c r="AE63" s="45">
        <v>31</v>
      </c>
      <c r="AF63" s="45">
        <v>0</v>
      </c>
      <c r="AG63" s="52">
        <v>144</v>
      </c>
      <c r="AH63" s="47">
        <f t="shared" si="2"/>
        <v>132.6</v>
      </c>
      <c r="AI63" s="48">
        <f t="shared" si="3"/>
        <v>0</v>
      </c>
      <c r="AK63" s="50"/>
    </row>
    <row r="64" spans="1:88" x14ac:dyDescent="0.25">
      <c r="A64" s="54" t="s">
        <v>64</v>
      </c>
      <c r="B64" s="65">
        <v>22.8</v>
      </c>
      <c r="C64" s="65">
        <v>22.8</v>
      </c>
      <c r="D64" s="65">
        <v>0</v>
      </c>
      <c r="E64" s="65">
        <v>0</v>
      </c>
      <c r="F64" s="65">
        <v>24.6</v>
      </c>
      <c r="G64" s="65">
        <v>35.4</v>
      </c>
      <c r="H64" s="65">
        <v>35.4</v>
      </c>
      <c r="I64" s="65">
        <v>35.4</v>
      </c>
      <c r="J64" s="65">
        <v>35.4</v>
      </c>
      <c r="K64" s="65">
        <v>35.4</v>
      </c>
      <c r="L64" s="65">
        <v>35.4</v>
      </c>
      <c r="M64" s="65">
        <v>35.4</v>
      </c>
      <c r="N64" s="65">
        <v>35.4</v>
      </c>
      <c r="O64" s="65">
        <v>35.4</v>
      </c>
      <c r="P64" s="65">
        <v>35.4</v>
      </c>
      <c r="Q64" s="65">
        <v>35.4</v>
      </c>
      <c r="R64" s="65">
        <v>35.4</v>
      </c>
      <c r="S64" s="65">
        <v>35.4</v>
      </c>
      <c r="T64" s="65">
        <v>32.74</v>
      </c>
      <c r="U64" s="65">
        <v>32.74</v>
      </c>
      <c r="V64" s="65">
        <v>25.1</v>
      </c>
      <c r="W64" s="65">
        <v>25.1</v>
      </c>
      <c r="X64" s="65">
        <v>25.1</v>
      </c>
      <c r="Y64" s="65">
        <v>33.799999999999997</v>
      </c>
      <c r="Z64" s="45">
        <v>33.799999999999997</v>
      </c>
      <c r="AA64" s="45">
        <v>25.7</v>
      </c>
      <c r="AB64" s="45">
        <v>25.7</v>
      </c>
      <c r="AC64" s="45">
        <v>21</v>
      </c>
      <c r="AD64" s="45">
        <v>22</v>
      </c>
      <c r="AE64" s="45">
        <v>22</v>
      </c>
      <c r="AF64" s="45">
        <v>22</v>
      </c>
      <c r="AG64" s="55">
        <v>70</v>
      </c>
      <c r="AH64" s="47">
        <f t="shared" si="2"/>
        <v>35.4</v>
      </c>
      <c r="AI64" s="48">
        <f t="shared" si="3"/>
        <v>0</v>
      </c>
      <c r="AK64" s="50"/>
    </row>
    <row r="65" spans="1:41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22.3</v>
      </c>
      <c r="J65" s="65">
        <v>42.3</v>
      </c>
      <c r="K65" s="65">
        <v>45.1</v>
      </c>
      <c r="L65" s="65">
        <v>45.5</v>
      </c>
      <c r="M65" s="65">
        <v>46.5</v>
      </c>
      <c r="N65" s="65">
        <v>46.3</v>
      </c>
      <c r="O65" s="65">
        <v>46.3</v>
      </c>
      <c r="P65" s="65">
        <v>32.9</v>
      </c>
      <c r="Q65" s="65">
        <v>33</v>
      </c>
      <c r="R65" s="65">
        <v>32.700000000000003</v>
      </c>
      <c r="S65" s="65">
        <v>32.700000000000003</v>
      </c>
      <c r="T65" s="65">
        <v>32.799999999999997</v>
      </c>
      <c r="U65" s="65">
        <v>45.9</v>
      </c>
      <c r="V65" s="65">
        <v>32.6</v>
      </c>
      <c r="W65" s="65">
        <v>32.6</v>
      </c>
      <c r="X65" s="65">
        <v>32.6</v>
      </c>
      <c r="Y65" s="65">
        <v>58.1</v>
      </c>
      <c r="Z65" s="45">
        <v>68.5</v>
      </c>
      <c r="AA65" s="45">
        <v>69</v>
      </c>
      <c r="AB65" s="45">
        <v>69</v>
      </c>
      <c r="AC65" s="45">
        <v>65</v>
      </c>
      <c r="AD65" s="45">
        <v>43</v>
      </c>
      <c r="AE65" s="45">
        <v>43</v>
      </c>
      <c r="AF65" s="45">
        <v>0</v>
      </c>
      <c r="AG65" s="55">
        <v>69</v>
      </c>
      <c r="AH65" s="47">
        <f t="shared" si="2"/>
        <v>69</v>
      </c>
      <c r="AI65" s="48">
        <f t="shared" si="3"/>
        <v>0</v>
      </c>
      <c r="AK65" s="50"/>
    </row>
    <row r="66" spans="1:41" x14ac:dyDescent="0.25">
      <c r="A66" s="54" t="s">
        <v>66</v>
      </c>
      <c r="B66" s="65">
        <v>38.299999999999997</v>
      </c>
      <c r="C66" s="65">
        <v>38.299999999999997</v>
      </c>
      <c r="D66" s="65">
        <v>35.299999999999997</v>
      </c>
      <c r="E66" s="65">
        <v>35.299999999999997</v>
      </c>
      <c r="F66" s="65">
        <v>35.299999999999997</v>
      </c>
      <c r="G66" s="65">
        <v>35.299999999999997</v>
      </c>
      <c r="H66" s="65">
        <v>35.5</v>
      </c>
      <c r="I66" s="65">
        <v>36.299999999999997</v>
      </c>
      <c r="J66" s="65">
        <v>36.299999999999997</v>
      </c>
      <c r="K66" s="57">
        <v>36.299999999999997</v>
      </c>
      <c r="L66" s="57">
        <v>37.799999999999997</v>
      </c>
      <c r="M66" s="57">
        <v>37.799999999999997</v>
      </c>
      <c r="N66" s="65">
        <v>37.799999999999997</v>
      </c>
      <c r="O66" s="65">
        <v>37.799999999999997</v>
      </c>
      <c r="P66" s="65">
        <v>37.799999999999997</v>
      </c>
      <c r="Q66" s="65">
        <v>37.799999999999997</v>
      </c>
      <c r="R66" s="65">
        <v>37.799999999999997</v>
      </c>
      <c r="S66" s="65">
        <v>37.799999999999997</v>
      </c>
      <c r="T66" s="65">
        <v>35.799999999999997</v>
      </c>
      <c r="U66" s="65">
        <v>35.799999999999997</v>
      </c>
      <c r="V66" s="65">
        <v>35.799999999999997</v>
      </c>
      <c r="W66" s="65">
        <v>35.799999999999997</v>
      </c>
      <c r="X66" s="65">
        <v>35.799999999999997</v>
      </c>
      <c r="Y66" s="65">
        <v>35.799999999999997</v>
      </c>
      <c r="Z66" s="45">
        <v>35.799999999999997</v>
      </c>
      <c r="AA66" s="45">
        <v>35</v>
      </c>
      <c r="AB66" s="45">
        <v>35</v>
      </c>
      <c r="AC66" s="45">
        <v>35</v>
      </c>
      <c r="AD66" s="45">
        <v>35</v>
      </c>
      <c r="AE66" s="45">
        <v>35</v>
      </c>
      <c r="AF66" s="45">
        <v>35</v>
      </c>
      <c r="AG66" s="55">
        <v>60</v>
      </c>
      <c r="AH66" s="47">
        <f t="shared" si="2"/>
        <v>38.299999999999997</v>
      </c>
      <c r="AI66" s="48">
        <f t="shared" si="3"/>
        <v>35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10.4</v>
      </c>
      <c r="K67" s="65">
        <v>10.5</v>
      </c>
      <c r="L67" s="57">
        <v>10.9</v>
      </c>
      <c r="M67" s="57">
        <v>15</v>
      </c>
      <c r="N67" s="65">
        <v>10</v>
      </c>
      <c r="O67" s="65">
        <v>10</v>
      </c>
      <c r="P67" s="65">
        <v>10</v>
      </c>
      <c r="Q67" s="65">
        <v>10</v>
      </c>
      <c r="R67" s="65">
        <v>15.1</v>
      </c>
      <c r="S67" s="65">
        <v>9.5</v>
      </c>
      <c r="T67" s="65">
        <v>10</v>
      </c>
      <c r="U67" s="65">
        <v>10</v>
      </c>
      <c r="V67" s="65">
        <v>10</v>
      </c>
      <c r="W67" s="65">
        <v>10</v>
      </c>
      <c r="X67" s="65">
        <v>14.4</v>
      </c>
      <c r="Y67" s="65">
        <v>23.2</v>
      </c>
      <c r="Z67" s="45">
        <v>28.1</v>
      </c>
      <c r="AA67" s="45">
        <v>21.5</v>
      </c>
      <c r="AB67" s="45">
        <v>21.5</v>
      </c>
      <c r="AC67" s="45">
        <v>10</v>
      </c>
      <c r="AD67" s="45">
        <v>10</v>
      </c>
      <c r="AE67" s="45">
        <v>10</v>
      </c>
      <c r="AF67" s="45">
        <v>0</v>
      </c>
      <c r="AG67" s="55">
        <v>30</v>
      </c>
      <c r="AH67" s="47">
        <f t="shared" si="2"/>
        <v>28.1</v>
      </c>
      <c r="AI67" s="48">
        <f t="shared" si="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0.9</v>
      </c>
      <c r="L68" s="65">
        <v>2</v>
      </c>
      <c r="M68" s="65">
        <v>5.6</v>
      </c>
      <c r="N68" s="65">
        <v>8.4</v>
      </c>
      <c r="O68" s="65">
        <v>14.6</v>
      </c>
      <c r="P68" s="65">
        <v>14.6</v>
      </c>
      <c r="Q68" s="65">
        <v>16.7</v>
      </c>
      <c r="R68" s="65">
        <v>10.8</v>
      </c>
      <c r="S68" s="65">
        <v>6.9</v>
      </c>
      <c r="T68" s="65">
        <v>5.6</v>
      </c>
      <c r="U68" s="65">
        <v>1.9</v>
      </c>
      <c r="V68" s="65">
        <v>1.2</v>
      </c>
      <c r="W68" s="65">
        <v>0.6</v>
      </c>
      <c r="X68" s="65">
        <v>0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"/>
        <v>16.7</v>
      </c>
      <c r="AI68" s="48">
        <f t="shared" si="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"/>
        <v>15</v>
      </c>
      <c r="AI69" s="48">
        <f t="shared" si="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"/>
        <v>4</v>
      </c>
      <c r="AI70" s="48">
        <f t="shared" si="3"/>
        <v>4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10.1</v>
      </c>
      <c r="C71" s="65">
        <v>10.1</v>
      </c>
      <c r="D71" s="65">
        <v>10.1</v>
      </c>
      <c r="E71" s="65">
        <v>10.1</v>
      </c>
      <c r="F71" s="65">
        <v>10.1</v>
      </c>
      <c r="G71" s="65">
        <v>10.1</v>
      </c>
      <c r="H71" s="65">
        <v>10.1</v>
      </c>
      <c r="I71" s="65">
        <v>10.1</v>
      </c>
      <c r="J71" s="65">
        <v>10.1</v>
      </c>
      <c r="K71" s="65">
        <v>10.1</v>
      </c>
      <c r="L71" s="65">
        <v>10.1</v>
      </c>
      <c r="M71" s="65">
        <v>9.1999999999999993</v>
      </c>
      <c r="N71" s="65">
        <v>9.1999999999999993</v>
      </c>
      <c r="O71" s="65">
        <v>9.1999999999999993</v>
      </c>
      <c r="P71" s="65">
        <v>9.1999999999999993</v>
      </c>
      <c r="Q71" s="65">
        <v>9.1999999999999993</v>
      </c>
      <c r="R71" s="65">
        <v>7.5</v>
      </c>
      <c r="S71" s="65">
        <v>7.5</v>
      </c>
      <c r="T71" s="65">
        <v>7.5</v>
      </c>
      <c r="U71" s="65">
        <v>7.5</v>
      </c>
      <c r="V71" s="65">
        <v>7.5</v>
      </c>
      <c r="W71" s="65">
        <v>7.5</v>
      </c>
      <c r="X71" s="65">
        <v>7.5</v>
      </c>
      <c r="Y71" s="65">
        <v>7.5</v>
      </c>
      <c r="Z71" s="65">
        <v>7.5</v>
      </c>
      <c r="AA71" s="65">
        <v>7.5</v>
      </c>
      <c r="AB71" s="65">
        <v>7.5</v>
      </c>
      <c r="AC71" s="65">
        <v>7.5</v>
      </c>
      <c r="AD71" s="65">
        <v>7.5</v>
      </c>
      <c r="AE71" s="65">
        <v>7.5</v>
      </c>
      <c r="AF71" s="65">
        <v>7.5</v>
      </c>
      <c r="AG71" s="55">
        <v>14.1</v>
      </c>
      <c r="AH71" s="47">
        <f t="shared" si="2"/>
        <v>10.1</v>
      </c>
      <c r="AI71" s="48">
        <f t="shared" si="3"/>
        <v>7.5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3.2</v>
      </c>
      <c r="Y72" s="65">
        <v>3.2</v>
      </c>
      <c r="Z72" s="65">
        <v>3.2</v>
      </c>
      <c r="AA72" s="65">
        <v>3.2</v>
      </c>
      <c r="AB72" s="65">
        <v>3.2</v>
      </c>
      <c r="AC72" s="65">
        <v>3.2</v>
      </c>
      <c r="AD72" s="65">
        <v>3.2</v>
      </c>
      <c r="AE72" s="65">
        <v>3.2</v>
      </c>
      <c r="AF72" s="65">
        <v>3.2</v>
      </c>
      <c r="AG72" s="55">
        <v>14</v>
      </c>
      <c r="AH72" s="47">
        <f t="shared" si="2"/>
        <v>3.3</v>
      </c>
      <c r="AI72" s="48">
        <f t="shared" si="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"/>
        <v>4.5</v>
      </c>
      <c r="AI73" s="48">
        <f t="shared" si="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"/>
        <v>2</v>
      </c>
      <c r="AI74" s="48">
        <f t="shared" si="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"/>
        <v>3.54</v>
      </c>
      <c r="AI75" s="48">
        <f t="shared" si="3"/>
        <v>3.54</v>
      </c>
      <c r="AK75" s="50"/>
    </row>
    <row r="76" spans="1:41" ht="15.75" thickBot="1" x14ac:dyDescent="0.3">
      <c r="A76" s="74" t="s">
        <v>76</v>
      </c>
      <c r="B76" s="60">
        <f t="shared" ref="B76:AG76" si="37">SUM(B63:B75)</f>
        <v>103.53999999999999</v>
      </c>
      <c r="C76" s="60">
        <f t="shared" si="37"/>
        <v>103.53999999999999</v>
      </c>
      <c r="D76" s="60">
        <f t="shared" si="37"/>
        <v>77.739999999999995</v>
      </c>
      <c r="E76" s="60">
        <f t="shared" si="37"/>
        <v>77.739999999999995</v>
      </c>
      <c r="F76" s="60">
        <f t="shared" si="37"/>
        <v>102.34</v>
      </c>
      <c r="G76" s="60">
        <f t="shared" si="37"/>
        <v>113.13999999999999</v>
      </c>
      <c r="H76" s="60">
        <f t="shared" si="37"/>
        <v>113.34</v>
      </c>
      <c r="I76" s="60">
        <f t="shared" si="37"/>
        <v>136.43999999999997</v>
      </c>
      <c r="J76" s="60">
        <f t="shared" si="37"/>
        <v>230.04</v>
      </c>
      <c r="K76" s="60">
        <f t="shared" si="37"/>
        <v>262.34000000000003</v>
      </c>
      <c r="L76" s="60">
        <f t="shared" si="37"/>
        <v>265.44000000000005</v>
      </c>
      <c r="M76" s="60">
        <f t="shared" ref="M76" si="38">SUM(M63:M75)</f>
        <v>291.83999999999997</v>
      </c>
      <c r="N76" s="60">
        <f t="shared" si="37"/>
        <v>271.44000000000005</v>
      </c>
      <c r="O76" s="60">
        <f>SUM(O63:O75)</f>
        <v>276.64000000000004</v>
      </c>
      <c r="P76" s="60">
        <f t="shared" si="37"/>
        <v>264.04000000000002</v>
      </c>
      <c r="Q76" s="60">
        <f t="shared" si="37"/>
        <v>255.43999999999997</v>
      </c>
      <c r="R76" s="60">
        <f t="shared" si="37"/>
        <v>242.24</v>
      </c>
      <c r="S76" s="60">
        <f t="shared" ref="S76:T76" si="39">SUM(S63:S75)</f>
        <v>233.54000000000002</v>
      </c>
      <c r="T76" s="60">
        <f t="shared" si="39"/>
        <v>217.57999999999998</v>
      </c>
      <c r="U76" s="60">
        <f t="shared" ref="U76:V76" si="40">SUM(U63:U75)</f>
        <v>241.48000000000002</v>
      </c>
      <c r="V76" s="60">
        <f t="shared" si="40"/>
        <v>206.33999999999995</v>
      </c>
      <c r="W76" s="60">
        <f t="shared" ref="W76:X76" si="41">SUM(W63:W75)</f>
        <v>205.73999999999995</v>
      </c>
      <c r="X76" s="60">
        <f t="shared" si="41"/>
        <v>209.53999999999996</v>
      </c>
      <c r="Y76" s="60">
        <f t="shared" ref="Y76:Z76" si="42">SUM(Y63:Y75)</f>
        <v>287.23999999999995</v>
      </c>
      <c r="Z76" s="60">
        <f t="shared" si="42"/>
        <v>338.54</v>
      </c>
      <c r="AA76" s="60">
        <f t="shared" si="37"/>
        <v>276.34000000000003</v>
      </c>
      <c r="AB76" s="60">
        <f t="shared" si="37"/>
        <v>276.34000000000003</v>
      </c>
      <c r="AC76" s="60">
        <f t="shared" si="37"/>
        <v>216.73999999999998</v>
      </c>
      <c r="AD76" s="60">
        <f t="shared" si="37"/>
        <v>180.73999999999998</v>
      </c>
      <c r="AE76" s="60">
        <f t="shared" si="37"/>
        <v>180.73999999999998</v>
      </c>
      <c r="AF76" s="60">
        <f t="shared" si="37"/>
        <v>96.740000000000009</v>
      </c>
      <c r="AG76" s="61">
        <f t="shared" si="37"/>
        <v>489.91</v>
      </c>
      <c r="AH76" s="47">
        <f t="shared" si="2"/>
        <v>338.54</v>
      </c>
      <c r="AI76" s="48">
        <f t="shared" si="3"/>
        <v>77.739999999999995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"/>
        <v>0</v>
      </c>
      <c r="AI77" s="48">
        <f t="shared" si="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"/>
        <v>0</v>
      </c>
      <c r="AI78" s="48">
        <f t="shared" si="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"/>
        <v>0</v>
      </c>
      <c r="AI79" s="48">
        <f t="shared" si="3"/>
        <v>0</v>
      </c>
      <c r="AK79" s="50"/>
    </row>
    <row r="80" spans="1:41" ht="15.75" thickBot="1" x14ac:dyDescent="0.3">
      <c r="A80" s="74" t="s">
        <v>80</v>
      </c>
      <c r="B80" s="60">
        <f t="shared" ref="B80:AF80" si="43">B77+B78+B79</f>
        <v>0</v>
      </c>
      <c r="C80" s="60">
        <f t="shared" si="43"/>
        <v>0</v>
      </c>
      <c r="D80" s="60">
        <f t="shared" si="43"/>
        <v>0</v>
      </c>
      <c r="E80" s="60">
        <f t="shared" si="43"/>
        <v>0</v>
      </c>
      <c r="F80" s="60">
        <f t="shared" si="43"/>
        <v>0</v>
      </c>
      <c r="G80" s="60">
        <f t="shared" si="43"/>
        <v>0</v>
      </c>
      <c r="H80" s="60">
        <f t="shared" si="43"/>
        <v>0</v>
      </c>
      <c r="I80" s="60">
        <f t="shared" si="43"/>
        <v>0</v>
      </c>
      <c r="J80" s="60">
        <f t="shared" si="43"/>
        <v>0</v>
      </c>
      <c r="K80" s="60">
        <f t="shared" si="43"/>
        <v>0</v>
      </c>
      <c r="L80" s="60">
        <f t="shared" si="43"/>
        <v>0</v>
      </c>
      <c r="M80" s="60">
        <f t="shared" ref="M80" si="44">M77+M78+M79</f>
        <v>0</v>
      </c>
      <c r="N80" s="60">
        <f t="shared" si="43"/>
        <v>0</v>
      </c>
      <c r="O80" s="60">
        <f t="shared" si="43"/>
        <v>0</v>
      </c>
      <c r="P80" s="60">
        <f t="shared" si="43"/>
        <v>0</v>
      </c>
      <c r="Q80" s="60">
        <f t="shared" si="43"/>
        <v>0</v>
      </c>
      <c r="R80" s="60">
        <f t="shared" si="43"/>
        <v>0</v>
      </c>
      <c r="S80" s="60">
        <f t="shared" ref="S80:T80" si="45">S77+S78+S79</f>
        <v>0</v>
      </c>
      <c r="T80" s="60">
        <f t="shared" si="45"/>
        <v>0</v>
      </c>
      <c r="U80" s="60">
        <f t="shared" ref="U80:V80" si="46">U77+U78+U79</f>
        <v>0</v>
      </c>
      <c r="V80" s="60">
        <f t="shared" si="46"/>
        <v>0</v>
      </c>
      <c r="W80" s="60">
        <f t="shared" ref="W80:X80" si="47">W77+W78+W79</f>
        <v>0</v>
      </c>
      <c r="X80" s="60">
        <f t="shared" si="47"/>
        <v>0</v>
      </c>
      <c r="Y80" s="60">
        <f t="shared" ref="Y80:Z80" si="48">Y77+Y78+Y79</f>
        <v>0</v>
      </c>
      <c r="Z80" s="60">
        <f t="shared" si="48"/>
        <v>0</v>
      </c>
      <c r="AA80" s="60">
        <f t="shared" si="43"/>
        <v>0</v>
      </c>
      <c r="AB80" s="60">
        <f t="shared" si="43"/>
        <v>0</v>
      </c>
      <c r="AC80" s="60">
        <f t="shared" si="43"/>
        <v>0</v>
      </c>
      <c r="AD80" s="60">
        <f t="shared" si="43"/>
        <v>0</v>
      </c>
      <c r="AE80" s="60">
        <f t="shared" si="43"/>
        <v>0</v>
      </c>
      <c r="AF80" s="60">
        <f t="shared" si="43"/>
        <v>0</v>
      </c>
      <c r="AG80" s="61">
        <f>SUM(AG77:AG79)</f>
        <v>106</v>
      </c>
      <c r="AH80" s="47">
        <f t="shared" si="2"/>
        <v>0</v>
      </c>
      <c r="AI80" s="48">
        <f t="shared" si="3"/>
        <v>0</v>
      </c>
      <c r="AK80" s="50"/>
    </row>
    <row r="81" spans="1:40" x14ac:dyDescent="0.25">
      <c r="A81" s="44" t="s">
        <v>81</v>
      </c>
      <c r="B81" s="45">
        <v>68.5</v>
      </c>
      <c r="C81" s="45">
        <v>65.900000000000006</v>
      </c>
      <c r="D81" s="45">
        <v>63.6</v>
      </c>
      <c r="E81" s="45">
        <v>56.4</v>
      </c>
      <c r="F81" s="45">
        <v>58.4</v>
      </c>
      <c r="G81" s="45">
        <v>58</v>
      </c>
      <c r="H81" s="45">
        <v>62</v>
      </c>
      <c r="I81" s="45">
        <v>63.7</v>
      </c>
      <c r="J81" s="45">
        <v>64.599999999999994</v>
      </c>
      <c r="K81" s="45">
        <v>65.599999999999994</v>
      </c>
      <c r="L81" s="45">
        <v>67.3</v>
      </c>
      <c r="M81" s="45">
        <v>62.3</v>
      </c>
      <c r="N81" s="45">
        <v>58</v>
      </c>
      <c r="O81" s="45">
        <v>57</v>
      </c>
      <c r="P81" s="45">
        <v>56.9</v>
      </c>
      <c r="Q81" s="45">
        <v>69.8</v>
      </c>
      <c r="R81" s="45">
        <v>68</v>
      </c>
      <c r="S81" s="45">
        <v>62.3</v>
      </c>
      <c r="T81" s="45">
        <v>67.3</v>
      </c>
      <c r="U81" s="45">
        <v>69.5</v>
      </c>
      <c r="V81" s="45">
        <v>61.7</v>
      </c>
      <c r="W81" s="45">
        <v>64.8</v>
      </c>
      <c r="X81" s="45">
        <v>67.3</v>
      </c>
      <c r="Y81" s="45">
        <v>67.8</v>
      </c>
      <c r="Z81" s="45">
        <v>64.900000000000006</v>
      </c>
      <c r="AA81" s="45">
        <v>59.4</v>
      </c>
      <c r="AB81" s="45">
        <v>59</v>
      </c>
      <c r="AC81" s="45">
        <v>62</v>
      </c>
      <c r="AD81" s="45">
        <v>70</v>
      </c>
      <c r="AE81" s="45">
        <v>70</v>
      </c>
      <c r="AF81" s="45">
        <v>64</v>
      </c>
      <c r="AG81" s="52"/>
      <c r="AH81" s="47">
        <f t="shared" si="2"/>
        <v>70</v>
      </c>
      <c r="AI81" s="48">
        <f t="shared" si="3"/>
        <v>56.4</v>
      </c>
      <c r="AK81" s="50"/>
    </row>
    <row r="82" spans="1:40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si="2"/>
        <v>0</v>
      </c>
      <c r="AI82" s="48">
        <f t="shared" si="3"/>
        <v>0</v>
      </c>
      <c r="AK82" s="50"/>
    </row>
    <row r="83" spans="1:40" x14ac:dyDescent="0.25">
      <c r="A83" s="54" t="s">
        <v>83</v>
      </c>
      <c r="B83" s="65">
        <v>415.7</v>
      </c>
      <c r="C83" s="65">
        <v>396</v>
      </c>
      <c r="D83" s="65">
        <v>412.3</v>
      </c>
      <c r="E83" s="65">
        <v>401</v>
      </c>
      <c r="F83" s="65">
        <v>386.5</v>
      </c>
      <c r="G83" s="65">
        <v>405</v>
      </c>
      <c r="H83" s="65">
        <v>413</v>
      </c>
      <c r="I83" s="65">
        <v>407.6</v>
      </c>
      <c r="J83" s="65">
        <v>413.6</v>
      </c>
      <c r="K83" s="65">
        <v>394.7</v>
      </c>
      <c r="L83" s="65">
        <v>400</v>
      </c>
      <c r="M83" s="65">
        <v>398</v>
      </c>
      <c r="N83" s="65">
        <v>395.8</v>
      </c>
      <c r="O83" s="65">
        <v>392.3</v>
      </c>
      <c r="P83" s="65">
        <v>389</v>
      </c>
      <c r="Q83" s="65">
        <v>389.2</v>
      </c>
      <c r="R83" s="65">
        <v>400</v>
      </c>
      <c r="S83" s="65">
        <v>442.1</v>
      </c>
      <c r="T83" s="65">
        <v>399.6</v>
      </c>
      <c r="U83" s="65">
        <v>403.1</v>
      </c>
      <c r="V83" s="65">
        <v>382.7</v>
      </c>
      <c r="W83" s="65">
        <v>393.9</v>
      </c>
      <c r="X83" s="65">
        <v>390</v>
      </c>
      <c r="Y83" s="65">
        <v>381.1</v>
      </c>
      <c r="Z83" s="65">
        <v>372.8</v>
      </c>
      <c r="AA83" s="65">
        <v>392.3</v>
      </c>
      <c r="AB83" s="65">
        <v>382</v>
      </c>
      <c r="AC83" s="65">
        <v>385</v>
      </c>
      <c r="AD83" s="65">
        <v>407</v>
      </c>
      <c r="AE83" s="65">
        <v>435</v>
      </c>
      <c r="AF83" s="65">
        <v>411</v>
      </c>
      <c r="AG83" s="75"/>
      <c r="AH83" s="47">
        <f t="shared" si="2"/>
        <v>442.1</v>
      </c>
      <c r="AI83" s="48">
        <f t="shared" si="3"/>
        <v>372.8</v>
      </c>
      <c r="AK83" s="50"/>
    </row>
    <row r="84" spans="1:40" x14ac:dyDescent="0.25">
      <c r="A84" s="54" t="s">
        <v>84</v>
      </c>
      <c r="B84" s="65">
        <v>4</v>
      </c>
      <c r="C84" s="65">
        <v>4</v>
      </c>
      <c r="D84" s="65">
        <v>4</v>
      </c>
      <c r="E84" s="76">
        <v>4</v>
      </c>
      <c r="F84" s="76">
        <v>4</v>
      </c>
      <c r="G84" s="76">
        <v>40</v>
      </c>
      <c r="H84" s="76">
        <v>41</v>
      </c>
      <c r="I84" s="76">
        <v>45</v>
      </c>
      <c r="J84" s="76">
        <v>44</v>
      </c>
      <c r="K84" s="76">
        <v>36</v>
      </c>
      <c r="L84" s="76">
        <v>34</v>
      </c>
      <c r="M84" s="76">
        <v>35</v>
      </c>
      <c r="N84" s="76">
        <v>35</v>
      </c>
      <c r="O84" s="76">
        <v>35</v>
      </c>
      <c r="P84" s="76">
        <v>45</v>
      </c>
      <c r="Q84" s="76">
        <v>40</v>
      </c>
      <c r="R84" s="76">
        <v>42</v>
      </c>
      <c r="S84" s="76">
        <v>40.6</v>
      </c>
      <c r="T84" s="76">
        <v>44.4</v>
      </c>
      <c r="U84" s="76">
        <v>48.7</v>
      </c>
      <c r="V84" s="76">
        <v>26.7</v>
      </c>
      <c r="W84" s="76">
        <v>23.3</v>
      </c>
      <c r="X84" s="76">
        <v>27.1</v>
      </c>
      <c r="Y84" s="76">
        <v>32.1</v>
      </c>
      <c r="Z84" s="76">
        <v>33</v>
      </c>
      <c r="AA84" s="76">
        <v>30</v>
      </c>
      <c r="AB84" s="76">
        <v>31</v>
      </c>
      <c r="AC84" s="76">
        <v>31</v>
      </c>
      <c r="AD84" s="76">
        <v>30.5</v>
      </c>
      <c r="AE84" s="76">
        <v>50</v>
      </c>
      <c r="AF84" s="76">
        <v>40</v>
      </c>
      <c r="AG84" s="75"/>
      <c r="AH84" s="47">
        <f t="shared" si="2"/>
        <v>50</v>
      </c>
      <c r="AI84" s="48">
        <f t="shared" si="3"/>
        <v>4</v>
      </c>
      <c r="AK84" s="50"/>
    </row>
    <row r="85" spans="1:40" x14ac:dyDescent="0.25">
      <c r="A85" s="54" t="s">
        <v>85</v>
      </c>
      <c r="B85" s="45">
        <v>90</v>
      </c>
      <c r="C85" s="45">
        <v>106</v>
      </c>
      <c r="D85" s="45">
        <v>108</v>
      </c>
      <c r="E85" s="45">
        <v>112.2</v>
      </c>
      <c r="F85" s="45">
        <v>122</v>
      </c>
      <c r="G85" s="45">
        <v>101.6</v>
      </c>
      <c r="H85" s="45">
        <v>108</v>
      </c>
      <c r="I85" s="45">
        <v>115</v>
      </c>
      <c r="J85" s="45">
        <v>88.8</v>
      </c>
      <c r="K85" s="45">
        <v>64.599999999999994</v>
      </c>
      <c r="L85" s="45">
        <v>57.2</v>
      </c>
      <c r="M85" s="45">
        <v>0</v>
      </c>
      <c r="N85" s="45">
        <v>0</v>
      </c>
      <c r="O85" s="45">
        <v>0</v>
      </c>
      <c r="P85" s="45">
        <v>24</v>
      </c>
      <c r="Q85" s="45">
        <v>100</v>
      </c>
      <c r="R85" s="45">
        <v>98</v>
      </c>
      <c r="S85" s="45">
        <v>111.8</v>
      </c>
      <c r="T85" s="45">
        <v>105.4</v>
      </c>
      <c r="U85" s="45">
        <v>91.6</v>
      </c>
      <c r="V85" s="45">
        <v>72</v>
      </c>
      <c r="W85" s="45">
        <v>55.4</v>
      </c>
      <c r="X85" s="45">
        <v>55.2</v>
      </c>
      <c r="Y85" s="45">
        <v>61.8</v>
      </c>
      <c r="Z85" s="45">
        <v>59</v>
      </c>
      <c r="AA85" s="45">
        <v>71.8</v>
      </c>
      <c r="AB85" s="45">
        <v>42</v>
      </c>
      <c r="AC85" s="45">
        <v>84</v>
      </c>
      <c r="AD85" s="45">
        <v>97</v>
      </c>
      <c r="AE85" s="45">
        <f>56.5*2</f>
        <v>113</v>
      </c>
      <c r="AF85" s="45">
        <v>120</v>
      </c>
      <c r="AG85" s="75"/>
      <c r="AH85" s="47">
        <f t="shared" ref="AH85:AH130" si="49">MAX(B85:AF85)</f>
        <v>122</v>
      </c>
      <c r="AI85" s="48">
        <f t="shared" ref="AI85:AI130" si="50">MIN(B85:AF85)</f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9"/>
        <v>0</v>
      </c>
      <c r="AI86" s="48">
        <f t="shared" si="50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9"/>
        <v>0</v>
      </c>
      <c r="AI87" s="48">
        <f t="shared" si="50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9"/>
        <v>0</v>
      </c>
      <c r="AI88" s="48">
        <f t="shared" si="50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9"/>
        <v>0</v>
      </c>
      <c r="AI89" s="48">
        <f t="shared" si="50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9"/>
        <v>0</v>
      </c>
      <c r="AI90" s="48">
        <f t="shared" si="50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42.3</v>
      </c>
      <c r="C91" s="77">
        <v>52</v>
      </c>
      <c r="D91" s="77">
        <v>51.4</v>
      </c>
      <c r="E91" s="77">
        <v>50.8</v>
      </c>
      <c r="F91" s="77">
        <v>55.4</v>
      </c>
      <c r="G91" s="77">
        <v>45.2</v>
      </c>
      <c r="H91" s="77">
        <v>39.1</v>
      </c>
      <c r="I91" s="77">
        <v>37.299999999999997</v>
      </c>
      <c r="J91" s="77">
        <v>66.5</v>
      </c>
      <c r="K91" s="77">
        <v>66.2</v>
      </c>
      <c r="L91" s="77">
        <v>67.900000000000006</v>
      </c>
      <c r="M91" s="77">
        <v>63.6</v>
      </c>
      <c r="N91" s="77">
        <v>68.099999999999994</v>
      </c>
      <c r="O91" s="77">
        <v>74</v>
      </c>
      <c r="P91" s="77">
        <v>76</v>
      </c>
      <c r="Q91" s="77">
        <v>77.599999999999994</v>
      </c>
      <c r="R91" s="77">
        <v>72</v>
      </c>
      <c r="S91" s="77">
        <v>71.099999999999994</v>
      </c>
      <c r="T91" s="77">
        <v>74.599999999999994</v>
      </c>
      <c r="U91" s="77">
        <v>71.8</v>
      </c>
      <c r="V91" s="77">
        <v>61.2</v>
      </c>
      <c r="W91" s="77">
        <v>57.5</v>
      </c>
      <c r="X91" s="77">
        <v>61.8</v>
      </c>
      <c r="Y91" s="77">
        <v>63.6</v>
      </c>
      <c r="Z91" s="77">
        <v>68</v>
      </c>
      <c r="AA91" s="77">
        <v>66.8</v>
      </c>
      <c r="AB91" s="77">
        <v>66.8</v>
      </c>
      <c r="AC91" s="77">
        <v>66.599999999999994</v>
      </c>
      <c r="AD91" s="77">
        <v>69.7</v>
      </c>
      <c r="AE91" s="77">
        <v>70</v>
      </c>
      <c r="AF91" s="77">
        <v>70</v>
      </c>
      <c r="AG91" s="85"/>
      <c r="AH91" s="47">
        <f t="shared" si="49"/>
        <v>77.599999999999994</v>
      </c>
      <c r="AI91" s="48">
        <f t="shared" si="50"/>
        <v>37.299999999999997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AF92" si="51">SUMIF(B81:B91,"&gt;0")</f>
        <v>620.5</v>
      </c>
      <c r="C92" s="60">
        <f t="shared" si="51"/>
        <v>623.9</v>
      </c>
      <c r="D92" s="60">
        <f t="shared" si="51"/>
        <v>639.30000000000007</v>
      </c>
      <c r="E92" s="60">
        <f t="shared" si="51"/>
        <v>624.4</v>
      </c>
      <c r="F92" s="60">
        <f t="shared" si="51"/>
        <v>626.29999999999995</v>
      </c>
      <c r="G92" s="60">
        <f t="shared" si="51"/>
        <v>649.80000000000007</v>
      </c>
      <c r="H92" s="60">
        <f t="shared" si="51"/>
        <v>663.1</v>
      </c>
      <c r="I92" s="60">
        <f t="shared" si="51"/>
        <v>668.59999999999991</v>
      </c>
      <c r="J92" s="60">
        <f t="shared" si="51"/>
        <v>677.5</v>
      </c>
      <c r="K92" s="60">
        <f t="shared" si="51"/>
        <v>627.1</v>
      </c>
      <c r="L92" s="60">
        <f t="shared" si="51"/>
        <v>626.4</v>
      </c>
      <c r="M92" s="60">
        <f t="shared" si="51"/>
        <v>558.9</v>
      </c>
      <c r="N92" s="60">
        <f t="shared" si="51"/>
        <v>556.9</v>
      </c>
      <c r="O92" s="60">
        <f t="shared" si="51"/>
        <v>558.29999999999995</v>
      </c>
      <c r="P92" s="60">
        <f t="shared" si="51"/>
        <v>590.9</v>
      </c>
      <c r="Q92" s="60">
        <f t="shared" si="51"/>
        <v>676.6</v>
      </c>
      <c r="R92" s="60">
        <f t="shared" si="51"/>
        <v>680</v>
      </c>
      <c r="S92" s="60">
        <f t="shared" ref="S92:T92" si="52">SUMIF(S81:S91,"&gt;0")</f>
        <v>727.9</v>
      </c>
      <c r="T92" s="60">
        <f t="shared" si="52"/>
        <v>691.30000000000007</v>
      </c>
      <c r="U92" s="60">
        <f t="shared" ref="U92:V92" si="53">SUMIF(U81:U91,"&gt;0")</f>
        <v>684.7</v>
      </c>
      <c r="V92" s="60">
        <f t="shared" si="53"/>
        <v>604.29999999999995</v>
      </c>
      <c r="W92" s="60">
        <f t="shared" ref="W92:X92" si="54">SUMIF(W81:W91,"&gt;0")</f>
        <v>594.9</v>
      </c>
      <c r="X92" s="60">
        <f t="shared" si="54"/>
        <v>601.4</v>
      </c>
      <c r="Y92" s="60">
        <f t="shared" ref="Y92:Z92" si="55">SUMIF(Y81:Y91,"&gt;0")</f>
        <v>606.40000000000009</v>
      </c>
      <c r="Z92" s="60">
        <f t="shared" si="55"/>
        <v>597.70000000000005</v>
      </c>
      <c r="AA92" s="60">
        <f t="shared" si="51"/>
        <v>620.29999999999995</v>
      </c>
      <c r="AB92" s="60">
        <f t="shared" si="51"/>
        <v>580.79999999999995</v>
      </c>
      <c r="AC92" s="60">
        <f t="shared" si="51"/>
        <v>628.6</v>
      </c>
      <c r="AD92" s="60">
        <f t="shared" si="51"/>
        <v>674.2</v>
      </c>
      <c r="AE92" s="60">
        <f t="shared" si="51"/>
        <v>738</v>
      </c>
      <c r="AF92" s="60">
        <f t="shared" si="51"/>
        <v>705</v>
      </c>
      <c r="AG92" s="88">
        <f>SUM(AG81:AG91)</f>
        <v>0</v>
      </c>
      <c r="AH92" s="47">
        <f t="shared" si="49"/>
        <v>738</v>
      </c>
      <c r="AI92" s="48">
        <f t="shared" si="50"/>
        <v>556.9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9"/>
        <v>0</v>
      </c>
      <c r="AI93" s="48">
        <f t="shared" si="50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9"/>
        <v>0</v>
      </c>
      <c r="AI94" s="48">
        <f t="shared" si="50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9"/>
        <v>0</v>
      </c>
      <c r="AI95" s="48">
        <f t="shared" si="50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9"/>
        <v>0</v>
      </c>
      <c r="AI96" s="48">
        <f t="shared" si="50"/>
        <v>0</v>
      </c>
    </row>
    <row r="97" spans="1:37" ht="15.75" thickBot="1" x14ac:dyDescent="0.3">
      <c r="A97" s="74" t="s">
        <v>99</v>
      </c>
      <c r="B97" s="95">
        <f t="shared" ref="B97:AG97" si="56">B58+B62+B80+B76+B92+B96</f>
        <v>1233.49</v>
      </c>
      <c r="C97" s="95">
        <f t="shared" si="56"/>
        <v>1235.69</v>
      </c>
      <c r="D97" s="95">
        <f t="shared" si="56"/>
        <v>1229.4900000000002</v>
      </c>
      <c r="E97" s="95">
        <f t="shared" si="56"/>
        <v>1215.49</v>
      </c>
      <c r="F97" s="95">
        <f t="shared" si="56"/>
        <v>1241.99</v>
      </c>
      <c r="G97" s="95">
        <f t="shared" si="56"/>
        <v>1276.29</v>
      </c>
      <c r="H97" s="95">
        <f t="shared" si="56"/>
        <v>1289.79</v>
      </c>
      <c r="I97" s="95">
        <f t="shared" si="56"/>
        <v>1433.3899999999999</v>
      </c>
      <c r="J97" s="95">
        <f t="shared" si="56"/>
        <v>1550.8899999999999</v>
      </c>
      <c r="K97" s="95">
        <f t="shared" si="56"/>
        <v>1489.29</v>
      </c>
      <c r="L97" s="95">
        <f t="shared" si="56"/>
        <v>1536.69</v>
      </c>
      <c r="M97" s="95">
        <f t="shared" si="56"/>
        <v>1469.69</v>
      </c>
      <c r="N97" s="95">
        <f t="shared" si="56"/>
        <v>1407.29</v>
      </c>
      <c r="O97" s="95">
        <f>O58+O62+O80+O76+O92+O96</f>
        <v>1391.59</v>
      </c>
      <c r="P97" s="95">
        <f t="shared" si="56"/>
        <v>1394.3899999999999</v>
      </c>
      <c r="Q97" s="95">
        <f t="shared" si="56"/>
        <v>1544.19</v>
      </c>
      <c r="R97" s="95">
        <f t="shared" si="56"/>
        <v>1522.79</v>
      </c>
      <c r="S97" s="95">
        <f t="shared" ref="S97:T97" si="57">S58+S62+S80+S76+S92+S96</f>
        <v>1551.9900000000002</v>
      </c>
      <c r="T97" s="95">
        <f t="shared" si="57"/>
        <v>1558.4299999999998</v>
      </c>
      <c r="U97" s="95">
        <f t="shared" ref="U97:V97" si="58">U58+U62+U80+U76+U92+U96</f>
        <v>1575.73</v>
      </c>
      <c r="V97" s="95">
        <f t="shared" si="58"/>
        <v>1350.19</v>
      </c>
      <c r="W97" s="95">
        <f t="shared" ref="W97:X97" si="59">W58+W62+W80+W76+W92+W96</f>
        <v>1330.19</v>
      </c>
      <c r="X97" s="95">
        <f t="shared" si="59"/>
        <v>1406.9899999999998</v>
      </c>
      <c r="Y97" s="95">
        <f t="shared" ref="Y97:Z97" si="60">Y58+Y62+Y80+Y76+Y92+Y96</f>
        <v>1569.69</v>
      </c>
      <c r="Z97" s="95">
        <f t="shared" si="60"/>
        <v>1602.29</v>
      </c>
      <c r="AA97" s="95">
        <f t="shared" si="56"/>
        <v>1482.5900000000001</v>
      </c>
      <c r="AB97" s="95">
        <f t="shared" si="56"/>
        <v>1443.0900000000001</v>
      </c>
      <c r="AC97" s="95">
        <f t="shared" si="56"/>
        <v>1431.29</v>
      </c>
      <c r="AD97" s="95">
        <f t="shared" si="56"/>
        <v>1440.89</v>
      </c>
      <c r="AE97" s="95">
        <f t="shared" si="56"/>
        <v>1474.69</v>
      </c>
      <c r="AF97" s="95">
        <f t="shared" si="56"/>
        <v>1307.69</v>
      </c>
      <c r="AG97" s="61">
        <f t="shared" si="56"/>
        <v>2231.81</v>
      </c>
      <c r="AH97" s="47">
        <f t="shared" si="49"/>
        <v>1602.29</v>
      </c>
      <c r="AI97" s="48">
        <f t="shared" si="50"/>
        <v>1215.49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200</v>
      </c>
      <c r="M98" s="97">
        <v>200</v>
      </c>
      <c r="N98" s="97">
        <v>200</v>
      </c>
      <c r="O98" s="97">
        <v>200</v>
      </c>
      <c r="P98" s="97">
        <v>100</v>
      </c>
      <c r="Q98" s="97"/>
      <c r="R98" s="97"/>
      <c r="S98" s="97"/>
      <c r="T98" s="97"/>
      <c r="U98" s="97"/>
      <c r="V98" s="97">
        <v>200</v>
      </c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/>
      <c r="AE98" s="97"/>
      <c r="AF98" s="97"/>
      <c r="AG98" s="88"/>
      <c r="AH98" s="47">
        <f t="shared" si="49"/>
        <v>250</v>
      </c>
      <c r="AI98" s="48">
        <f t="shared" si="50"/>
        <v>100</v>
      </c>
    </row>
    <row r="99" spans="1:37" ht="15.75" thickBot="1" x14ac:dyDescent="0.3">
      <c r="A99" s="74" t="s">
        <v>101</v>
      </c>
      <c r="B99" s="95">
        <f t="shared" ref="B99:AF99" si="61">B97+B98</f>
        <v>1233.49</v>
      </c>
      <c r="C99" s="95">
        <f t="shared" si="61"/>
        <v>1235.69</v>
      </c>
      <c r="D99" s="95">
        <f t="shared" si="61"/>
        <v>1229.4900000000002</v>
      </c>
      <c r="E99" s="95">
        <f t="shared" si="61"/>
        <v>1215.49</v>
      </c>
      <c r="F99" s="95">
        <f t="shared" si="61"/>
        <v>1241.99</v>
      </c>
      <c r="G99" s="95">
        <f t="shared" si="61"/>
        <v>1276.29</v>
      </c>
      <c r="H99" s="95">
        <f t="shared" si="61"/>
        <v>1289.79</v>
      </c>
      <c r="I99" s="95">
        <f t="shared" si="61"/>
        <v>1433.3899999999999</v>
      </c>
      <c r="J99" s="95">
        <f t="shared" si="61"/>
        <v>1550.8899999999999</v>
      </c>
      <c r="K99" s="95">
        <f t="shared" si="61"/>
        <v>1639.29</v>
      </c>
      <c r="L99" s="95">
        <f t="shared" si="61"/>
        <v>1736.69</v>
      </c>
      <c r="M99" s="95">
        <f t="shared" si="61"/>
        <v>1669.69</v>
      </c>
      <c r="N99" s="95">
        <f t="shared" si="61"/>
        <v>1607.29</v>
      </c>
      <c r="O99" s="95">
        <f t="shared" si="61"/>
        <v>1591.59</v>
      </c>
      <c r="P99" s="95">
        <f t="shared" si="61"/>
        <v>1494.3899999999999</v>
      </c>
      <c r="Q99" s="95">
        <f t="shared" si="61"/>
        <v>1544.19</v>
      </c>
      <c r="R99" s="95">
        <f t="shared" si="61"/>
        <v>1522.79</v>
      </c>
      <c r="S99" s="95">
        <f t="shared" ref="S99:T99" si="62">S97+S98</f>
        <v>1551.9900000000002</v>
      </c>
      <c r="T99" s="95">
        <f t="shared" si="62"/>
        <v>1558.4299999999998</v>
      </c>
      <c r="U99" s="95">
        <f t="shared" ref="U99:V99" si="63">U97+U98</f>
        <v>1575.73</v>
      </c>
      <c r="V99" s="95">
        <f t="shared" si="63"/>
        <v>1550.19</v>
      </c>
      <c r="W99" s="95">
        <f t="shared" ref="W99:X99" si="64">W97+W98</f>
        <v>1580.19</v>
      </c>
      <c r="X99" s="95">
        <f t="shared" si="64"/>
        <v>1656.9899999999998</v>
      </c>
      <c r="Y99" s="95">
        <f t="shared" ref="Y99:Z99" si="65">Y97+Y98</f>
        <v>1819.69</v>
      </c>
      <c r="Z99" s="95">
        <f t="shared" si="65"/>
        <v>1852.29</v>
      </c>
      <c r="AA99" s="95">
        <f t="shared" si="61"/>
        <v>1732.5900000000001</v>
      </c>
      <c r="AB99" s="95">
        <f t="shared" si="61"/>
        <v>1693.0900000000001</v>
      </c>
      <c r="AC99" s="95">
        <f t="shared" si="61"/>
        <v>1681.29</v>
      </c>
      <c r="AD99" s="95">
        <f t="shared" si="61"/>
        <v>1440.89</v>
      </c>
      <c r="AE99" s="95">
        <f t="shared" si="61"/>
        <v>1474.69</v>
      </c>
      <c r="AF99" s="95">
        <f t="shared" si="61"/>
        <v>1307.69</v>
      </c>
      <c r="AG99" s="88">
        <f>AG96+AG92+AG80+AG76+AG58+AG98</f>
        <v>1693.71</v>
      </c>
      <c r="AH99" s="47">
        <f t="shared" si="49"/>
        <v>1852.29</v>
      </c>
      <c r="AI99" s="48">
        <f t="shared" si="50"/>
        <v>1215.49</v>
      </c>
    </row>
    <row r="100" spans="1:37" ht="15.75" thickBot="1" x14ac:dyDescent="0.3">
      <c r="A100" s="74" t="s">
        <v>102</v>
      </c>
      <c r="B100" s="95">
        <f t="shared" ref="B100:M100" si="66">B99-(B107)</f>
        <v>1233.49</v>
      </c>
      <c r="C100" s="95">
        <f t="shared" si="66"/>
        <v>1235.69</v>
      </c>
      <c r="D100" s="95">
        <f t="shared" si="66"/>
        <v>1229.4900000000002</v>
      </c>
      <c r="E100" s="95">
        <f t="shared" si="66"/>
        <v>1215.49</v>
      </c>
      <c r="F100" s="95">
        <f t="shared" si="66"/>
        <v>1241.99</v>
      </c>
      <c r="G100" s="95">
        <f t="shared" si="66"/>
        <v>1276.29</v>
      </c>
      <c r="H100" s="95">
        <f t="shared" si="66"/>
        <v>1289.79</v>
      </c>
      <c r="I100" s="95">
        <f t="shared" si="66"/>
        <v>1433.3899999999999</v>
      </c>
      <c r="J100" s="95">
        <f t="shared" si="66"/>
        <v>1550.8899999999999</v>
      </c>
      <c r="K100" s="95">
        <f t="shared" si="66"/>
        <v>1639.29</v>
      </c>
      <c r="L100" s="95">
        <f t="shared" si="66"/>
        <v>1736.69</v>
      </c>
      <c r="M100" s="95">
        <f t="shared" si="66"/>
        <v>1669.69</v>
      </c>
      <c r="N100" s="95">
        <f>N99-(N107)</f>
        <v>1607.29</v>
      </c>
      <c r="O100" s="95">
        <f t="shared" ref="O100:AF100" si="67">O99-(O107)</f>
        <v>1591.59</v>
      </c>
      <c r="P100" s="95">
        <f t="shared" si="67"/>
        <v>1494.3899999999999</v>
      </c>
      <c r="Q100" s="95">
        <f t="shared" si="67"/>
        <v>1544.19</v>
      </c>
      <c r="R100" s="95">
        <f t="shared" si="67"/>
        <v>1522.79</v>
      </c>
      <c r="S100" s="95">
        <f t="shared" ref="S100:T100" si="68">S99-(S107)</f>
        <v>1551.9900000000002</v>
      </c>
      <c r="T100" s="95">
        <f t="shared" si="68"/>
        <v>1558.4299999999998</v>
      </c>
      <c r="U100" s="95">
        <f t="shared" ref="U100:V100" si="69">U99-(U107)</f>
        <v>1575.73</v>
      </c>
      <c r="V100" s="95">
        <f t="shared" si="69"/>
        <v>1550.19</v>
      </c>
      <c r="W100" s="95">
        <f t="shared" ref="W100:X100" si="70">W99-(W107)</f>
        <v>1580.19</v>
      </c>
      <c r="X100" s="95">
        <f t="shared" si="70"/>
        <v>1656.9899999999998</v>
      </c>
      <c r="Y100" s="95">
        <f t="shared" ref="Y100:Z100" si="71">Y99-(Y107)</f>
        <v>1819.69</v>
      </c>
      <c r="Z100" s="95">
        <f t="shared" si="71"/>
        <v>1851.29</v>
      </c>
      <c r="AA100" s="95">
        <f t="shared" si="67"/>
        <v>1732.5900000000001</v>
      </c>
      <c r="AB100" s="95">
        <f t="shared" si="67"/>
        <v>1693.0900000000001</v>
      </c>
      <c r="AC100" s="95">
        <f t="shared" si="67"/>
        <v>1681.29</v>
      </c>
      <c r="AD100" s="95">
        <f t="shared" si="67"/>
        <v>1440.89</v>
      </c>
      <c r="AE100" s="95">
        <f t="shared" si="67"/>
        <v>1474.69</v>
      </c>
      <c r="AF100" s="95">
        <f t="shared" si="67"/>
        <v>1307.69</v>
      </c>
      <c r="AG100" s="88"/>
      <c r="AH100" s="47">
        <f t="shared" si="49"/>
        <v>1851.29</v>
      </c>
      <c r="AI100" s="48">
        <f t="shared" si="50"/>
        <v>1215.49</v>
      </c>
    </row>
    <row r="101" spans="1:37" x14ac:dyDescent="0.25">
      <c r="A101" s="44" t="s">
        <v>84</v>
      </c>
      <c r="B101" s="76">
        <f t="shared" ref="B101:AF101" si="72">IF(B84&lt;0,B84*-1,0)</f>
        <v>0</v>
      </c>
      <c r="C101" s="76">
        <f t="shared" si="72"/>
        <v>0</v>
      </c>
      <c r="D101" s="76">
        <f t="shared" si="72"/>
        <v>0</v>
      </c>
      <c r="E101" s="76">
        <f t="shared" si="72"/>
        <v>0</v>
      </c>
      <c r="F101" s="76">
        <f t="shared" si="72"/>
        <v>0</v>
      </c>
      <c r="G101" s="76">
        <f t="shared" si="72"/>
        <v>0</v>
      </c>
      <c r="H101" s="76">
        <f t="shared" si="72"/>
        <v>0</v>
      </c>
      <c r="I101" s="76">
        <f t="shared" si="72"/>
        <v>0</v>
      </c>
      <c r="J101" s="76">
        <f t="shared" si="72"/>
        <v>0</v>
      </c>
      <c r="K101" s="76">
        <f t="shared" si="72"/>
        <v>0</v>
      </c>
      <c r="L101" s="76">
        <f t="shared" si="72"/>
        <v>0</v>
      </c>
      <c r="M101" s="76">
        <f t="shared" si="72"/>
        <v>0</v>
      </c>
      <c r="N101" s="76">
        <f t="shared" si="72"/>
        <v>0</v>
      </c>
      <c r="O101" s="76">
        <f t="shared" si="72"/>
        <v>0</v>
      </c>
      <c r="P101" s="76">
        <f t="shared" si="72"/>
        <v>0</v>
      </c>
      <c r="Q101" s="76">
        <f t="shared" si="72"/>
        <v>0</v>
      </c>
      <c r="R101" s="76">
        <f t="shared" si="72"/>
        <v>0</v>
      </c>
      <c r="S101" s="76">
        <f t="shared" ref="S101:T101" si="73">IF(S84&lt;0,S84*-1,0)</f>
        <v>0</v>
      </c>
      <c r="T101" s="76">
        <f t="shared" si="73"/>
        <v>0</v>
      </c>
      <c r="U101" s="76">
        <f t="shared" ref="U101:V101" si="74">IF(U84&lt;0,U84*-1,0)</f>
        <v>0</v>
      </c>
      <c r="V101" s="76">
        <f t="shared" si="74"/>
        <v>0</v>
      </c>
      <c r="W101" s="76">
        <f t="shared" ref="W101:X101" si="75">IF(W84&lt;0,W84*-1,0)</f>
        <v>0</v>
      </c>
      <c r="X101" s="76">
        <f t="shared" si="75"/>
        <v>0</v>
      </c>
      <c r="Y101" s="76">
        <f t="shared" ref="Y101:Z101" si="76">IF(Y84&lt;0,Y84*-1,0)</f>
        <v>0</v>
      </c>
      <c r="Z101" s="76">
        <f t="shared" si="76"/>
        <v>0</v>
      </c>
      <c r="AA101" s="76">
        <f t="shared" si="72"/>
        <v>0</v>
      </c>
      <c r="AB101" s="76">
        <f t="shared" si="72"/>
        <v>0</v>
      </c>
      <c r="AC101" s="76">
        <f t="shared" si="72"/>
        <v>0</v>
      </c>
      <c r="AD101" s="76">
        <f t="shared" si="72"/>
        <v>0</v>
      </c>
      <c r="AE101" s="76">
        <f t="shared" si="72"/>
        <v>0</v>
      </c>
      <c r="AF101" s="76">
        <f t="shared" si="72"/>
        <v>0</v>
      </c>
      <c r="AG101" s="52"/>
      <c r="AH101" s="47">
        <f t="shared" si="49"/>
        <v>0</v>
      </c>
      <c r="AI101" s="48">
        <f t="shared" si="50"/>
        <v>0</v>
      </c>
    </row>
    <row r="102" spans="1:37" x14ac:dyDescent="0.25">
      <c r="A102" s="54" t="s">
        <v>82</v>
      </c>
      <c r="B102" s="76">
        <f t="shared" ref="B102:AF102" si="77">IF(B82&lt;0,B82*-1,0)</f>
        <v>0</v>
      </c>
      <c r="C102" s="76">
        <f t="shared" si="77"/>
        <v>0</v>
      </c>
      <c r="D102" s="76">
        <f t="shared" si="77"/>
        <v>0</v>
      </c>
      <c r="E102" s="76">
        <f t="shared" si="77"/>
        <v>0</v>
      </c>
      <c r="F102" s="76">
        <f t="shared" si="77"/>
        <v>0</v>
      </c>
      <c r="G102" s="76">
        <f t="shared" si="77"/>
        <v>0</v>
      </c>
      <c r="H102" s="76">
        <f t="shared" si="77"/>
        <v>0</v>
      </c>
      <c r="I102" s="76">
        <f t="shared" si="77"/>
        <v>0</v>
      </c>
      <c r="J102" s="76">
        <f t="shared" si="77"/>
        <v>0</v>
      </c>
      <c r="K102" s="76">
        <f t="shared" si="77"/>
        <v>0</v>
      </c>
      <c r="L102" s="76">
        <f t="shared" si="77"/>
        <v>0</v>
      </c>
      <c r="M102" s="76">
        <f t="shared" si="77"/>
        <v>0</v>
      </c>
      <c r="N102" s="76">
        <f t="shared" si="77"/>
        <v>0</v>
      </c>
      <c r="O102" s="76">
        <f t="shared" si="77"/>
        <v>0</v>
      </c>
      <c r="P102" s="76">
        <f t="shared" si="77"/>
        <v>0</v>
      </c>
      <c r="Q102" s="76">
        <f t="shared" si="77"/>
        <v>0</v>
      </c>
      <c r="R102" s="76">
        <f t="shared" si="77"/>
        <v>0</v>
      </c>
      <c r="S102" s="76">
        <f t="shared" ref="S102:T102" si="78">IF(S82&lt;0,S82*-1,0)</f>
        <v>0</v>
      </c>
      <c r="T102" s="76">
        <f t="shared" si="78"/>
        <v>0</v>
      </c>
      <c r="U102" s="76">
        <f t="shared" ref="U102:V102" si="79">IF(U82&lt;0,U82*-1,0)</f>
        <v>0</v>
      </c>
      <c r="V102" s="76">
        <f t="shared" si="79"/>
        <v>0</v>
      </c>
      <c r="W102" s="76">
        <f t="shared" ref="W102:X102" si="80">IF(W82&lt;0,W82*-1,0)</f>
        <v>0</v>
      </c>
      <c r="X102" s="76">
        <f t="shared" si="80"/>
        <v>0</v>
      </c>
      <c r="Y102" s="76">
        <f t="shared" ref="Y102:Z102" si="81">IF(Y82&lt;0,Y82*-1,0)</f>
        <v>0</v>
      </c>
      <c r="Z102" s="76">
        <f t="shared" si="81"/>
        <v>0</v>
      </c>
      <c r="AA102" s="76">
        <f t="shared" si="77"/>
        <v>0</v>
      </c>
      <c r="AB102" s="76">
        <f t="shared" si="77"/>
        <v>0</v>
      </c>
      <c r="AC102" s="76">
        <f t="shared" si="77"/>
        <v>0</v>
      </c>
      <c r="AD102" s="76">
        <f t="shared" si="77"/>
        <v>0</v>
      </c>
      <c r="AE102" s="76">
        <f t="shared" si="77"/>
        <v>0</v>
      </c>
      <c r="AF102" s="76">
        <f t="shared" si="77"/>
        <v>0</v>
      </c>
      <c r="AG102" s="55"/>
      <c r="AH102" s="47">
        <f t="shared" si="49"/>
        <v>0</v>
      </c>
      <c r="AI102" s="48">
        <f t="shared" si="50"/>
        <v>0</v>
      </c>
    </row>
    <row r="103" spans="1:37" x14ac:dyDescent="0.25">
      <c r="A103" s="84" t="s">
        <v>103</v>
      </c>
      <c r="B103" s="76">
        <f t="shared" ref="B103:AF103" si="82">IF(B85&lt;0,B85*-1,0)</f>
        <v>0</v>
      </c>
      <c r="C103" s="76">
        <f t="shared" si="82"/>
        <v>0</v>
      </c>
      <c r="D103" s="76">
        <f t="shared" si="82"/>
        <v>0</v>
      </c>
      <c r="E103" s="76">
        <f t="shared" si="82"/>
        <v>0</v>
      </c>
      <c r="F103" s="76">
        <f t="shared" si="82"/>
        <v>0</v>
      </c>
      <c r="G103" s="76">
        <f t="shared" si="82"/>
        <v>0</v>
      </c>
      <c r="H103" s="76">
        <f t="shared" si="82"/>
        <v>0</v>
      </c>
      <c r="I103" s="76">
        <f t="shared" si="82"/>
        <v>0</v>
      </c>
      <c r="J103" s="76">
        <f t="shared" si="82"/>
        <v>0</v>
      </c>
      <c r="K103" s="76">
        <f t="shared" si="82"/>
        <v>0</v>
      </c>
      <c r="L103" s="76">
        <f t="shared" si="82"/>
        <v>0</v>
      </c>
      <c r="M103" s="76">
        <f t="shared" si="82"/>
        <v>0</v>
      </c>
      <c r="N103" s="76">
        <f t="shared" si="82"/>
        <v>0</v>
      </c>
      <c r="O103" s="76">
        <f t="shared" si="82"/>
        <v>0</v>
      </c>
      <c r="P103" s="76">
        <f t="shared" si="82"/>
        <v>0</v>
      </c>
      <c r="Q103" s="76">
        <f t="shared" si="82"/>
        <v>0</v>
      </c>
      <c r="R103" s="76">
        <f t="shared" si="82"/>
        <v>0</v>
      </c>
      <c r="S103" s="76">
        <f t="shared" ref="S103:T103" si="83">IF(S85&lt;0,S85*-1,0)</f>
        <v>0</v>
      </c>
      <c r="T103" s="76">
        <f t="shared" si="83"/>
        <v>0</v>
      </c>
      <c r="U103" s="76">
        <f t="shared" ref="U103:V103" si="84">IF(U85&lt;0,U85*-1,0)</f>
        <v>0</v>
      </c>
      <c r="V103" s="76">
        <f t="shared" si="84"/>
        <v>0</v>
      </c>
      <c r="W103" s="76">
        <f t="shared" ref="W103:X103" si="85">IF(W85&lt;0,W85*-1,0)</f>
        <v>0</v>
      </c>
      <c r="X103" s="76">
        <f t="shared" si="85"/>
        <v>0</v>
      </c>
      <c r="Y103" s="76">
        <f t="shared" ref="Y103:Z103" si="86">IF(Y85&lt;0,Y85*-1,0)</f>
        <v>0</v>
      </c>
      <c r="Z103" s="76">
        <f t="shared" si="86"/>
        <v>0</v>
      </c>
      <c r="AA103" s="76">
        <f t="shared" si="82"/>
        <v>0</v>
      </c>
      <c r="AB103" s="76">
        <f t="shared" si="82"/>
        <v>0</v>
      </c>
      <c r="AC103" s="76">
        <f t="shared" si="82"/>
        <v>0</v>
      </c>
      <c r="AD103" s="76">
        <f t="shared" si="82"/>
        <v>0</v>
      </c>
      <c r="AE103" s="76">
        <f t="shared" si="82"/>
        <v>0</v>
      </c>
      <c r="AF103" s="76">
        <f t="shared" si="82"/>
        <v>0</v>
      </c>
      <c r="AG103" s="98"/>
      <c r="AH103" s="47">
        <f t="shared" si="49"/>
        <v>0</v>
      </c>
      <c r="AI103" s="48">
        <f t="shared" si="50"/>
        <v>0</v>
      </c>
    </row>
    <row r="104" spans="1:37" x14ac:dyDescent="0.25">
      <c r="A104" s="84" t="s">
        <v>104</v>
      </c>
      <c r="B104" s="76">
        <f t="shared" ref="B104:AF104" si="87">IF(B83&lt;0,B83*-1,0)</f>
        <v>0</v>
      </c>
      <c r="C104" s="76">
        <f t="shared" si="87"/>
        <v>0</v>
      </c>
      <c r="D104" s="76">
        <f t="shared" si="87"/>
        <v>0</v>
      </c>
      <c r="E104" s="76">
        <f t="shared" si="87"/>
        <v>0</v>
      </c>
      <c r="F104" s="76">
        <f t="shared" si="87"/>
        <v>0</v>
      </c>
      <c r="G104" s="76">
        <f t="shared" si="87"/>
        <v>0</v>
      </c>
      <c r="H104" s="76">
        <f t="shared" si="87"/>
        <v>0</v>
      </c>
      <c r="I104" s="76">
        <f t="shared" si="87"/>
        <v>0</v>
      </c>
      <c r="J104" s="76">
        <f t="shared" si="87"/>
        <v>0</v>
      </c>
      <c r="K104" s="76">
        <f t="shared" si="87"/>
        <v>0</v>
      </c>
      <c r="L104" s="76">
        <f t="shared" si="87"/>
        <v>0</v>
      </c>
      <c r="M104" s="76">
        <f t="shared" si="87"/>
        <v>0</v>
      </c>
      <c r="N104" s="76">
        <f t="shared" si="87"/>
        <v>0</v>
      </c>
      <c r="O104" s="76">
        <f t="shared" si="87"/>
        <v>0</v>
      </c>
      <c r="P104" s="76">
        <f t="shared" si="87"/>
        <v>0</v>
      </c>
      <c r="Q104" s="76">
        <f t="shared" si="87"/>
        <v>0</v>
      </c>
      <c r="R104" s="76">
        <f t="shared" si="87"/>
        <v>0</v>
      </c>
      <c r="S104" s="76">
        <f t="shared" ref="S104:T104" si="88">IF(S83&lt;0,S83*-1,0)</f>
        <v>0</v>
      </c>
      <c r="T104" s="76">
        <f t="shared" si="88"/>
        <v>0</v>
      </c>
      <c r="U104" s="76">
        <f t="shared" ref="U104:V104" si="89">IF(U83&lt;0,U83*-1,0)</f>
        <v>0</v>
      </c>
      <c r="V104" s="76">
        <f t="shared" si="89"/>
        <v>0</v>
      </c>
      <c r="W104" s="76">
        <f t="shared" ref="W104:X104" si="90">IF(W83&lt;0,W83*-1,0)</f>
        <v>0</v>
      </c>
      <c r="X104" s="76">
        <f t="shared" si="90"/>
        <v>0</v>
      </c>
      <c r="Y104" s="76">
        <f t="shared" ref="Y104:Z104" si="91">IF(Y83&lt;0,Y83*-1,0)</f>
        <v>0</v>
      </c>
      <c r="Z104" s="76">
        <f t="shared" si="91"/>
        <v>0</v>
      </c>
      <c r="AA104" s="76">
        <f t="shared" si="87"/>
        <v>0</v>
      </c>
      <c r="AB104" s="76">
        <f t="shared" si="87"/>
        <v>0</v>
      </c>
      <c r="AC104" s="76">
        <f t="shared" si="87"/>
        <v>0</v>
      </c>
      <c r="AD104" s="76">
        <f t="shared" si="87"/>
        <v>0</v>
      </c>
      <c r="AE104" s="76">
        <f t="shared" si="87"/>
        <v>0</v>
      </c>
      <c r="AF104" s="76">
        <f t="shared" si="87"/>
        <v>0</v>
      </c>
      <c r="AG104" s="98"/>
      <c r="AH104" s="47">
        <f t="shared" si="49"/>
        <v>0</v>
      </c>
      <c r="AI104" s="48">
        <f t="shared" si="50"/>
        <v>0</v>
      </c>
    </row>
    <row r="105" spans="1:37" x14ac:dyDescent="0.25">
      <c r="A105" s="84" t="s">
        <v>81</v>
      </c>
      <c r="B105" s="76">
        <f t="shared" ref="B105:AF105" si="92">IF(B81&lt;0,B81*-1,0)</f>
        <v>0</v>
      </c>
      <c r="C105" s="76">
        <f t="shared" si="92"/>
        <v>0</v>
      </c>
      <c r="D105" s="76">
        <f t="shared" si="92"/>
        <v>0</v>
      </c>
      <c r="E105" s="76">
        <f t="shared" si="92"/>
        <v>0</v>
      </c>
      <c r="F105" s="76">
        <f t="shared" si="92"/>
        <v>0</v>
      </c>
      <c r="G105" s="76">
        <f t="shared" si="92"/>
        <v>0</v>
      </c>
      <c r="H105" s="76">
        <f t="shared" si="92"/>
        <v>0</v>
      </c>
      <c r="I105" s="76">
        <f t="shared" si="92"/>
        <v>0</v>
      </c>
      <c r="J105" s="76">
        <f t="shared" si="92"/>
        <v>0</v>
      </c>
      <c r="K105" s="76">
        <f t="shared" si="92"/>
        <v>0</v>
      </c>
      <c r="L105" s="76">
        <f t="shared" si="92"/>
        <v>0</v>
      </c>
      <c r="M105" s="76">
        <f t="shared" si="92"/>
        <v>0</v>
      </c>
      <c r="N105" s="76">
        <f t="shared" si="92"/>
        <v>0</v>
      </c>
      <c r="O105" s="76">
        <f t="shared" si="92"/>
        <v>0</v>
      </c>
      <c r="P105" s="76">
        <f t="shared" si="92"/>
        <v>0</v>
      </c>
      <c r="Q105" s="76">
        <f t="shared" si="92"/>
        <v>0</v>
      </c>
      <c r="R105" s="76">
        <f t="shared" si="92"/>
        <v>0</v>
      </c>
      <c r="S105" s="76">
        <f t="shared" ref="S105:T105" si="93">IF(S81&lt;0,S81*-1,0)</f>
        <v>0</v>
      </c>
      <c r="T105" s="76">
        <f t="shared" si="93"/>
        <v>0</v>
      </c>
      <c r="U105" s="76">
        <f t="shared" ref="U105:V105" si="94">IF(U81&lt;0,U81*-1,0)</f>
        <v>0</v>
      </c>
      <c r="V105" s="76">
        <f t="shared" si="94"/>
        <v>0</v>
      </c>
      <c r="W105" s="76">
        <f t="shared" ref="W105:X105" si="95">IF(W81&lt;0,W81*-1,0)</f>
        <v>0</v>
      </c>
      <c r="X105" s="76">
        <f t="shared" si="95"/>
        <v>0</v>
      </c>
      <c r="Y105" s="76">
        <f t="shared" ref="Y105:Z105" si="96">IF(Y81&lt;0,Y81*-1,0)</f>
        <v>0</v>
      </c>
      <c r="Z105" s="76">
        <f t="shared" si="96"/>
        <v>0</v>
      </c>
      <c r="AA105" s="76">
        <f t="shared" si="92"/>
        <v>0</v>
      </c>
      <c r="AB105" s="76">
        <f t="shared" si="92"/>
        <v>0</v>
      </c>
      <c r="AC105" s="76">
        <f t="shared" si="92"/>
        <v>0</v>
      </c>
      <c r="AD105" s="76">
        <f t="shared" si="92"/>
        <v>0</v>
      </c>
      <c r="AE105" s="76">
        <f t="shared" si="92"/>
        <v>0</v>
      </c>
      <c r="AF105" s="76">
        <f t="shared" si="92"/>
        <v>0</v>
      </c>
      <c r="AG105" s="98"/>
      <c r="AH105" s="47">
        <f t="shared" si="49"/>
        <v>0</v>
      </c>
      <c r="AI105" s="48">
        <f t="shared" si="50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1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9"/>
        <v>1</v>
      </c>
      <c r="AI106" s="48">
        <f t="shared" si="50"/>
        <v>0</v>
      </c>
    </row>
    <row r="107" spans="1:37" ht="15.75" thickBot="1" x14ac:dyDescent="0.3">
      <c r="A107" s="99" t="s">
        <v>106</v>
      </c>
      <c r="B107" s="60">
        <f t="shared" ref="B107:C107" si="97">SUM(B101:B106)</f>
        <v>0</v>
      </c>
      <c r="C107" s="60">
        <f t="shared" si="97"/>
        <v>0</v>
      </c>
      <c r="D107" s="60">
        <f t="shared" ref="D107:AF107" si="98">SUM(D101:D106)</f>
        <v>0</v>
      </c>
      <c r="E107" s="60">
        <f t="shared" si="98"/>
        <v>0</v>
      </c>
      <c r="F107" s="60">
        <f t="shared" si="98"/>
        <v>0</v>
      </c>
      <c r="G107" s="60">
        <f t="shared" si="98"/>
        <v>0</v>
      </c>
      <c r="H107" s="60">
        <f t="shared" si="98"/>
        <v>0</v>
      </c>
      <c r="I107" s="60">
        <f t="shared" si="98"/>
        <v>0</v>
      </c>
      <c r="J107" s="60">
        <f t="shared" si="98"/>
        <v>0</v>
      </c>
      <c r="K107" s="60">
        <f t="shared" si="98"/>
        <v>0</v>
      </c>
      <c r="L107" s="60">
        <f t="shared" si="98"/>
        <v>0</v>
      </c>
      <c r="M107" s="60">
        <f t="shared" si="98"/>
        <v>0</v>
      </c>
      <c r="N107" s="60">
        <f t="shared" si="98"/>
        <v>0</v>
      </c>
      <c r="O107" s="60">
        <f t="shared" si="98"/>
        <v>0</v>
      </c>
      <c r="P107" s="60">
        <f t="shared" si="98"/>
        <v>0</v>
      </c>
      <c r="Q107" s="60">
        <f t="shared" si="98"/>
        <v>0</v>
      </c>
      <c r="R107" s="60">
        <f t="shared" si="98"/>
        <v>0</v>
      </c>
      <c r="S107" s="60">
        <f t="shared" ref="S107:T107" si="99">SUM(S101:S106)</f>
        <v>0</v>
      </c>
      <c r="T107" s="60">
        <f t="shared" si="99"/>
        <v>0</v>
      </c>
      <c r="U107" s="60">
        <f t="shared" ref="U107:V107" si="100">SUM(U101:U106)</f>
        <v>0</v>
      </c>
      <c r="V107" s="60">
        <f t="shared" si="100"/>
        <v>0</v>
      </c>
      <c r="W107" s="60">
        <f t="shared" ref="W107:X107" si="101">SUM(W101:W106)</f>
        <v>0</v>
      </c>
      <c r="X107" s="60">
        <f t="shared" si="101"/>
        <v>0</v>
      </c>
      <c r="Y107" s="60">
        <f t="shared" ref="Y107:Z107" si="102">SUM(Y101:Y106)</f>
        <v>0</v>
      </c>
      <c r="Z107" s="60">
        <f t="shared" si="102"/>
        <v>1</v>
      </c>
      <c r="AA107" s="60">
        <f t="shared" si="98"/>
        <v>0</v>
      </c>
      <c r="AB107" s="60">
        <f t="shared" si="98"/>
        <v>0</v>
      </c>
      <c r="AC107" s="60">
        <f t="shared" si="98"/>
        <v>0</v>
      </c>
      <c r="AD107" s="60">
        <f t="shared" si="98"/>
        <v>0</v>
      </c>
      <c r="AE107" s="60">
        <f t="shared" si="98"/>
        <v>0</v>
      </c>
      <c r="AF107" s="60">
        <f t="shared" si="98"/>
        <v>0</v>
      </c>
      <c r="AG107" s="88"/>
      <c r="AH107" s="47">
        <f t="shared" si="49"/>
        <v>1</v>
      </c>
      <c r="AI107" s="48">
        <f t="shared" si="50"/>
        <v>0</v>
      </c>
      <c r="AK107" s="50"/>
    </row>
    <row r="108" spans="1:37" ht="15.75" thickBot="1" x14ac:dyDescent="0.3">
      <c r="A108" s="74" t="s">
        <v>107</v>
      </c>
      <c r="B108" s="60">
        <f t="shared" ref="B108:AF108" si="103">B92-B107</f>
        <v>620.5</v>
      </c>
      <c r="C108" s="60">
        <f t="shared" si="103"/>
        <v>623.9</v>
      </c>
      <c r="D108" s="60">
        <f t="shared" si="103"/>
        <v>639.30000000000007</v>
      </c>
      <c r="E108" s="60">
        <f t="shared" si="103"/>
        <v>624.4</v>
      </c>
      <c r="F108" s="60">
        <f t="shared" si="103"/>
        <v>626.29999999999995</v>
      </c>
      <c r="G108" s="60">
        <f t="shared" si="103"/>
        <v>649.80000000000007</v>
      </c>
      <c r="H108" s="60">
        <f t="shared" si="103"/>
        <v>663.1</v>
      </c>
      <c r="I108" s="60">
        <f t="shared" si="103"/>
        <v>668.59999999999991</v>
      </c>
      <c r="J108" s="60">
        <f t="shared" si="103"/>
        <v>677.5</v>
      </c>
      <c r="K108" s="60">
        <f t="shared" si="103"/>
        <v>627.1</v>
      </c>
      <c r="L108" s="60">
        <f t="shared" si="103"/>
        <v>626.4</v>
      </c>
      <c r="M108" s="60">
        <f t="shared" si="103"/>
        <v>558.9</v>
      </c>
      <c r="N108" s="60">
        <f t="shared" si="103"/>
        <v>556.9</v>
      </c>
      <c r="O108" s="60">
        <f t="shared" si="103"/>
        <v>558.29999999999995</v>
      </c>
      <c r="P108" s="60">
        <f t="shared" si="103"/>
        <v>590.9</v>
      </c>
      <c r="Q108" s="60">
        <f t="shared" si="103"/>
        <v>676.6</v>
      </c>
      <c r="R108" s="60">
        <f t="shared" si="103"/>
        <v>680</v>
      </c>
      <c r="S108" s="60">
        <f t="shared" ref="S108:T108" si="104">S92-S107</f>
        <v>727.9</v>
      </c>
      <c r="T108" s="60">
        <f t="shared" si="104"/>
        <v>691.30000000000007</v>
      </c>
      <c r="U108" s="60">
        <f t="shared" ref="U108:V108" si="105">U92-U107</f>
        <v>684.7</v>
      </c>
      <c r="V108" s="60">
        <f t="shared" si="105"/>
        <v>604.29999999999995</v>
      </c>
      <c r="W108" s="60">
        <f t="shared" ref="W108:X108" si="106">W92-W107</f>
        <v>594.9</v>
      </c>
      <c r="X108" s="60">
        <f t="shared" si="106"/>
        <v>601.4</v>
      </c>
      <c r="Y108" s="60">
        <f t="shared" ref="Y108:Z108" si="107">Y92-Y107</f>
        <v>606.40000000000009</v>
      </c>
      <c r="Z108" s="60">
        <f t="shared" si="107"/>
        <v>596.70000000000005</v>
      </c>
      <c r="AA108" s="60">
        <f t="shared" si="103"/>
        <v>620.29999999999995</v>
      </c>
      <c r="AB108" s="60">
        <f t="shared" si="103"/>
        <v>580.79999999999995</v>
      </c>
      <c r="AC108" s="60">
        <f t="shared" si="103"/>
        <v>628.6</v>
      </c>
      <c r="AD108" s="60">
        <f t="shared" si="103"/>
        <v>674.2</v>
      </c>
      <c r="AE108" s="60">
        <f t="shared" si="103"/>
        <v>738</v>
      </c>
      <c r="AF108" s="60">
        <f t="shared" si="103"/>
        <v>705</v>
      </c>
      <c r="AG108" s="88"/>
      <c r="AH108" s="47">
        <f t="shared" si="49"/>
        <v>738</v>
      </c>
      <c r="AI108" s="48">
        <f t="shared" si="50"/>
        <v>556.9</v>
      </c>
    </row>
    <row r="109" spans="1:37" x14ac:dyDescent="0.25">
      <c r="A109" s="100" t="s">
        <v>108</v>
      </c>
      <c r="B109" s="101">
        <v>50.02</v>
      </c>
      <c r="C109" s="101">
        <v>49.963000000000001</v>
      </c>
      <c r="D109" s="101">
        <v>50.024999999999999</v>
      </c>
      <c r="E109" s="101">
        <v>50.006</v>
      </c>
      <c r="F109" s="101">
        <v>50.042999999999999</v>
      </c>
      <c r="G109" s="101">
        <v>50.058999999999997</v>
      </c>
      <c r="H109" s="101">
        <v>50</v>
      </c>
      <c r="I109" s="101">
        <v>49.914000000000001</v>
      </c>
      <c r="J109" s="101">
        <v>49.9</v>
      </c>
      <c r="K109" s="101">
        <v>50</v>
      </c>
      <c r="L109" s="101">
        <v>49.954999999999998</v>
      </c>
      <c r="M109" s="101">
        <v>50.04</v>
      </c>
      <c r="N109" s="101">
        <v>50.067999999999998</v>
      </c>
      <c r="O109" s="101">
        <v>50.014000000000003</v>
      </c>
      <c r="P109" s="101">
        <v>50.018999999999998</v>
      </c>
      <c r="Q109" s="101">
        <v>49.993000000000002</v>
      </c>
      <c r="R109" s="101">
        <v>50.02</v>
      </c>
      <c r="S109" s="101">
        <v>50.01</v>
      </c>
      <c r="T109" s="101">
        <v>50.02</v>
      </c>
      <c r="U109" s="101">
        <v>49.96</v>
      </c>
      <c r="V109" s="101">
        <v>50.05</v>
      </c>
      <c r="W109" s="101">
        <v>50.06</v>
      </c>
      <c r="X109" s="101">
        <v>50.06</v>
      </c>
      <c r="Y109" s="101">
        <v>50</v>
      </c>
      <c r="Z109" s="101">
        <v>49.92</v>
      </c>
      <c r="AA109" s="101">
        <v>49.968000000000004</v>
      </c>
      <c r="AB109" s="101">
        <v>50.06</v>
      </c>
      <c r="AC109" s="101">
        <v>50.06</v>
      </c>
      <c r="AD109" s="101">
        <v>50.012</v>
      </c>
      <c r="AE109" s="101">
        <v>49.917000000000002</v>
      </c>
      <c r="AF109" s="101">
        <v>50.000999999999998</v>
      </c>
      <c r="AG109" s="102"/>
      <c r="AH109" s="47">
        <f t="shared" si="49"/>
        <v>50.067999999999998</v>
      </c>
      <c r="AI109" s="48">
        <f t="shared" si="50"/>
        <v>49.9</v>
      </c>
    </row>
    <row r="110" spans="1:37" x14ac:dyDescent="0.25">
      <c r="A110" s="103" t="s">
        <v>109</v>
      </c>
      <c r="B110" s="65">
        <v>129.5</v>
      </c>
      <c r="C110" s="65">
        <v>129.19999999999999</v>
      </c>
      <c r="D110" s="65">
        <v>129</v>
      </c>
      <c r="E110" s="65">
        <v>128.80000000000001</v>
      </c>
      <c r="F110" s="65">
        <v>129</v>
      </c>
      <c r="G110" s="65">
        <v>129</v>
      </c>
      <c r="H110" s="65">
        <v>127</v>
      </c>
      <c r="I110" s="65">
        <v>124.9</v>
      </c>
      <c r="J110" s="65">
        <v>124.9</v>
      </c>
      <c r="K110" s="65">
        <v>128</v>
      </c>
      <c r="L110" s="65">
        <v>125.5</v>
      </c>
      <c r="M110" s="65">
        <v>123.8</v>
      </c>
      <c r="N110" s="65">
        <v>124.6</v>
      </c>
      <c r="O110" s="65">
        <v>124.6</v>
      </c>
      <c r="P110" s="65">
        <v>125.7</v>
      </c>
      <c r="Q110" s="65">
        <v>124.2</v>
      </c>
      <c r="R110" s="65">
        <v>124.9</v>
      </c>
      <c r="S110" s="65">
        <v>124.6</v>
      </c>
      <c r="T110" s="65">
        <v>123.9</v>
      </c>
      <c r="U110" s="65">
        <v>124.3</v>
      </c>
      <c r="V110" s="65">
        <v>129.1</v>
      </c>
      <c r="W110" s="65">
        <v>129</v>
      </c>
      <c r="X110" s="65">
        <v>129</v>
      </c>
      <c r="Y110" s="65">
        <v>125.2</v>
      </c>
      <c r="Z110" s="65">
        <v>125.8</v>
      </c>
      <c r="AA110" s="65">
        <v>128.30000000000001</v>
      </c>
      <c r="AB110" s="65">
        <v>128.69999999999999</v>
      </c>
      <c r="AC110" s="65">
        <v>128.69999999999999</v>
      </c>
      <c r="AD110" s="65">
        <v>128.30000000000001</v>
      </c>
      <c r="AE110" s="65">
        <v>128.5</v>
      </c>
      <c r="AF110" s="65">
        <v>129.69999999999999</v>
      </c>
      <c r="AG110" s="104"/>
      <c r="AH110" s="47">
        <f t="shared" si="49"/>
        <v>129.69999999999999</v>
      </c>
      <c r="AI110" s="48">
        <f t="shared" si="50"/>
        <v>123.8</v>
      </c>
    </row>
    <row r="111" spans="1:37" x14ac:dyDescent="0.25">
      <c r="A111" s="103" t="s">
        <v>110</v>
      </c>
      <c r="B111" s="65">
        <v>132.80000000000001</v>
      </c>
      <c r="C111" s="65">
        <v>132.5</v>
      </c>
      <c r="D111" s="65">
        <v>132.9</v>
      </c>
      <c r="E111" s="65">
        <v>132.1</v>
      </c>
      <c r="F111" s="65">
        <v>132.1</v>
      </c>
      <c r="G111" s="65">
        <v>132.1</v>
      </c>
      <c r="H111" s="65">
        <v>130.5</v>
      </c>
      <c r="I111" s="65">
        <v>128</v>
      </c>
      <c r="J111" s="65">
        <v>128</v>
      </c>
      <c r="K111" s="65">
        <v>129</v>
      </c>
      <c r="L111" s="65">
        <v>127</v>
      </c>
      <c r="M111" s="65">
        <v>125.7</v>
      </c>
      <c r="N111" s="65">
        <v>127.1</v>
      </c>
      <c r="O111" s="65">
        <v>127</v>
      </c>
      <c r="P111" s="65">
        <v>127.8</v>
      </c>
      <c r="Q111" s="65">
        <v>127</v>
      </c>
      <c r="R111" s="65">
        <v>127.6</v>
      </c>
      <c r="S111" s="65">
        <v>127.3</v>
      </c>
      <c r="T111" s="65">
        <v>126.8</v>
      </c>
      <c r="U111" s="65">
        <v>127</v>
      </c>
      <c r="V111" s="65">
        <v>131</v>
      </c>
      <c r="W111" s="65">
        <v>131</v>
      </c>
      <c r="X111" s="65">
        <v>131</v>
      </c>
      <c r="Y111" s="65">
        <v>126.8</v>
      </c>
      <c r="Z111" s="65">
        <v>127</v>
      </c>
      <c r="AA111" s="65">
        <v>129.9</v>
      </c>
      <c r="AB111" s="65">
        <v>130.19999999999999</v>
      </c>
      <c r="AC111" s="65">
        <v>130.19999999999999</v>
      </c>
      <c r="AD111" s="65">
        <v>130.4</v>
      </c>
      <c r="AE111" s="65">
        <v>131.5</v>
      </c>
      <c r="AF111" s="65">
        <v>132.80000000000001</v>
      </c>
      <c r="AG111" s="104"/>
      <c r="AH111" s="47">
        <f t="shared" si="49"/>
        <v>132.9</v>
      </c>
      <c r="AI111" s="48">
        <f t="shared" si="50"/>
        <v>125.7</v>
      </c>
    </row>
    <row r="112" spans="1:37" x14ac:dyDescent="0.25">
      <c r="A112" s="103" t="s">
        <v>111</v>
      </c>
      <c r="B112" s="65">
        <v>128.69999999999999</v>
      </c>
      <c r="C112" s="65">
        <v>130.19999999999999</v>
      </c>
      <c r="D112" s="65">
        <v>129.30000000000001</v>
      </c>
      <c r="E112" s="65">
        <v>128.4</v>
      </c>
      <c r="F112" s="65">
        <v>128.4</v>
      </c>
      <c r="G112" s="65">
        <v>128.4</v>
      </c>
      <c r="H112" s="65">
        <v>127</v>
      </c>
      <c r="I112" s="65">
        <v>125</v>
      </c>
      <c r="J112" s="65">
        <v>125</v>
      </c>
      <c r="K112" s="65">
        <v>129</v>
      </c>
      <c r="L112" s="65">
        <v>125.6</v>
      </c>
      <c r="M112" s="65">
        <v>126.5</v>
      </c>
      <c r="N112" s="65">
        <v>127</v>
      </c>
      <c r="O112" s="65">
        <v>127.8</v>
      </c>
      <c r="P112" s="65">
        <v>124.6</v>
      </c>
      <c r="Q112" s="65">
        <v>125.8</v>
      </c>
      <c r="R112" s="65">
        <v>128.5</v>
      </c>
      <c r="S112" s="65">
        <v>124.6</v>
      </c>
      <c r="T112" s="65">
        <v>125.9</v>
      </c>
      <c r="U112" s="65">
        <v>125</v>
      </c>
      <c r="V112" s="65">
        <v>128.80000000000001</v>
      </c>
      <c r="W112" s="65">
        <v>129.69999999999999</v>
      </c>
      <c r="X112" s="65">
        <v>129.69999999999999</v>
      </c>
      <c r="Y112" s="65">
        <v>126.4</v>
      </c>
      <c r="Z112" s="65">
        <v>130.80000000000001</v>
      </c>
      <c r="AA112" s="65">
        <v>130</v>
      </c>
      <c r="AB112" s="65">
        <v>129.30000000000001</v>
      </c>
      <c r="AC112" s="65">
        <v>129.30000000000001</v>
      </c>
      <c r="AD112" s="65">
        <v>129.9</v>
      </c>
      <c r="AE112" s="65">
        <v>128.5</v>
      </c>
      <c r="AF112" s="65">
        <v>129.69999999999999</v>
      </c>
      <c r="AG112" s="104"/>
      <c r="AH112" s="47">
        <f t="shared" si="49"/>
        <v>130.80000000000001</v>
      </c>
      <c r="AI112" s="48">
        <f t="shared" si="50"/>
        <v>124.6</v>
      </c>
    </row>
    <row r="113" spans="1:35" x14ac:dyDescent="0.25">
      <c r="A113" s="105" t="s">
        <v>112</v>
      </c>
      <c r="B113" s="65">
        <v>130.9</v>
      </c>
      <c r="C113" s="65">
        <v>132.19999999999999</v>
      </c>
      <c r="D113" s="65">
        <v>131.69999999999999</v>
      </c>
      <c r="E113" s="65">
        <v>131.19999999999999</v>
      </c>
      <c r="F113" s="65">
        <v>131.19999999999999</v>
      </c>
      <c r="G113" s="65">
        <v>131.19999999999999</v>
      </c>
      <c r="H113" s="65">
        <v>130.5</v>
      </c>
      <c r="I113" s="65">
        <v>129.19999999999999</v>
      </c>
      <c r="J113" s="65">
        <v>129.19999999999999</v>
      </c>
      <c r="K113" s="65">
        <v>130</v>
      </c>
      <c r="L113" s="65">
        <v>125.9</v>
      </c>
      <c r="M113" s="65">
        <v>126.5</v>
      </c>
      <c r="N113" s="65">
        <v>126.8</v>
      </c>
      <c r="O113" s="65">
        <v>127.9</v>
      </c>
      <c r="P113" s="65">
        <v>125.6</v>
      </c>
      <c r="Q113" s="65">
        <v>127.5</v>
      </c>
      <c r="R113" s="65">
        <v>129.69999999999999</v>
      </c>
      <c r="S113" s="65">
        <v>126.5</v>
      </c>
      <c r="T113" s="65">
        <v>127.4</v>
      </c>
      <c r="U113" s="65">
        <v>125.8</v>
      </c>
      <c r="V113" s="65">
        <v>128.69999999999999</v>
      </c>
      <c r="W113" s="65">
        <v>129.69999999999999</v>
      </c>
      <c r="X113" s="65">
        <v>129.69999999999999</v>
      </c>
      <c r="Y113" s="65">
        <v>125.4</v>
      </c>
      <c r="Z113" s="65">
        <v>129.9</v>
      </c>
      <c r="AA113" s="65">
        <v>132.30000000000001</v>
      </c>
      <c r="AB113" s="65">
        <v>131.69999999999999</v>
      </c>
      <c r="AC113" s="65">
        <v>131.69999999999999</v>
      </c>
      <c r="AD113" s="65">
        <v>133</v>
      </c>
      <c r="AE113" s="65">
        <v>131.80000000000001</v>
      </c>
      <c r="AF113" s="65">
        <v>131.1</v>
      </c>
      <c r="AG113" s="104"/>
      <c r="AH113" s="47">
        <f t="shared" si="49"/>
        <v>133</v>
      </c>
      <c r="AI113" s="48">
        <f t="shared" si="50"/>
        <v>125.4</v>
      </c>
    </row>
    <row r="114" spans="1:35" x14ac:dyDescent="0.25">
      <c r="A114" s="105" t="s">
        <v>113</v>
      </c>
      <c r="B114" s="106">
        <v>131.9</v>
      </c>
      <c r="C114" s="106">
        <v>132.4</v>
      </c>
      <c r="D114" s="106">
        <v>132.80000000000001</v>
      </c>
      <c r="E114" s="106">
        <v>131.4</v>
      </c>
      <c r="F114" s="106">
        <v>131.4</v>
      </c>
      <c r="G114" s="106">
        <v>131.4</v>
      </c>
      <c r="H114" s="106">
        <v>132</v>
      </c>
      <c r="I114" s="106">
        <v>129.19999999999999</v>
      </c>
      <c r="J114" s="106">
        <v>129.19999999999999</v>
      </c>
      <c r="K114" s="106">
        <v>134</v>
      </c>
      <c r="L114" s="106">
        <v>132.69999999999999</v>
      </c>
      <c r="M114" s="106">
        <v>131.80000000000001</v>
      </c>
      <c r="N114" s="106">
        <v>134.6</v>
      </c>
      <c r="O114" s="106">
        <v>134.1</v>
      </c>
      <c r="P114" s="106">
        <v>134.4</v>
      </c>
      <c r="Q114" s="106">
        <v>132.6</v>
      </c>
      <c r="R114" s="106">
        <v>132.80000000000001</v>
      </c>
      <c r="S114" s="106">
        <v>133.4</v>
      </c>
      <c r="T114" s="106">
        <v>132.19999999999999</v>
      </c>
      <c r="U114" s="106">
        <v>132.1</v>
      </c>
      <c r="V114" s="106">
        <v>138.6</v>
      </c>
      <c r="W114" s="106">
        <v>134.19999999999999</v>
      </c>
      <c r="X114" s="106">
        <v>134.19999999999999</v>
      </c>
      <c r="Y114" s="106">
        <v>130.69999999999999</v>
      </c>
      <c r="Z114" s="106">
        <v>133.80000000000001</v>
      </c>
      <c r="AA114" s="106">
        <v>134.80000000000001</v>
      </c>
      <c r="AB114" s="106">
        <v>135.6</v>
      </c>
      <c r="AC114" s="106">
        <v>135.6</v>
      </c>
      <c r="AD114" s="106">
        <v>134.9</v>
      </c>
      <c r="AE114" s="106">
        <v>131.4</v>
      </c>
      <c r="AF114" s="106">
        <v>132.80000000000001</v>
      </c>
      <c r="AG114" s="107"/>
      <c r="AH114" s="47">
        <f t="shared" si="49"/>
        <v>138.6</v>
      </c>
      <c r="AI114" s="48">
        <f t="shared" si="50"/>
        <v>129.19999999999999</v>
      </c>
    </row>
    <row r="115" spans="1:35" x14ac:dyDescent="0.25">
      <c r="A115" s="103" t="s">
        <v>114</v>
      </c>
      <c r="B115" s="65">
        <v>129.4</v>
      </c>
      <c r="C115" s="65">
        <v>135.4</v>
      </c>
      <c r="D115" s="65">
        <v>134.19999999999999</v>
      </c>
      <c r="E115" s="65">
        <v>133.5</v>
      </c>
      <c r="F115" s="65">
        <v>133.5</v>
      </c>
      <c r="G115" s="65">
        <v>133.5</v>
      </c>
      <c r="H115" s="65">
        <v>129.6</v>
      </c>
      <c r="I115" s="65">
        <v>127.9</v>
      </c>
      <c r="J115" s="65">
        <v>127.9</v>
      </c>
      <c r="K115" s="65">
        <v>130.6</v>
      </c>
      <c r="L115" s="65">
        <v>126.2</v>
      </c>
      <c r="M115" s="65">
        <v>125.8</v>
      </c>
      <c r="N115" s="65">
        <v>130.80000000000001</v>
      </c>
      <c r="O115" s="65">
        <v>125.9</v>
      </c>
      <c r="P115" s="65">
        <v>132.69999999999999</v>
      </c>
      <c r="Q115" s="65">
        <v>130.19999999999999</v>
      </c>
      <c r="R115" s="65">
        <v>137.4</v>
      </c>
      <c r="S115" s="65">
        <v>136.19999999999999</v>
      </c>
      <c r="T115" s="65">
        <v>129.80000000000001</v>
      </c>
      <c r="U115" s="65">
        <v>129</v>
      </c>
      <c r="V115" s="65">
        <v>131.4</v>
      </c>
      <c r="W115" s="65">
        <v>128.9</v>
      </c>
      <c r="X115" s="65">
        <v>128.9</v>
      </c>
      <c r="Y115" s="65">
        <v>125.7</v>
      </c>
      <c r="Z115" s="65">
        <v>130.4</v>
      </c>
      <c r="AA115" s="65">
        <v>130.4</v>
      </c>
      <c r="AB115" s="65">
        <v>133.80000000000001</v>
      </c>
      <c r="AC115" s="65">
        <v>133.80000000000001</v>
      </c>
      <c r="AD115" s="65">
        <v>129.30000000000001</v>
      </c>
      <c r="AE115" s="65">
        <v>131</v>
      </c>
      <c r="AF115" s="65">
        <v>132.5</v>
      </c>
      <c r="AG115" s="104"/>
      <c r="AH115" s="47">
        <f t="shared" si="49"/>
        <v>137.4</v>
      </c>
      <c r="AI115" s="48">
        <f t="shared" si="50"/>
        <v>125.7</v>
      </c>
    </row>
    <row r="116" spans="1:35" ht="15.75" thickBot="1" x14ac:dyDescent="0.3">
      <c r="A116" s="103" t="s">
        <v>115</v>
      </c>
      <c r="B116" s="92">
        <v>66.5</v>
      </c>
      <c r="C116" s="92">
        <v>66.7</v>
      </c>
      <c r="D116" s="92">
        <v>66.7</v>
      </c>
      <c r="E116" s="92">
        <v>66.400000000000006</v>
      </c>
      <c r="F116" s="92">
        <v>66.900000000000006</v>
      </c>
      <c r="G116" s="92">
        <v>66.900000000000006</v>
      </c>
      <c r="H116" s="92">
        <v>65.7</v>
      </c>
      <c r="I116" s="92">
        <v>64.3</v>
      </c>
      <c r="J116" s="92">
        <v>64.3</v>
      </c>
      <c r="K116" s="92">
        <v>65</v>
      </c>
      <c r="L116" s="92">
        <v>63.8</v>
      </c>
      <c r="M116" s="92">
        <v>63.1</v>
      </c>
      <c r="N116" s="92">
        <v>63.8</v>
      </c>
      <c r="O116" s="92">
        <v>63.8</v>
      </c>
      <c r="P116" s="92">
        <v>64</v>
      </c>
      <c r="Q116" s="92">
        <v>63.9</v>
      </c>
      <c r="R116" s="92">
        <v>63.9</v>
      </c>
      <c r="S116" s="92">
        <v>64</v>
      </c>
      <c r="T116" s="92">
        <v>63.7</v>
      </c>
      <c r="U116" s="92">
        <v>64.8</v>
      </c>
      <c r="V116" s="92">
        <v>66</v>
      </c>
      <c r="W116" s="92">
        <v>66</v>
      </c>
      <c r="X116" s="92">
        <v>66</v>
      </c>
      <c r="Y116" s="92">
        <v>63.2</v>
      </c>
      <c r="Z116" s="92">
        <v>63.9</v>
      </c>
      <c r="AA116" s="92">
        <v>65.5</v>
      </c>
      <c r="AB116" s="92">
        <v>65.2</v>
      </c>
      <c r="AC116" s="92">
        <v>65.2</v>
      </c>
      <c r="AD116" s="92">
        <v>65.400000000000006</v>
      </c>
      <c r="AE116" s="92">
        <v>66</v>
      </c>
      <c r="AF116" s="92">
        <v>66.8</v>
      </c>
      <c r="AG116" s="108"/>
      <c r="AH116" s="47">
        <f t="shared" si="49"/>
        <v>66.900000000000006</v>
      </c>
      <c r="AI116" s="48">
        <f t="shared" si="50"/>
        <v>63.1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9"/>
        <v>0</v>
      </c>
      <c r="AI117" s="48">
        <f t="shared" si="50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160.93899999999999</v>
      </c>
      <c r="C118" s="111">
        <f>SUM(C22,C28,C31:C32,C66,C68:C69,C71,C73,C119:C123,C155,C161,C167,C176,C178,C190,C197,C200:C201,C208,C210,C212,C216:C218,C220:C222,C227,C233:C234,C236:C238,C246,C251)</f>
        <v>145.05699999999996</v>
      </c>
      <c r="D118" s="111">
        <f t="shared" ref="D118:O118" si="108">SUM(D22,D28,D31:D32,D66,D68:D69,D71,D73,D119:D123,D155,D161,D167,D176,D178,D190,D197,D200:D201,D208,D210,D212,D216:D218,D220:D222,D227,D233:D234,D236:D238,D246,D251)</f>
        <v>136.86699999999996</v>
      </c>
      <c r="E118" s="111">
        <f t="shared" si="108"/>
        <v>136.238</v>
      </c>
      <c r="F118" s="111">
        <f t="shared" si="108"/>
        <v>145.84</v>
      </c>
      <c r="G118" s="111">
        <f t="shared" si="108"/>
        <v>173.44</v>
      </c>
      <c r="H118" s="111">
        <f t="shared" si="108"/>
        <v>188.44</v>
      </c>
      <c r="I118" s="111">
        <f t="shared" si="108"/>
        <v>233.24</v>
      </c>
      <c r="J118" s="111">
        <f t="shared" si="108"/>
        <v>319.04000000000002</v>
      </c>
      <c r="K118" s="111">
        <f t="shared" si="108"/>
        <v>374.44</v>
      </c>
      <c r="L118" s="111">
        <f t="shared" si="108"/>
        <v>388.44</v>
      </c>
      <c r="M118" s="111">
        <f t="shared" si="108"/>
        <v>373.21999999999997</v>
      </c>
      <c r="N118" s="111">
        <f t="shared" si="108"/>
        <v>351.73199999999997</v>
      </c>
      <c r="O118" s="111">
        <f t="shared" si="108"/>
        <v>349.24</v>
      </c>
      <c r="P118" s="111">
        <v>42</v>
      </c>
      <c r="Q118" s="111">
        <f t="shared" ref="Q118:AF118" si="109">SUM(Q22,Q28,Q31:Q32,Q66,Q68:Q69,Q71,Q73,Q119:Q123,Q155,Q161,Q167,Q176,Q178,Q190,Q197,Q200:Q201,Q208,Q210,Q212,Q216:Q218,Q220:Q222,Q227,Q233:Q234,Q236:Q238,Q246,Q251)</f>
        <v>322.74</v>
      </c>
      <c r="R118" s="111">
        <f t="shared" si="109"/>
        <v>309.36</v>
      </c>
      <c r="S118" s="111">
        <f t="shared" ref="S118:T118" si="110">SUM(S22,S28,S31:S32,S66,S68:S69,S71,S73,S119:S123,S155,S161,S167,S176,S178,S190,S197,S200:S201,S208,S210,S212,S216:S218,S220:S222,S227,S233:S234,S236:S238,S246,S251)</f>
        <v>321.16000000000003</v>
      </c>
      <c r="T118" s="111">
        <f t="shared" si="110"/>
        <v>316.45999999999998</v>
      </c>
      <c r="U118" s="111">
        <f t="shared" ref="U118:V118" si="111">SUM(U22,U28,U31:U32,U66,U68:U69,U71,U73,U119:U123,U155,U161,U167,U176,U178,U190,U197,U200:U201,U208,U210,U212,U216:U218,U220:U222,U227,U233:U234,U236:U238,U246,U251)</f>
        <v>327.88000000000005</v>
      </c>
      <c r="V118" s="111">
        <f t="shared" si="111"/>
        <v>338.44</v>
      </c>
      <c r="W118" s="111">
        <f t="shared" ref="W118:X118" si="112">SUM(W22,W28,W31:W32,W66,W68:W69,W71,W73,W119:W123,W155,W161,W167,W176,W178,W190,W197,W200:W201,W208,W210,W212,W216:W218,W220:W222,W227,W233:W234,W236:W238,W246,W251)</f>
        <v>328.53999999999996</v>
      </c>
      <c r="X118" s="111">
        <f t="shared" si="112"/>
        <v>347.04</v>
      </c>
      <c r="Y118" s="111">
        <f t="shared" ref="Y118:Z118" si="113">SUM(Y22,Y28,Y31:Y32,Y66,Y68:Y69,Y71,Y73,Y119:Y123,Y155,Y161,Y167,Y176,Y178,Y190,Y197,Y200:Y201,Y208,Y210,Y212,Y216:Y218,Y220:Y222,Y227,Y233:Y234,Y236:Y238,Y246,Y251)</f>
        <v>414.21999999999997</v>
      </c>
      <c r="Z118" s="111">
        <f t="shared" si="113"/>
        <v>437.26000000000005</v>
      </c>
      <c r="AA118" s="111">
        <f t="shared" si="109"/>
        <v>403.22699999999998</v>
      </c>
      <c r="AB118" s="111">
        <f t="shared" si="109"/>
        <v>381.94</v>
      </c>
      <c r="AC118" s="111">
        <f t="shared" si="109"/>
        <v>381.94</v>
      </c>
      <c r="AD118" s="111">
        <f t="shared" si="109"/>
        <v>329.84</v>
      </c>
      <c r="AE118" s="111">
        <f t="shared" si="109"/>
        <v>228.14</v>
      </c>
      <c r="AF118" s="111">
        <f t="shared" si="109"/>
        <v>209.94</v>
      </c>
      <c r="AG118" s="112"/>
      <c r="AH118" s="47">
        <f t="shared" si="49"/>
        <v>437.26000000000005</v>
      </c>
      <c r="AI118" s="48">
        <f t="shared" si="50"/>
        <v>42</v>
      </c>
    </row>
    <row r="119" spans="1:35" x14ac:dyDescent="0.25">
      <c r="A119" s="172" t="s">
        <v>118</v>
      </c>
      <c r="B119" s="113">
        <v>-13</v>
      </c>
      <c r="C119" s="113">
        <v>-13.9</v>
      </c>
      <c r="D119" s="113">
        <v>-16.7</v>
      </c>
      <c r="E119" s="113">
        <v>-18.600000000000001</v>
      </c>
      <c r="F119" s="113">
        <v>-13.8</v>
      </c>
      <c r="G119" s="113">
        <v>-6.9</v>
      </c>
      <c r="H119" s="113">
        <v>-7.6</v>
      </c>
      <c r="I119" s="113">
        <v>-5</v>
      </c>
      <c r="J119" s="113">
        <v>18.899999999999999</v>
      </c>
      <c r="K119" s="113">
        <v>31</v>
      </c>
      <c r="L119" s="113">
        <v>28.9</v>
      </c>
      <c r="M119" s="113">
        <v>40</v>
      </c>
      <c r="N119" s="113">
        <v>33.299999999999997</v>
      </c>
      <c r="O119" s="113">
        <v>34.5</v>
      </c>
      <c r="P119" s="113">
        <v>32.1</v>
      </c>
      <c r="Q119" s="113">
        <v>23.1</v>
      </c>
      <c r="R119" s="113">
        <v>20.2</v>
      </c>
      <c r="S119" s="113">
        <v>22.2</v>
      </c>
      <c r="T119" s="113">
        <v>15.9</v>
      </c>
      <c r="U119" s="113">
        <v>25.2</v>
      </c>
      <c r="V119" s="113">
        <v>31</v>
      </c>
      <c r="W119" s="113">
        <v>28</v>
      </c>
      <c r="X119" s="113">
        <v>26.5</v>
      </c>
      <c r="Y119" s="113">
        <v>34.700000000000003</v>
      </c>
      <c r="Z119" s="113">
        <v>45.3</v>
      </c>
      <c r="AA119" s="113">
        <v>40.1</v>
      </c>
      <c r="AB119" s="113">
        <v>35.700000000000003</v>
      </c>
      <c r="AC119" s="113">
        <v>35.700000000000003</v>
      </c>
      <c r="AD119" s="113">
        <v>26</v>
      </c>
      <c r="AE119" s="113">
        <v>7.4</v>
      </c>
      <c r="AF119" s="113">
        <v>0.3</v>
      </c>
      <c r="AG119" s="114">
        <v>75</v>
      </c>
      <c r="AH119" s="47">
        <f t="shared" si="49"/>
        <v>45.3</v>
      </c>
      <c r="AI119" s="48">
        <f t="shared" si="50"/>
        <v>-18.600000000000001</v>
      </c>
    </row>
    <row r="120" spans="1:35" x14ac:dyDescent="0.25">
      <c r="A120" s="173" t="s">
        <v>119</v>
      </c>
      <c r="B120" s="115">
        <v>-22.6</v>
      </c>
      <c r="C120" s="115">
        <v>-22.3</v>
      </c>
      <c r="D120" s="115">
        <v>-27.4</v>
      </c>
      <c r="E120" s="115">
        <v>-30.1</v>
      </c>
      <c r="F120" s="115">
        <v>-21.4</v>
      </c>
      <c r="G120" s="115">
        <v>-13</v>
      </c>
      <c r="H120" s="115">
        <v>-13.9</v>
      </c>
      <c r="I120" s="115">
        <v>-12</v>
      </c>
      <c r="J120" s="115">
        <v>19.7</v>
      </c>
      <c r="K120" s="115">
        <v>41.4</v>
      </c>
      <c r="L120" s="115">
        <v>39.6</v>
      </c>
      <c r="M120" s="115">
        <v>55.5</v>
      </c>
      <c r="N120" s="115">
        <v>46</v>
      </c>
      <c r="O120" s="115">
        <v>48.6</v>
      </c>
      <c r="P120" s="115">
        <v>40.1</v>
      </c>
      <c r="Q120" s="115">
        <v>25.8</v>
      </c>
      <c r="R120" s="115">
        <v>21.9</v>
      </c>
      <c r="S120" s="115">
        <v>25.6</v>
      </c>
      <c r="T120" s="115">
        <v>16</v>
      </c>
      <c r="U120" s="115">
        <v>28</v>
      </c>
      <c r="V120" s="115">
        <v>40</v>
      </c>
      <c r="W120" s="115">
        <v>38.299999999999997</v>
      </c>
      <c r="X120" s="115">
        <v>35.700000000000003</v>
      </c>
      <c r="Y120" s="115">
        <v>45.2</v>
      </c>
      <c r="Z120" s="115">
        <v>58.7</v>
      </c>
      <c r="AA120" s="115">
        <v>51.7</v>
      </c>
      <c r="AB120" s="115">
        <v>45.7</v>
      </c>
      <c r="AC120" s="115">
        <v>45.7</v>
      </c>
      <c r="AD120" s="115">
        <v>31.2</v>
      </c>
      <c r="AE120" s="115">
        <v>4.5</v>
      </c>
      <c r="AF120" s="115">
        <v>-4.5999999999999996</v>
      </c>
      <c r="AG120" s="114">
        <v>240</v>
      </c>
      <c r="AH120" s="47">
        <f t="shared" si="49"/>
        <v>58.7</v>
      </c>
      <c r="AI120" s="48">
        <f t="shared" si="50"/>
        <v>-30.1</v>
      </c>
    </row>
    <row r="121" spans="1:35" x14ac:dyDescent="0.25">
      <c r="A121" s="173" t="s">
        <v>120</v>
      </c>
      <c r="B121" s="115">
        <v>-8.1999999999999993</v>
      </c>
      <c r="C121" s="115">
        <v>-13</v>
      </c>
      <c r="D121" s="115">
        <v>-12.5</v>
      </c>
      <c r="E121" s="115">
        <v>-11.6</v>
      </c>
      <c r="F121" s="115">
        <v>-13.7</v>
      </c>
      <c r="G121" s="115">
        <v>-6</v>
      </c>
      <c r="H121" s="115">
        <v>-1.5</v>
      </c>
      <c r="I121" s="115">
        <v>7.2</v>
      </c>
      <c r="J121" s="115">
        <v>24</v>
      </c>
      <c r="K121" s="115">
        <v>43</v>
      </c>
      <c r="L121" s="115">
        <v>47</v>
      </c>
      <c r="M121" s="115">
        <f>13.8+15.3</f>
        <v>29.1</v>
      </c>
      <c r="N121" s="115">
        <f>11+12.3</f>
        <v>23.3</v>
      </c>
      <c r="O121" s="115">
        <f>9.3+10</f>
        <v>19.3</v>
      </c>
      <c r="P121" s="115">
        <f>14+15</f>
        <v>29</v>
      </c>
      <c r="Q121" s="115">
        <f>9.8+11.1</f>
        <v>20.9</v>
      </c>
      <c r="R121" s="115">
        <f>10.5+11.5</f>
        <v>22</v>
      </c>
      <c r="S121" s="115">
        <v>26</v>
      </c>
      <c r="T121" s="115">
        <v>28</v>
      </c>
      <c r="U121" s="115">
        <v>26</v>
      </c>
      <c r="V121" s="115">
        <v>40</v>
      </c>
      <c r="W121" s="115">
        <v>40</v>
      </c>
      <c r="X121" s="115">
        <v>45</v>
      </c>
      <c r="Y121" s="115">
        <v>61</v>
      </c>
      <c r="Z121" s="115">
        <v>66</v>
      </c>
      <c r="AA121" s="115">
        <v>60.1</v>
      </c>
      <c r="AB121" s="115">
        <v>50</v>
      </c>
      <c r="AC121" s="115">
        <v>50</v>
      </c>
      <c r="AD121" s="115">
        <v>42</v>
      </c>
      <c r="AE121" s="115">
        <v>7</v>
      </c>
      <c r="AF121" s="115">
        <v>-2</v>
      </c>
      <c r="AG121" s="114">
        <v>240</v>
      </c>
      <c r="AH121" s="47">
        <f t="shared" si="49"/>
        <v>66</v>
      </c>
      <c r="AI121" s="48">
        <f t="shared" si="50"/>
        <v>-13.7</v>
      </c>
    </row>
    <row r="122" spans="1:35" ht="15.75" thickBot="1" x14ac:dyDescent="0.3">
      <c r="A122" s="173" t="s">
        <v>121</v>
      </c>
      <c r="B122" s="115">
        <v>-2.5</v>
      </c>
      <c r="C122" s="115">
        <v>-5.3</v>
      </c>
      <c r="D122" s="115">
        <v>-8.1</v>
      </c>
      <c r="E122" s="115">
        <v>-7.2</v>
      </c>
      <c r="F122" s="115">
        <v>-5.0999999999999996</v>
      </c>
      <c r="G122" s="115">
        <v>-3.5</v>
      </c>
      <c r="H122" s="115">
        <v>-1.6</v>
      </c>
      <c r="I122" s="115">
        <v>-0.8</v>
      </c>
      <c r="J122" s="115">
        <v>7.6</v>
      </c>
      <c r="K122" s="115">
        <v>24.3</v>
      </c>
      <c r="L122" s="115">
        <v>25.6</v>
      </c>
      <c r="M122" s="115">
        <v>21.5</v>
      </c>
      <c r="N122" s="115">
        <v>19.2</v>
      </c>
      <c r="O122" s="115">
        <v>19.399999999999999</v>
      </c>
      <c r="P122" s="115">
        <v>15</v>
      </c>
      <c r="Q122" s="115">
        <v>7</v>
      </c>
      <c r="R122" s="115">
        <v>5.9</v>
      </c>
      <c r="S122" s="115">
        <v>4.7</v>
      </c>
      <c r="T122" s="115">
        <v>5.2</v>
      </c>
      <c r="U122" s="115">
        <v>9.5</v>
      </c>
      <c r="V122" s="115">
        <v>21.6</v>
      </c>
      <c r="W122" s="115">
        <v>21</v>
      </c>
      <c r="X122" s="115">
        <v>23.2</v>
      </c>
      <c r="Y122" s="115">
        <v>28.2</v>
      </c>
      <c r="Z122" s="115">
        <v>29.5</v>
      </c>
      <c r="AA122" s="115">
        <v>28.3</v>
      </c>
      <c r="AB122" s="115">
        <v>25.9</v>
      </c>
      <c r="AC122" s="115">
        <v>25.9</v>
      </c>
      <c r="AD122" s="115">
        <v>16</v>
      </c>
      <c r="AE122" s="115">
        <v>4.5999999999999996</v>
      </c>
      <c r="AF122" s="115">
        <v>1.6</v>
      </c>
      <c r="AG122" s="114">
        <v>60</v>
      </c>
      <c r="AH122" s="47">
        <f t="shared" si="49"/>
        <v>29.5</v>
      </c>
      <c r="AI122" s="48">
        <f t="shared" si="50"/>
        <v>-8.1</v>
      </c>
    </row>
    <row r="123" spans="1:35" x14ac:dyDescent="0.25">
      <c r="A123" s="172" t="s">
        <v>259</v>
      </c>
      <c r="B123" s="117">
        <f>69.7*1.67</f>
        <v>116.399</v>
      </c>
      <c r="C123" s="117">
        <f>65.1*1.67</f>
        <v>108.71699999999998</v>
      </c>
      <c r="D123" s="117">
        <f>68.1*1.67</f>
        <v>113.72699999999999</v>
      </c>
      <c r="E123" s="117">
        <f>69.4*1.67</f>
        <v>115.89800000000001</v>
      </c>
      <c r="F123" s="117">
        <v>112</v>
      </c>
      <c r="G123" s="117">
        <v>115</v>
      </c>
      <c r="H123" s="117">
        <v>125</v>
      </c>
      <c r="I123" s="117">
        <v>155</v>
      </c>
      <c r="J123" s="117">
        <v>160</v>
      </c>
      <c r="K123" s="117">
        <v>145</v>
      </c>
      <c r="L123" s="117">
        <v>155</v>
      </c>
      <c r="M123" s="117">
        <f>82.3*1.6</f>
        <v>131.68</v>
      </c>
      <c r="N123" s="117">
        <f>80.3*1.64</f>
        <v>131.69199999999998</v>
      </c>
      <c r="O123" s="117">
        <f>75*1.64</f>
        <v>122.99999999999999</v>
      </c>
      <c r="P123" s="117">
        <f>69.9*1.64</f>
        <v>114.636</v>
      </c>
      <c r="Q123" s="117">
        <f>85*1.64</f>
        <v>139.4</v>
      </c>
      <c r="R123" s="117">
        <f>88.2*1.6</f>
        <v>141.12</v>
      </c>
      <c r="S123" s="117">
        <f>92.7*1.6</f>
        <v>148.32000000000002</v>
      </c>
      <c r="T123" s="117">
        <f>100.2*1.6</f>
        <v>160.32000000000002</v>
      </c>
      <c r="U123" s="117">
        <f>94.9*1.6</f>
        <v>151.84</v>
      </c>
      <c r="V123" s="117">
        <f>74.5*1.6</f>
        <v>119.2</v>
      </c>
      <c r="W123" s="117">
        <f>72*1.6</f>
        <v>115.2</v>
      </c>
      <c r="X123" s="117">
        <f>82*1.6</f>
        <v>131.20000000000002</v>
      </c>
      <c r="Y123" s="117">
        <f>99.8*1.6</f>
        <v>159.68</v>
      </c>
      <c r="Z123" s="117">
        <f>95.2*1.6</f>
        <v>152.32000000000002</v>
      </c>
      <c r="AA123" s="117">
        <f>84.9*1.63</f>
        <v>138.387</v>
      </c>
      <c r="AB123" s="117">
        <v>140</v>
      </c>
      <c r="AC123" s="117">
        <v>140</v>
      </c>
      <c r="AD123" s="117">
        <v>130</v>
      </c>
      <c r="AE123" s="117">
        <v>120</v>
      </c>
      <c r="AF123" s="117">
        <v>130</v>
      </c>
      <c r="AG123" s="118">
        <v>120</v>
      </c>
      <c r="AH123" s="47">
        <f t="shared" si="49"/>
        <v>160.32000000000002</v>
      </c>
      <c r="AI123" s="48">
        <f t="shared" si="50"/>
        <v>108.71699999999998</v>
      </c>
    </row>
    <row r="124" spans="1:35" x14ac:dyDescent="0.25">
      <c r="A124" s="173" t="s">
        <v>258</v>
      </c>
      <c r="B124" s="117">
        <v>80.599999999999994</v>
      </c>
      <c r="C124" s="117">
        <v>76.8</v>
      </c>
      <c r="D124" s="117">
        <v>80.400000000000006</v>
      </c>
      <c r="E124" s="117">
        <v>81.2</v>
      </c>
      <c r="F124" s="117">
        <v>76.3</v>
      </c>
      <c r="G124" s="117">
        <v>79.599999999999994</v>
      </c>
      <c r="H124" s="117">
        <v>88.4</v>
      </c>
      <c r="I124" s="117">
        <v>99.2</v>
      </c>
      <c r="J124" s="117">
        <v>97.4</v>
      </c>
      <c r="K124" s="117">
        <v>88.7</v>
      </c>
      <c r="L124" s="117">
        <v>96.2</v>
      </c>
      <c r="M124" s="117">
        <v>89.6</v>
      </c>
      <c r="N124" s="117">
        <v>88.2</v>
      </c>
      <c r="O124" s="117">
        <v>79.599999999999994</v>
      </c>
      <c r="P124" s="117">
        <v>81</v>
      </c>
      <c r="Q124" s="117">
        <v>90.8</v>
      </c>
      <c r="R124" s="117">
        <v>94.7</v>
      </c>
      <c r="S124" s="117">
        <v>90.8</v>
      </c>
      <c r="T124" s="117">
        <v>103</v>
      </c>
      <c r="U124" s="117">
        <v>98.8</v>
      </c>
      <c r="V124" s="117">
        <v>81.7</v>
      </c>
      <c r="W124" s="117">
        <v>79.7</v>
      </c>
      <c r="X124" s="117">
        <v>86.6</v>
      </c>
      <c r="Y124" s="117">
        <v>99.9</v>
      </c>
      <c r="Z124" s="117">
        <v>97.5</v>
      </c>
      <c r="AA124" s="117">
        <f>90</f>
        <v>90</v>
      </c>
      <c r="AB124" s="117">
        <v>86.5</v>
      </c>
      <c r="AC124" s="117">
        <v>86.5</v>
      </c>
      <c r="AD124" s="117">
        <v>90.9</v>
      </c>
      <c r="AE124" s="117">
        <v>82.5</v>
      </c>
      <c r="AF124" s="117">
        <v>74</v>
      </c>
      <c r="AG124" s="118"/>
      <c r="AH124" s="47"/>
      <c r="AI124" s="48"/>
    </row>
    <row r="125" spans="1:35" x14ac:dyDescent="0.25">
      <c r="A125" s="173" t="s">
        <v>255</v>
      </c>
      <c r="B125" s="117">
        <v>70</v>
      </c>
      <c r="C125" s="117">
        <v>69.400000000000006</v>
      </c>
      <c r="D125" s="117">
        <v>76.2</v>
      </c>
      <c r="E125" s="117">
        <v>78.599999999999994</v>
      </c>
      <c r="F125" s="117">
        <v>67.900000000000006</v>
      </c>
      <c r="G125" s="117">
        <v>55.5</v>
      </c>
      <c r="H125" s="117">
        <v>56.4</v>
      </c>
      <c r="I125" s="117">
        <v>58.3</v>
      </c>
      <c r="J125" s="117">
        <v>18.399999999999999</v>
      </c>
      <c r="K125" s="117">
        <v>-22.8</v>
      </c>
      <c r="L125" s="117">
        <v>-15</v>
      </c>
      <c r="M125" s="117">
        <v>-24.9</v>
      </c>
      <c r="N125" s="117">
        <v>-12.8</v>
      </c>
      <c r="O125" s="117">
        <v>-18.7</v>
      </c>
      <c r="P125" s="117">
        <v>-6.9</v>
      </c>
      <c r="Q125" s="117">
        <v>17.899999999999999</v>
      </c>
      <c r="R125" s="117">
        <v>23.9</v>
      </c>
      <c r="S125" s="117">
        <v>14.4</v>
      </c>
      <c r="T125" s="117">
        <v>32.6</v>
      </c>
      <c r="U125" s="117">
        <v>18.2</v>
      </c>
      <c r="V125" s="117">
        <v>-17.2</v>
      </c>
      <c r="W125" s="117">
        <v>-17.100000000000001</v>
      </c>
      <c r="X125" s="117">
        <v>-13.8</v>
      </c>
      <c r="Y125" s="117">
        <v>-29</v>
      </c>
      <c r="Z125" s="117">
        <v>-50</v>
      </c>
      <c r="AA125" s="117">
        <v>-45.4</v>
      </c>
      <c r="AB125" s="117">
        <v>-35</v>
      </c>
      <c r="AC125" s="117">
        <v>-35</v>
      </c>
      <c r="AD125" s="117">
        <v>-5.6</v>
      </c>
      <c r="AE125" s="117">
        <v>40</v>
      </c>
      <c r="AF125" s="117">
        <v>55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88.8</v>
      </c>
      <c r="C126" s="117">
        <v>81.3</v>
      </c>
      <c r="D126" s="117">
        <v>89.4</v>
      </c>
      <c r="E126" s="117">
        <v>90.5</v>
      </c>
      <c r="F126" s="117">
        <v>82.5</v>
      </c>
      <c r="G126" s="117">
        <v>85.9</v>
      </c>
      <c r="H126" s="117">
        <v>96.22</v>
      </c>
      <c r="I126" s="117">
        <v>106.8</v>
      </c>
      <c r="J126" s="117">
        <v>93.6</v>
      </c>
      <c r="K126" s="117">
        <v>80.3</v>
      </c>
      <c r="L126" s="117">
        <v>87.1</v>
      </c>
      <c r="M126" s="117">
        <v>83.9</v>
      </c>
      <c r="N126" s="117">
        <v>94.9</v>
      </c>
      <c r="O126" s="117">
        <v>95</v>
      </c>
      <c r="P126" s="117">
        <v>75.900000000000006</v>
      </c>
      <c r="Q126" s="117">
        <v>85.3</v>
      </c>
      <c r="R126" s="117">
        <v>93.3</v>
      </c>
      <c r="S126" s="117">
        <v>88.9</v>
      </c>
      <c r="T126" s="117">
        <v>102</v>
      </c>
      <c r="U126" s="117">
        <v>93.1</v>
      </c>
      <c r="V126" s="117">
        <v>73.099999999999994</v>
      </c>
      <c r="W126" s="117">
        <v>74.099999999999994</v>
      </c>
      <c r="X126" s="117">
        <v>79.7</v>
      </c>
      <c r="Y126" s="117">
        <v>85.7</v>
      </c>
      <c r="Z126" s="117">
        <v>84.5</v>
      </c>
      <c r="AA126" s="117">
        <v>80.7</v>
      </c>
      <c r="AB126" s="117">
        <v>72</v>
      </c>
      <c r="AC126" s="117">
        <v>72</v>
      </c>
      <c r="AD126" s="117">
        <v>83</v>
      </c>
      <c r="AE126" s="117">
        <v>79.5</v>
      </c>
      <c r="AF126" s="117">
        <v>81</v>
      </c>
      <c r="AG126" s="114"/>
      <c r="AH126" s="47">
        <f t="shared" si="49"/>
        <v>106.8</v>
      </c>
      <c r="AI126" s="48">
        <f t="shared" si="50"/>
        <v>72</v>
      </c>
    </row>
    <row r="127" spans="1:35" x14ac:dyDescent="0.25">
      <c r="A127" s="172" t="s">
        <v>587</v>
      </c>
      <c r="B127" s="117">
        <v>28.4</v>
      </c>
      <c r="C127" s="117">
        <v>-30.4</v>
      </c>
      <c r="D127" s="117">
        <v>29.1</v>
      </c>
      <c r="E127" s="117">
        <v>31.2</v>
      </c>
      <c r="F127" s="117">
        <v>30.5</v>
      </c>
      <c r="G127" s="117">
        <v>19.8</v>
      </c>
      <c r="H127" s="117">
        <v>21.2</v>
      </c>
      <c r="I127" s="117">
        <v>22.8</v>
      </c>
      <c r="J127" s="117">
        <v>2.5</v>
      </c>
      <c r="K127" s="117">
        <v>-5.2</v>
      </c>
      <c r="L127" s="117">
        <v>-5.0999999999999996</v>
      </c>
      <c r="M127" s="117">
        <v>-18.2</v>
      </c>
      <c r="N127" s="117">
        <v>-9.6999999999999993</v>
      </c>
      <c r="O127" s="117">
        <v>-9.6</v>
      </c>
      <c r="P127" s="117">
        <v>-9</v>
      </c>
      <c r="Q127" s="117">
        <v>-2.6</v>
      </c>
      <c r="R127" s="117">
        <v>0</v>
      </c>
      <c r="S127" s="117">
        <v>0</v>
      </c>
      <c r="T127" s="117">
        <v>9</v>
      </c>
      <c r="U127" s="117">
        <v>3.7</v>
      </c>
      <c r="V127" s="117">
        <v>-5.9</v>
      </c>
      <c r="W127" s="117">
        <v>-4.4000000000000004</v>
      </c>
      <c r="X127" s="117">
        <v>-4</v>
      </c>
      <c r="Y127" s="117">
        <v>-6.2</v>
      </c>
      <c r="Z127" s="117">
        <v>-14.1</v>
      </c>
      <c r="AA127" s="117">
        <v>-7.4</v>
      </c>
      <c r="AB127" s="117">
        <v>-3</v>
      </c>
      <c r="AC127" s="117">
        <v>-3</v>
      </c>
      <c r="AD127" s="117">
        <v>-1</v>
      </c>
      <c r="AE127" s="117">
        <v>15</v>
      </c>
      <c r="AF127" s="117">
        <v>16</v>
      </c>
      <c r="AG127" s="114"/>
      <c r="AH127" s="47">
        <f t="shared" si="49"/>
        <v>31.2</v>
      </c>
      <c r="AI127" s="48">
        <f t="shared" si="50"/>
        <v>-30.4</v>
      </c>
    </row>
    <row r="128" spans="1:35" x14ac:dyDescent="0.25">
      <c r="A128" s="173" t="s">
        <v>123</v>
      </c>
      <c r="B128" s="106">
        <v>-8.1</v>
      </c>
      <c r="C128" s="106">
        <v>-7.5</v>
      </c>
      <c r="D128" s="106">
        <v>-7.2</v>
      </c>
      <c r="E128" s="106">
        <v>-7.3</v>
      </c>
      <c r="F128" s="106">
        <v>-8.5</v>
      </c>
      <c r="G128" s="106">
        <v>-11.5</v>
      </c>
      <c r="H128" s="106">
        <v>-18</v>
      </c>
      <c r="I128" s="106">
        <v>-23</v>
      </c>
      <c r="J128" s="106">
        <v>-31.6</v>
      </c>
      <c r="K128" s="106">
        <v>-39.5</v>
      </c>
      <c r="L128" s="106">
        <v>-41.9</v>
      </c>
      <c r="M128" s="106">
        <v>-41.6</v>
      </c>
      <c r="N128" s="106">
        <v>-32.9</v>
      </c>
      <c r="O128" s="106">
        <v>-29.5</v>
      </c>
      <c r="P128" s="106">
        <v>-24.2</v>
      </c>
      <c r="Q128" s="106">
        <v>-25.1</v>
      </c>
      <c r="R128" s="106">
        <v>-27.6</v>
      </c>
      <c r="S128" s="106">
        <v>-29.7</v>
      </c>
      <c r="T128" s="106">
        <v>-24.7</v>
      </c>
      <c r="U128" s="106">
        <v>-28.5</v>
      </c>
      <c r="V128" s="106">
        <v>-38.200000000000003</v>
      </c>
      <c r="W128" s="106">
        <v>-39.5</v>
      </c>
      <c r="X128" s="106">
        <v>-50</v>
      </c>
      <c r="Y128" s="106">
        <v>-54.5</v>
      </c>
      <c r="Z128" s="106">
        <v>-51.7</v>
      </c>
      <c r="AA128" s="106">
        <v>-37.9</v>
      </c>
      <c r="AB128" s="106">
        <v>-32</v>
      </c>
      <c r="AC128" s="106">
        <v>-32</v>
      </c>
      <c r="AD128" s="106">
        <v>-27</v>
      </c>
      <c r="AE128" s="106">
        <v>-13</v>
      </c>
      <c r="AF128" s="106">
        <v>-8.8000000000000007</v>
      </c>
      <c r="AG128" s="114"/>
      <c r="AH128" s="47">
        <f t="shared" si="49"/>
        <v>-7.2</v>
      </c>
      <c r="AI128" s="48">
        <f t="shared" si="50"/>
        <v>-54.5</v>
      </c>
    </row>
    <row r="129" spans="1:37" x14ac:dyDescent="0.25">
      <c r="A129" s="173" t="s">
        <v>260</v>
      </c>
      <c r="B129" s="106">
        <v>-27.8</v>
      </c>
      <c r="C129" s="106">
        <v>-23.8</v>
      </c>
      <c r="D129" s="106">
        <v>-27.2</v>
      </c>
      <c r="E129" s="106">
        <v>-27.1</v>
      </c>
      <c r="F129" s="106">
        <v>-22.6</v>
      </c>
      <c r="G129" s="106">
        <v>-23.4</v>
      </c>
      <c r="H129" s="106">
        <v>-29.7</v>
      </c>
      <c r="I129" s="106">
        <v>-36.5</v>
      </c>
      <c r="J129" s="106">
        <v>-26.6</v>
      </c>
      <c r="K129" s="106">
        <v>-27.3</v>
      </c>
      <c r="L129" s="106">
        <v>-31.7</v>
      </c>
      <c r="M129" s="106">
        <v>-9.4</v>
      </c>
      <c r="N129" s="106">
        <v>-11.5</v>
      </c>
      <c r="O129" s="106">
        <v>-10.199999999999999</v>
      </c>
      <c r="P129" s="106">
        <v>-26</v>
      </c>
      <c r="Q129" s="106">
        <v>-26.5</v>
      </c>
      <c r="R129" s="106">
        <v>-29.9</v>
      </c>
      <c r="S129" s="106">
        <v>-28.6</v>
      </c>
      <c r="T129" s="106">
        <v>-36.299999999999997</v>
      </c>
      <c r="U129" s="106">
        <v>-26.6</v>
      </c>
      <c r="V129" s="106">
        <v>-27.7</v>
      </c>
      <c r="W129" s="106">
        <v>-29.5</v>
      </c>
      <c r="X129" s="106">
        <v>-33.4</v>
      </c>
      <c r="Y129" s="106">
        <v>-41.4</v>
      </c>
      <c r="Z129" s="106">
        <v>-36.1</v>
      </c>
      <c r="AA129" s="106">
        <v>33.799999999999997</v>
      </c>
      <c r="AB129" s="106">
        <v>-30</v>
      </c>
      <c r="AC129" s="106">
        <v>-30</v>
      </c>
      <c r="AD129" s="106">
        <v>-40.5</v>
      </c>
      <c r="AE129" s="106">
        <v>-26</v>
      </c>
      <c r="AF129" s="106">
        <v>-23</v>
      </c>
      <c r="AG129" s="114"/>
      <c r="AH129" s="47">
        <f t="shared" si="49"/>
        <v>33.799999999999997</v>
      </c>
      <c r="AI129" s="48">
        <f t="shared" si="50"/>
        <v>-41.4</v>
      </c>
    </row>
    <row r="130" spans="1:37" ht="15.75" thickBot="1" x14ac:dyDescent="0.3">
      <c r="A130" s="173" t="s">
        <v>257</v>
      </c>
      <c r="B130" s="106">
        <v>93.8</v>
      </c>
      <c r="C130" s="106">
        <v>84.4</v>
      </c>
      <c r="D130" s="106">
        <v>87.7</v>
      </c>
      <c r="E130" s="106">
        <v>86.2</v>
      </c>
      <c r="F130" s="106">
        <v>86.2</v>
      </c>
      <c r="G130" s="106">
        <v>95.9</v>
      </c>
      <c r="H130" s="106">
        <v>97.8</v>
      </c>
      <c r="I130" s="106">
        <v>100.6</v>
      </c>
      <c r="J130" s="106">
        <v>109.6</v>
      </c>
      <c r="K130" s="106">
        <v>102</v>
      </c>
      <c r="L130" s="106">
        <v>106.4</v>
      </c>
      <c r="M130" s="106">
        <v>100.3</v>
      </c>
      <c r="N130" s="106">
        <v>92.8</v>
      </c>
      <c r="O130" s="106">
        <v>86.3</v>
      </c>
      <c r="P130" s="106">
        <v>89.8</v>
      </c>
      <c r="Q130" s="106">
        <v>109.9</v>
      </c>
      <c r="R130" s="106">
        <v>107.4</v>
      </c>
      <c r="S130" s="106">
        <v>120.1</v>
      </c>
      <c r="T130" s="106">
        <v>107.4</v>
      </c>
      <c r="U130" s="106">
        <v>118.1</v>
      </c>
      <c r="V130" s="106">
        <v>100.1</v>
      </c>
      <c r="W130" s="106">
        <v>96.7</v>
      </c>
      <c r="X130" s="106">
        <v>104.9</v>
      </c>
      <c r="Y130" s="106">
        <v>117.3</v>
      </c>
      <c r="Z130" s="106">
        <v>115.1</v>
      </c>
      <c r="AA130" s="106">
        <v>100.8</v>
      </c>
      <c r="AB130" s="106">
        <v>109</v>
      </c>
      <c r="AC130" s="106">
        <v>109</v>
      </c>
      <c r="AD130" s="106">
        <v>107</v>
      </c>
      <c r="AE130" s="106">
        <v>100.5</v>
      </c>
      <c r="AF130" s="106">
        <v>96</v>
      </c>
      <c r="AG130" s="114"/>
      <c r="AH130" s="47">
        <f t="shared" si="49"/>
        <v>120.1</v>
      </c>
      <c r="AI130" s="48">
        <f t="shared" si="50"/>
        <v>84.4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17"/>
      <c r="N131" s="117"/>
      <c r="O131" s="117"/>
      <c r="P131" s="117"/>
      <c r="Q131" s="117"/>
      <c r="R131" s="117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86">
        <v>1983.7</v>
      </c>
      <c r="C132" s="186">
        <v>1983.97</v>
      </c>
      <c r="D132" s="186">
        <v>1984.22</v>
      </c>
      <c r="E132" s="186">
        <v>1984.42</v>
      </c>
      <c r="F132" s="186">
        <v>1984.62</v>
      </c>
      <c r="G132" s="186">
        <v>1984.85</v>
      </c>
      <c r="H132" s="186"/>
      <c r="I132" s="186">
        <v>1984.95</v>
      </c>
      <c r="J132" s="186"/>
      <c r="K132" s="186">
        <v>1984.72</v>
      </c>
      <c r="L132" s="186"/>
      <c r="M132" s="117">
        <v>1984.6</v>
      </c>
      <c r="N132" s="117">
        <v>1984.45</v>
      </c>
      <c r="O132" s="117">
        <v>1984.47</v>
      </c>
      <c r="P132" s="117">
        <v>1984.57</v>
      </c>
      <c r="Q132" s="117"/>
      <c r="R132" s="117"/>
      <c r="S132" s="147">
        <v>1984.4</v>
      </c>
      <c r="T132" s="147">
        <v>1984.28</v>
      </c>
      <c r="U132" s="147">
        <v>1984</v>
      </c>
      <c r="V132" s="147">
        <v>1983.8</v>
      </c>
      <c r="W132" s="147"/>
      <c r="X132" s="147">
        <v>1983.88</v>
      </c>
      <c r="Y132" s="147"/>
      <c r="Z132" s="147">
        <v>1983.67</v>
      </c>
      <c r="AA132" s="147"/>
      <c r="AB132" s="147">
        <v>1983.18</v>
      </c>
      <c r="AC132" s="147">
        <v>1983.15</v>
      </c>
      <c r="AD132" s="147">
        <v>1983.15</v>
      </c>
      <c r="AE132" s="147">
        <v>1983.18</v>
      </c>
      <c r="AF132" s="148">
        <v>1983.35</v>
      </c>
      <c r="AG132" s="149"/>
      <c r="AH132" s="47"/>
      <c r="AI132" s="48"/>
    </row>
    <row r="133" spans="1:37" x14ac:dyDescent="0.25">
      <c r="A133" s="185" t="s">
        <v>238</v>
      </c>
      <c r="B133" s="187">
        <v>520.23</v>
      </c>
      <c r="C133" s="187">
        <v>520.6</v>
      </c>
      <c r="D133" s="187">
        <v>520.94000000000005</v>
      </c>
      <c r="E133" s="187">
        <v>521.26</v>
      </c>
      <c r="F133" s="187">
        <v>521.57000000000005</v>
      </c>
      <c r="G133" s="187">
        <v>521.86</v>
      </c>
      <c r="H133" s="187"/>
      <c r="I133" s="187">
        <v>522.14</v>
      </c>
      <c r="J133" s="187"/>
      <c r="K133" s="187">
        <v>522.22</v>
      </c>
      <c r="L133" s="187"/>
      <c r="M133" s="117">
        <v>522</v>
      </c>
      <c r="N133" s="117">
        <v>521.57000000000005</v>
      </c>
      <c r="O133" s="117">
        <v>521.29999999999995</v>
      </c>
      <c r="P133" s="117">
        <v>521.05999999999995</v>
      </c>
      <c r="Q133" s="117">
        <v>520.79999999999995</v>
      </c>
      <c r="R133" s="117"/>
      <c r="S133" s="150">
        <v>520.52</v>
      </c>
      <c r="T133" s="150">
        <v>520.42999999999995</v>
      </c>
      <c r="U133" s="150">
        <v>520.36</v>
      </c>
      <c r="V133" s="150">
        <v>520.21</v>
      </c>
      <c r="W133" s="150"/>
      <c r="X133" s="150">
        <v>520.14</v>
      </c>
      <c r="Y133" s="150"/>
      <c r="Z133" s="150">
        <v>519.79999999999995</v>
      </c>
      <c r="AA133" s="150"/>
      <c r="AB133" s="150">
        <v>519.42999999999995</v>
      </c>
      <c r="AC133" s="150"/>
      <c r="AD133" s="150">
        <v>519.44000000000005</v>
      </c>
      <c r="AE133" s="150">
        <v>519.65</v>
      </c>
      <c r="AF133" s="151">
        <v>519.95000000000005</v>
      </c>
      <c r="AG133" s="149"/>
      <c r="AH133" s="47"/>
      <c r="AI133" s="48"/>
    </row>
    <row r="134" spans="1:37" x14ac:dyDescent="0.25">
      <c r="A134" s="185" t="s">
        <v>239</v>
      </c>
      <c r="B134" s="187">
        <v>622.12</v>
      </c>
      <c r="C134" s="187">
        <v>622.17999999999995</v>
      </c>
      <c r="D134" s="187">
        <v>622.4</v>
      </c>
      <c r="E134" s="187">
        <v>622.79</v>
      </c>
      <c r="F134" s="187">
        <v>623.13</v>
      </c>
      <c r="G134" s="187">
        <v>623.01</v>
      </c>
      <c r="H134" s="187"/>
      <c r="I134" s="187">
        <v>622.85</v>
      </c>
      <c r="J134" s="187"/>
      <c r="K134" s="187">
        <v>622.9</v>
      </c>
      <c r="L134" s="187"/>
      <c r="M134" s="117">
        <v>622.82000000000005</v>
      </c>
      <c r="N134" s="117">
        <v>622.64</v>
      </c>
      <c r="O134" s="117">
        <v>622.59</v>
      </c>
      <c r="P134" s="117">
        <v>622.45000000000005</v>
      </c>
      <c r="Q134" s="117">
        <v>622.36</v>
      </c>
      <c r="R134" s="117"/>
      <c r="S134" s="150">
        <v>622.13</v>
      </c>
      <c r="T134" s="150">
        <v>622.05999999999995</v>
      </c>
      <c r="U134" s="150">
        <v>621.79</v>
      </c>
      <c r="V134" s="150">
        <v>621.88</v>
      </c>
      <c r="W134" s="150"/>
      <c r="X134" s="150">
        <v>621.95000000000005</v>
      </c>
      <c r="Y134" s="150"/>
      <c r="Z134" s="150">
        <v>621.88</v>
      </c>
      <c r="AA134" s="150"/>
      <c r="AB134" s="150">
        <v>621.91</v>
      </c>
      <c r="AC134" s="150"/>
      <c r="AD134" s="150">
        <v>622</v>
      </c>
      <c r="AE134" s="150">
        <v>622.12</v>
      </c>
      <c r="AF134" s="151">
        <v>622.22</v>
      </c>
      <c r="AG134" s="149"/>
      <c r="AH134" s="47"/>
      <c r="AI134" s="48"/>
    </row>
    <row r="135" spans="1:37" x14ac:dyDescent="0.25">
      <c r="A135" s="185" t="s">
        <v>240</v>
      </c>
      <c r="B135" s="187">
        <v>335.02</v>
      </c>
      <c r="C135" s="187">
        <v>335.38</v>
      </c>
      <c r="D135" s="187">
        <v>335.72</v>
      </c>
      <c r="E135" s="187">
        <v>336.05</v>
      </c>
      <c r="F135" s="187">
        <v>336.37</v>
      </c>
      <c r="G135" s="187">
        <v>336.62</v>
      </c>
      <c r="H135" s="187"/>
      <c r="I135" s="187">
        <v>336.85</v>
      </c>
      <c r="J135" s="187"/>
      <c r="K135" s="187">
        <v>336.76</v>
      </c>
      <c r="L135" s="187"/>
      <c r="M135" s="117">
        <v>336.61</v>
      </c>
      <c r="N135" s="117">
        <v>336.4</v>
      </c>
      <c r="O135" s="117">
        <v>336.17</v>
      </c>
      <c r="P135" s="117">
        <v>335.97</v>
      </c>
      <c r="Q135" s="117">
        <v>335.91</v>
      </c>
      <c r="R135" s="117"/>
      <c r="S135" s="150">
        <v>335.99</v>
      </c>
      <c r="T135" s="150">
        <v>336.04</v>
      </c>
      <c r="U135" s="150">
        <v>336.01</v>
      </c>
      <c r="V135" s="150">
        <v>335.92</v>
      </c>
      <c r="W135" s="150"/>
      <c r="X135" s="150">
        <v>335.93</v>
      </c>
      <c r="Y135" s="150"/>
      <c r="Z135" s="150">
        <v>335.8</v>
      </c>
      <c r="AA135" s="150"/>
      <c r="AB135" s="150">
        <v>335.4</v>
      </c>
      <c r="AC135" s="150"/>
      <c r="AD135" s="150">
        <v>335.12</v>
      </c>
      <c r="AE135" s="150">
        <v>335.5</v>
      </c>
      <c r="AF135" s="151">
        <v>335.11</v>
      </c>
      <c r="AG135" s="149"/>
      <c r="AH135" s="47"/>
      <c r="AI135" s="48"/>
    </row>
    <row r="136" spans="1:37" x14ac:dyDescent="0.25">
      <c r="A136" s="185" t="s">
        <v>384</v>
      </c>
      <c r="B136" s="187">
        <v>883.6</v>
      </c>
      <c r="C136" s="187">
        <v>884.3</v>
      </c>
      <c r="D136" s="187">
        <v>884.9</v>
      </c>
      <c r="E136" s="187">
        <v>885.5</v>
      </c>
      <c r="F136" s="187">
        <v>886</v>
      </c>
      <c r="G136" s="187">
        <v>886.5</v>
      </c>
      <c r="H136" s="187"/>
      <c r="I136" s="187">
        <v>886.9</v>
      </c>
      <c r="J136" s="187"/>
      <c r="K136" s="187">
        <v>887</v>
      </c>
      <c r="L136" s="187"/>
      <c r="M136" s="117">
        <v>886.8</v>
      </c>
      <c r="N136" s="117">
        <v>886.5</v>
      </c>
      <c r="O136" s="117">
        <v>886.4</v>
      </c>
      <c r="P136" s="117">
        <v>886.4</v>
      </c>
      <c r="Q136" s="117">
        <v>886.3</v>
      </c>
      <c r="R136" s="117"/>
      <c r="S136" s="150">
        <v>885.9</v>
      </c>
      <c r="T136" s="150">
        <v>885.9</v>
      </c>
      <c r="U136" s="150">
        <v>885.8</v>
      </c>
      <c r="V136" s="150">
        <v>885.7</v>
      </c>
      <c r="W136" s="150"/>
      <c r="X136" s="150">
        <v>885.6</v>
      </c>
      <c r="Y136" s="150"/>
      <c r="Z136" s="150">
        <v>884.6</v>
      </c>
      <c r="AA136" s="150"/>
      <c r="AB136" s="150">
        <v>883.1</v>
      </c>
      <c r="AC136" s="150"/>
      <c r="AD136" s="150">
        <v>882.7</v>
      </c>
      <c r="AE136" s="150">
        <v>882.8</v>
      </c>
      <c r="AF136" s="151">
        <v>882.7</v>
      </c>
      <c r="AG136" s="149"/>
      <c r="AH136" s="47"/>
      <c r="AI136" s="48"/>
    </row>
    <row r="137" spans="1:37" ht="15.75" thickBot="1" x14ac:dyDescent="0.3">
      <c r="A137" s="185" t="s">
        <v>241</v>
      </c>
      <c r="B137" s="188">
        <v>1519.47</v>
      </c>
      <c r="C137" s="188"/>
      <c r="D137" s="188"/>
      <c r="E137" s="188"/>
      <c r="F137" s="188"/>
      <c r="G137" s="188">
        <v>1519.48</v>
      </c>
      <c r="H137" s="188"/>
      <c r="I137" s="188"/>
      <c r="J137" s="188"/>
      <c r="K137" s="188"/>
      <c r="L137" s="188"/>
      <c r="M137" s="117">
        <v>1519.48</v>
      </c>
      <c r="N137" s="117"/>
      <c r="O137" s="117"/>
      <c r="P137" s="117"/>
      <c r="Q137" s="117"/>
      <c r="R137" s="117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14">SUM(B139:B243)</f>
        <v>0</v>
      </c>
      <c r="C244" s="134">
        <f t="shared" si="114"/>
        <v>0</v>
      </c>
      <c r="D244" s="134">
        <f t="shared" si="114"/>
        <v>0</v>
      </c>
      <c r="E244" s="134">
        <f t="shared" si="114"/>
        <v>0</v>
      </c>
      <c r="F244" s="134">
        <f t="shared" si="114"/>
        <v>0</v>
      </c>
      <c r="G244" s="134">
        <f t="shared" si="114"/>
        <v>0</v>
      </c>
      <c r="H244" s="134">
        <f t="shared" si="114"/>
        <v>0</v>
      </c>
      <c r="I244" s="134">
        <f t="shared" si="114"/>
        <v>0</v>
      </c>
      <c r="J244" s="134">
        <f t="shared" si="114"/>
        <v>0</v>
      </c>
      <c r="K244" s="134">
        <f t="shared" si="114"/>
        <v>0</v>
      </c>
      <c r="L244" s="134">
        <f t="shared" si="114"/>
        <v>0</v>
      </c>
      <c r="M244" s="134">
        <f t="shared" si="114"/>
        <v>0</v>
      </c>
      <c r="N244" s="134">
        <f t="shared" si="114"/>
        <v>0</v>
      </c>
      <c r="O244" s="134">
        <f t="shared" si="114"/>
        <v>0</v>
      </c>
      <c r="P244" s="134">
        <f t="shared" si="114"/>
        <v>0</v>
      </c>
      <c r="Q244" s="134">
        <f t="shared" si="114"/>
        <v>0</v>
      </c>
      <c r="R244" s="134">
        <f t="shared" si="114"/>
        <v>0</v>
      </c>
      <c r="S244" s="134">
        <f t="shared" si="114"/>
        <v>0</v>
      </c>
      <c r="T244" s="134">
        <f t="shared" si="114"/>
        <v>0</v>
      </c>
      <c r="U244" s="134">
        <f t="shared" si="114"/>
        <v>0</v>
      </c>
      <c r="V244" s="134">
        <f t="shared" si="114"/>
        <v>0</v>
      </c>
      <c r="W244" s="134">
        <f t="shared" si="114"/>
        <v>0</v>
      </c>
      <c r="X244" s="134">
        <f t="shared" si="114"/>
        <v>0</v>
      </c>
      <c r="Y244" s="134">
        <f t="shared" si="114"/>
        <v>0</v>
      </c>
      <c r="Z244" s="134">
        <f t="shared" si="114"/>
        <v>0</v>
      </c>
      <c r="AA244" s="134">
        <f t="shared" si="114"/>
        <v>0</v>
      </c>
      <c r="AB244" s="134">
        <f t="shared" si="114"/>
        <v>0</v>
      </c>
      <c r="AC244" s="134">
        <f t="shared" si="114"/>
        <v>0</v>
      </c>
      <c r="AD244" s="134">
        <f t="shared" si="114"/>
        <v>0</v>
      </c>
      <c r="AE244" s="134">
        <f t="shared" si="114"/>
        <v>0</v>
      </c>
      <c r="AF244" s="135">
        <f t="shared" si="114"/>
        <v>0</v>
      </c>
      <c r="AG244" s="136">
        <f t="shared" si="114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15">AF246</f>
        <v>0.3</v>
      </c>
      <c r="C246" s="138">
        <v>0.3</v>
      </c>
      <c r="D246" s="138">
        <f t="shared" ref="D246:S251" si="116">C246</f>
        <v>0.3</v>
      </c>
      <c r="E246" s="138">
        <f t="shared" si="116"/>
        <v>0.3</v>
      </c>
      <c r="F246" s="138">
        <f t="shared" si="116"/>
        <v>0.3</v>
      </c>
      <c r="G246" s="138">
        <f t="shared" si="116"/>
        <v>0.3</v>
      </c>
      <c r="H246" s="138">
        <f t="shared" si="116"/>
        <v>0.3</v>
      </c>
      <c r="I246" s="138">
        <f t="shared" si="116"/>
        <v>0.3</v>
      </c>
      <c r="J246" s="138">
        <f t="shared" si="116"/>
        <v>0.3</v>
      </c>
      <c r="K246" s="138">
        <f t="shared" si="116"/>
        <v>0.3</v>
      </c>
      <c r="L246" s="138">
        <f t="shared" si="116"/>
        <v>0.3</v>
      </c>
      <c r="M246" s="138">
        <f t="shared" si="116"/>
        <v>0.3</v>
      </c>
      <c r="N246" s="138">
        <f t="shared" si="116"/>
        <v>0.3</v>
      </c>
      <c r="O246" s="138">
        <f t="shared" si="116"/>
        <v>0.3</v>
      </c>
      <c r="P246" s="138">
        <f t="shared" si="116"/>
        <v>0.3</v>
      </c>
      <c r="Q246" s="138">
        <f t="shared" si="116"/>
        <v>0.3</v>
      </c>
      <c r="R246" s="138">
        <f t="shared" si="116"/>
        <v>0.3</v>
      </c>
      <c r="S246" s="138">
        <f t="shared" si="116"/>
        <v>0.3</v>
      </c>
      <c r="T246" s="138">
        <f t="shared" ref="T246:AF251" si="117">S246</f>
        <v>0.3</v>
      </c>
      <c r="U246" s="138">
        <f t="shared" si="117"/>
        <v>0.3</v>
      </c>
      <c r="V246" s="138">
        <f t="shared" si="117"/>
        <v>0.3</v>
      </c>
      <c r="W246" s="138">
        <f t="shared" si="117"/>
        <v>0.3</v>
      </c>
      <c r="X246" s="138">
        <f t="shared" si="117"/>
        <v>0.3</v>
      </c>
      <c r="Y246" s="138">
        <f t="shared" si="117"/>
        <v>0.3</v>
      </c>
      <c r="Z246" s="138">
        <f t="shared" si="117"/>
        <v>0.3</v>
      </c>
      <c r="AA246" s="138">
        <f t="shared" si="117"/>
        <v>0.3</v>
      </c>
      <c r="AB246" s="138">
        <f t="shared" si="117"/>
        <v>0.3</v>
      </c>
      <c r="AC246" s="138">
        <f t="shared" si="117"/>
        <v>0.3</v>
      </c>
      <c r="AD246" s="138">
        <f t="shared" si="117"/>
        <v>0.3</v>
      </c>
      <c r="AE246" s="138">
        <f t="shared" si="117"/>
        <v>0.3</v>
      </c>
      <c r="AF246" s="138">
        <f t="shared" si="117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15"/>
        <v>0.4</v>
      </c>
      <c r="C247" s="126">
        <v>0.4</v>
      </c>
      <c r="D247" s="126">
        <f t="shared" si="116"/>
        <v>0.4</v>
      </c>
      <c r="E247" s="126">
        <f t="shared" si="116"/>
        <v>0.4</v>
      </c>
      <c r="F247" s="126">
        <f t="shared" si="116"/>
        <v>0.4</v>
      </c>
      <c r="G247" s="126">
        <f t="shared" si="116"/>
        <v>0.4</v>
      </c>
      <c r="H247" s="126">
        <f t="shared" si="116"/>
        <v>0.4</v>
      </c>
      <c r="I247" s="126">
        <f t="shared" si="116"/>
        <v>0.4</v>
      </c>
      <c r="J247" s="126">
        <f t="shared" si="116"/>
        <v>0.4</v>
      </c>
      <c r="K247" s="126">
        <f t="shared" si="116"/>
        <v>0.4</v>
      </c>
      <c r="L247" s="126">
        <f t="shared" si="116"/>
        <v>0.4</v>
      </c>
      <c r="M247" s="126">
        <f t="shared" si="116"/>
        <v>0.4</v>
      </c>
      <c r="N247" s="126">
        <f t="shared" si="116"/>
        <v>0.4</v>
      </c>
      <c r="O247" s="126">
        <f t="shared" si="116"/>
        <v>0.4</v>
      </c>
      <c r="P247" s="126">
        <f t="shared" si="116"/>
        <v>0.4</v>
      </c>
      <c r="Q247" s="126">
        <f t="shared" si="116"/>
        <v>0.4</v>
      </c>
      <c r="R247" s="126">
        <f t="shared" si="116"/>
        <v>0.4</v>
      </c>
      <c r="S247" s="126">
        <f t="shared" si="116"/>
        <v>0.4</v>
      </c>
      <c r="T247" s="126">
        <f t="shared" si="117"/>
        <v>0.4</v>
      </c>
      <c r="U247" s="126">
        <f t="shared" si="117"/>
        <v>0.4</v>
      </c>
      <c r="V247" s="126">
        <f t="shared" si="117"/>
        <v>0.4</v>
      </c>
      <c r="W247" s="126">
        <f t="shared" si="117"/>
        <v>0.4</v>
      </c>
      <c r="X247" s="126">
        <f t="shared" si="117"/>
        <v>0.4</v>
      </c>
      <c r="Y247" s="126">
        <f t="shared" si="117"/>
        <v>0.4</v>
      </c>
      <c r="Z247" s="126">
        <f t="shared" si="117"/>
        <v>0.4</v>
      </c>
      <c r="AA247" s="126">
        <f t="shared" si="117"/>
        <v>0.4</v>
      </c>
      <c r="AB247" s="126">
        <f t="shared" si="117"/>
        <v>0.4</v>
      </c>
      <c r="AC247" s="126">
        <f t="shared" si="117"/>
        <v>0.4</v>
      </c>
      <c r="AD247" s="126">
        <f t="shared" si="117"/>
        <v>0.4</v>
      </c>
      <c r="AE247" s="126">
        <f t="shared" si="117"/>
        <v>0.4</v>
      </c>
      <c r="AF247" s="126">
        <f t="shared" si="117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15"/>
        <v>1.5</v>
      </c>
      <c r="C248" s="126">
        <v>1.5</v>
      </c>
      <c r="D248" s="126">
        <f t="shared" si="116"/>
        <v>1.5</v>
      </c>
      <c r="E248" s="126">
        <f t="shared" si="116"/>
        <v>1.5</v>
      </c>
      <c r="F248" s="126">
        <f t="shared" si="116"/>
        <v>1.5</v>
      </c>
      <c r="G248" s="126">
        <f t="shared" si="116"/>
        <v>1.5</v>
      </c>
      <c r="H248" s="126">
        <f t="shared" si="116"/>
        <v>1.5</v>
      </c>
      <c r="I248" s="126">
        <f t="shared" si="116"/>
        <v>1.5</v>
      </c>
      <c r="J248" s="126">
        <f t="shared" si="116"/>
        <v>1.5</v>
      </c>
      <c r="K248" s="126">
        <f t="shared" si="116"/>
        <v>1.5</v>
      </c>
      <c r="L248" s="126">
        <f t="shared" si="116"/>
        <v>1.5</v>
      </c>
      <c r="M248" s="126">
        <f t="shared" si="116"/>
        <v>1.5</v>
      </c>
      <c r="N248" s="126">
        <f t="shared" si="116"/>
        <v>1.5</v>
      </c>
      <c r="O248" s="126">
        <f t="shared" si="116"/>
        <v>1.5</v>
      </c>
      <c r="P248" s="126">
        <f t="shared" si="116"/>
        <v>1.5</v>
      </c>
      <c r="Q248" s="126">
        <f t="shared" si="116"/>
        <v>1.5</v>
      </c>
      <c r="R248" s="126">
        <f t="shared" si="116"/>
        <v>1.5</v>
      </c>
      <c r="S248" s="126">
        <f t="shared" si="116"/>
        <v>1.5</v>
      </c>
      <c r="T248" s="126">
        <f t="shared" si="117"/>
        <v>1.5</v>
      </c>
      <c r="U248" s="126">
        <f t="shared" si="117"/>
        <v>1.5</v>
      </c>
      <c r="V248" s="126">
        <f t="shared" si="117"/>
        <v>1.5</v>
      </c>
      <c r="W248" s="126">
        <f t="shared" si="117"/>
        <v>1.5</v>
      </c>
      <c r="X248" s="126">
        <f t="shared" si="117"/>
        <v>1.5</v>
      </c>
      <c r="Y248" s="126">
        <f t="shared" si="117"/>
        <v>1.5</v>
      </c>
      <c r="Z248" s="126">
        <f t="shared" si="117"/>
        <v>1.5</v>
      </c>
      <c r="AA248" s="126">
        <f t="shared" si="117"/>
        <v>1.5</v>
      </c>
      <c r="AB248" s="126">
        <f t="shared" si="117"/>
        <v>1.5</v>
      </c>
      <c r="AC248" s="126">
        <f t="shared" si="117"/>
        <v>1.5</v>
      </c>
      <c r="AD248" s="126">
        <f t="shared" si="117"/>
        <v>1.5</v>
      </c>
      <c r="AE248" s="126">
        <f t="shared" si="117"/>
        <v>1.5</v>
      </c>
      <c r="AF248" s="126">
        <f t="shared" si="117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15"/>
        <v>0.3</v>
      </c>
      <c r="C249" s="126">
        <v>0.3</v>
      </c>
      <c r="D249" s="126">
        <f t="shared" si="116"/>
        <v>0.3</v>
      </c>
      <c r="E249" s="126">
        <f t="shared" si="116"/>
        <v>0.3</v>
      </c>
      <c r="F249" s="126">
        <f t="shared" si="116"/>
        <v>0.3</v>
      </c>
      <c r="G249" s="126">
        <f t="shared" si="116"/>
        <v>0.3</v>
      </c>
      <c r="H249" s="126">
        <f t="shared" si="116"/>
        <v>0.3</v>
      </c>
      <c r="I249" s="126">
        <f t="shared" si="116"/>
        <v>0.3</v>
      </c>
      <c r="J249" s="126">
        <f t="shared" si="116"/>
        <v>0.3</v>
      </c>
      <c r="K249" s="126">
        <f t="shared" si="116"/>
        <v>0.3</v>
      </c>
      <c r="L249" s="126">
        <f t="shared" si="116"/>
        <v>0.3</v>
      </c>
      <c r="M249" s="126">
        <f t="shared" si="116"/>
        <v>0.3</v>
      </c>
      <c r="N249" s="126">
        <f t="shared" si="116"/>
        <v>0.3</v>
      </c>
      <c r="O249" s="126">
        <f t="shared" si="116"/>
        <v>0.3</v>
      </c>
      <c r="P249" s="126">
        <f t="shared" si="116"/>
        <v>0.3</v>
      </c>
      <c r="Q249" s="126">
        <f t="shared" si="116"/>
        <v>0.3</v>
      </c>
      <c r="R249" s="126">
        <f t="shared" si="116"/>
        <v>0.3</v>
      </c>
      <c r="S249" s="126">
        <f t="shared" si="116"/>
        <v>0.3</v>
      </c>
      <c r="T249" s="126">
        <f t="shared" si="117"/>
        <v>0.3</v>
      </c>
      <c r="U249" s="126">
        <f t="shared" si="117"/>
        <v>0.3</v>
      </c>
      <c r="V249" s="126">
        <f t="shared" si="117"/>
        <v>0.3</v>
      </c>
      <c r="W249" s="126">
        <f t="shared" si="117"/>
        <v>0.3</v>
      </c>
      <c r="X249" s="126">
        <f t="shared" si="117"/>
        <v>0.3</v>
      </c>
      <c r="Y249" s="126">
        <f t="shared" si="117"/>
        <v>0.3</v>
      </c>
      <c r="Z249" s="126">
        <f t="shared" si="117"/>
        <v>0.3</v>
      </c>
      <c r="AA249" s="126">
        <f t="shared" si="117"/>
        <v>0.3</v>
      </c>
      <c r="AB249" s="126">
        <f t="shared" si="117"/>
        <v>0.3</v>
      </c>
      <c r="AC249" s="126">
        <f t="shared" si="117"/>
        <v>0.3</v>
      </c>
      <c r="AD249" s="126">
        <f t="shared" si="117"/>
        <v>0.3</v>
      </c>
      <c r="AE249" s="126">
        <f t="shared" si="117"/>
        <v>0.3</v>
      </c>
      <c r="AF249" s="126">
        <f t="shared" si="117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15"/>
        <v>0.4</v>
      </c>
      <c r="C250" s="126">
        <v>0.4</v>
      </c>
      <c r="D250" s="126">
        <f t="shared" si="116"/>
        <v>0.4</v>
      </c>
      <c r="E250" s="126">
        <f t="shared" si="116"/>
        <v>0.4</v>
      </c>
      <c r="F250" s="126">
        <f t="shared" si="116"/>
        <v>0.4</v>
      </c>
      <c r="G250" s="126">
        <f t="shared" si="116"/>
        <v>0.4</v>
      </c>
      <c r="H250" s="126">
        <f t="shared" si="116"/>
        <v>0.4</v>
      </c>
      <c r="I250" s="126">
        <f t="shared" si="116"/>
        <v>0.4</v>
      </c>
      <c r="J250" s="126">
        <f t="shared" si="116"/>
        <v>0.4</v>
      </c>
      <c r="K250" s="126">
        <f t="shared" si="116"/>
        <v>0.4</v>
      </c>
      <c r="L250" s="126">
        <f t="shared" si="116"/>
        <v>0.4</v>
      </c>
      <c r="M250" s="126">
        <f t="shared" si="116"/>
        <v>0.4</v>
      </c>
      <c r="N250" s="126">
        <f t="shared" si="116"/>
        <v>0.4</v>
      </c>
      <c r="O250" s="126">
        <f t="shared" si="116"/>
        <v>0.4</v>
      </c>
      <c r="P250" s="126">
        <f t="shared" si="116"/>
        <v>0.4</v>
      </c>
      <c r="Q250" s="126">
        <f t="shared" si="116"/>
        <v>0.4</v>
      </c>
      <c r="R250" s="126">
        <f t="shared" si="116"/>
        <v>0.4</v>
      </c>
      <c r="S250" s="126">
        <f t="shared" si="116"/>
        <v>0.4</v>
      </c>
      <c r="T250" s="126">
        <f t="shared" si="117"/>
        <v>0.4</v>
      </c>
      <c r="U250" s="126">
        <f t="shared" si="117"/>
        <v>0.4</v>
      </c>
      <c r="V250" s="126">
        <f t="shared" si="117"/>
        <v>0.4</v>
      </c>
      <c r="W250" s="126">
        <f t="shared" si="117"/>
        <v>0.4</v>
      </c>
      <c r="X250" s="126">
        <f t="shared" si="117"/>
        <v>0.4</v>
      </c>
      <c r="Y250" s="126">
        <f t="shared" si="117"/>
        <v>0.4</v>
      </c>
      <c r="Z250" s="126">
        <f t="shared" si="117"/>
        <v>0.4</v>
      </c>
      <c r="AA250" s="126">
        <f t="shared" si="117"/>
        <v>0.4</v>
      </c>
      <c r="AB250" s="126">
        <f t="shared" si="117"/>
        <v>0.4</v>
      </c>
      <c r="AC250" s="126">
        <f t="shared" si="117"/>
        <v>0.4</v>
      </c>
      <c r="AD250" s="126">
        <f t="shared" si="117"/>
        <v>0.4</v>
      </c>
      <c r="AE250" s="126">
        <f t="shared" si="117"/>
        <v>0.4</v>
      </c>
      <c r="AF250" s="126">
        <f t="shared" si="117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15"/>
        <v>0.64</v>
      </c>
      <c r="C251" s="130">
        <v>0.64</v>
      </c>
      <c r="D251" s="130">
        <f t="shared" si="116"/>
        <v>0.64</v>
      </c>
      <c r="E251" s="130">
        <f t="shared" si="116"/>
        <v>0.64</v>
      </c>
      <c r="F251" s="130">
        <f t="shared" si="116"/>
        <v>0.64</v>
      </c>
      <c r="G251" s="130">
        <f t="shared" si="116"/>
        <v>0.64</v>
      </c>
      <c r="H251" s="130">
        <f t="shared" si="116"/>
        <v>0.64</v>
      </c>
      <c r="I251" s="130">
        <f t="shared" si="116"/>
        <v>0.64</v>
      </c>
      <c r="J251" s="130">
        <f t="shared" si="116"/>
        <v>0.64</v>
      </c>
      <c r="K251" s="130">
        <f t="shared" si="116"/>
        <v>0.64</v>
      </c>
      <c r="L251" s="130">
        <f t="shared" si="116"/>
        <v>0.64</v>
      </c>
      <c r="M251" s="130">
        <f t="shared" si="116"/>
        <v>0.64</v>
      </c>
      <c r="N251" s="130">
        <f t="shared" si="116"/>
        <v>0.64</v>
      </c>
      <c r="O251" s="130">
        <f t="shared" si="116"/>
        <v>0.64</v>
      </c>
      <c r="P251" s="130">
        <f t="shared" si="116"/>
        <v>0.64</v>
      </c>
      <c r="Q251" s="130">
        <f t="shared" si="116"/>
        <v>0.64</v>
      </c>
      <c r="R251" s="130">
        <f t="shared" si="116"/>
        <v>0.64</v>
      </c>
      <c r="S251" s="130">
        <f t="shared" si="116"/>
        <v>0.64</v>
      </c>
      <c r="T251" s="130">
        <f t="shared" si="117"/>
        <v>0.64</v>
      </c>
      <c r="U251" s="130">
        <f t="shared" si="117"/>
        <v>0.64</v>
      </c>
      <c r="V251" s="130">
        <f t="shared" si="117"/>
        <v>0.64</v>
      </c>
      <c r="W251" s="130">
        <f t="shared" si="117"/>
        <v>0.64</v>
      </c>
      <c r="X251" s="130">
        <f t="shared" si="117"/>
        <v>0.64</v>
      </c>
      <c r="Y251" s="130">
        <f t="shared" si="117"/>
        <v>0.64</v>
      </c>
      <c r="Z251" s="130">
        <f t="shared" si="117"/>
        <v>0.64</v>
      </c>
      <c r="AA251" s="130">
        <f t="shared" si="117"/>
        <v>0.64</v>
      </c>
      <c r="AB251" s="130">
        <f t="shared" si="117"/>
        <v>0.64</v>
      </c>
      <c r="AC251" s="130">
        <f t="shared" si="117"/>
        <v>0.64</v>
      </c>
      <c r="AD251" s="130">
        <f t="shared" si="117"/>
        <v>0.64</v>
      </c>
      <c r="AE251" s="130">
        <f t="shared" si="117"/>
        <v>0.64</v>
      </c>
      <c r="AF251" s="130">
        <f t="shared" si="117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8">SUM(B246:B251)</f>
        <v>3.54</v>
      </c>
      <c r="C252" s="134">
        <f t="shared" si="118"/>
        <v>3.54</v>
      </c>
      <c r="D252" s="134">
        <f t="shared" si="118"/>
        <v>3.54</v>
      </c>
      <c r="E252" s="134">
        <f t="shared" si="118"/>
        <v>3.54</v>
      </c>
      <c r="F252" s="134">
        <f t="shared" si="118"/>
        <v>3.54</v>
      </c>
      <c r="G252" s="134">
        <f t="shared" si="118"/>
        <v>3.54</v>
      </c>
      <c r="H252" s="134">
        <f t="shared" si="118"/>
        <v>3.54</v>
      </c>
      <c r="I252" s="134">
        <f t="shared" si="118"/>
        <v>3.54</v>
      </c>
      <c r="J252" s="134">
        <f t="shared" si="118"/>
        <v>3.54</v>
      </c>
      <c r="K252" s="134">
        <f t="shared" si="118"/>
        <v>3.54</v>
      </c>
      <c r="L252" s="134">
        <f t="shared" si="118"/>
        <v>3.54</v>
      </c>
      <c r="M252" s="134">
        <f t="shared" si="118"/>
        <v>3.54</v>
      </c>
      <c r="N252" s="134">
        <f t="shared" si="118"/>
        <v>3.54</v>
      </c>
      <c r="O252" s="134">
        <f t="shared" si="118"/>
        <v>3.54</v>
      </c>
      <c r="P252" s="134">
        <f t="shared" si="118"/>
        <v>3.54</v>
      </c>
      <c r="Q252" s="134">
        <f t="shared" si="118"/>
        <v>3.54</v>
      </c>
      <c r="R252" s="134">
        <f t="shared" si="118"/>
        <v>3.54</v>
      </c>
      <c r="S252" s="134">
        <f t="shared" si="118"/>
        <v>3.54</v>
      </c>
      <c r="T252" s="134">
        <f t="shared" si="118"/>
        <v>3.54</v>
      </c>
      <c r="U252" s="134">
        <f t="shared" si="118"/>
        <v>3.54</v>
      </c>
      <c r="V252" s="134">
        <f t="shared" si="118"/>
        <v>3.54</v>
      </c>
      <c r="W252" s="134">
        <f t="shared" si="118"/>
        <v>3.54</v>
      </c>
      <c r="X252" s="134">
        <f t="shared" si="118"/>
        <v>3.54</v>
      </c>
      <c r="Y252" s="134">
        <f t="shared" si="118"/>
        <v>3.54</v>
      </c>
      <c r="Z252" s="134">
        <f t="shared" si="118"/>
        <v>3.54</v>
      </c>
      <c r="AA252" s="134">
        <f t="shared" si="118"/>
        <v>3.54</v>
      </c>
      <c r="AB252" s="134">
        <f t="shared" si="118"/>
        <v>3.54</v>
      </c>
      <c r="AC252" s="134">
        <f t="shared" si="118"/>
        <v>3.54</v>
      </c>
      <c r="AD252" s="134">
        <f t="shared" si="118"/>
        <v>3.54</v>
      </c>
      <c r="AE252" s="134">
        <f t="shared" si="118"/>
        <v>3.54</v>
      </c>
      <c r="AF252" s="134">
        <f t="shared" si="118"/>
        <v>3.54</v>
      </c>
      <c r="AG252" s="143">
        <f t="shared" si="118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1736.69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2080/10/15)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626" priority="156">
      <formula>$AH11=0</formula>
    </cfRule>
  </conditionalFormatting>
  <conditionalFormatting sqref="A132:A253">
    <cfRule type="expression" dxfId="2625" priority="157">
      <formula>$AH132=0</formula>
    </cfRule>
  </conditionalFormatting>
  <conditionalFormatting sqref="B8 M8 S8 AB8">
    <cfRule type="expression" dxfId="2624" priority="209">
      <formula>C$9&lt;8/24</formula>
    </cfRule>
    <cfRule type="expression" dxfId="2623" priority="208">
      <formula>AND(C$9&gt;=8/24,C$9&lt;14/24)</formula>
    </cfRule>
    <cfRule type="expression" dxfId="2622" priority="207">
      <formula>AND(C$9&gt;=14/24,C$9&lt;20/24)</formula>
    </cfRule>
  </conditionalFormatting>
  <conditionalFormatting sqref="B59:D61">
    <cfRule type="expression" dxfId="2621" priority="105">
      <formula>B$9&lt;8/24</formula>
    </cfRule>
    <cfRule type="expression" dxfId="2620" priority="104">
      <formula>AND(B$9&gt;=8/24,B$9&lt;14/24)</formula>
    </cfRule>
    <cfRule type="expression" dxfId="2619" priority="103">
      <formula>AND(B$9&gt;=14/24,B$9&lt;20/24)</formula>
    </cfRule>
    <cfRule type="expression" dxfId="2618" priority="102">
      <formula>B$9&gt;=20/24</formula>
    </cfRule>
  </conditionalFormatting>
  <conditionalFormatting sqref="B62:D68 E66:E68">
    <cfRule type="expression" dxfId="2617" priority="110">
      <formula>B$9&lt;8/24</formula>
    </cfRule>
    <cfRule type="expression" dxfId="2616" priority="107">
      <formula>B$9&gt;=20/24</formula>
    </cfRule>
    <cfRule type="expression" dxfId="2615" priority="108">
      <formula>AND(B$9&gt;=14/24,B$9&lt;20/24)</formula>
    </cfRule>
    <cfRule type="expression" dxfId="2614" priority="109">
      <formula>AND(B$9&gt;=8/24,B$9&lt;14/24)</formula>
    </cfRule>
  </conditionalFormatting>
  <conditionalFormatting sqref="B57:E57">
    <cfRule type="expression" dxfId="2613" priority="119">
      <formula>B$9&lt;8/24</formula>
    </cfRule>
  </conditionalFormatting>
  <conditionalFormatting sqref="B11:M18 N12:O18 P13:Y18">
    <cfRule type="expression" dxfId="2612" priority="87">
      <formula>B11&gt;$AG11</formula>
    </cfRule>
  </conditionalFormatting>
  <conditionalFormatting sqref="B11:M52 N12:O52 P13:Y52">
    <cfRule type="expression" dxfId="2611" priority="90">
      <formula>AND(B$9&gt;=8/24,B$9&lt;14/24)</formula>
    </cfRule>
    <cfRule type="expression" dxfId="2610" priority="89">
      <formula>AND(B$9&gt;=14/24,B$9&lt;20/24)</formula>
    </cfRule>
    <cfRule type="expression" dxfId="2609" priority="88">
      <formula>B$9&gt;=20/24</formula>
    </cfRule>
    <cfRule type="expression" dxfId="2608" priority="91">
      <formula>B$9&lt;8/24</formula>
    </cfRule>
  </conditionalFormatting>
  <conditionalFormatting sqref="B71:Q74">
    <cfRule type="expression" dxfId="2607" priority="86">
      <formula>B$9&lt;8/24</formula>
    </cfRule>
    <cfRule type="expression" dxfId="2606" priority="85">
      <formula>AND(B$9&gt;=8/24,B$9&lt;14/24)</formula>
    </cfRule>
    <cfRule type="expression" dxfId="2605" priority="84">
      <formula>AND(B$9&gt;=14/24,B$9&lt;20/24)</formula>
    </cfRule>
    <cfRule type="expression" dxfId="2604" priority="83">
      <formula>B$9&gt;=20/24</formula>
    </cfRule>
  </conditionalFormatting>
  <conditionalFormatting sqref="B19:Y54">
    <cfRule type="expression" dxfId="2603" priority="77">
      <formula>B19&gt;$AG19</formula>
    </cfRule>
  </conditionalFormatting>
  <conditionalFormatting sqref="B53:Y54">
    <cfRule type="expression" dxfId="2602" priority="76">
      <formula>B$9&lt;8/24</formula>
    </cfRule>
  </conditionalFormatting>
  <conditionalFormatting sqref="B55:Y55">
    <cfRule type="expression" dxfId="2601" priority="97">
      <formula>B55&gt;$AG55</formula>
    </cfRule>
  </conditionalFormatting>
  <conditionalFormatting sqref="B55:Y56">
    <cfRule type="expression" dxfId="2600" priority="96">
      <formula>B$9&lt;8/24</formula>
    </cfRule>
  </conditionalFormatting>
  <conditionalFormatting sqref="B9:AF10">
    <cfRule type="expression" dxfId="2599" priority="158">
      <formula>B$9&gt;=20/24</formula>
    </cfRule>
    <cfRule type="expression" dxfId="2598" priority="161">
      <formula>B$9&lt;8/24</formula>
    </cfRule>
    <cfRule type="expression" dxfId="2597" priority="160">
      <formula>AND(B$9&gt;=8/24,B$9&lt;14/24)</formula>
    </cfRule>
    <cfRule type="expression" dxfId="2596" priority="159">
      <formula>AND(B$9&gt;=14/24,B$9&lt;20/24)</formula>
    </cfRule>
  </conditionalFormatting>
  <conditionalFormatting sqref="B53:AF54">
    <cfRule type="expression" dxfId="2595" priority="73">
      <formula>B$9&gt;=20/24</formula>
    </cfRule>
    <cfRule type="expression" dxfId="2594" priority="75">
      <formula>AND(B$9&gt;=8/24,B$9&lt;14/24)</formula>
    </cfRule>
    <cfRule type="expression" dxfId="2593" priority="74">
      <formula>AND(B$9&gt;=14/24,B$9&lt;20/24)</formula>
    </cfRule>
  </conditionalFormatting>
  <conditionalFormatting sqref="B63:AF80">
    <cfRule type="expression" dxfId="2592" priority="82">
      <formula>B63&gt;$AG63</formula>
    </cfRule>
  </conditionalFormatting>
  <conditionalFormatting sqref="B69:AF74">
    <cfRule type="expression" dxfId="2591" priority="112">
      <formula>AND(B$9&gt;=14/24,B$9&lt;20/24)</formula>
    </cfRule>
    <cfRule type="expression" dxfId="2590" priority="113">
      <formula>AND(B$9&gt;=8/24,B$9&lt;14/24)</formula>
    </cfRule>
    <cfRule type="expression" dxfId="2589" priority="111">
      <formula>B$9&gt;=20/24</formula>
    </cfRule>
    <cfRule type="expression" dxfId="2588" priority="114">
      <formula>B$9&lt;8/24</formula>
    </cfRule>
  </conditionalFormatting>
  <conditionalFormatting sqref="B77:AF80">
    <cfRule type="expression" dxfId="2587" priority="98">
      <formula>B$9&gt;=20/24</formula>
    </cfRule>
    <cfRule type="expression" dxfId="2586" priority="101">
      <formula>B$9&lt;8/24</formula>
    </cfRule>
    <cfRule type="expression" dxfId="2585" priority="100">
      <formula>AND(B$9&gt;=8/24,B$9&lt;14/24)</formula>
    </cfRule>
    <cfRule type="expression" dxfId="2584" priority="99">
      <formula>AND(B$9&gt;=14/24,B$9&lt;20/24)</formula>
    </cfRule>
  </conditionalFormatting>
  <conditionalFormatting sqref="B81:AF99">
    <cfRule type="expression" dxfId="2583" priority="80">
      <formula>AND(B$9&gt;=8/24,B$9&lt;14/24)</formula>
    </cfRule>
    <cfRule type="expression" dxfId="2582" priority="79">
      <formula>AND(B$9&gt;=14/24,B$9&lt;20/24)</formula>
    </cfRule>
    <cfRule type="expression" dxfId="2581" priority="78">
      <formula>B$9&gt;=20/24</formula>
    </cfRule>
    <cfRule type="expression" dxfId="2580" priority="81">
      <formula>B$9&lt;8/24</formula>
    </cfRule>
  </conditionalFormatting>
  <conditionalFormatting sqref="B101:AF117">
    <cfRule type="expression" dxfId="2579" priority="69">
      <formula>B$9&gt;=20/24</formula>
    </cfRule>
    <cfRule type="expression" dxfId="2578" priority="70">
      <formula>AND(B$9&gt;=14/24,B$9&lt;20/24)</formula>
    </cfRule>
    <cfRule type="expression" dxfId="2577" priority="72">
      <formula>B$9&lt;8/24</formula>
    </cfRule>
    <cfRule type="expression" dxfId="2576" priority="71">
      <formula>AND(B$9&gt;=8/24,B$9&lt;14/24)</formula>
    </cfRule>
  </conditionalFormatting>
  <conditionalFormatting sqref="B119:AF137">
    <cfRule type="expression" dxfId="2575" priority="65">
      <formula>B$9&gt;=20/24</formula>
    </cfRule>
    <cfRule type="expression" dxfId="2574" priority="66">
      <formula>AND(B$9&gt;=14/24,B$9&lt;20/24)</formula>
    </cfRule>
    <cfRule type="expression" dxfId="2573" priority="67">
      <formula>AND(B$9&gt;=8/24,B$9&lt;14/24)</formula>
    </cfRule>
    <cfRule type="expression" dxfId="2572" priority="68">
      <formula>B$9&lt;8/24</formula>
    </cfRule>
  </conditionalFormatting>
  <conditionalFormatting sqref="B244:AF244 B246:B252 D246:AF252">
    <cfRule type="expression" dxfId="2571" priority="200">
      <formula>B$9&gt;=20/24</formula>
    </cfRule>
    <cfRule type="expression" dxfId="2570" priority="201">
      <formula>AND(B$9&gt;=14/24,B$9&lt;20/24)</formula>
    </cfRule>
    <cfRule type="expression" dxfId="2569" priority="202">
      <formula>AND(B$9&gt;=8/24,B$9&lt;14/24)</formula>
    </cfRule>
    <cfRule type="expression" dxfId="2568" priority="203">
      <formula>B$9&lt;8/24</formula>
    </cfRule>
  </conditionalFormatting>
  <conditionalFormatting sqref="B62:AG62">
    <cfRule type="expression" dxfId="2567" priority="106">
      <formula>B62&gt;$AG62</formula>
    </cfRule>
  </conditionalFormatting>
  <conditionalFormatting sqref="E63:I67 J64:J67 K67">
    <cfRule type="expression" dxfId="2566" priority="120">
      <formula>E$9&gt;=20/24</formula>
    </cfRule>
    <cfRule type="expression" dxfId="2565" priority="123">
      <formula>E$9&lt;8/24</formula>
    </cfRule>
    <cfRule type="expression" dxfId="2564" priority="122">
      <formula>AND(E$9&gt;=8/24,E$9&lt;14/24)</formula>
    </cfRule>
    <cfRule type="expression" dxfId="2563" priority="121">
      <formula>AND(E$9&gt;=14/24,E$9&lt;20/24)</formula>
    </cfRule>
  </conditionalFormatting>
  <conditionalFormatting sqref="E68:Y68">
    <cfRule type="expression" dxfId="2562" priority="115">
      <formula>E$9&gt;=20/24</formula>
    </cfRule>
    <cfRule type="expression" dxfId="2561" priority="118">
      <formula>E$9&lt;8/24</formula>
    </cfRule>
    <cfRule type="expression" dxfId="2560" priority="117">
      <formula>AND(E$9&gt;=8/24,E$9&lt;14/24)</formula>
    </cfRule>
    <cfRule type="expression" dxfId="2559" priority="116">
      <formula>AND(E$9&gt;=14/24,E$9&lt;20/24)</formula>
    </cfRule>
  </conditionalFormatting>
  <conditionalFormatting sqref="E59:AF62">
    <cfRule type="expression" dxfId="2558" priority="137">
      <formula>E$9&lt;8/24</formula>
    </cfRule>
    <cfRule type="expression" dxfId="2557" priority="136">
      <formula>AND(E$9&gt;=8/24,E$9&lt;14/24)</formula>
    </cfRule>
    <cfRule type="expression" dxfId="2556" priority="135">
      <formula>AND(E$9&gt;=14/24,E$9&lt;20/24)</formula>
    </cfRule>
    <cfRule type="expression" dxfId="2555" priority="134">
      <formula>E$9&gt;=20/24</formula>
    </cfRule>
  </conditionalFormatting>
  <conditionalFormatting sqref="F63:M65">
    <cfRule type="expression" dxfId="2554" priority="148">
      <formula>F$9&gt;=20/24</formula>
    </cfRule>
    <cfRule type="expression" dxfId="2553" priority="149">
      <formula>AND(F$9&gt;=14/24,F$9&lt;20/24)</formula>
    </cfRule>
    <cfRule type="expression" dxfId="2552" priority="150">
      <formula>AND(F$9&gt;=8/24,F$9&lt;14/24)</formula>
    </cfRule>
    <cfRule type="expression" dxfId="2551" priority="151">
      <formula>F$9&lt;8/24</formula>
    </cfRule>
  </conditionalFormatting>
  <conditionalFormatting sqref="F55:Y56 B55:E57">
    <cfRule type="expression" dxfId="2550" priority="95">
      <formula>AND(B$9&gt;=8/24,B$9&lt;14/24)</formula>
    </cfRule>
    <cfRule type="expression" dxfId="2549" priority="94">
      <formula>AND(B$9&gt;=14/24,B$9&lt;20/24)</formula>
    </cfRule>
    <cfRule type="expression" dxfId="2548" priority="93">
      <formula>B$9&gt;=20/24</formula>
    </cfRule>
  </conditionalFormatting>
  <conditionalFormatting sqref="F56:Y56 E56:E57 B56:D61">
    <cfRule type="expression" dxfId="2547" priority="92">
      <formula>B56&gt;$AG56</formula>
    </cfRule>
  </conditionalFormatting>
  <conditionalFormatting sqref="F57:Y57">
    <cfRule type="expression" dxfId="2546" priority="133">
      <formula>F$9&lt;8/24</formula>
    </cfRule>
  </conditionalFormatting>
  <conditionalFormatting sqref="N11:Q11 R11:Y12 Z11:AF52 P12:Q12">
    <cfRule type="expression" dxfId="2545" priority="125">
      <formula>N$9&gt;=20/24</formula>
    </cfRule>
    <cfRule type="expression" dxfId="2544" priority="126">
      <formula>AND(N$9&gt;=14/24,N$9&lt;20/24)</formula>
    </cfRule>
    <cfRule type="expression" dxfId="2543" priority="127">
      <formula>AND(N$9&gt;=8/24,N$9&lt;14/24)</formula>
    </cfRule>
    <cfRule type="expression" dxfId="2542" priority="128">
      <formula>N$9&lt;8/24</formula>
    </cfRule>
    <cfRule type="expression" dxfId="2541" priority="124">
      <formula>N11&gt;$AG11</formula>
    </cfRule>
  </conditionalFormatting>
  <conditionalFormatting sqref="N63:Y67">
    <cfRule type="expression" dxfId="2540" priority="153">
      <formula>AND(N$9&gt;=14/24,N$9&lt;20/24)</formula>
    </cfRule>
    <cfRule type="expression" dxfId="2539" priority="154">
      <formula>AND(N$9&gt;=8/24,N$9&lt;14/24)</formula>
    </cfRule>
    <cfRule type="expression" dxfId="2538" priority="155">
      <formula>N$9&lt;8/24</formula>
    </cfRule>
    <cfRule type="expression" dxfId="2537" priority="152">
      <formula>N$9&gt;=20/24</formula>
    </cfRule>
  </conditionalFormatting>
  <conditionalFormatting sqref="O3:P3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536" priority="206">
      <formula>C$9&gt;=20/24</formula>
    </cfRule>
  </conditionalFormatting>
  <conditionalFormatting sqref="S8">
    <cfRule type="expression" dxfId="2535" priority="194">
      <formula>AND(U$9&gt;=14/24,U$9&lt;20/24)</formula>
    </cfRule>
    <cfRule type="expression" dxfId="2534" priority="195">
      <formula>AND(U$9&gt;=8/24,U$9&lt;14/24)</formula>
    </cfRule>
    <cfRule type="expression" dxfId="2533" priority="196">
      <formula>U$9&lt;8/24</formula>
    </cfRule>
    <cfRule type="expression" dxfId="2532" priority="193">
      <formula>U$9&gt;=20/24</formula>
    </cfRule>
  </conditionalFormatting>
  <conditionalFormatting sqref="V3 AB3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Z53:AF55">
    <cfRule type="expression" dxfId="2531" priority="143">
      <formula>Z53&gt;$AG53</formula>
    </cfRule>
  </conditionalFormatting>
  <conditionalFormatting sqref="Z53:AF57">
    <cfRule type="expression" dxfId="2530" priority="142">
      <formula>Z$9&lt;8/24</formula>
    </cfRule>
  </conditionalFormatting>
  <conditionalFormatting sqref="Z55:AF57 F57:Y57">
    <cfRule type="expression" dxfId="2529" priority="132">
      <formula>AND(F$9&gt;=8/24,F$9&lt;14/24)</formula>
    </cfRule>
    <cfRule type="expression" dxfId="2528" priority="130">
      <formula>F$9&gt;=20/24</formula>
    </cfRule>
    <cfRule type="expression" dxfId="2527" priority="131">
      <formula>AND(F$9&gt;=14/24,F$9&lt;20/24)</formula>
    </cfRule>
  </conditionalFormatting>
  <conditionalFormatting sqref="Z56:AF61 F57:L57 M57:Y61 E58:L61">
    <cfRule type="expression" dxfId="2526" priority="129">
      <formula>E56&gt;$AG56</formula>
    </cfRule>
  </conditionalFormatting>
  <conditionalFormatting sqref="Z63:AF68">
    <cfRule type="expression" dxfId="2525" priority="138">
      <formula>Z$9&gt;=20/24</formula>
    </cfRule>
    <cfRule type="expression" dxfId="2524" priority="139">
      <formula>AND(Z$9&gt;=14/24,Z$9&lt;20/24)</formula>
    </cfRule>
    <cfRule type="expression" dxfId="2523" priority="141">
      <formula>Z$9&lt;8/24</formula>
    </cfRule>
    <cfRule type="expression" dxfId="2522" priority="140">
      <formula>AND(Z$9&gt;=8/24,Z$9&lt;14/24)</formula>
    </cfRule>
  </conditionalFormatting>
  <conditionalFormatting sqref="AB8">
    <cfRule type="expression" dxfId="2521" priority="190">
      <formula>AND(AD$9&gt;=14/24,AD$9&lt;20/24)</formula>
    </cfRule>
    <cfRule type="expression" dxfId="2520" priority="192">
      <formula>AD$9&lt;8/24</formula>
    </cfRule>
    <cfRule type="expression" dxfId="2519" priority="189">
      <formula>AD$9&gt;=20/24</formula>
    </cfRule>
    <cfRule type="expression" dxfId="2518" priority="191">
      <formula>AND(AD$9&gt;=8/24,AD$9&lt;14/24)</formula>
    </cfRule>
  </conditionalFormatting>
  <conditionalFormatting sqref="AG58">
    <cfRule type="expression" dxfId="2517" priority="184">
      <formula>AG58&gt;$AG58</formula>
    </cfRule>
  </conditionalFormatting>
  <conditionalFormatting sqref="AG62">
    <cfRule type="expression" dxfId="2516" priority="167">
      <formula>AG$9&gt;=20/24</formula>
    </cfRule>
    <cfRule type="expression" dxfId="2515" priority="168">
      <formula>AND(AG$9&gt;=14/24,AG$9&lt;20/24)</formula>
    </cfRule>
    <cfRule type="expression" dxfId="2514" priority="169">
      <formula>AND(AG$9&gt;=8/24,AG$9&lt;14/24)</formula>
    </cfRule>
    <cfRule type="expression" dxfId="2513" priority="170">
      <formula>AG$9&lt;8/24</formula>
    </cfRule>
  </conditionalFormatting>
  <conditionalFormatting sqref="AG75:AG76 AG80">
    <cfRule type="expression" dxfId="2512" priority="162">
      <formula>AG75&gt;$AG75</formula>
    </cfRule>
  </conditionalFormatting>
  <conditionalFormatting sqref="AG80">
    <cfRule type="expression" dxfId="2511" priority="163">
      <formula>AG$9&gt;=20/24</formula>
    </cfRule>
    <cfRule type="expression" dxfId="2510" priority="164">
      <formula>AND(AG$9&gt;=14/24,AG$9&lt;20/24)</formula>
    </cfRule>
    <cfRule type="expression" dxfId="2509" priority="165">
      <formula>AND(AG$9&gt;=8/24,AG$9&lt;14/24)</formula>
    </cfRule>
    <cfRule type="expression" dxfId="2508" priority="166">
      <formula>AG$9&lt;8/24</formula>
    </cfRule>
  </conditionalFormatting>
  <conditionalFormatting sqref="AG97">
    <cfRule type="expression" dxfId="2507" priority="188">
      <formula>AG$9&lt;8/24</formula>
    </cfRule>
    <cfRule type="expression" dxfId="2506" priority="185">
      <formula>AG$9&gt;=20/24</formula>
    </cfRule>
    <cfRule type="expression" dxfId="2505" priority="186">
      <formula>AND(AG$9&gt;=14/24,AG$9&lt;20/24)</formula>
    </cfRule>
    <cfRule type="expression" dxfId="2504" priority="187">
      <formula>AND(AG$9&gt;=8/24,AG$9&lt;14/24)</formula>
    </cfRule>
  </conditionalFormatting>
  <conditionalFormatting sqref="AL4:AL6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503" priority="212">
      <formula>AND(AJ$9&gt;=8/24,AJ$9&lt;14/24)</formula>
    </cfRule>
    <cfRule type="expression" dxfId="2502" priority="213">
      <formula>AJ$9&lt;8/24</formula>
    </cfRule>
    <cfRule type="expression" dxfId="2501" priority="211">
      <formula>AND(AJ$9&gt;=14/24,AJ$9&lt;20/24)</formula>
    </cfRule>
    <cfRule type="expression" dxfId="2500" priority="210">
      <formula>AJ$9&gt;=20/24</formula>
    </cfRule>
  </conditionalFormatting>
  <conditionalFormatting sqref="AL88:AN88 AL94:AN94">
    <cfRule type="expression" dxfId="2499" priority="178">
      <formula>AND(AL$9&gt;=14/24,AL$9&lt;20/24)</formula>
    </cfRule>
    <cfRule type="expression" dxfId="2498" priority="180">
      <formula>AL$9&lt;8/24</formula>
    </cfRule>
    <cfRule type="expression" dxfId="2497" priority="177">
      <formula>AL$9&gt;=20/24</formula>
    </cfRule>
    <cfRule type="expression" dxfId="2496" priority="179">
      <formula>AND(AL$9&gt;=8/24,AL$9&lt;14/24)</formula>
    </cfRule>
  </conditionalFormatting>
  <conditionalFormatting sqref="AM15:AM21 AN16:AR21">
    <cfRule type="expression" dxfId="2495" priority="16">
      <formula>AX$9&lt;8/24</formula>
    </cfRule>
    <cfRule type="expression" dxfId="2494" priority="15">
      <formula>AND(AX$9&gt;=8/24,AX$9&lt;14/24)</formula>
    </cfRule>
    <cfRule type="expression" dxfId="2493" priority="13">
      <formula>AX$9&gt;=20/24</formula>
    </cfRule>
    <cfRule type="expression" dxfId="2492" priority="14">
      <formula>AND(AX$9&gt;=14/24,AX$9&lt;20/24)</formula>
    </cfRule>
  </conditionalFormatting>
  <conditionalFormatting sqref="AN89:AN92">
    <cfRule type="expression" dxfId="2491" priority="173">
      <formula>AN$9&gt;=20/24</formula>
    </cfRule>
    <cfRule type="expression" dxfId="2490" priority="175">
      <formula>AND(AN$9&gt;=8/24,AN$9&lt;14/24)</formula>
    </cfRule>
    <cfRule type="expression" dxfId="2489" priority="174">
      <formula>AND(AN$9&gt;=14/24,AN$9&lt;20/24)</formula>
    </cfRule>
    <cfRule type="expression" dxfId="2488" priority="176">
      <formula>AN$9&lt;8/24</formula>
    </cfRule>
  </conditionalFormatting>
  <conditionalFormatting sqref="AN15:AR15">
    <cfRule type="expression" dxfId="2487" priority="3">
      <formula>AND(U$9&gt;=8/24,U$9&lt;14/24)</formula>
    </cfRule>
    <cfRule type="expression" dxfId="2486" priority="4">
      <formula>U$9&lt;8/24</formula>
    </cfRule>
    <cfRule type="expression" dxfId="2485" priority="2">
      <formula>AND(U$9&gt;=14/24,U$9&lt;20/24)</formula>
    </cfRule>
    <cfRule type="expression" dxfId="2484" priority="1">
      <formula>U$9&gt;=20/24</formula>
    </cfRule>
  </conditionalFormatting>
  <conditionalFormatting sqref="AS15">
    <cfRule type="expression" dxfId="2483" priority="12">
      <formula>AA$9&lt;8/24</formula>
    </cfRule>
    <cfRule type="expression" dxfId="2482" priority="11">
      <formula>AND(AA$9&gt;=8/24,AA$9&lt;14/24)</formula>
    </cfRule>
    <cfRule type="expression" dxfId="2481" priority="10">
      <formula>AND(AA$9&gt;=14/24,AA$9&lt;20/24)</formula>
    </cfRule>
    <cfRule type="expression" dxfId="2480" priority="9">
      <formula>AA$9&gt;=20/24</formula>
    </cfRule>
  </conditionalFormatting>
  <conditionalFormatting sqref="AS16:AS21">
    <cfRule type="expression" dxfId="2479" priority="19">
      <formula>AND(BE$9&gt;=8/24,BE$9&lt;14/24)</formula>
    </cfRule>
    <cfRule type="expression" dxfId="2478" priority="18">
      <formula>AND(BE$9&gt;=14/24,BE$9&lt;20/24)</formula>
    </cfRule>
    <cfRule type="expression" dxfId="2477" priority="17">
      <formula>BE$9&gt;=20/24</formula>
    </cfRule>
    <cfRule type="expression" dxfId="2476" priority="20">
      <formula>BE$9&lt;8/24</formula>
    </cfRule>
  </conditionalFormatting>
  <conditionalFormatting sqref="AT15 AX15:BD15">
    <cfRule type="expression" dxfId="2475" priority="24">
      <formula>AC$9&lt;8/24</formula>
    </cfRule>
    <cfRule type="expression" dxfId="2474" priority="21">
      <formula>AC$9&gt;=20/24</formula>
    </cfRule>
    <cfRule type="expression" dxfId="2473" priority="22">
      <formula>AND(AC$9&gt;=14/24,AC$9&lt;20/24)</formula>
    </cfRule>
    <cfRule type="expression" dxfId="2472" priority="23">
      <formula>AND(AC$9&gt;=8/24,AC$9&lt;14/24)</formula>
    </cfRule>
  </conditionalFormatting>
  <conditionalFormatting sqref="AT16:AT21">
    <cfRule type="expression" dxfId="2471" priority="27">
      <formula>AND(BG$9&gt;=8/24,BG$9&lt;14/24)</formula>
    </cfRule>
    <cfRule type="expression" dxfId="2470" priority="26">
      <formula>AND(BG$9&gt;=14/24,BG$9&lt;20/24)</formula>
    </cfRule>
    <cfRule type="expression" dxfId="2469" priority="25">
      <formula>BG$9&gt;=20/24</formula>
    </cfRule>
    <cfRule type="expression" dxfId="2468" priority="28">
      <formula>BG$9&lt;8/24</formula>
    </cfRule>
  </conditionalFormatting>
  <conditionalFormatting sqref="AU15:AV15 BE15">
    <cfRule type="expression" dxfId="2467" priority="32">
      <formula>AE$9&lt;8/24</formula>
    </cfRule>
    <cfRule type="expression" dxfId="2466" priority="31">
      <formula>AND(AE$9&gt;=8/24,AE$9&lt;14/24)</formula>
    </cfRule>
    <cfRule type="expression" dxfId="2465" priority="29">
      <formula>AE$9&gt;=20/24</formula>
    </cfRule>
    <cfRule type="expression" dxfId="2464" priority="30">
      <formula>AND(AE$9&gt;=14/24,AE$9&lt;20/24)</formula>
    </cfRule>
  </conditionalFormatting>
  <conditionalFormatting sqref="AU16:BD21">
    <cfRule type="expression" dxfId="2463" priority="33">
      <formula>BI$9&gt;=20/24</formula>
    </cfRule>
    <cfRule type="expression" dxfId="2462" priority="35">
      <formula>AND(BI$9&gt;=8/24,BI$9&lt;14/24)</formula>
    </cfRule>
    <cfRule type="expression" dxfId="2461" priority="36">
      <formula>BI$9&lt;8/24</formula>
    </cfRule>
    <cfRule type="expression" dxfId="2460" priority="34">
      <formula>AND(BI$9&gt;=14/24,BI$9&lt;20/24)</formula>
    </cfRule>
  </conditionalFormatting>
  <conditionalFormatting sqref="AW15">
    <cfRule type="expression" dxfId="2459" priority="5">
      <formula>B$9&gt;=20/24</formula>
    </cfRule>
    <cfRule type="expression" dxfId="2458" priority="6">
      <formula>AND(B$9&gt;=14/24,B$9&lt;20/24)</formula>
    </cfRule>
    <cfRule type="expression" dxfId="2457" priority="7">
      <formula>AND(B$9&gt;=8/24,B$9&lt;14/24)</formula>
    </cfRule>
    <cfRule type="expression" dxfId="2456" priority="8">
      <formula>B$9&lt;8/24</formula>
    </cfRule>
  </conditionalFormatting>
  <conditionalFormatting sqref="BE16:BE21">
    <cfRule type="expression" dxfId="2455" priority="37">
      <formula>BT$9&gt;=20/24</formula>
    </cfRule>
    <cfRule type="expression" dxfId="2454" priority="38">
      <formula>AND(BT$9&gt;=14/24,BT$9&lt;20/24)</formula>
    </cfRule>
    <cfRule type="expression" dxfId="2453" priority="39">
      <formula>AND(BT$9&gt;=8/24,BT$9&lt;14/24)</formula>
    </cfRule>
    <cfRule type="expression" dxfId="2452" priority="40">
      <formula>BT$9&lt;8/24</formula>
    </cfRule>
  </conditionalFormatting>
  <conditionalFormatting sqref="BF15">
    <cfRule type="expression" dxfId="2451" priority="42">
      <formula>AND(AQ$9&gt;=14/24,AQ$9&lt;20/24)</formula>
    </cfRule>
    <cfRule type="expression" dxfId="2450" priority="43">
      <formula>AND(AQ$9&gt;=8/24,AQ$9&lt;14/24)</formula>
    </cfRule>
    <cfRule type="expression" dxfId="2449" priority="44">
      <formula>AQ$9&lt;8/24</formula>
    </cfRule>
    <cfRule type="expression" dxfId="2448" priority="41">
      <formula>AQ$9&gt;=20/24</formula>
    </cfRule>
  </conditionalFormatting>
  <conditionalFormatting sqref="BF16:BF21">
    <cfRule type="expression" dxfId="2447" priority="45">
      <formula>BV$9&gt;=20/24</formula>
    </cfRule>
    <cfRule type="expression" dxfId="2446" priority="48">
      <formula>BV$9&lt;8/24</formula>
    </cfRule>
    <cfRule type="expression" dxfId="2445" priority="47">
      <formula>AND(BV$9&gt;=8/24,BV$9&lt;14/24)</formula>
    </cfRule>
    <cfRule type="expression" dxfId="2444" priority="46">
      <formula>AND(BV$9&gt;=14/24,BV$9&lt;20/24)</formula>
    </cfRule>
  </conditionalFormatting>
  <conditionalFormatting sqref="BG15">
    <cfRule type="expression" dxfId="2443" priority="52">
      <formula>AS$9&lt;8/24</formula>
    </cfRule>
    <cfRule type="expression" dxfId="2442" priority="51">
      <formula>AND(AS$9&gt;=8/24,AS$9&lt;14/24)</formula>
    </cfRule>
    <cfRule type="expression" dxfId="2441" priority="50">
      <formula>AND(AS$9&gt;=14/24,AS$9&lt;20/24)</formula>
    </cfRule>
    <cfRule type="expression" dxfId="2440" priority="49">
      <formula>AS$9&gt;=20/24</formula>
    </cfRule>
  </conditionalFormatting>
  <conditionalFormatting sqref="BG16:BG21">
    <cfRule type="expression" dxfId="2439" priority="56">
      <formula>BX$9&lt;8/24</formula>
    </cfRule>
    <cfRule type="expression" dxfId="2438" priority="55">
      <formula>AND(BX$9&gt;=8/24,BX$9&lt;14/24)</formula>
    </cfRule>
    <cfRule type="expression" dxfId="2437" priority="54">
      <formula>AND(BX$9&gt;=14/24,BX$9&lt;20/24)</formula>
    </cfRule>
    <cfRule type="expression" dxfId="2436" priority="53">
      <formula>BX$9&gt;=20/24</formula>
    </cfRule>
  </conditionalFormatting>
  <conditionalFormatting sqref="BH15:BJ15">
    <cfRule type="expression" dxfId="2435" priority="60">
      <formula>AU$9&lt;8/24</formula>
    </cfRule>
    <cfRule type="expression" dxfId="2434" priority="59">
      <formula>AND(AU$9&gt;=8/24,AU$9&lt;14/24)</formula>
    </cfRule>
    <cfRule type="expression" dxfId="2433" priority="57">
      <formula>AU$9&gt;=20/24</formula>
    </cfRule>
    <cfRule type="expression" dxfId="2432" priority="58">
      <formula>AND(AU$9&gt;=14/24,AU$9&lt;20/24)</formula>
    </cfRule>
  </conditionalFormatting>
  <conditionalFormatting sqref="BH16:BJ21">
    <cfRule type="expression" dxfId="2431" priority="64">
      <formula>BZ$9&lt;8/24</formula>
    </cfRule>
    <cfRule type="expression" dxfId="2430" priority="63">
      <formula>AND(BZ$9&gt;=8/24,BZ$9&lt;14/24)</formula>
    </cfRule>
    <cfRule type="expression" dxfId="2429" priority="62">
      <formula>AND(BZ$9&gt;=14/24,BZ$9&lt;20/24)</formula>
    </cfRule>
    <cfRule type="expression" dxfId="2428" priority="61">
      <formula>BZ$9&gt;=20/24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278C-046C-4BFD-A6DA-A9AA990906A4}">
  <dimension ref="A1:DI294"/>
  <sheetViews>
    <sheetView zoomScale="40" zoomScaleNormal="40" workbookViewId="0">
      <pane xSplit="1" ySplit="10" topLeftCell="K11" activePane="bottomRight" state="frozen"/>
      <selection activeCell="Z63" sqref="Z63"/>
      <selection pane="topRight" activeCell="Z63" sqref="Z63"/>
      <selection pane="bottomLeft" activeCell="Z63" sqref="Z63"/>
      <selection pane="bottomRight" activeCell="AS89" sqref="AS8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75" width="9.140625" style="1"/>
    <col min="76" max="82" width="7.42578125" style="1" bestFit="1" customWidth="1"/>
    <col min="83" max="83" width="6.28515625" style="1" bestFit="1" customWidth="1"/>
    <col min="84" max="87" width="7.42578125" style="1" bestFit="1" customWidth="1"/>
    <col min="88" max="16384" width="9.140625" style="1"/>
  </cols>
  <sheetData>
    <row r="1" spans="1:113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113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113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</row>
    <row r="4" spans="1:113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2080/10/16</v>
      </c>
      <c r="C4" s="272"/>
      <c r="D4" s="272"/>
      <c r="E4" s="273" t="str">
        <f ca="1">"2080/"&amp;"10/"&amp;INT(MID(CELL("filename",G6),FIND("]",CELL("filename",G6))+1,200))</f>
        <v>2080/10/16</v>
      </c>
      <c r="F4" s="273"/>
      <c r="G4" s="273"/>
      <c r="H4" s="273" t="str">
        <f ca="1">TEXT(E4,"dddd")</f>
        <v>Wednesday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</row>
    <row r="5" spans="1:113" ht="15.75" hidden="1" customHeight="1" thickBot="1" x14ac:dyDescent="0.3">
      <c r="A5" s="29"/>
      <c r="B5" s="30">
        <f>C92</f>
        <v>609</v>
      </c>
      <c r="C5" s="30">
        <f t="shared" ref="C5:AE5" si="0">D92</f>
        <v>624</v>
      </c>
      <c r="D5" s="30">
        <f t="shared" si="0"/>
        <v>596.4</v>
      </c>
      <c r="E5" s="30">
        <f t="shared" si="0"/>
        <v>592.5</v>
      </c>
      <c r="F5" s="30">
        <f t="shared" si="0"/>
        <v>671.1</v>
      </c>
      <c r="G5" s="30">
        <f t="shared" si="0"/>
        <v>650.20000000000005</v>
      </c>
      <c r="H5" s="30">
        <f t="shared" si="0"/>
        <v>618.80000000000007</v>
      </c>
      <c r="I5" s="30">
        <f t="shared" si="0"/>
        <v>610.9</v>
      </c>
      <c r="J5" s="30">
        <f t="shared" si="0"/>
        <v>458.6</v>
      </c>
      <c r="K5" s="30">
        <f t="shared" si="0"/>
        <v>327.9</v>
      </c>
      <c r="L5" s="30">
        <f t="shared" si="0"/>
        <v>291.89999999999998</v>
      </c>
      <c r="M5" s="30">
        <f t="shared" si="0"/>
        <v>544.09999999999991</v>
      </c>
      <c r="N5" s="30">
        <f t="shared" si="0"/>
        <v>570.20000000000005</v>
      </c>
      <c r="O5" s="30">
        <f t="shared" si="0"/>
        <v>614.1</v>
      </c>
      <c r="P5" s="30">
        <f t="shared" si="0"/>
        <v>640.90000000000009</v>
      </c>
      <c r="Q5" s="30">
        <f t="shared" si="0"/>
        <v>685.89999999999986</v>
      </c>
      <c r="R5" s="30">
        <f t="shared" si="0"/>
        <v>700.30000000000007</v>
      </c>
      <c r="S5" s="30">
        <f t="shared" si="0"/>
        <v>705.7</v>
      </c>
      <c r="T5" s="30">
        <f t="shared" si="0"/>
        <v>722</v>
      </c>
      <c r="U5" s="30">
        <f t="shared" si="0"/>
        <v>622.29999999999995</v>
      </c>
      <c r="V5" s="30">
        <f t="shared" si="0"/>
        <v>604.70000000000005</v>
      </c>
      <c r="W5" s="30">
        <f t="shared" si="0"/>
        <v>602.59999999999991</v>
      </c>
      <c r="X5" s="30">
        <f t="shared" si="0"/>
        <v>607.80000000000007</v>
      </c>
      <c r="Y5" s="30">
        <f t="shared" si="0"/>
        <v>590.6</v>
      </c>
      <c r="Z5" s="30">
        <f t="shared" si="0"/>
        <v>337</v>
      </c>
      <c r="AA5" s="30">
        <f t="shared" si="0"/>
        <v>568.6</v>
      </c>
      <c r="AB5" s="30">
        <f t="shared" si="0"/>
        <v>592.30000000000007</v>
      </c>
      <c r="AC5" s="30">
        <f t="shared" si="0"/>
        <v>656.6</v>
      </c>
      <c r="AD5" s="30">
        <f t="shared" si="0"/>
        <v>668.6</v>
      </c>
      <c r="AE5" s="30">
        <f t="shared" si="0"/>
        <v>670.9</v>
      </c>
      <c r="AF5" s="30">
        <f>B92</f>
        <v>609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</row>
    <row r="6" spans="1:113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</row>
    <row r="7" spans="1:113" ht="16.5" thickBot="1" x14ac:dyDescent="0.3">
      <c r="A7" s="34" t="str">
        <f>"Base Load="&amp;ROUND(MIN($B$7:$AF$7),0)</f>
        <v>Base Load=1192</v>
      </c>
      <c r="B7" s="35">
        <f>B100</f>
        <v>1212.69</v>
      </c>
      <c r="C7" s="35">
        <f t="shared" ref="C7:AF7" si="1">C100</f>
        <v>1212.69</v>
      </c>
      <c r="D7" s="35">
        <f t="shared" si="1"/>
        <v>1227.69</v>
      </c>
      <c r="E7" s="35">
        <f t="shared" si="1"/>
        <v>1196.3899999999999</v>
      </c>
      <c r="F7" s="35">
        <f t="shared" si="1"/>
        <v>1192.49</v>
      </c>
      <c r="G7" s="35">
        <f t="shared" si="1"/>
        <v>1271.0900000000001</v>
      </c>
      <c r="H7" s="35">
        <f t="shared" si="1"/>
        <v>1312.19</v>
      </c>
      <c r="I7" s="35">
        <f t="shared" si="1"/>
        <v>1334.4900000000002</v>
      </c>
      <c r="J7" s="35">
        <f t="shared" si="1"/>
        <v>1530.49</v>
      </c>
      <c r="K7" s="35">
        <f t="shared" si="1"/>
        <v>1498.29</v>
      </c>
      <c r="L7" s="35">
        <f t="shared" si="1"/>
        <v>1607.79</v>
      </c>
      <c r="M7" s="35">
        <f t="shared" si="1"/>
        <v>1698.4899999999998</v>
      </c>
      <c r="N7" s="35">
        <f t="shared" si="1"/>
        <v>1523.6899999999998</v>
      </c>
      <c r="O7" s="35">
        <f t="shared" si="1"/>
        <v>1483.39</v>
      </c>
      <c r="P7" s="35">
        <f t="shared" si="1"/>
        <v>1580.3899999999999</v>
      </c>
      <c r="Q7" s="35">
        <f t="shared" si="1"/>
        <v>1470.49</v>
      </c>
      <c r="R7" s="35">
        <f t="shared" si="1"/>
        <v>1483.09</v>
      </c>
      <c r="S7" s="35">
        <f t="shared" si="1"/>
        <v>1497.7200000000003</v>
      </c>
      <c r="T7" s="35">
        <f t="shared" si="1"/>
        <v>1485.38</v>
      </c>
      <c r="U7" s="35">
        <f t="shared" si="1"/>
        <v>1500.17</v>
      </c>
      <c r="V7" s="35">
        <f t="shared" si="1"/>
        <v>1466</v>
      </c>
      <c r="W7" s="35">
        <f t="shared" si="1"/>
        <v>1485.9900000000002</v>
      </c>
      <c r="X7" s="35">
        <f t="shared" si="1"/>
        <v>1547.59</v>
      </c>
      <c r="Y7" s="35">
        <f t="shared" si="1"/>
        <v>1802.0500000000002</v>
      </c>
      <c r="Z7" s="35">
        <f t="shared" si="1"/>
        <v>1840.9500000000003</v>
      </c>
      <c r="AA7" s="35">
        <f t="shared" si="1"/>
        <v>1752.99</v>
      </c>
      <c r="AB7" s="35">
        <f t="shared" si="1"/>
        <v>1628.8899999999999</v>
      </c>
      <c r="AC7" s="35">
        <f t="shared" si="1"/>
        <v>1608.69</v>
      </c>
      <c r="AD7" s="35">
        <f t="shared" si="1"/>
        <v>1656.19</v>
      </c>
      <c r="AE7" s="35">
        <f t="shared" si="1"/>
        <v>1418.19</v>
      </c>
      <c r="AF7" s="35">
        <f t="shared" si="1"/>
        <v>1306.69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</row>
    <row r="8" spans="1:113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"&amp;MAX(AM22:CI22)&amp;" MW"</f>
        <v>DAILY SYSTEM PEAK : 1840.95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</row>
    <row r="9" spans="1:113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"&amp;MAX(AM24:CI24)&amp;" MW"</f>
        <v>DAILY NATIONAL PEAK : 1840.95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</row>
    <row r="10" spans="1:113" ht="15.75" thickBot="1" x14ac:dyDescent="0.3">
      <c r="A10" s="271"/>
      <c r="B10" s="266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</row>
    <row r="11" spans="1:113" ht="15.75" thickTop="1" x14ac:dyDescent="0.25">
      <c r="A11" s="44" t="s">
        <v>19</v>
      </c>
      <c r="B11" s="45">
        <v>26.9</v>
      </c>
      <c r="C11" s="45">
        <v>26.9</v>
      </c>
      <c r="D11" s="45">
        <v>26.9</v>
      </c>
      <c r="E11" s="45">
        <v>28.4</v>
      </c>
      <c r="F11" s="45">
        <v>28.4</v>
      </c>
      <c r="G11" s="45">
        <v>28.4</v>
      </c>
      <c r="H11" s="45">
        <v>28.4</v>
      </c>
      <c r="I11" s="45">
        <v>27.2</v>
      </c>
      <c r="J11" s="45">
        <v>27.2</v>
      </c>
      <c r="K11" s="45">
        <v>27.2</v>
      </c>
      <c r="L11" s="45">
        <v>27.3</v>
      </c>
      <c r="M11" s="45">
        <v>27.3</v>
      </c>
      <c r="N11" s="45">
        <v>27.3</v>
      </c>
      <c r="O11" s="45">
        <v>27.3</v>
      </c>
      <c r="P11" s="45">
        <v>27</v>
      </c>
      <c r="Q11" s="45">
        <v>27</v>
      </c>
      <c r="R11" s="45">
        <v>27.2</v>
      </c>
      <c r="S11" s="45">
        <v>27.2</v>
      </c>
      <c r="T11" s="45">
        <v>27.2</v>
      </c>
      <c r="U11" s="45">
        <v>27.2</v>
      </c>
      <c r="V11" s="45">
        <v>27.2</v>
      </c>
      <c r="W11" s="45">
        <v>27.2</v>
      </c>
      <c r="X11" s="45">
        <v>27.2</v>
      </c>
      <c r="Y11" s="45">
        <v>27.2</v>
      </c>
      <c r="Z11" s="45">
        <v>27.2</v>
      </c>
      <c r="AA11" s="45">
        <v>27.2</v>
      </c>
      <c r="AB11" s="45">
        <v>27.2</v>
      </c>
      <c r="AC11" s="45">
        <v>27.8</v>
      </c>
      <c r="AD11" s="45">
        <v>27.8</v>
      </c>
      <c r="AE11" s="45">
        <v>27.8</v>
      </c>
      <c r="AF11" s="45">
        <v>25.1</v>
      </c>
      <c r="AG11" s="46">
        <v>86</v>
      </c>
      <c r="AH11" s="47">
        <f t="shared" ref="AH11:AH16" si="2">MAX(B11:AF11)</f>
        <v>28.4</v>
      </c>
      <c r="AI11" s="48">
        <f t="shared" ref="AI11:AI16" si="3">MIN(B11:AF11)</f>
        <v>25.1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</row>
    <row r="12" spans="1:113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16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43"/>
      <c r="BY12" s="43"/>
      <c r="BZ12" s="43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</row>
    <row r="13" spans="1:113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9.9</v>
      </c>
      <c r="J13" s="45">
        <v>9.9</v>
      </c>
      <c r="K13" s="45">
        <v>9.9</v>
      </c>
      <c r="L13" s="45">
        <v>8.1999999999999993</v>
      </c>
      <c r="M13" s="45">
        <v>8.1999999999999993</v>
      </c>
      <c r="N13" s="45">
        <v>8.1999999999999993</v>
      </c>
      <c r="O13" s="45">
        <v>8.1999999999999993</v>
      </c>
      <c r="P13" s="45">
        <v>8.1999999999999993</v>
      </c>
      <c r="Q13" s="45">
        <v>8.1999999999999993</v>
      </c>
      <c r="R13" s="45">
        <v>8.1999999999999993</v>
      </c>
      <c r="S13" s="45">
        <v>8.1999999999999993</v>
      </c>
      <c r="T13" s="45">
        <v>8.1999999999999993</v>
      </c>
      <c r="U13" s="45">
        <v>8.1999999999999993</v>
      </c>
      <c r="V13" s="45">
        <v>8.1999999999999993</v>
      </c>
      <c r="W13" s="45">
        <v>8.1999999999999993</v>
      </c>
      <c r="X13" s="45">
        <v>8.1999999999999993</v>
      </c>
      <c r="Y13" s="45">
        <v>8.1999999999999993</v>
      </c>
      <c r="Z13" s="45">
        <v>8.1999999999999993</v>
      </c>
      <c r="AA13" s="45">
        <v>8.1999999999999993</v>
      </c>
      <c r="AB13" s="45">
        <v>8.1999999999999993</v>
      </c>
      <c r="AC13" s="45">
        <v>10.7</v>
      </c>
      <c r="AD13" s="45">
        <v>10.4</v>
      </c>
      <c r="AE13" s="45">
        <v>10.4</v>
      </c>
      <c r="AF13" s="45">
        <v>10</v>
      </c>
      <c r="AG13" s="49">
        <v>54</v>
      </c>
      <c r="AH13" s="47">
        <f t="shared" si="2"/>
        <v>10.7</v>
      </c>
      <c r="AI13" s="48">
        <f t="shared" si="3"/>
        <v>8.1999999999999993</v>
      </c>
      <c r="AK13" s="50"/>
      <c r="AL13" s="157" t="str">
        <f ca="1">"Daily Load Curve(Excluding of Export) of Nepal ("&amp;A4&amp;" "&amp;B4&amp;")"</f>
        <v>Daily Load Curve(Excluding of Export) of Nepal (Nepali Date: 2080/10/16)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43"/>
      <c r="BY13" s="43"/>
      <c r="BZ13" s="43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</row>
    <row r="14" spans="1:113" ht="15.75" thickBot="1" x14ac:dyDescent="0.3">
      <c r="A14" s="44" t="s">
        <v>21</v>
      </c>
      <c r="B14" s="45">
        <v>15</v>
      </c>
      <c r="C14" s="45">
        <v>15</v>
      </c>
      <c r="D14" s="45">
        <v>15</v>
      </c>
      <c r="E14" s="45">
        <v>13</v>
      </c>
      <c r="F14" s="45">
        <v>13</v>
      </c>
      <c r="G14" s="45">
        <v>13</v>
      </c>
      <c r="H14" s="45">
        <v>13</v>
      </c>
      <c r="I14" s="45">
        <v>13</v>
      </c>
      <c r="J14" s="45">
        <v>13</v>
      </c>
      <c r="K14" s="45">
        <v>13</v>
      </c>
      <c r="L14" s="45">
        <v>12.3</v>
      </c>
      <c r="M14" s="45">
        <v>12.3</v>
      </c>
      <c r="N14" s="45">
        <v>12.3</v>
      </c>
      <c r="O14" s="45">
        <v>12.3</v>
      </c>
      <c r="P14" s="45">
        <v>12.3</v>
      </c>
      <c r="Q14" s="45">
        <v>12.3</v>
      </c>
      <c r="R14" s="45">
        <v>12.3</v>
      </c>
      <c r="S14" s="45">
        <v>12.3</v>
      </c>
      <c r="T14" s="45">
        <v>12.3</v>
      </c>
      <c r="U14" s="45">
        <v>12.3</v>
      </c>
      <c r="V14" s="45">
        <v>12.3</v>
      </c>
      <c r="W14" s="45">
        <v>12.3</v>
      </c>
      <c r="X14" s="45">
        <v>12.3</v>
      </c>
      <c r="Y14" s="45">
        <v>12.3</v>
      </c>
      <c r="Z14" s="45">
        <v>12.3</v>
      </c>
      <c r="AA14" s="45">
        <v>12.3</v>
      </c>
      <c r="AB14" s="45">
        <v>12.3</v>
      </c>
      <c r="AC14" s="45">
        <v>14.5</v>
      </c>
      <c r="AD14" s="45">
        <v>14.5</v>
      </c>
      <c r="AE14" s="45">
        <v>14.5</v>
      </c>
      <c r="AF14" s="45">
        <v>15</v>
      </c>
      <c r="AG14" s="46">
        <v>52.4</v>
      </c>
      <c r="AH14" s="47">
        <f t="shared" si="2"/>
        <v>15</v>
      </c>
      <c r="AI14" s="48">
        <f t="shared" si="3"/>
        <v>12.3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43"/>
      <c r="BY14" s="43"/>
      <c r="BZ14" s="43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</row>
    <row r="15" spans="1:113" ht="15.75" thickTop="1" x14ac:dyDescent="0.25">
      <c r="A15" s="44" t="s">
        <v>22</v>
      </c>
      <c r="B15" s="45">
        <v>28.9</v>
      </c>
      <c r="C15" s="45">
        <v>28.9</v>
      </c>
      <c r="D15" s="45">
        <v>28.9</v>
      </c>
      <c r="E15" s="45">
        <v>27.5</v>
      </c>
      <c r="F15" s="45">
        <v>27.5</v>
      </c>
      <c r="G15" s="45">
        <v>27.5</v>
      </c>
      <c r="H15" s="45">
        <v>27.5</v>
      </c>
      <c r="I15" s="45">
        <v>27.5</v>
      </c>
      <c r="J15" s="45">
        <v>27.5</v>
      </c>
      <c r="K15" s="45">
        <v>27.5</v>
      </c>
      <c r="L15" s="45">
        <v>27.5</v>
      </c>
      <c r="M15" s="45">
        <v>27.5</v>
      </c>
      <c r="N15" s="45">
        <v>27.5</v>
      </c>
      <c r="O15" s="45">
        <v>27.5</v>
      </c>
      <c r="P15" s="45">
        <v>27.5</v>
      </c>
      <c r="Q15" s="45">
        <v>27.5</v>
      </c>
      <c r="R15" s="45">
        <v>27.5</v>
      </c>
      <c r="S15" s="45">
        <v>27.5</v>
      </c>
      <c r="T15" s="45">
        <v>27.5</v>
      </c>
      <c r="U15" s="45">
        <v>27.5</v>
      </c>
      <c r="V15" s="45">
        <v>27.5</v>
      </c>
      <c r="W15" s="45">
        <v>27.5</v>
      </c>
      <c r="X15" s="45">
        <v>27.5</v>
      </c>
      <c r="Y15" s="45">
        <v>27.5</v>
      </c>
      <c r="Z15" s="45">
        <v>27.5</v>
      </c>
      <c r="AA15" s="45">
        <v>27.5</v>
      </c>
      <c r="AB15" s="45">
        <v>27.5</v>
      </c>
      <c r="AC15" s="45">
        <v>28.4</v>
      </c>
      <c r="AD15" s="45">
        <v>28.3</v>
      </c>
      <c r="AE15" s="45">
        <v>28.3</v>
      </c>
      <c r="AF15" s="45">
        <v>27.9</v>
      </c>
      <c r="AG15" s="49">
        <v>50</v>
      </c>
      <c r="AH15" s="47">
        <f t="shared" si="2"/>
        <v>28.9</v>
      </c>
      <c r="AI15" s="48">
        <f t="shared" si="3"/>
        <v>27.5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164">
        <v>0.5</v>
      </c>
      <c r="BY15" s="164">
        <v>0.54166666666666696</v>
      </c>
      <c r="BZ15" s="164">
        <v>0.58333333333333304</v>
      </c>
      <c r="CA15" s="164">
        <v>0.625</v>
      </c>
      <c r="CB15" s="164">
        <v>0.66666666666666696</v>
      </c>
      <c r="CC15" s="164">
        <v>0.70833333333333304</v>
      </c>
      <c r="CD15" s="164">
        <v>0.75</v>
      </c>
      <c r="CE15" s="164">
        <v>0.79166666666666663</v>
      </c>
      <c r="CF15" s="163">
        <v>0.83333333333333337</v>
      </c>
      <c r="CG15" s="163">
        <v>0.875</v>
      </c>
      <c r="CH15" s="163">
        <v>0.91666666666666696</v>
      </c>
      <c r="CI15" s="163">
        <v>0.95833333333333304</v>
      </c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</row>
    <row r="16" spans="1:113" x14ac:dyDescent="0.25">
      <c r="A16" s="44" t="s">
        <v>23</v>
      </c>
      <c r="B16" s="45">
        <v>15.3</v>
      </c>
      <c r="C16" s="45">
        <v>15.3</v>
      </c>
      <c r="D16" s="45">
        <v>15.3</v>
      </c>
      <c r="E16" s="45">
        <v>15.3</v>
      </c>
      <c r="F16" s="45">
        <v>15.3</v>
      </c>
      <c r="G16" s="45">
        <v>15.3</v>
      </c>
      <c r="H16" s="45">
        <v>15.3</v>
      </c>
      <c r="I16" s="45">
        <v>15.3</v>
      </c>
      <c r="J16" s="45">
        <v>15.3</v>
      </c>
      <c r="K16" s="45">
        <v>15.3</v>
      </c>
      <c r="L16" s="45">
        <v>15.3</v>
      </c>
      <c r="M16" s="45">
        <v>15.3</v>
      </c>
      <c r="N16" s="45">
        <v>15.3</v>
      </c>
      <c r="O16" s="45">
        <v>15.3</v>
      </c>
      <c r="P16" s="45">
        <v>15.3</v>
      </c>
      <c r="Q16" s="45">
        <v>15.3</v>
      </c>
      <c r="R16" s="45">
        <v>15.3</v>
      </c>
      <c r="S16" s="45">
        <v>15.3</v>
      </c>
      <c r="T16" s="45">
        <v>15.3</v>
      </c>
      <c r="U16" s="45">
        <v>15.3</v>
      </c>
      <c r="V16" s="45">
        <v>15.3</v>
      </c>
      <c r="W16" s="45">
        <v>15.3</v>
      </c>
      <c r="X16" s="45">
        <v>15.3</v>
      </c>
      <c r="Y16" s="45">
        <v>15.3</v>
      </c>
      <c r="Z16" s="45">
        <v>15.3</v>
      </c>
      <c r="AA16" s="45">
        <v>15.3</v>
      </c>
      <c r="AB16" s="45">
        <v>15.3</v>
      </c>
      <c r="AC16" s="45">
        <v>15.3</v>
      </c>
      <c r="AD16" s="45">
        <v>15.9</v>
      </c>
      <c r="AE16" s="45">
        <v>15.9</v>
      </c>
      <c r="AF16" s="45">
        <v>16.600000000000001</v>
      </c>
      <c r="AG16" s="49">
        <v>45</v>
      </c>
      <c r="AH16" s="47">
        <f t="shared" si="2"/>
        <v>16.600000000000001</v>
      </c>
      <c r="AI16" s="48">
        <f t="shared" si="3"/>
        <v>15.3</v>
      </c>
      <c r="AK16" s="50"/>
      <c r="AL16" s="160" t="s">
        <v>7</v>
      </c>
      <c r="AM16" s="227">
        <f>B58</f>
        <v>464.85</v>
      </c>
      <c r="AN16" s="227">
        <f t="shared" ref="AN16:AR16" si="4">C58</f>
        <v>464.85</v>
      </c>
      <c r="AO16" s="227">
        <f t="shared" si="4"/>
        <v>464.85</v>
      </c>
      <c r="AP16" s="227">
        <f t="shared" si="4"/>
        <v>462.95</v>
      </c>
      <c r="AQ16" s="227">
        <f t="shared" si="4"/>
        <v>462.95</v>
      </c>
      <c r="AR16" s="227">
        <f t="shared" si="4"/>
        <v>462.95</v>
      </c>
      <c r="AS16" s="227">
        <f>I58</f>
        <v>461.65</v>
      </c>
      <c r="AT16" s="227">
        <f>K58</f>
        <v>461.65</v>
      </c>
      <c r="AU16" s="227">
        <f t="shared" ref="AU16:AX16" si="5">M58</f>
        <v>459.34999999999997</v>
      </c>
      <c r="AV16" s="227">
        <f t="shared" si="5"/>
        <v>459.34999999999997</v>
      </c>
      <c r="AW16" s="227">
        <f t="shared" si="5"/>
        <v>459.34999999999997</v>
      </c>
      <c r="AX16" s="227">
        <f t="shared" si="5"/>
        <v>459.05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27">
        <f t="shared" ref="BX16:CC16" si="6">Q58</f>
        <v>459.05</v>
      </c>
      <c r="BY16" s="227">
        <f t="shared" si="6"/>
        <v>459.25</v>
      </c>
      <c r="BZ16" s="227">
        <f t="shared" si="6"/>
        <v>459.25</v>
      </c>
      <c r="CA16" s="227">
        <f t="shared" si="6"/>
        <v>459.25</v>
      </c>
      <c r="CB16" s="227">
        <f t="shared" si="6"/>
        <v>459.25</v>
      </c>
      <c r="CC16" s="227">
        <f t="shared" si="6"/>
        <v>459.25</v>
      </c>
      <c r="CD16" s="227">
        <f>X58</f>
        <v>459.25</v>
      </c>
      <c r="CE16" s="227">
        <f>Z58</f>
        <v>459.25</v>
      </c>
      <c r="CF16" s="227">
        <f>AB58</f>
        <v>459.25</v>
      </c>
      <c r="CG16" s="227">
        <f>AD58</f>
        <v>473.15000000000003</v>
      </c>
      <c r="CH16" s="227">
        <f>AE58</f>
        <v>473.15000000000003</v>
      </c>
      <c r="CI16" s="227">
        <f>AF58</f>
        <v>468.05</v>
      </c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</row>
    <row r="17" spans="1:113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35.299999999999997</v>
      </c>
      <c r="AN17" s="227">
        <f t="shared" ref="AN17:AR17" si="7">C62</f>
        <v>35.299999999999997</v>
      </c>
      <c r="AO17" s="227">
        <f t="shared" si="7"/>
        <v>35.299999999999997</v>
      </c>
      <c r="AP17" s="227">
        <f t="shared" si="7"/>
        <v>36</v>
      </c>
      <c r="AQ17" s="227">
        <f t="shared" si="7"/>
        <v>36</v>
      </c>
      <c r="AR17" s="227">
        <f t="shared" si="7"/>
        <v>36</v>
      </c>
      <c r="AS17" s="227">
        <f>I62</f>
        <v>91</v>
      </c>
      <c r="AT17" s="227">
        <f>K62</f>
        <v>271.3</v>
      </c>
      <c r="AU17" s="227">
        <f t="shared" ref="AU17:AX17" si="8">M62</f>
        <v>416.5</v>
      </c>
      <c r="AV17" s="227">
        <f t="shared" si="8"/>
        <v>111.6</v>
      </c>
      <c r="AW17" s="227">
        <f t="shared" si="8"/>
        <v>51.6</v>
      </c>
      <c r="AX17" s="227">
        <f t="shared" si="8"/>
        <v>111.5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27">
        <f t="shared" ref="BX17:CC17" si="9">Q62</f>
        <v>106.5</v>
      </c>
      <c r="BY17" s="227">
        <f t="shared" si="9"/>
        <v>86.6</v>
      </c>
      <c r="BZ17" s="227">
        <f t="shared" si="9"/>
        <v>96.6</v>
      </c>
      <c r="CA17" s="227">
        <f t="shared" si="9"/>
        <v>96.6</v>
      </c>
      <c r="CB17" s="227">
        <f t="shared" si="9"/>
        <v>96.6</v>
      </c>
      <c r="CC17" s="227">
        <f t="shared" si="9"/>
        <v>96.6</v>
      </c>
      <c r="CD17" s="227">
        <f>X62</f>
        <v>51.6</v>
      </c>
      <c r="CE17" s="227">
        <f>Z62</f>
        <v>201.6</v>
      </c>
      <c r="CF17" s="227">
        <f>AB62</f>
        <v>101.6</v>
      </c>
      <c r="CG17" s="227">
        <f>AD62</f>
        <v>100.5</v>
      </c>
      <c r="CH17" s="227">
        <f>AE62</f>
        <v>100.5</v>
      </c>
      <c r="CI17" s="227">
        <f>AF62</f>
        <v>35.5</v>
      </c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</row>
    <row r="18" spans="1:113" x14ac:dyDescent="0.25">
      <c r="A18" s="44" t="s">
        <v>25</v>
      </c>
      <c r="B18" s="45">
        <v>6.5</v>
      </c>
      <c r="C18" s="45">
        <v>6.5</v>
      </c>
      <c r="D18" s="45">
        <v>6.5</v>
      </c>
      <c r="E18" s="45">
        <v>6.5</v>
      </c>
      <c r="F18" s="45">
        <v>6.5</v>
      </c>
      <c r="G18" s="45">
        <v>6.5</v>
      </c>
      <c r="H18" s="45">
        <v>6.5</v>
      </c>
      <c r="I18" s="45">
        <v>6.5</v>
      </c>
      <c r="J18" s="45">
        <v>6.5</v>
      </c>
      <c r="K18" s="45">
        <v>6.5</v>
      </c>
      <c r="L18" s="45">
        <v>6.5</v>
      </c>
      <c r="M18" s="45">
        <v>6.5</v>
      </c>
      <c r="N18" s="45">
        <v>6.5</v>
      </c>
      <c r="O18" s="45">
        <v>6.5</v>
      </c>
      <c r="P18" s="45">
        <v>6.5</v>
      </c>
      <c r="Q18" s="45">
        <v>6.5</v>
      </c>
      <c r="R18" s="45">
        <v>6.5</v>
      </c>
      <c r="S18" s="45">
        <v>6.5</v>
      </c>
      <c r="T18" s="45">
        <v>6.5</v>
      </c>
      <c r="U18" s="45">
        <v>6.5</v>
      </c>
      <c r="V18" s="45">
        <v>6.5</v>
      </c>
      <c r="W18" s="45">
        <v>6.5</v>
      </c>
      <c r="X18" s="45">
        <v>6.5</v>
      </c>
      <c r="Y18" s="45">
        <v>6.5</v>
      </c>
      <c r="Z18" s="45">
        <v>6.5</v>
      </c>
      <c r="AA18" s="45">
        <v>6.5</v>
      </c>
      <c r="AB18" s="45">
        <v>6.5</v>
      </c>
      <c r="AC18" s="45">
        <v>7.5</v>
      </c>
      <c r="AD18" s="45">
        <v>8</v>
      </c>
      <c r="AE18" s="45">
        <v>8</v>
      </c>
      <c r="AF18" s="45">
        <v>7</v>
      </c>
      <c r="AG18" s="49">
        <v>42</v>
      </c>
      <c r="AH18" s="47">
        <f t="shared" ref="AH18:AH49" si="10">MAX(B18:AF18)</f>
        <v>8</v>
      </c>
      <c r="AI18" s="48">
        <f t="shared" ref="AI18:AI49" si="11">MIN(B18:AF18)</f>
        <v>6.5</v>
      </c>
      <c r="AK18" s="50"/>
      <c r="AL18" s="160" t="s">
        <v>593</v>
      </c>
      <c r="AM18" s="227">
        <f>B76</f>
        <v>103.53999999999999</v>
      </c>
      <c r="AN18" s="227">
        <f t="shared" ref="AN18:AR18" si="12">C76</f>
        <v>103.53999999999999</v>
      </c>
      <c r="AO18" s="227">
        <f t="shared" si="12"/>
        <v>103.53999999999999</v>
      </c>
      <c r="AP18" s="227">
        <f t="shared" si="12"/>
        <v>101.04</v>
      </c>
      <c r="AQ18" s="227">
        <f t="shared" si="12"/>
        <v>101.04</v>
      </c>
      <c r="AR18" s="227">
        <f t="shared" si="12"/>
        <v>101.04</v>
      </c>
      <c r="AS18" s="227">
        <f>I76</f>
        <v>163.04000000000002</v>
      </c>
      <c r="AT18" s="227">
        <f>K76</f>
        <v>306.74</v>
      </c>
      <c r="AU18" s="227">
        <f t="shared" ref="AU18:AX18" si="13">M76</f>
        <v>330.74</v>
      </c>
      <c r="AV18" s="227">
        <f t="shared" si="13"/>
        <v>228.64000000000004</v>
      </c>
      <c r="AW18" s="227">
        <f t="shared" si="13"/>
        <v>232.24000000000004</v>
      </c>
      <c r="AX18" s="227">
        <f t="shared" si="13"/>
        <v>245.74000000000004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27">
        <f t="shared" ref="BX18:CC18" si="14">Q76</f>
        <v>264.04000000000002</v>
      </c>
      <c r="BY18" s="227">
        <f t="shared" si="14"/>
        <v>251.34</v>
      </c>
      <c r="BZ18" s="227">
        <f t="shared" si="14"/>
        <v>241.57000000000002</v>
      </c>
      <c r="CA18" s="227">
        <f t="shared" si="14"/>
        <v>224.83</v>
      </c>
      <c r="CB18" s="227">
        <f t="shared" si="14"/>
        <v>224.32000000000002</v>
      </c>
      <c r="CC18" s="227">
        <f t="shared" si="14"/>
        <v>237.85000000000005</v>
      </c>
      <c r="CD18" s="227">
        <f>X76</f>
        <v>184.14000000000001</v>
      </c>
      <c r="CE18" s="227">
        <f>Z76</f>
        <v>339.50000000000006</v>
      </c>
      <c r="CF18" s="227">
        <f>AB76</f>
        <v>249.44</v>
      </c>
      <c r="CG18" s="227">
        <f>AD76</f>
        <v>175.94</v>
      </c>
      <c r="CH18" s="227">
        <f>AE76</f>
        <v>175.94</v>
      </c>
      <c r="CI18" s="227">
        <f>AF76</f>
        <v>132.23999999999998</v>
      </c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</row>
    <row r="19" spans="1:113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10"/>
        <v>11.8</v>
      </c>
      <c r="AI19" s="48">
        <f t="shared" si="11"/>
        <v>11.8</v>
      </c>
      <c r="AK19" s="50"/>
      <c r="AL19" s="160" t="s">
        <v>594</v>
      </c>
      <c r="AM19" s="227">
        <f>B92</f>
        <v>609</v>
      </c>
      <c r="AN19" s="227">
        <f t="shared" ref="AN19:AR19" si="15">C92</f>
        <v>609</v>
      </c>
      <c r="AO19" s="227">
        <f t="shared" si="15"/>
        <v>624</v>
      </c>
      <c r="AP19" s="227">
        <f t="shared" si="15"/>
        <v>596.4</v>
      </c>
      <c r="AQ19" s="227">
        <f t="shared" si="15"/>
        <v>592.5</v>
      </c>
      <c r="AR19" s="227">
        <f t="shared" si="15"/>
        <v>671.1</v>
      </c>
      <c r="AS19" s="227">
        <f>I92</f>
        <v>618.80000000000007</v>
      </c>
      <c r="AT19" s="227">
        <f>K92</f>
        <v>458.6</v>
      </c>
      <c r="AU19" s="227">
        <f t="shared" ref="AU19:AX19" si="16">M92</f>
        <v>291.89999999999998</v>
      </c>
      <c r="AV19" s="227">
        <f t="shared" si="16"/>
        <v>544.09999999999991</v>
      </c>
      <c r="AW19" s="227">
        <f t="shared" si="16"/>
        <v>570.20000000000005</v>
      </c>
      <c r="AX19" s="227">
        <f t="shared" si="16"/>
        <v>614.1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27">
        <f t="shared" ref="BX19:CC19" si="17">Q92</f>
        <v>640.90000000000009</v>
      </c>
      <c r="BY19" s="227">
        <f t="shared" si="17"/>
        <v>685.89999999999986</v>
      </c>
      <c r="BZ19" s="227">
        <f t="shared" si="17"/>
        <v>700.30000000000007</v>
      </c>
      <c r="CA19" s="227">
        <f t="shared" si="17"/>
        <v>705.7</v>
      </c>
      <c r="CB19" s="227">
        <f t="shared" si="17"/>
        <v>722</v>
      </c>
      <c r="CC19" s="227">
        <f t="shared" si="17"/>
        <v>622.29999999999995</v>
      </c>
      <c r="CD19" s="227">
        <f>X92</f>
        <v>602.59999999999991</v>
      </c>
      <c r="CE19" s="227">
        <f>Z92</f>
        <v>590.6</v>
      </c>
      <c r="CF19" s="227">
        <f>AB92</f>
        <v>568.6</v>
      </c>
      <c r="CG19" s="227">
        <f>AD92</f>
        <v>656.6</v>
      </c>
      <c r="CH19" s="227">
        <f>AE92</f>
        <v>668.6</v>
      </c>
      <c r="CI19" s="227">
        <f>AF92</f>
        <v>670.9</v>
      </c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</row>
    <row r="20" spans="1:113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10"/>
        <v>7.8</v>
      </c>
      <c r="AI20" s="48">
        <f t="shared" si="11"/>
        <v>7.8</v>
      </c>
      <c r="AK20" s="50"/>
      <c r="AL20" s="160" t="s">
        <v>595</v>
      </c>
      <c r="AM20" s="227">
        <f>B80</f>
        <v>0</v>
      </c>
      <c r="AN20" s="227">
        <f t="shared" ref="AN20:AR20" si="18">C80</f>
        <v>0</v>
      </c>
      <c r="AO20" s="227">
        <f t="shared" si="18"/>
        <v>0</v>
      </c>
      <c r="AP20" s="227">
        <f t="shared" si="18"/>
        <v>0</v>
      </c>
      <c r="AQ20" s="227">
        <f t="shared" si="18"/>
        <v>0</v>
      </c>
      <c r="AR20" s="227">
        <f t="shared" si="18"/>
        <v>0</v>
      </c>
      <c r="AS20" s="227">
        <f>I80</f>
        <v>0</v>
      </c>
      <c r="AT20" s="227">
        <f>K80</f>
        <v>0</v>
      </c>
      <c r="AU20" s="227">
        <f t="shared" ref="AU20:AX20" si="19">M80</f>
        <v>0</v>
      </c>
      <c r="AV20" s="227">
        <f t="shared" si="19"/>
        <v>0</v>
      </c>
      <c r="AW20" s="227">
        <f t="shared" si="19"/>
        <v>0</v>
      </c>
      <c r="AX20" s="227">
        <f t="shared" si="19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27">
        <f t="shared" ref="BX20:CC20" si="20">Q80</f>
        <v>0</v>
      </c>
      <c r="BY20" s="227">
        <f t="shared" si="20"/>
        <v>0</v>
      </c>
      <c r="BZ20" s="227">
        <f t="shared" si="20"/>
        <v>0</v>
      </c>
      <c r="CA20" s="227">
        <f t="shared" si="20"/>
        <v>0</v>
      </c>
      <c r="CB20" s="227">
        <f t="shared" si="20"/>
        <v>0</v>
      </c>
      <c r="CC20" s="227">
        <f t="shared" si="20"/>
        <v>0</v>
      </c>
      <c r="CD20" s="227">
        <f>X80</f>
        <v>0</v>
      </c>
      <c r="CE20" s="227">
        <f>Z80</f>
        <v>0</v>
      </c>
      <c r="CF20" s="227">
        <f>AB80</f>
        <v>0</v>
      </c>
      <c r="CG20" s="227">
        <f>AD80</f>
        <v>0</v>
      </c>
      <c r="CH20" s="227">
        <f>AE80</f>
        <v>0</v>
      </c>
      <c r="CI20" s="227">
        <f>AF80</f>
        <v>0</v>
      </c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</row>
    <row r="21" spans="1:113" x14ac:dyDescent="0.25">
      <c r="A21" s="44" t="s">
        <v>27</v>
      </c>
      <c r="B21" s="231">
        <v>13</v>
      </c>
      <c r="C21" s="231">
        <v>13</v>
      </c>
      <c r="D21" s="231">
        <v>13</v>
      </c>
      <c r="E21" s="231">
        <v>13</v>
      </c>
      <c r="F21" s="231">
        <v>13</v>
      </c>
      <c r="G21" s="231">
        <v>13</v>
      </c>
      <c r="H21" s="231">
        <v>13</v>
      </c>
      <c r="I21" s="231">
        <v>13</v>
      </c>
      <c r="J21" s="231">
        <v>13</v>
      </c>
      <c r="K21" s="231">
        <v>13</v>
      </c>
      <c r="L21" s="231">
        <v>13</v>
      </c>
      <c r="M21" s="231">
        <v>13</v>
      </c>
      <c r="N21" s="231">
        <v>13</v>
      </c>
      <c r="O21" s="231">
        <v>13</v>
      </c>
      <c r="P21" s="231">
        <v>13</v>
      </c>
      <c r="Q21" s="231">
        <v>13</v>
      </c>
      <c r="R21" s="231">
        <v>13</v>
      </c>
      <c r="S21" s="231">
        <v>13</v>
      </c>
      <c r="T21" s="231">
        <v>13</v>
      </c>
      <c r="U21" s="231">
        <v>13</v>
      </c>
      <c r="V21" s="231">
        <v>13</v>
      </c>
      <c r="W21" s="231">
        <v>13</v>
      </c>
      <c r="X21" s="231">
        <v>13</v>
      </c>
      <c r="Y21" s="231">
        <v>13</v>
      </c>
      <c r="Z21" s="231">
        <v>13</v>
      </c>
      <c r="AA21" s="231">
        <v>13</v>
      </c>
      <c r="AB21" s="231">
        <v>13</v>
      </c>
      <c r="AC21" s="231">
        <v>13</v>
      </c>
      <c r="AD21" s="231">
        <v>13</v>
      </c>
      <c r="AE21" s="231">
        <v>13</v>
      </c>
      <c r="AF21" s="231">
        <v>13</v>
      </c>
      <c r="AG21" s="49">
        <v>36</v>
      </c>
      <c r="AH21" s="47">
        <f t="shared" si="10"/>
        <v>13</v>
      </c>
      <c r="AI21" s="48">
        <f t="shared" si="11"/>
        <v>13</v>
      </c>
      <c r="AK21" s="50"/>
      <c r="AL21" s="160" t="s">
        <v>596</v>
      </c>
      <c r="AM21" s="227">
        <f>B98</f>
        <v>0</v>
      </c>
      <c r="AN21" s="227">
        <f t="shared" ref="AN21:AR21" si="21">C98</f>
        <v>0</v>
      </c>
      <c r="AO21" s="227">
        <f t="shared" si="21"/>
        <v>0</v>
      </c>
      <c r="AP21" s="227">
        <f t="shared" si="21"/>
        <v>0</v>
      </c>
      <c r="AQ21" s="227">
        <f t="shared" si="21"/>
        <v>0</v>
      </c>
      <c r="AR21" s="227">
        <f t="shared" si="21"/>
        <v>0</v>
      </c>
      <c r="AS21" s="227">
        <f>I98</f>
        <v>0</v>
      </c>
      <c r="AT21" s="227">
        <f>K98</f>
        <v>0</v>
      </c>
      <c r="AU21" s="227">
        <f t="shared" ref="AU21:AX21" si="22">M98</f>
        <v>200</v>
      </c>
      <c r="AV21" s="227">
        <f t="shared" si="22"/>
        <v>180</v>
      </c>
      <c r="AW21" s="227">
        <f t="shared" si="22"/>
        <v>170</v>
      </c>
      <c r="AX21" s="227">
        <f t="shared" si="22"/>
        <v>150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27">
        <f t="shared" ref="BX21:CC21" si="23">Q98</f>
        <v>0</v>
      </c>
      <c r="BY21" s="227">
        <f t="shared" si="23"/>
        <v>0</v>
      </c>
      <c r="BZ21" s="227">
        <f t="shared" si="23"/>
        <v>0</v>
      </c>
      <c r="CA21" s="227">
        <f t="shared" si="23"/>
        <v>0</v>
      </c>
      <c r="CB21" s="227">
        <f t="shared" si="23"/>
        <v>0</v>
      </c>
      <c r="CC21" s="227">
        <f t="shared" si="23"/>
        <v>50</v>
      </c>
      <c r="CD21" s="227">
        <f>X98</f>
        <v>250</v>
      </c>
      <c r="CE21" s="227">
        <f>Z98</f>
        <v>250</v>
      </c>
      <c r="CF21" s="227">
        <f>AB98</f>
        <v>250</v>
      </c>
      <c r="CG21" s="227">
        <f>AD98</f>
        <v>250</v>
      </c>
      <c r="CH21" s="227">
        <f>AE98</f>
        <v>0</v>
      </c>
      <c r="CI21" s="227">
        <f>AF98</f>
        <v>0</v>
      </c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</row>
    <row r="22" spans="1:113" x14ac:dyDescent="0.25">
      <c r="A22" s="44" t="s">
        <v>28</v>
      </c>
      <c r="B22" s="45">
        <v>7.2</v>
      </c>
      <c r="C22" s="45">
        <v>7.2</v>
      </c>
      <c r="D22" s="45">
        <v>7.2</v>
      </c>
      <c r="E22" s="45">
        <v>7.2</v>
      </c>
      <c r="F22" s="45">
        <v>7.2</v>
      </c>
      <c r="G22" s="45">
        <v>7.2</v>
      </c>
      <c r="H22" s="45">
        <v>7.2</v>
      </c>
      <c r="I22" s="45">
        <v>7.2</v>
      </c>
      <c r="J22" s="45">
        <v>7.2</v>
      </c>
      <c r="K22" s="45">
        <v>7.2</v>
      </c>
      <c r="L22" s="45">
        <v>7.2</v>
      </c>
      <c r="M22" s="45">
        <v>7.2</v>
      </c>
      <c r="N22" s="45">
        <v>7.2</v>
      </c>
      <c r="O22" s="45">
        <v>7.2</v>
      </c>
      <c r="P22" s="45">
        <v>7.2</v>
      </c>
      <c r="Q22" s="45">
        <v>7.2</v>
      </c>
      <c r="R22" s="45">
        <v>7.2</v>
      </c>
      <c r="S22" s="45">
        <v>7.2</v>
      </c>
      <c r="T22" s="45">
        <v>7.2</v>
      </c>
      <c r="U22" s="45">
        <v>7.2</v>
      </c>
      <c r="V22" s="45">
        <v>7.2</v>
      </c>
      <c r="W22" s="45">
        <v>7.2</v>
      </c>
      <c r="X22" s="45">
        <v>7.2</v>
      </c>
      <c r="Y22" s="45">
        <v>7.2</v>
      </c>
      <c r="Z22" s="45">
        <v>7.2</v>
      </c>
      <c r="AA22" s="45">
        <v>7.2</v>
      </c>
      <c r="AB22" s="45">
        <v>7.2</v>
      </c>
      <c r="AC22" s="45">
        <v>7.8</v>
      </c>
      <c r="AD22" s="45">
        <v>7.8</v>
      </c>
      <c r="AE22" s="45">
        <v>7.8</v>
      </c>
      <c r="AF22" s="45">
        <v>7.6</v>
      </c>
      <c r="AG22" s="52">
        <v>30</v>
      </c>
      <c r="AH22" s="47">
        <f t="shared" si="10"/>
        <v>7.8</v>
      </c>
      <c r="AI22" s="48">
        <f t="shared" si="11"/>
        <v>7.2</v>
      </c>
      <c r="AK22" s="50"/>
      <c r="AL22" s="229" t="s">
        <v>597</v>
      </c>
      <c r="AM22" s="228">
        <f>SUM(AM16:AM21)</f>
        <v>1212.69</v>
      </c>
      <c r="AN22" s="228">
        <f t="shared" ref="AN22:CI22" si="24">SUM(AN16:AN21)</f>
        <v>1212.69</v>
      </c>
      <c r="AO22" s="228">
        <f t="shared" si="24"/>
        <v>1227.69</v>
      </c>
      <c r="AP22" s="228">
        <f t="shared" si="24"/>
        <v>1196.3899999999999</v>
      </c>
      <c r="AQ22" s="228">
        <f t="shared" si="24"/>
        <v>1192.49</v>
      </c>
      <c r="AR22" s="228">
        <f t="shared" si="24"/>
        <v>1271.0900000000001</v>
      </c>
      <c r="AS22" s="228">
        <f t="shared" si="24"/>
        <v>1334.4900000000002</v>
      </c>
      <c r="AT22" s="228">
        <f t="shared" si="24"/>
        <v>1498.29</v>
      </c>
      <c r="AU22" s="228">
        <f t="shared" si="24"/>
        <v>1698.4899999999998</v>
      </c>
      <c r="AV22" s="228">
        <f t="shared" si="24"/>
        <v>1523.6899999999998</v>
      </c>
      <c r="AW22" s="228">
        <f t="shared" si="24"/>
        <v>1483.39</v>
      </c>
      <c r="AX22" s="228">
        <f t="shared" si="24"/>
        <v>1580.3899999999999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28">
        <f t="shared" si="24"/>
        <v>1470.49</v>
      </c>
      <c r="BY22" s="228">
        <f t="shared" si="24"/>
        <v>1483.09</v>
      </c>
      <c r="BZ22" s="228">
        <f t="shared" si="24"/>
        <v>1497.7200000000003</v>
      </c>
      <c r="CA22" s="228">
        <f t="shared" si="24"/>
        <v>1486.38</v>
      </c>
      <c r="CB22" s="228">
        <f t="shared" si="24"/>
        <v>1502.17</v>
      </c>
      <c r="CC22" s="228">
        <f t="shared" si="24"/>
        <v>1466</v>
      </c>
      <c r="CD22" s="228">
        <f t="shared" si="24"/>
        <v>1547.59</v>
      </c>
      <c r="CE22" s="228">
        <f t="shared" si="24"/>
        <v>1840.9500000000003</v>
      </c>
      <c r="CF22" s="228">
        <f t="shared" si="24"/>
        <v>1628.8899999999999</v>
      </c>
      <c r="CG22" s="228">
        <f t="shared" si="24"/>
        <v>1656.19</v>
      </c>
      <c r="CH22" s="228">
        <f t="shared" si="24"/>
        <v>1418.19</v>
      </c>
      <c r="CI22" s="228">
        <f t="shared" si="24"/>
        <v>1306.69</v>
      </c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</row>
    <row r="23" spans="1:113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10"/>
        <v>5.5</v>
      </c>
      <c r="AI23" s="48">
        <f t="shared" si="11"/>
        <v>5.5</v>
      </c>
      <c r="AK23" s="50"/>
      <c r="AL23" s="229" t="s">
        <v>249</v>
      </c>
      <c r="AM23" s="228">
        <f>B107*-1</f>
        <v>0</v>
      </c>
      <c r="AN23" s="228">
        <f t="shared" ref="AN23:AR23" si="25">C107*-1</f>
        <v>0</v>
      </c>
      <c r="AO23" s="228">
        <f t="shared" si="25"/>
        <v>0</v>
      </c>
      <c r="AP23" s="228">
        <f t="shared" si="25"/>
        <v>0</v>
      </c>
      <c r="AQ23" s="228">
        <f t="shared" si="25"/>
        <v>0</v>
      </c>
      <c r="AR23" s="228">
        <f t="shared" si="25"/>
        <v>0</v>
      </c>
      <c r="AS23" s="228">
        <f>I107*-1</f>
        <v>0</v>
      </c>
      <c r="AT23" s="228">
        <f>K107*-1</f>
        <v>0</v>
      </c>
      <c r="AU23" s="228">
        <f t="shared" ref="AU23:AX23" si="26">M107*-1</f>
        <v>0</v>
      </c>
      <c r="AV23" s="228">
        <f t="shared" si="26"/>
        <v>0</v>
      </c>
      <c r="AW23" s="228">
        <f t="shared" si="26"/>
        <v>0</v>
      </c>
      <c r="AX23" s="228">
        <f t="shared" si="26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28">
        <f t="shared" ref="BX23:CC23" si="27">Q107*-1</f>
        <v>0</v>
      </c>
      <c r="BY23" s="228">
        <f t="shared" si="27"/>
        <v>0</v>
      </c>
      <c r="BZ23" s="228">
        <f t="shared" si="27"/>
        <v>0</v>
      </c>
      <c r="CA23" s="228">
        <f t="shared" si="27"/>
        <v>-1</v>
      </c>
      <c r="CB23" s="228">
        <f t="shared" si="27"/>
        <v>-2</v>
      </c>
      <c r="CC23" s="228">
        <f t="shared" si="27"/>
        <v>0</v>
      </c>
      <c r="CD23" s="228">
        <f>X107*-1</f>
        <v>0</v>
      </c>
      <c r="CE23" s="228">
        <f>Z107*-1</f>
        <v>0</v>
      </c>
      <c r="CF23" s="228">
        <f>AB107*-1</f>
        <v>0</v>
      </c>
      <c r="CG23" s="228">
        <f>AD107*-1</f>
        <v>0</v>
      </c>
      <c r="CH23" s="228">
        <f>AE107*-1</f>
        <v>0</v>
      </c>
      <c r="CI23" s="228">
        <f>AF107*-1</f>
        <v>0</v>
      </c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</row>
    <row r="24" spans="1:113" x14ac:dyDescent="0.25">
      <c r="A24" s="44" t="s">
        <v>30</v>
      </c>
      <c r="B24" s="45">
        <v>7.5</v>
      </c>
      <c r="C24" s="45">
        <v>7.5</v>
      </c>
      <c r="D24" s="45">
        <v>7.5</v>
      </c>
      <c r="E24" s="45">
        <v>7.5</v>
      </c>
      <c r="F24" s="45">
        <v>7.5</v>
      </c>
      <c r="G24" s="45">
        <v>7.5</v>
      </c>
      <c r="H24" s="45">
        <v>7.5</v>
      </c>
      <c r="I24" s="45">
        <v>7.5</v>
      </c>
      <c r="J24" s="45">
        <v>7.5</v>
      </c>
      <c r="K24" s="45">
        <v>7.5</v>
      </c>
      <c r="L24" s="45">
        <v>7.5</v>
      </c>
      <c r="M24" s="45">
        <v>7.5</v>
      </c>
      <c r="N24" s="45">
        <v>7.5</v>
      </c>
      <c r="O24" s="45">
        <v>7.5</v>
      </c>
      <c r="P24" s="45">
        <v>7.5</v>
      </c>
      <c r="Q24" s="45">
        <v>7.5</v>
      </c>
      <c r="R24" s="45">
        <v>7.5</v>
      </c>
      <c r="S24" s="45">
        <v>7.5</v>
      </c>
      <c r="T24" s="45">
        <v>7.5</v>
      </c>
      <c r="U24" s="45">
        <v>7.5</v>
      </c>
      <c r="V24" s="45">
        <v>7.5</v>
      </c>
      <c r="W24" s="45">
        <v>7.5</v>
      </c>
      <c r="X24" s="45">
        <v>7.5</v>
      </c>
      <c r="Y24" s="45">
        <v>7.5</v>
      </c>
      <c r="Z24" s="45">
        <v>7.5</v>
      </c>
      <c r="AA24" s="45">
        <v>7.5</v>
      </c>
      <c r="AB24" s="45">
        <v>7.5</v>
      </c>
      <c r="AC24" s="45">
        <v>6.8</v>
      </c>
      <c r="AD24" s="45">
        <v>6.8</v>
      </c>
      <c r="AE24" s="45">
        <v>6.8</v>
      </c>
      <c r="AF24" s="45">
        <v>7.5</v>
      </c>
      <c r="AG24" s="49">
        <v>28</v>
      </c>
      <c r="AH24" s="47">
        <f t="shared" si="10"/>
        <v>7.5</v>
      </c>
      <c r="AI24" s="48">
        <f t="shared" si="11"/>
        <v>6.8</v>
      </c>
      <c r="AK24" s="50"/>
      <c r="AL24" s="229" t="s">
        <v>598</v>
      </c>
      <c r="AM24" s="228">
        <f>AM22+AM23</f>
        <v>1212.69</v>
      </c>
      <c r="AN24" s="228">
        <f t="shared" ref="AN24:CI24" si="28">AN22+AN23</f>
        <v>1212.69</v>
      </c>
      <c r="AO24" s="228">
        <f t="shared" si="28"/>
        <v>1227.69</v>
      </c>
      <c r="AP24" s="228">
        <f t="shared" si="28"/>
        <v>1196.3899999999999</v>
      </c>
      <c r="AQ24" s="228">
        <f t="shared" si="28"/>
        <v>1192.49</v>
      </c>
      <c r="AR24" s="228">
        <f t="shared" si="28"/>
        <v>1271.0900000000001</v>
      </c>
      <c r="AS24" s="228">
        <f t="shared" si="28"/>
        <v>1334.4900000000002</v>
      </c>
      <c r="AT24" s="228">
        <f t="shared" si="28"/>
        <v>1498.29</v>
      </c>
      <c r="AU24" s="228">
        <f t="shared" si="28"/>
        <v>1698.4899999999998</v>
      </c>
      <c r="AV24" s="228">
        <f t="shared" si="28"/>
        <v>1523.6899999999998</v>
      </c>
      <c r="AW24" s="228">
        <f t="shared" si="28"/>
        <v>1483.39</v>
      </c>
      <c r="AX24" s="228">
        <f t="shared" si="28"/>
        <v>1580.3899999999999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28">
        <f t="shared" si="28"/>
        <v>1470.49</v>
      </c>
      <c r="BY24" s="228">
        <f t="shared" si="28"/>
        <v>1483.09</v>
      </c>
      <c r="BZ24" s="228">
        <f t="shared" si="28"/>
        <v>1497.7200000000003</v>
      </c>
      <c r="CA24" s="228">
        <f t="shared" si="28"/>
        <v>1485.38</v>
      </c>
      <c r="CB24" s="228">
        <f t="shared" si="28"/>
        <v>1500.17</v>
      </c>
      <c r="CC24" s="228">
        <f t="shared" si="28"/>
        <v>1466</v>
      </c>
      <c r="CD24" s="228">
        <f t="shared" si="28"/>
        <v>1547.59</v>
      </c>
      <c r="CE24" s="228">
        <f t="shared" si="28"/>
        <v>1840.9500000000003</v>
      </c>
      <c r="CF24" s="228">
        <f t="shared" si="28"/>
        <v>1628.8899999999999</v>
      </c>
      <c r="CG24" s="228">
        <f t="shared" si="28"/>
        <v>1656.19</v>
      </c>
      <c r="CH24" s="228">
        <f t="shared" si="28"/>
        <v>1418.19</v>
      </c>
      <c r="CI24" s="228">
        <f t="shared" si="28"/>
        <v>1306.69</v>
      </c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</row>
    <row r="25" spans="1:113" x14ac:dyDescent="0.25">
      <c r="A25" s="44" t="s">
        <v>31</v>
      </c>
      <c r="B25" s="45">
        <v>6.1</v>
      </c>
      <c r="C25" s="45">
        <v>6.1</v>
      </c>
      <c r="D25" s="45">
        <v>6.1</v>
      </c>
      <c r="E25" s="45">
        <v>6.1</v>
      </c>
      <c r="F25" s="45">
        <v>6.1</v>
      </c>
      <c r="G25" s="45">
        <v>6.1</v>
      </c>
      <c r="H25" s="45">
        <v>6.1</v>
      </c>
      <c r="I25" s="45">
        <v>6.1</v>
      </c>
      <c r="J25" s="45">
        <v>6.1</v>
      </c>
      <c r="K25" s="45">
        <v>6.1</v>
      </c>
      <c r="L25" s="45">
        <v>6.1</v>
      </c>
      <c r="M25" s="45">
        <v>6.1</v>
      </c>
      <c r="N25" s="45">
        <v>6.1</v>
      </c>
      <c r="O25" s="45">
        <v>6.1</v>
      </c>
      <c r="P25" s="45">
        <v>6.1</v>
      </c>
      <c r="Q25" s="45">
        <v>6.1</v>
      </c>
      <c r="R25" s="45">
        <v>6.1</v>
      </c>
      <c r="S25" s="45">
        <v>6.1</v>
      </c>
      <c r="T25" s="45">
        <v>6.1</v>
      </c>
      <c r="U25" s="45">
        <v>6.1</v>
      </c>
      <c r="V25" s="45">
        <v>6.1</v>
      </c>
      <c r="W25" s="45">
        <v>6.1</v>
      </c>
      <c r="X25" s="45">
        <v>6.1</v>
      </c>
      <c r="Y25" s="45">
        <v>6.1</v>
      </c>
      <c r="Z25" s="45">
        <v>6.1</v>
      </c>
      <c r="AA25" s="45">
        <v>6.1</v>
      </c>
      <c r="AB25" s="45">
        <v>6.1</v>
      </c>
      <c r="AC25" s="45">
        <v>5.4</v>
      </c>
      <c r="AD25" s="45">
        <v>5.7</v>
      </c>
      <c r="AE25" s="45">
        <v>5.7</v>
      </c>
      <c r="AF25" s="45">
        <v>6.4</v>
      </c>
      <c r="AG25" s="52">
        <v>30</v>
      </c>
      <c r="AH25" s="47">
        <f t="shared" si="10"/>
        <v>6.4</v>
      </c>
      <c r="AI25" s="48">
        <f t="shared" si="11"/>
        <v>5.4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</row>
    <row r="26" spans="1:113" x14ac:dyDescent="0.25">
      <c r="A26" s="44" t="s">
        <v>32</v>
      </c>
      <c r="B26" s="45">
        <v>6.3</v>
      </c>
      <c r="C26" s="45">
        <v>6.3</v>
      </c>
      <c r="D26" s="45">
        <v>6.3</v>
      </c>
      <c r="E26" s="45">
        <v>6.3</v>
      </c>
      <c r="F26" s="45">
        <v>6.3</v>
      </c>
      <c r="G26" s="45">
        <v>6.3</v>
      </c>
      <c r="H26" s="45">
        <v>6.3</v>
      </c>
      <c r="I26" s="45">
        <v>6.3</v>
      </c>
      <c r="J26" s="45">
        <v>6.3</v>
      </c>
      <c r="K26" s="45">
        <v>6.3</v>
      </c>
      <c r="L26" s="45">
        <v>6.3</v>
      </c>
      <c r="M26" s="45">
        <v>6.3</v>
      </c>
      <c r="N26" s="45">
        <v>6.3</v>
      </c>
      <c r="O26" s="45">
        <v>6.3</v>
      </c>
      <c r="P26" s="45">
        <v>6.3</v>
      </c>
      <c r="Q26" s="45">
        <v>6.3</v>
      </c>
      <c r="R26" s="45">
        <v>6.3</v>
      </c>
      <c r="S26" s="45">
        <v>6.3</v>
      </c>
      <c r="T26" s="45">
        <v>6.3</v>
      </c>
      <c r="U26" s="45">
        <v>6.3</v>
      </c>
      <c r="V26" s="45">
        <v>6.3</v>
      </c>
      <c r="W26" s="45">
        <v>6.3</v>
      </c>
      <c r="X26" s="45">
        <v>6.3</v>
      </c>
      <c r="Y26" s="45">
        <v>6.3</v>
      </c>
      <c r="Z26" s="45">
        <v>6.3</v>
      </c>
      <c r="AA26" s="45">
        <v>6.3</v>
      </c>
      <c r="AB26" s="45">
        <v>6.3</v>
      </c>
      <c r="AC26" s="45">
        <v>8.3000000000000007</v>
      </c>
      <c r="AD26" s="45">
        <v>8.3000000000000007</v>
      </c>
      <c r="AE26" s="45">
        <v>8.3000000000000007</v>
      </c>
      <c r="AF26" s="45">
        <v>6.4</v>
      </c>
      <c r="AG26" s="49">
        <v>25</v>
      </c>
      <c r="AH26" s="47">
        <f t="shared" si="10"/>
        <v>8.3000000000000007</v>
      </c>
      <c r="AI26" s="48">
        <f t="shared" si="11"/>
        <v>6.3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</row>
    <row r="27" spans="1:113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10"/>
        <v>5</v>
      </c>
      <c r="AI27" s="48">
        <f t="shared" si="11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</row>
    <row r="28" spans="1:113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10"/>
        <v>6</v>
      </c>
      <c r="AI28" s="48">
        <f t="shared" si="11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</row>
    <row r="29" spans="1:113" x14ac:dyDescent="0.25">
      <c r="A29" s="44" t="s">
        <v>35</v>
      </c>
      <c r="B29" s="45">
        <v>6.9</v>
      </c>
      <c r="C29" s="45">
        <v>6.9</v>
      </c>
      <c r="D29" s="45">
        <v>6.9</v>
      </c>
      <c r="E29" s="45">
        <v>6.9</v>
      </c>
      <c r="F29" s="45">
        <v>6.9</v>
      </c>
      <c r="G29" s="45">
        <v>6.9</v>
      </c>
      <c r="H29" s="45">
        <v>6.9</v>
      </c>
      <c r="I29" s="45">
        <v>6.9</v>
      </c>
      <c r="J29" s="45">
        <v>6.9</v>
      </c>
      <c r="K29" s="45">
        <v>6.9</v>
      </c>
      <c r="L29" s="45">
        <v>6.9</v>
      </c>
      <c r="M29" s="45">
        <v>6.9</v>
      </c>
      <c r="N29" s="45">
        <v>6.9</v>
      </c>
      <c r="O29" s="45">
        <v>6.9</v>
      </c>
      <c r="P29" s="45">
        <v>6.9</v>
      </c>
      <c r="Q29" s="45">
        <v>6.9</v>
      </c>
      <c r="R29" s="45">
        <v>6.9</v>
      </c>
      <c r="S29" s="45">
        <v>6.9</v>
      </c>
      <c r="T29" s="45">
        <v>6.9</v>
      </c>
      <c r="U29" s="45">
        <v>6.9</v>
      </c>
      <c r="V29" s="45">
        <v>6.9</v>
      </c>
      <c r="W29" s="45">
        <v>6.9</v>
      </c>
      <c r="X29" s="45">
        <v>6.9</v>
      </c>
      <c r="Y29" s="45">
        <v>6.9</v>
      </c>
      <c r="Z29" s="45">
        <v>6.9</v>
      </c>
      <c r="AA29" s="45">
        <v>6.9</v>
      </c>
      <c r="AB29" s="45">
        <v>6.9</v>
      </c>
      <c r="AC29" s="45">
        <v>6.9</v>
      </c>
      <c r="AD29" s="45">
        <v>7.2</v>
      </c>
      <c r="AE29" s="45">
        <v>7.2</v>
      </c>
      <c r="AF29" s="45">
        <v>7</v>
      </c>
      <c r="AG29" s="49">
        <v>25</v>
      </c>
      <c r="AH29" s="47">
        <f t="shared" si="10"/>
        <v>7.2</v>
      </c>
      <c r="AI29" s="48">
        <f t="shared" si="11"/>
        <v>6.9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</row>
    <row r="30" spans="1:113" x14ac:dyDescent="0.25">
      <c r="A30" s="44" t="s">
        <v>36</v>
      </c>
      <c r="B30" s="45">
        <v>7.5</v>
      </c>
      <c r="C30" s="45">
        <v>7.5</v>
      </c>
      <c r="D30" s="45">
        <v>7.5</v>
      </c>
      <c r="E30" s="45">
        <v>7.5</v>
      </c>
      <c r="F30" s="45">
        <v>7.5</v>
      </c>
      <c r="G30" s="45">
        <v>7.5</v>
      </c>
      <c r="H30" s="45">
        <v>7.5</v>
      </c>
      <c r="I30" s="45">
        <v>7.5</v>
      </c>
      <c r="J30" s="45">
        <v>7.5</v>
      </c>
      <c r="K30" s="45">
        <v>7.5</v>
      </c>
      <c r="L30" s="45">
        <v>7.5</v>
      </c>
      <c r="M30" s="45">
        <v>7.5</v>
      </c>
      <c r="N30" s="45">
        <v>7.5</v>
      </c>
      <c r="O30" s="45">
        <v>7.5</v>
      </c>
      <c r="P30" s="45">
        <v>7.5</v>
      </c>
      <c r="Q30" s="45">
        <v>7.5</v>
      </c>
      <c r="R30" s="45">
        <v>7.5</v>
      </c>
      <c r="S30" s="45">
        <v>7.5</v>
      </c>
      <c r="T30" s="45">
        <v>7.5</v>
      </c>
      <c r="U30" s="45">
        <v>7.5</v>
      </c>
      <c r="V30" s="45">
        <v>7.5</v>
      </c>
      <c r="W30" s="45">
        <v>7.5</v>
      </c>
      <c r="X30" s="45">
        <v>7.5</v>
      </c>
      <c r="Y30" s="45">
        <v>7.5</v>
      </c>
      <c r="Z30" s="45">
        <v>7.5</v>
      </c>
      <c r="AA30" s="45">
        <v>7.5</v>
      </c>
      <c r="AB30" s="45">
        <v>7.5</v>
      </c>
      <c r="AC30" s="45">
        <v>7.1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10"/>
        <v>7.5</v>
      </c>
      <c r="AI30" s="48">
        <f t="shared" si="11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</row>
    <row r="31" spans="1:113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10"/>
        <v>3</v>
      </c>
      <c r="AI31" s="48">
        <f t="shared" si="11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</row>
    <row r="32" spans="1:113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10"/>
        <v>5.5</v>
      </c>
      <c r="AI32" s="48">
        <f t="shared" si="11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</row>
    <row r="33" spans="1:113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10"/>
        <v>6</v>
      </c>
      <c r="AI33" s="48">
        <f t="shared" si="11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</row>
    <row r="34" spans="1:113" x14ac:dyDescent="0.25">
      <c r="A34" s="44" t="s">
        <v>40</v>
      </c>
      <c r="B34" s="45">
        <v>6.2</v>
      </c>
      <c r="C34" s="45">
        <v>6.2</v>
      </c>
      <c r="D34" s="45">
        <v>6.2</v>
      </c>
      <c r="E34" s="45">
        <v>6.2</v>
      </c>
      <c r="F34" s="45">
        <v>6.2</v>
      </c>
      <c r="G34" s="45">
        <v>6.2</v>
      </c>
      <c r="H34" s="45">
        <v>6.2</v>
      </c>
      <c r="I34" s="45">
        <v>6.2</v>
      </c>
      <c r="J34" s="45">
        <v>6.2</v>
      </c>
      <c r="K34" s="45">
        <v>6.2</v>
      </c>
      <c r="L34" s="45">
        <v>6.2</v>
      </c>
      <c r="M34" s="45">
        <v>6.2</v>
      </c>
      <c r="N34" s="45">
        <v>6.2</v>
      </c>
      <c r="O34" s="45">
        <v>6.2</v>
      </c>
      <c r="P34" s="45">
        <v>6.2</v>
      </c>
      <c r="Q34" s="45">
        <v>6.2</v>
      </c>
      <c r="R34" s="45">
        <v>6.2</v>
      </c>
      <c r="S34" s="45">
        <v>6.2</v>
      </c>
      <c r="T34" s="45">
        <v>6.2</v>
      </c>
      <c r="U34" s="45">
        <v>6.2</v>
      </c>
      <c r="V34" s="45">
        <v>6.2</v>
      </c>
      <c r="W34" s="45">
        <v>6.2</v>
      </c>
      <c r="X34" s="45">
        <v>6.2</v>
      </c>
      <c r="Y34" s="45">
        <v>6.2</v>
      </c>
      <c r="Z34" s="45">
        <v>6.2</v>
      </c>
      <c r="AA34" s="45">
        <v>6.2</v>
      </c>
      <c r="AB34" s="45">
        <v>6.2</v>
      </c>
      <c r="AC34" s="45">
        <v>10.6</v>
      </c>
      <c r="AD34" s="45">
        <v>11</v>
      </c>
      <c r="AE34" s="45">
        <v>11</v>
      </c>
      <c r="AF34" s="45">
        <v>10.1</v>
      </c>
      <c r="AG34" s="49">
        <v>22</v>
      </c>
      <c r="AH34" s="47">
        <f t="shared" si="10"/>
        <v>11</v>
      </c>
      <c r="AI34" s="48">
        <f t="shared" si="11"/>
        <v>6.2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</row>
    <row r="35" spans="1:113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10"/>
        <v>4</v>
      </c>
      <c r="AI35" s="48">
        <f t="shared" si="11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</row>
    <row r="36" spans="1:113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10"/>
        <v>4</v>
      </c>
      <c r="AI36" s="48">
        <f t="shared" si="11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</row>
    <row r="37" spans="1:113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10"/>
        <v>5.7</v>
      </c>
      <c r="AI37" s="48">
        <f t="shared" si="11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</row>
    <row r="38" spans="1:113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10"/>
        <v>7.2</v>
      </c>
      <c r="AI38" s="48">
        <f t="shared" si="11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</row>
    <row r="39" spans="1:113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10"/>
        <v>0</v>
      </c>
      <c r="AI39" s="48">
        <f t="shared" si="11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</row>
    <row r="40" spans="1:113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10"/>
        <v>5</v>
      </c>
      <c r="AI40" s="48">
        <f t="shared" si="11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</row>
    <row r="41" spans="1:113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10"/>
        <v>4</v>
      </c>
      <c r="AI41" s="48">
        <f t="shared" si="11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</row>
    <row r="42" spans="1:113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10"/>
        <v>1.8</v>
      </c>
      <c r="AI42" s="48">
        <f t="shared" si="11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</row>
    <row r="43" spans="1:113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10"/>
        <v>3.8</v>
      </c>
      <c r="AI43" s="48">
        <f t="shared" si="11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</row>
    <row r="44" spans="1:113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10"/>
        <v>4</v>
      </c>
      <c r="AI44" s="48">
        <f t="shared" si="11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</row>
    <row r="45" spans="1:113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10"/>
        <v>9</v>
      </c>
      <c r="AI45" s="48">
        <f t="shared" si="11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</row>
    <row r="46" spans="1:113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10"/>
        <v>3</v>
      </c>
      <c r="AI46" s="48">
        <f t="shared" si="11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</row>
    <row r="47" spans="1:113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10"/>
        <v>3.5</v>
      </c>
      <c r="AI47" s="48">
        <f t="shared" si="11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</row>
    <row r="48" spans="1:113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10"/>
        <v>5</v>
      </c>
      <c r="AI48" s="48">
        <f t="shared" si="11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</row>
    <row r="49" spans="1:113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10"/>
        <v>3</v>
      </c>
      <c r="AI49" s="48">
        <f t="shared" si="11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</row>
    <row r="50" spans="1:113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ref="AH50:AH81" si="29">MAX(B50:AF50)</f>
        <v>2.4500000000000002</v>
      </c>
      <c r="AI50" s="48">
        <f t="shared" ref="AI50:AI81" si="30">MIN(B50:AF50)</f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</row>
    <row r="51" spans="1:113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9"/>
        <v>3</v>
      </c>
      <c r="AI51" s="48">
        <f t="shared" si="30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</row>
    <row r="52" spans="1:113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9"/>
        <v>4</v>
      </c>
      <c r="AI52" s="48">
        <f t="shared" si="30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</row>
    <row r="53" spans="1:113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9"/>
        <v>4.5</v>
      </c>
      <c r="AI53" s="48">
        <f t="shared" si="30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</row>
    <row r="54" spans="1:113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9"/>
        <v>0</v>
      </c>
      <c r="AI54" s="48">
        <f t="shared" si="30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</row>
    <row r="55" spans="1:113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9"/>
        <v>0</v>
      </c>
      <c r="AI55" s="48">
        <f t="shared" si="30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</row>
    <row r="56" spans="1:113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9"/>
        <v>150</v>
      </c>
      <c r="AI56" s="48">
        <f t="shared" si="30"/>
        <v>150</v>
      </c>
      <c r="AK56" s="50"/>
    </row>
    <row r="57" spans="1:113" ht="15.75" thickBot="1" x14ac:dyDescent="0.3">
      <c r="A57" s="58" t="s">
        <v>57</v>
      </c>
      <c r="B57" s="57">
        <v>17.5</v>
      </c>
      <c r="C57" s="57">
        <v>17.5</v>
      </c>
      <c r="D57" s="57">
        <v>17.5</v>
      </c>
      <c r="E57" s="57">
        <v>23.9</v>
      </c>
      <c r="F57" s="57">
        <v>23.9</v>
      </c>
      <c r="G57" s="57">
        <v>23.1</v>
      </c>
      <c r="H57" s="57">
        <v>23.1</v>
      </c>
      <c r="I57" s="57">
        <v>23.1</v>
      </c>
      <c r="J57" s="57">
        <v>23.1</v>
      </c>
      <c r="K57" s="57">
        <v>23.1</v>
      </c>
      <c r="L57" s="57">
        <v>23.1</v>
      </c>
      <c r="M57" s="57">
        <v>23.1</v>
      </c>
      <c r="N57" s="57">
        <f>6.1+14</f>
        <v>20.100000000000001</v>
      </c>
      <c r="O57" s="57">
        <f>6.1+14</f>
        <v>20.100000000000001</v>
      </c>
      <c r="P57" s="57">
        <f>6.1+14</f>
        <v>20.100000000000001</v>
      </c>
      <c r="Q57" s="57">
        <f>6.1+14</f>
        <v>20.100000000000001</v>
      </c>
      <c r="R57" s="57">
        <f>6.3+14.7</f>
        <v>21</v>
      </c>
      <c r="S57" s="51">
        <v>21.6</v>
      </c>
      <c r="T57" s="51">
        <v>21.6</v>
      </c>
      <c r="U57" s="51">
        <v>21.6</v>
      </c>
      <c r="V57" s="51">
        <v>18.5</v>
      </c>
      <c r="W57" s="51">
        <v>16.600000000000001</v>
      </c>
      <c r="X57" s="51">
        <v>17</v>
      </c>
      <c r="Y57" s="57">
        <v>14.6</v>
      </c>
      <c r="Z57" s="57">
        <v>14.6</v>
      </c>
      <c r="AA57" s="57">
        <v>13.5</v>
      </c>
      <c r="AB57" s="57">
        <v>13.5</v>
      </c>
      <c r="AC57" s="57">
        <f>5.1+11.6</f>
        <v>16.7</v>
      </c>
      <c r="AD57" s="57">
        <f>5.3+12.2</f>
        <v>17.5</v>
      </c>
      <c r="AE57" s="57">
        <f t="shared" ref="AE57" si="31">5.3+12.2</f>
        <v>17.5</v>
      </c>
      <c r="AF57" s="57">
        <f>6.3+14.6</f>
        <v>20.9</v>
      </c>
      <c r="AG57" s="55">
        <v>240</v>
      </c>
      <c r="AH57" s="47">
        <f t="shared" si="29"/>
        <v>23.9</v>
      </c>
      <c r="AI57" s="48">
        <f t="shared" si="30"/>
        <v>13.5</v>
      </c>
      <c r="AK57" s="50"/>
    </row>
    <row r="58" spans="1:113" ht="15.75" thickBot="1" x14ac:dyDescent="0.3">
      <c r="A58" s="59" t="s">
        <v>58</v>
      </c>
      <c r="B58" s="60">
        <f t="shared" ref="B58:C58" si="32">SUM(B11:B56)</f>
        <v>464.85</v>
      </c>
      <c r="C58" s="60">
        <f t="shared" si="32"/>
        <v>464.85</v>
      </c>
      <c r="D58" s="60">
        <f t="shared" ref="D58:AA58" si="33">SUM(D11:D56)</f>
        <v>464.85</v>
      </c>
      <c r="E58" s="60">
        <f t="shared" si="33"/>
        <v>462.95</v>
      </c>
      <c r="F58" s="60">
        <f t="shared" si="33"/>
        <v>462.95</v>
      </c>
      <c r="G58" s="60">
        <f t="shared" si="33"/>
        <v>462.95</v>
      </c>
      <c r="H58" s="60">
        <f t="shared" ref="H58:I58" si="34">SUM(H11:H56)</f>
        <v>462.95</v>
      </c>
      <c r="I58" s="60">
        <f t="shared" si="34"/>
        <v>461.65</v>
      </c>
      <c r="J58" s="60">
        <f t="shared" ref="J58:L58" si="35">SUM(J11:J56)</f>
        <v>461.65</v>
      </c>
      <c r="K58" s="60">
        <f t="shared" si="35"/>
        <v>461.65</v>
      </c>
      <c r="L58" s="60">
        <f t="shared" si="35"/>
        <v>459.34999999999997</v>
      </c>
      <c r="M58" s="60">
        <f t="shared" si="33"/>
        <v>459.34999999999997</v>
      </c>
      <c r="N58" s="60">
        <f t="shared" si="33"/>
        <v>459.34999999999997</v>
      </c>
      <c r="O58" s="60">
        <f t="shared" si="33"/>
        <v>459.34999999999997</v>
      </c>
      <c r="P58" s="60">
        <f t="shared" si="33"/>
        <v>459.05</v>
      </c>
      <c r="Q58" s="60">
        <f t="shared" si="33"/>
        <v>459.05</v>
      </c>
      <c r="R58" s="60">
        <f t="shared" si="33"/>
        <v>459.25</v>
      </c>
      <c r="S58" s="60">
        <f t="shared" si="33"/>
        <v>459.25</v>
      </c>
      <c r="T58" s="60">
        <f t="shared" ref="T58:U58" si="36">SUM(T11:T56)</f>
        <v>459.25</v>
      </c>
      <c r="U58" s="60">
        <f t="shared" si="36"/>
        <v>459.25</v>
      </c>
      <c r="V58" s="60">
        <f t="shared" si="33"/>
        <v>459.25</v>
      </c>
      <c r="W58" s="60">
        <f t="shared" si="33"/>
        <v>459.25</v>
      </c>
      <c r="X58" s="60">
        <f t="shared" si="33"/>
        <v>459.25</v>
      </c>
      <c r="Y58" s="60">
        <f t="shared" si="33"/>
        <v>459.25</v>
      </c>
      <c r="Z58" s="60">
        <f t="shared" si="33"/>
        <v>459.25</v>
      </c>
      <c r="AA58" s="60">
        <f t="shared" si="33"/>
        <v>459.25</v>
      </c>
      <c r="AB58" s="60">
        <f t="shared" ref="AB58:AC58" si="37">SUM(AB11:AB56)</f>
        <v>459.25</v>
      </c>
      <c r="AC58" s="60">
        <f t="shared" si="37"/>
        <v>471.65000000000003</v>
      </c>
      <c r="AD58" s="60">
        <f t="shared" ref="AD58:AF58" si="38">SUM(AD11:AD56)</f>
        <v>473.15000000000003</v>
      </c>
      <c r="AE58" s="60">
        <f t="shared" si="38"/>
        <v>473.15000000000003</v>
      </c>
      <c r="AF58" s="60">
        <f t="shared" si="38"/>
        <v>468.05</v>
      </c>
      <c r="AG58" s="61">
        <f>SUM(AG14:AG56)</f>
        <v>1042.4000000000001</v>
      </c>
      <c r="AH58" s="47">
        <f t="shared" si="29"/>
        <v>473.15000000000003</v>
      </c>
      <c r="AI58" s="48">
        <f t="shared" si="30"/>
        <v>459.05</v>
      </c>
      <c r="AK58" s="50"/>
    </row>
    <row r="59" spans="1:113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55</v>
      </c>
      <c r="J59" s="45">
        <v>140</v>
      </c>
      <c r="K59" s="45">
        <v>235</v>
      </c>
      <c r="L59" s="45">
        <v>330</v>
      </c>
      <c r="M59" s="45">
        <v>380</v>
      </c>
      <c r="N59" s="63">
        <v>75</v>
      </c>
      <c r="O59" s="63">
        <v>15</v>
      </c>
      <c r="P59" s="63">
        <v>75</v>
      </c>
      <c r="Q59" s="63">
        <v>70</v>
      </c>
      <c r="R59" s="63">
        <v>50</v>
      </c>
      <c r="S59" s="63">
        <v>60</v>
      </c>
      <c r="T59" s="63">
        <v>60</v>
      </c>
      <c r="U59" s="63">
        <v>60</v>
      </c>
      <c r="V59" s="63">
        <v>60</v>
      </c>
      <c r="W59" s="45">
        <v>15</v>
      </c>
      <c r="X59" s="45">
        <v>15</v>
      </c>
      <c r="Y59" s="45">
        <v>145</v>
      </c>
      <c r="Z59" s="45">
        <v>165</v>
      </c>
      <c r="AA59" s="45">
        <v>345</v>
      </c>
      <c r="AB59" s="45">
        <v>65</v>
      </c>
      <c r="AC59" s="45">
        <v>65</v>
      </c>
      <c r="AD59" s="45">
        <v>65</v>
      </c>
      <c r="AE59" s="45">
        <v>65</v>
      </c>
      <c r="AF59" s="45">
        <v>0</v>
      </c>
      <c r="AG59" s="52">
        <v>456</v>
      </c>
      <c r="AH59" s="47">
        <f t="shared" si="29"/>
        <v>380</v>
      </c>
      <c r="AI59" s="48">
        <f t="shared" si="30"/>
        <v>0</v>
      </c>
      <c r="AK59" s="50"/>
    </row>
    <row r="60" spans="1:113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9"/>
        <v>27</v>
      </c>
      <c r="AI60" s="48">
        <f t="shared" si="30"/>
        <v>27</v>
      </c>
      <c r="AK60" s="50"/>
    </row>
    <row r="61" spans="1:113" ht="15.75" thickBot="1" x14ac:dyDescent="0.3">
      <c r="A61" s="66" t="s">
        <v>61</v>
      </c>
      <c r="B61" s="67">
        <v>8.3000000000000007</v>
      </c>
      <c r="C61" s="67">
        <v>8.3000000000000007</v>
      </c>
      <c r="D61" s="67">
        <v>8.3000000000000007</v>
      </c>
      <c r="E61" s="67">
        <v>9</v>
      </c>
      <c r="F61" s="67">
        <v>9</v>
      </c>
      <c r="G61" s="67">
        <v>9</v>
      </c>
      <c r="H61" s="67">
        <v>9</v>
      </c>
      <c r="I61" s="67">
        <v>9</v>
      </c>
      <c r="J61" s="67">
        <v>9</v>
      </c>
      <c r="K61" s="67">
        <v>9.3000000000000007</v>
      </c>
      <c r="L61" s="67">
        <v>9</v>
      </c>
      <c r="M61" s="67">
        <v>9.5</v>
      </c>
      <c r="N61" s="67">
        <v>9.6</v>
      </c>
      <c r="O61" s="67">
        <v>9.6</v>
      </c>
      <c r="P61" s="67">
        <v>9.5</v>
      </c>
      <c r="Q61" s="67">
        <v>9.5</v>
      </c>
      <c r="R61" s="67">
        <v>9.6</v>
      </c>
      <c r="S61" s="67">
        <v>9.6</v>
      </c>
      <c r="T61" s="67">
        <v>9.6</v>
      </c>
      <c r="U61" s="67">
        <v>9.6</v>
      </c>
      <c r="V61" s="67">
        <v>9.6</v>
      </c>
      <c r="W61" s="67">
        <v>9.6</v>
      </c>
      <c r="X61" s="67">
        <v>9.6</v>
      </c>
      <c r="Y61" s="67">
        <v>9.6</v>
      </c>
      <c r="Z61" s="67">
        <v>9.6</v>
      </c>
      <c r="AA61" s="67">
        <v>9.6</v>
      </c>
      <c r="AB61" s="67">
        <v>9.6</v>
      </c>
      <c r="AC61" s="67">
        <v>8.6</v>
      </c>
      <c r="AD61" s="67">
        <v>8.5</v>
      </c>
      <c r="AE61" s="67">
        <v>8.5</v>
      </c>
      <c r="AF61" s="67">
        <v>8.5</v>
      </c>
      <c r="AG61" s="68">
        <v>22.1</v>
      </c>
      <c r="AH61" s="47">
        <f t="shared" si="29"/>
        <v>9.6</v>
      </c>
      <c r="AI61" s="48">
        <f t="shared" si="30"/>
        <v>8.3000000000000007</v>
      </c>
      <c r="AK61" s="50"/>
    </row>
    <row r="62" spans="1:113" ht="15.75" thickBot="1" x14ac:dyDescent="0.3">
      <c r="A62" s="69" t="s">
        <v>62</v>
      </c>
      <c r="B62" s="60">
        <f t="shared" ref="B62:AG62" si="39">SUM(B59:B61)</f>
        <v>35.299999999999997</v>
      </c>
      <c r="C62" s="60">
        <f t="shared" si="39"/>
        <v>35.299999999999997</v>
      </c>
      <c r="D62" s="60">
        <f t="shared" si="39"/>
        <v>35.299999999999997</v>
      </c>
      <c r="E62" s="60">
        <f t="shared" si="39"/>
        <v>36</v>
      </c>
      <c r="F62" s="60">
        <f t="shared" si="39"/>
        <v>36</v>
      </c>
      <c r="G62" s="60">
        <f t="shared" si="39"/>
        <v>36</v>
      </c>
      <c r="H62" s="60">
        <f t="shared" si="39"/>
        <v>36</v>
      </c>
      <c r="I62" s="60">
        <f t="shared" ref="I62:J62" si="40">SUM(I59:I61)</f>
        <v>91</v>
      </c>
      <c r="J62" s="60">
        <f t="shared" si="40"/>
        <v>176</v>
      </c>
      <c r="K62" s="60">
        <f t="shared" si="39"/>
        <v>271.3</v>
      </c>
      <c r="L62" s="60">
        <f t="shared" si="39"/>
        <v>366</v>
      </c>
      <c r="M62" s="60">
        <f t="shared" si="39"/>
        <v>416.5</v>
      </c>
      <c r="N62" s="60">
        <f t="shared" si="39"/>
        <v>111.6</v>
      </c>
      <c r="O62" s="60">
        <f t="shared" si="39"/>
        <v>51.6</v>
      </c>
      <c r="P62" s="60">
        <f t="shared" si="39"/>
        <v>111.5</v>
      </c>
      <c r="Q62" s="60">
        <f t="shared" si="39"/>
        <v>106.5</v>
      </c>
      <c r="R62" s="60">
        <f t="shared" si="39"/>
        <v>86.6</v>
      </c>
      <c r="S62" s="60">
        <f t="shared" si="39"/>
        <v>96.6</v>
      </c>
      <c r="T62" s="60">
        <f t="shared" ref="T62:U62" si="41">SUM(T59:T61)</f>
        <v>96.6</v>
      </c>
      <c r="U62" s="60">
        <f t="shared" si="41"/>
        <v>96.6</v>
      </c>
      <c r="V62" s="60">
        <f t="shared" si="39"/>
        <v>96.6</v>
      </c>
      <c r="W62" s="60">
        <f t="shared" si="39"/>
        <v>51.6</v>
      </c>
      <c r="X62" s="60">
        <f t="shared" si="39"/>
        <v>51.6</v>
      </c>
      <c r="Y62" s="60">
        <f t="shared" si="39"/>
        <v>181.6</v>
      </c>
      <c r="Z62" s="60">
        <f t="shared" si="39"/>
        <v>201.6</v>
      </c>
      <c r="AA62" s="60">
        <f t="shared" si="39"/>
        <v>381.6</v>
      </c>
      <c r="AB62" s="60">
        <f t="shared" ref="AB62:AC62" si="42">SUM(AB59:AB61)</f>
        <v>101.6</v>
      </c>
      <c r="AC62" s="60">
        <f t="shared" si="42"/>
        <v>100.6</v>
      </c>
      <c r="AD62" s="60">
        <f t="shared" ref="AD62:AF62" si="43">SUM(AD59:AD61)</f>
        <v>100.5</v>
      </c>
      <c r="AE62" s="60">
        <f t="shared" si="43"/>
        <v>100.5</v>
      </c>
      <c r="AF62" s="60">
        <f t="shared" si="43"/>
        <v>35.5</v>
      </c>
      <c r="AG62" s="61">
        <f t="shared" si="39"/>
        <v>538.1</v>
      </c>
      <c r="AH62" s="47">
        <f t="shared" si="29"/>
        <v>416.5</v>
      </c>
      <c r="AI62" s="48">
        <f t="shared" si="30"/>
        <v>35.299999999999997</v>
      </c>
      <c r="AK62" s="50"/>
    </row>
    <row r="63" spans="1:113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30</v>
      </c>
      <c r="J63" s="45">
        <v>112</v>
      </c>
      <c r="K63" s="45">
        <v>132</v>
      </c>
      <c r="L63" s="45">
        <v>117.1</v>
      </c>
      <c r="M63" s="45">
        <v>132</v>
      </c>
      <c r="N63" s="45">
        <v>63.5</v>
      </c>
      <c r="O63" s="45">
        <v>63.1</v>
      </c>
      <c r="P63" s="45">
        <v>63.5</v>
      </c>
      <c r="Q63" s="45">
        <v>70.900000000000006</v>
      </c>
      <c r="R63" s="45">
        <v>61.3</v>
      </c>
      <c r="S63" s="45">
        <v>61.3</v>
      </c>
      <c r="T63" s="45">
        <v>61.3</v>
      </c>
      <c r="U63" s="45">
        <v>61.3</v>
      </c>
      <c r="V63" s="45">
        <v>61.3</v>
      </c>
      <c r="W63" s="45">
        <v>31</v>
      </c>
      <c r="X63" s="45">
        <v>45.2</v>
      </c>
      <c r="Y63" s="45">
        <v>111</v>
      </c>
      <c r="Z63" s="45">
        <v>141</v>
      </c>
      <c r="AA63" s="45">
        <v>141</v>
      </c>
      <c r="AB63" s="45">
        <v>92.1</v>
      </c>
      <c r="AC63" s="45">
        <v>40.6</v>
      </c>
      <c r="AD63" s="45">
        <v>30.5</v>
      </c>
      <c r="AE63" s="45">
        <v>30.5</v>
      </c>
      <c r="AF63" s="45">
        <v>0</v>
      </c>
      <c r="AG63" s="52">
        <v>144</v>
      </c>
      <c r="AH63" s="47">
        <f t="shared" si="29"/>
        <v>141</v>
      </c>
      <c r="AI63" s="48">
        <f t="shared" si="30"/>
        <v>0</v>
      </c>
      <c r="AK63" s="50"/>
    </row>
    <row r="64" spans="1:113" x14ac:dyDescent="0.25">
      <c r="A64" s="54" t="s">
        <v>64</v>
      </c>
      <c r="B64" s="65">
        <v>22.8</v>
      </c>
      <c r="C64" s="65">
        <v>22.8</v>
      </c>
      <c r="D64" s="65">
        <v>22.8</v>
      </c>
      <c r="E64" s="65">
        <v>21.9</v>
      </c>
      <c r="F64" s="65">
        <v>21.9</v>
      </c>
      <c r="G64" s="65">
        <v>21.9</v>
      </c>
      <c r="H64" s="65">
        <v>21.9</v>
      </c>
      <c r="I64" s="65">
        <v>21.9</v>
      </c>
      <c r="J64" s="65">
        <v>35</v>
      </c>
      <c r="K64" s="65">
        <v>35.200000000000003</v>
      </c>
      <c r="L64" s="65">
        <v>34.799999999999997</v>
      </c>
      <c r="M64" s="65">
        <v>35</v>
      </c>
      <c r="N64" s="65">
        <v>22.9</v>
      </c>
      <c r="O64" s="65">
        <v>22.9</v>
      </c>
      <c r="P64" s="65">
        <v>23</v>
      </c>
      <c r="Q64" s="65">
        <v>34.799999999999997</v>
      </c>
      <c r="R64" s="65">
        <v>34.799999999999997</v>
      </c>
      <c r="S64" s="65">
        <v>34.799999999999997</v>
      </c>
      <c r="T64" s="65">
        <v>28.5</v>
      </c>
      <c r="U64" s="65">
        <v>28.5</v>
      </c>
      <c r="V64" s="65">
        <v>35</v>
      </c>
      <c r="W64" s="65">
        <v>26</v>
      </c>
      <c r="X64" s="65">
        <v>26</v>
      </c>
      <c r="Y64" s="45">
        <v>35</v>
      </c>
      <c r="Z64" s="45">
        <v>35</v>
      </c>
      <c r="AA64" s="45">
        <v>35</v>
      </c>
      <c r="AB64" s="45">
        <v>34.799999999999997</v>
      </c>
      <c r="AC64" s="45">
        <v>34.799999999999997</v>
      </c>
      <c r="AD64" s="45">
        <v>34.799999999999997</v>
      </c>
      <c r="AE64" s="45">
        <v>34.799999999999997</v>
      </c>
      <c r="AF64" s="45">
        <v>34.799999999999997</v>
      </c>
      <c r="AG64" s="55">
        <v>70</v>
      </c>
      <c r="AH64" s="47">
        <f t="shared" si="29"/>
        <v>35.200000000000003</v>
      </c>
      <c r="AI64" s="48">
        <f t="shared" si="30"/>
        <v>21.9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22</v>
      </c>
      <c r="I65" s="65">
        <v>22</v>
      </c>
      <c r="J65" s="65">
        <v>45</v>
      </c>
      <c r="K65" s="65">
        <v>49</v>
      </c>
      <c r="L65" s="65">
        <v>59.9</v>
      </c>
      <c r="M65" s="65">
        <v>69</v>
      </c>
      <c r="N65" s="65">
        <v>51.9</v>
      </c>
      <c r="O65" s="65">
        <v>51.8</v>
      </c>
      <c r="P65" s="65">
        <v>51.8</v>
      </c>
      <c r="Q65" s="65">
        <v>35.9</v>
      </c>
      <c r="R65" s="65">
        <v>33.4</v>
      </c>
      <c r="S65" s="65">
        <v>33.4</v>
      </c>
      <c r="T65" s="65">
        <v>33.4</v>
      </c>
      <c r="U65" s="65">
        <v>33.4</v>
      </c>
      <c r="V65" s="65">
        <v>46</v>
      </c>
      <c r="W65" s="65">
        <v>34</v>
      </c>
      <c r="X65" s="65">
        <v>34</v>
      </c>
      <c r="Y65" s="45">
        <v>68</v>
      </c>
      <c r="Z65" s="45">
        <v>68</v>
      </c>
      <c r="AA65" s="45">
        <v>47</v>
      </c>
      <c r="AB65" s="45">
        <v>33.200000000000003</v>
      </c>
      <c r="AC65" s="45">
        <v>33.6</v>
      </c>
      <c r="AD65" s="45">
        <v>33.799999999999997</v>
      </c>
      <c r="AE65" s="45">
        <v>33.799999999999997</v>
      </c>
      <c r="AF65" s="45">
        <v>16.3</v>
      </c>
      <c r="AG65" s="55">
        <v>69</v>
      </c>
      <c r="AH65" s="47">
        <f t="shared" si="29"/>
        <v>69</v>
      </c>
      <c r="AI65" s="48">
        <f t="shared" si="30"/>
        <v>0</v>
      </c>
      <c r="AK65" s="50"/>
    </row>
    <row r="66" spans="1:75" x14ac:dyDescent="0.25">
      <c r="A66" s="54" t="s">
        <v>66</v>
      </c>
      <c r="B66" s="65">
        <v>38.299999999999997</v>
      </c>
      <c r="C66" s="65">
        <v>38.299999999999997</v>
      </c>
      <c r="D66" s="65">
        <v>38.299999999999997</v>
      </c>
      <c r="E66" s="65">
        <v>36</v>
      </c>
      <c r="F66" s="65">
        <v>36</v>
      </c>
      <c r="G66" s="65">
        <v>36</v>
      </c>
      <c r="H66" s="65">
        <v>36</v>
      </c>
      <c r="I66" s="65">
        <v>36</v>
      </c>
      <c r="J66" s="65">
        <v>36.799999999999997</v>
      </c>
      <c r="K66" s="57">
        <v>36.299999999999997</v>
      </c>
      <c r="L66" s="57">
        <v>36.299999999999997</v>
      </c>
      <c r="M66" s="65">
        <v>36.4</v>
      </c>
      <c r="N66" s="65">
        <v>36.299999999999997</v>
      </c>
      <c r="O66" s="65">
        <v>36.299999999999997</v>
      </c>
      <c r="P66" s="65">
        <v>36.299999999999997</v>
      </c>
      <c r="Q66" s="65">
        <v>38</v>
      </c>
      <c r="R66" s="65">
        <v>38</v>
      </c>
      <c r="S66" s="65">
        <v>38</v>
      </c>
      <c r="T66" s="65">
        <v>36.299999999999997</v>
      </c>
      <c r="U66" s="65">
        <v>36.299999999999997</v>
      </c>
      <c r="V66" s="65">
        <v>36.299999999999997</v>
      </c>
      <c r="W66" s="65">
        <v>36.299999999999997</v>
      </c>
      <c r="X66" s="65">
        <v>36.299999999999997</v>
      </c>
      <c r="Y66" s="45">
        <v>36.299999999999997</v>
      </c>
      <c r="Z66" s="45">
        <v>36.299999999999997</v>
      </c>
      <c r="AA66" s="45">
        <v>36.299999999999997</v>
      </c>
      <c r="AB66" s="45">
        <v>36.299999999999997</v>
      </c>
      <c r="AC66" s="45">
        <v>33</v>
      </c>
      <c r="AD66" s="45">
        <v>35</v>
      </c>
      <c r="AE66" s="45">
        <v>35</v>
      </c>
      <c r="AF66" s="45">
        <v>38.299999999999997</v>
      </c>
      <c r="AG66" s="55">
        <v>60</v>
      </c>
      <c r="AH66" s="47">
        <f t="shared" si="29"/>
        <v>38.299999999999997</v>
      </c>
      <c r="AI66" s="48">
        <f t="shared" si="30"/>
        <v>33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10</v>
      </c>
      <c r="I67" s="65">
        <v>10</v>
      </c>
      <c r="J67" s="65">
        <v>10</v>
      </c>
      <c r="K67" s="65">
        <v>10.4</v>
      </c>
      <c r="L67" s="57">
        <v>11</v>
      </c>
      <c r="M67" s="65">
        <v>10</v>
      </c>
      <c r="N67" s="65">
        <v>0</v>
      </c>
      <c r="O67" s="65">
        <v>0</v>
      </c>
      <c r="P67" s="65">
        <v>10</v>
      </c>
      <c r="Q67" s="65">
        <v>22.5</v>
      </c>
      <c r="R67" s="65">
        <v>23.2</v>
      </c>
      <c r="S67" s="65">
        <v>15</v>
      </c>
      <c r="T67" s="65">
        <v>10</v>
      </c>
      <c r="U67" s="65">
        <v>15</v>
      </c>
      <c r="V67" s="65">
        <v>15</v>
      </c>
      <c r="W67" s="65">
        <v>0</v>
      </c>
      <c r="X67" s="65">
        <v>0</v>
      </c>
      <c r="Y67" s="45">
        <v>10.5</v>
      </c>
      <c r="Z67" s="45">
        <v>14.6</v>
      </c>
      <c r="AA67" s="45">
        <v>23.2</v>
      </c>
      <c r="AB67" s="45">
        <v>10.4</v>
      </c>
      <c r="AC67" s="45">
        <v>10.3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29"/>
        <v>23.2</v>
      </c>
      <c r="AI67" s="48">
        <f t="shared" si="30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0.7</v>
      </c>
      <c r="L68" s="65">
        <v>2.2999999999999998</v>
      </c>
      <c r="M68" s="65">
        <v>5.2</v>
      </c>
      <c r="N68" s="65">
        <v>10.9</v>
      </c>
      <c r="O68" s="65">
        <v>15</v>
      </c>
      <c r="P68" s="65">
        <v>18</v>
      </c>
      <c r="Q68" s="65">
        <v>18.600000000000001</v>
      </c>
      <c r="R68" s="65">
        <v>18</v>
      </c>
      <c r="S68" s="65">
        <v>16.43</v>
      </c>
      <c r="T68" s="65">
        <v>12.69</v>
      </c>
      <c r="U68" s="65">
        <v>7.18</v>
      </c>
      <c r="V68" s="65">
        <v>1.61</v>
      </c>
      <c r="W68" s="65">
        <v>0.5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9"/>
        <v>18.600000000000001</v>
      </c>
      <c r="AI68" s="48">
        <f t="shared" si="30"/>
        <v>0</v>
      </c>
      <c r="AK68" s="50"/>
      <c r="AY68" s="1" t="s">
        <v>377</v>
      </c>
      <c r="AZ68" s="233">
        <f>ROUND(C81,0)</f>
        <v>50</v>
      </c>
      <c r="BA68" s="232">
        <f t="shared" ref="BA68:BD72" si="44">D81</f>
        <v>60</v>
      </c>
      <c r="BB68" s="232">
        <f t="shared" si="44"/>
        <v>56.9</v>
      </c>
      <c r="BC68" s="232">
        <f t="shared" si="44"/>
        <v>59</v>
      </c>
      <c r="BD68" s="232">
        <f t="shared" si="44"/>
        <v>62.5</v>
      </c>
      <c r="BE68" s="233">
        <f>I81</f>
        <v>66.599999999999994</v>
      </c>
      <c r="BF68" s="233">
        <f>K81</f>
        <v>63.7</v>
      </c>
      <c r="BG68" s="233">
        <f t="shared" ref="BG68:BP72" si="45">M81</f>
        <v>63</v>
      </c>
      <c r="BH68" s="233">
        <f t="shared" si="45"/>
        <v>61.9</v>
      </c>
      <c r="BI68" s="233">
        <f t="shared" si="45"/>
        <v>64.5</v>
      </c>
      <c r="BJ68" s="233">
        <f t="shared" si="45"/>
        <v>59</v>
      </c>
      <c r="BK68" s="233">
        <f t="shared" si="45"/>
        <v>61.2</v>
      </c>
      <c r="BL68" s="233">
        <f t="shared" si="45"/>
        <v>64.900000000000006</v>
      </c>
      <c r="BM68" s="233">
        <f t="shared" si="45"/>
        <v>71.2</v>
      </c>
      <c r="BN68" s="233">
        <f t="shared" si="45"/>
        <v>66</v>
      </c>
      <c r="BO68" s="233">
        <f t="shared" si="45"/>
        <v>73</v>
      </c>
      <c r="BP68" s="233">
        <f t="shared" si="45"/>
        <v>59.3</v>
      </c>
      <c r="BQ68" s="233">
        <f>X81</f>
        <v>62.3</v>
      </c>
      <c r="BR68" s="233">
        <f>Z81</f>
        <v>69.599999999999994</v>
      </c>
      <c r="BS68" s="232">
        <f>AB81</f>
        <v>61.2</v>
      </c>
      <c r="BT68" s="232">
        <f>AD81</f>
        <v>67.900000000000006</v>
      </c>
      <c r="BU68" s="232">
        <f>AE81</f>
        <v>65.400000000000006</v>
      </c>
      <c r="BV68" s="232">
        <f>AF81</f>
        <v>65.8</v>
      </c>
      <c r="BW68" s="232">
        <f>B81</f>
        <v>55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9"/>
        <v>15</v>
      </c>
      <c r="AI69" s="48">
        <f t="shared" si="30"/>
        <v>15</v>
      </c>
      <c r="AK69" s="50"/>
      <c r="AY69" s="1" t="s">
        <v>604</v>
      </c>
      <c r="AZ69" s="233">
        <f>ROUND(C82,0)</f>
        <v>0</v>
      </c>
      <c r="BA69" s="232">
        <f t="shared" si="44"/>
        <v>0</v>
      </c>
      <c r="BB69" s="232">
        <f t="shared" si="44"/>
        <v>0</v>
      </c>
      <c r="BC69" s="232">
        <f t="shared" si="44"/>
        <v>0</v>
      </c>
      <c r="BD69" s="232">
        <f t="shared" si="44"/>
        <v>0</v>
      </c>
      <c r="BE69" s="233">
        <f t="shared" ref="BE69:BE72" si="46">I82</f>
        <v>0</v>
      </c>
      <c r="BF69" s="233">
        <f t="shared" ref="BF69:BF72" si="47">K82</f>
        <v>0</v>
      </c>
      <c r="BG69" s="233">
        <f t="shared" si="45"/>
        <v>0</v>
      </c>
      <c r="BH69" s="233">
        <f t="shared" si="45"/>
        <v>0</v>
      </c>
      <c r="BI69" s="233">
        <f t="shared" si="45"/>
        <v>0</v>
      </c>
      <c r="BJ69" s="233">
        <f t="shared" si="45"/>
        <v>0</v>
      </c>
      <c r="BK69" s="233">
        <f t="shared" si="45"/>
        <v>0</v>
      </c>
      <c r="BL69" s="233">
        <f t="shared" si="45"/>
        <v>0</v>
      </c>
      <c r="BM69" s="233">
        <f t="shared" si="45"/>
        <v>0</v>
      </c>
      <c r="BN69" s="233">
        <f t="shared" si="45"/>
        <v>0</v>
      </c>
      <c r="BO69" s="233">
        <f t="shared" si="45"/>
        <v>0</v>
      </c>
      <c r="BP69" s="233">
        <f t="shared" si="45"/>
        <v>0</v>
      </c>
      <c r="BQ69" s="233">
        <f t="shared" ref="BQ69:BQ72" si="48">X82</f>
        <v>0</v>
      </c>
      <c r="BR69" s="233">
        <f t="shared" ref="BR69:BR72" si="49">Z82</f>
        <v>0</v>
      </c>
      <c r="BS69" s="232">
        <f t="shared" ref="BS69:BS72" si="50">AB82</f>
        <v>0</v>
      </c>
      <c r="BT69" s="232">
        <f t="shared" ref="BT69:BV72" si="51">AD82</f>
        <v>0</v>
      </c>
      <c r="BU69" s="232">
        <f t="shared" si="51"/>
        <v>0</v>
      </c>
      <c r="BV69" s="232">
        <f t="shared" si="51"/>
        <v>0</v>
      </c>
      <c r="BW69" s="232">
        <f t="shared" ref="BW69:BW72" si="52"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4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29"/>
        <v>4</v>
      </c>
      <c r="AI70" s="48">
        <f t="shared" si="30"/>
        <v>4</v>
      </c>
      <c r="AK70" s="50"/>
      <c r="AL70" s="70"/>
      <c r="AO70" s="70"/>
      <c r="AY70" s="1" t="s">
        <v>605</v>
      </c>
      <c r="AZ70" s="233">
        <f>ROUND(C83,0)</f>
        <v>380</v>
      </c>
      <c r="BA70" s="232">
        <f t="shared" si="44"/>
        <v>405</v>
      </c>
      <c r="BB70" s="232">
        <f t="shared" si="44"/>
        <v>380</v>
      </c>
      <c r="BC70" s="232">
        <f t="shared" si="44"/>
        <v>371</v>
      </c>
      <c r="BD70" s="232">
        <f t="shared" si="44"/>
        <v>451</v>
      </c>
      <c r="BE70" s="233">
        <f t="shared" si="46"/>
        <v>401</v>
      </c>
      <c r="BF70" s="233">
        <f t="shared" si="47"/>
        <v>249</v>
      </c>
      <c r="BG70" s="233">
        <f t="shared" si="45"/>
        <v>121</v>
      </c>
      <c r="BH70" s="233">
        <f t="shared" si="45"/>
        <v>384.2</v>
      </c>
      <c r="BI70" s="233">
        <f t="shared" si="45"/>
        <v>401</v>
      </c>
      <c r="BJ70" s="233">
        <f t="shared" si="45"/>
        <v>426</v>
      </c>
      <c r="BK70" s="233">
        <f t="shared" si="45"/>
        <v>387</v>
      </c>
      <c r="BL70" s="233">
        <f t="shared" si="45"/>
        <v>408.4</v>
      </c>
      <c r="BM70" s="233">
        <f t="shared" si="45"/>
        <v>413</v>
      </c>
      <c r="BN70" s="233">
        <f t="shared" si="45"/>
        <v>440</v>
      </c>
      <c r="BO70" s="233">
        <f t="shared" si="45"/>
        <v>444</v>
      </c>
      <c r="BP70" s="233">
        <f t="shared" si="45"/>
        <v>389</v>
      </c>
      <c r="BQ70" s="233">
        <f t="shared" si="48"/>
        <v>419</v>
      </c>
      <c r="BR70" s="233">
        <f t="shared" si="49"/>
        <v>368</v>
      </c>
      <c r="BS70" s="232">
        <f t="shared" si="50"/>
        <v>377.1</v>
      </c>
      <c r="BT70" s="232">
        <f t="shared" si="51"/>
        <v>410</v>
      </c>
      <c r="BU70" s="232">
        <f t="shared" si="51"/>
        <v>405</v>
      </c>
      <c r="BV70" s="232">
        <f t="shared" si="51"/>
        <v>400</v>
      </c>
      <c r="BW70" s="232">
        <f t="shared" si="52"/>
        <v>392</v>
      </c>
    </row>
    <row r="71" spans="1:75" s="70" customFormat="1" x14ac:dyDescent="0.25">
      <c r="A71" s="54" t="s">
        <v>71</v>
      </c>
      <c r="B71" s="65">
        <v>10.1</v>
      </c>
      <c r="C71" s="65">
        <v>10.1</v>
      </c>
      <c r="D71" s="65">
        <v>10.1</v>
      </c>
      <c r="E71" s="65">
        <v>10.8</v>
      </c>
      <c r="F71" s="65">
        <v>10.8</v>
      </c>
      <c r="G71" s="65">
        <v>10.8</v>
      </c>
      <c r="H71" s="65">
        <v>10.8</v>
      </c>
      <c r="I71" s="65">
        <v>10.8</v>
      </c>
      <c r="J71" s="65">
        <v>10.8</v>
      </c>
      <c r="K71" s="65">
        <v>10.8</v>
      </c>
      <c r="L71" s="65">
        <v>10.8</v>
      </c>
      <c r="M71" s="65">
        <v>10.8</v>
      </c>
      <c r="N71" s="65">
        <v>10.8</v>
      </c>
      <c r="O71" s="65">
        <v>10.8</v>
      </c>
      <c r="P71" s="65">
        <v>10.8</v>
      </c>
      <c r="Q71" s="65">
        <v>11</v>
      </c>
      <c r="R71" s="65">
        <v>10.3</v>
      </c>
      <c r="S71" s="65">
        <v>10.3</v>
      </c>
      <c r="T71" s="65">
        <v>10.3</v>
      </c>
      <c r="U71" s="65">
        <v>10.3</v>
      </c>
      <c r="V71" s="65">
        <v>10.3</v>
      </c>
      <c r="W71" s="65">
        <v>10.3</v>
      </c>
      <c r="X71" s="65">
        <v>10.3</v>
      </c>
      <c r="Y71" s="65">
        <v>10.3</v>
      </c>
      <c r="Z71" s="65">
        <v>10.3</v>
      </c>
      <c r="AA71" s="65">
        <v>10.3</v>
      </c>
      <c r="AB71" s="65">
        <v>10.3</v>
      </c>
      <c r="AC71" s="65">
        <v>9.5</v>
      </c>
      <c r="AD71" s="65">
        <v>9.5</v>
      </c>
      <c r="AE71" s="65">
        <v>9.5</v>
      </c>
      <c r="AF71" s="65">
        <v>10.5</v>
      </c>
      <c r="AG71" s="55">
        <v>14.1</v>
      </c>
      <c r="AH71" s="47">
        <f t="shared" si="29"/>
        <v>11</v>
      </c>
      <c r="AI71" s="48">
        <f t="shared" si="30"/>
        <v>9.5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4</v>
      </c>
      <c r="BA71" s="232">
        <f t="shared" si="44"/>
        <v>4</v>
      </c>
      <c r="BB71" s="232">
        <f t="shared" si="44"/>
        <v>6</v>
      </c>
      <c r="BC71" s="232">
        <f t="shared" si="44"/>
        <v>6</v>
      </c>
      <c r="BD71" s="232">
        <f t="shared" si="44"/>
        <v>6</v>
      </c>
      <c r="BE71" s="233">
        <f t="shared" si="46"/>
        <v>5</v>
      </c>
      <c r="BF71" s="233">
        <f t="shared" si="47"/>
        <v>6</v>
      </c>
      <c r="BG71" s="233">
        <f t="shared" si="45"/>
        <v>4</v>
      </c>
      <c r="BH71" s="233">
        <f t="shared" si="45"/>
        <v>3</v>
      </c>
      <c r="BI71" s="233">
        <f t="shared" si="45"/>
        <v>3</v>
      </c>
      <c r="BJ71" s="233">
        <f t="shared" si="45"/>
        <v>3</v>
      </c>
      <c r="BK71" s="233">
        <f t="shared" si="45"/>
        <v>33</v>
      </c>
      <c r="BL71" s="233">
        <f t="shared" si="45"/>
        <v>41.3</v>
      </c>
      <c r="BM71" s="233">
        <f t="shared" si="45"/>
        <v>50</v>
      </c>
      <c r="BN71" s="233">
        <f t="shared" si="45"/>
        <v>50</v>
      </c>
      <c r="BO71" s="233">
        <f t="shared" si="45"/>
        <v>46</v>
      </c>
      <c r="BP71" s="233">
        <f t="shared" si="45"/>
        <v>35</v>
      </c>
      <c r="BQ71" s="233">
        <f t="shared" si="48"/>
        <v>32</v>
      </c>
      <c r="BR71" s="233">
        <f t="shared" si="49"/>
        <v>38</v>
      </c>
      <c r="BS71" s="232">
        <f t="shared" si="50"/>
        <v>29.7</v>
      </c>
      <c r="BT71" s="232">
        <f t="shared" si="51"/>
        <v>36</v>
      </c>
      <c r="BU71" s="232">
        <f t="shared" si="51"/>
        <v>40</v>
      </c>
      <c r="BV71" s="232">
        <f t="shared" si="51"/>
        <v>40</v>
      </c>
      <c r="BW71" s="232">
        <f t="shared" si="52"/>
        <v>4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9"/>
        <v>3.3</v>
      </c>
      <c r="AI72" s="48">
        <f t="shared" si="30"/>
        <v>3.3</v>
      </c>
      <c r="AK72" s="50"/>
      <c r="AY72" s="1" t="s">
        <v>607</v>
      </c>
      <c r="AZ72" s="233">
        <f>ROUND(C85,0)</f>
        <v>120</v>
      </c>
      <c r="BA72" s="232">
        <f t="shared" si="44"/>
        <v>108</v>
      </c>
      <c r="BB72" s="232">
        <f t="shared" si="44"/>
        <v>102.3</v>
      </c>
      <c r="BC72" s="232">
        <f t="shared" si="44"/>
        <v>102.8</v>
      </c>
      <c r="BD72" s="232">
        <f t="shared" si="44"/>
        <v>100.6</v>
      </c>
      <c r="BE72" s="233">
        <f t="shared" si="46"/>
        <v>99.7</v>
      </c>
      <c r="BF72" s="233">
        <f t="shared" si="47"/>
        <v>68</v>
      </c>
      <c r="BG72" s="233">
        <f t="shared" si="45"/>
        <v>35</v>
      </c>
      <c r="BH72" s="233">
        <f t="shared" si="45"/>
        <v>31</v>
      </c>
      <c r="BI72" s="233">
        <f t="shared" si="45"/>
        <v>28</v>
      </c>
      <c r="BJ72" s="233">
        <f t="shared" si="45"/>
        <v>50</v>
      </c>
      <c r="BK72" s="233">
        <f t="shared" si="45"/>
        <v>95</v>
      </c>
      <c r="BL72" s="233">
        <f t="shared" si="45"/>
        <v>105</v>
      </c>
      <c r="BM72" s="233">
        <f t="shared" si="45"/>
        <v>97</v>
      </c>
      <c r="BN72" s="233">
        <f t="shared" si="45"/>
        <v>84</v>
      </c>
      <c r="BO72" s="233">
        <f t="shared" si="45"/>
        <v>98</v>
      </c>
      <c r="BP72" s="233">
        <f t="shared" si="45"/>
        <v>87</v>
      </c>
      <c r="BQ72" s="233">
        <f t="shared" si="48"/>
        <v>42</v>
      </c>
      <c r="BR72" s="233">
        <f t="shared" si="49"/>
        <v>60</v>
      </c>
      <c r="BS72" s="232">
        <f t="shared" si="50"/>
        <v>45</v>
      </c>
      <c r="BT72" s="232">
        <f t="shared" si="51"/>
        <v>83</v>
      </c>
      <c r="BU72" s="232">
        <f t="shared" si="51"/>
        <v>100</v>
      </c>
      <c r="BV72" s="232">
        <f t="shared" si="51"/>
        <v>109</v>
      </c>
      <c r="BW72" s="232">
        <f t="shared" si="52"/>
        <v>108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9"/>
        <v>4.5</v>
      </c>
      <c r="AI73" s="48">
        <f t="shared" si="30"/>
        <v>4.5</v>
      </c>
      <c r="AK73" s="50"/>
      <c r="AY73" s="1" t="s">
        <v>608</v>
      </c>
      <c r="AZ73" s="233">
        <f>ROUND(C91,0)</f>
        <v>55</v>
      </c>
      <c r="BA73" s="233">
        <f>D91</f>
        <v>47</v>
      </c>
      <c r="BB73" s="233">
        <f>E91</f>
        <v>51.2</v>
      </c>
      <c r="BC73" s="233">
        <f>F91</f>
        <v>53.7</v>
      </c>
      <c r="BD73" s="233">
        <f>G91</f>
        <v>51</v>
      </c>
      <c r="BE73" s="233">
        <f>I91</f>
        <v>46.5</v>
      </c>
      <c r="BF73" s="233">
        <f>K91</f>
        <v>71.900000000000006</v>
      </c>
      <c r="BG73" s="233">
        <f t="shared" ref="BG73:BP73" si="53">M91</f>
        <v>68.900000000000006</v>
      </c>
      <c r="BH73" s="233">
        <f t="shared" si="53"/>
        <v>64</v>
      </c>
      <c r="BI73" s="233">
        <f t="shared" si="53"/>
        <v>73.7</v>
      </c>
      <c r="BJ73" s="233">
        <f t="shared" si="53"/>
        <v>76.099999999999994</v>
      </c>
      <c r="BK73" s="233">
        <f t="shared" si="53"/>
        <v>64.7</v>
      </c>
      <c r="BL73" s="233">
        <f t="shared" si="53"/>
        <v>66.3</v>
      </c>
      <c r="BM73" s="233">
        <f t="shared" si="53"/>
        <v>69.099999999999994</v>
      </c>
      <c r="BN73" s="233">
        <f t="shared" si="53"/>
        <v>65.7</v>
      </c>
      <c r="BO73" s="233">
        <f t="shared" si="53"/>
        <v>61</v>
      </c>
      <c r="BP73" s="233">
        <f t="shared" si="53"/>
        <v>52</v>
      </c>
      <c r="BQ73" s="233">
        <f>X91</f>
        <v>47.3</v>
      </c>
      <c r="BR73" s="233">
        <f>Z91</f>
        <v>55</v>
      </c>
      <c r="BS73" s="233">
        <f>AB91</f>
        <v>55.6</v>
      </c>
      <c r="BT73" s="233">
        <f>AD91</f>
        <v>59.7</v>
      </c>
      <c r="BU73" s="233">
        <f>AE91</f>
        <v>58.2</v>
      </c>
      <c r="BV73" s="233">
        <f>AF91</f>
        <v>56.1</v>
      </c>
      <c r="BW73" s="233">
        <f>B91</f>
        <v>50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9"/>
        <v>2</v>
      </c>
      <c r="AI74" s="48">
        <f t="shared" si="30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9"/>
        <v>5.5</v>
      </c>
      <c r="AI75" s="48">
        <f t="shared" si="30"/>
        <v>3.5</v>
      </c>
      <c r="AK75" s="50"/>
      <c r="AZ75" s="233">
        <f>VALUE(AZ68)</f>
        <v>50</v>
      </c>
      <c r="BA75" s="233">
        <f t="shared" ref="BA75:BW75" si="54">VALUE(BA68)</f>
        <v>60</v>
      </c>
      <c r="BB75" s="233">
        <f t="shared" si="54"/>
        <v>56.9</v>
      </c>
      <c r="BC75" s="233">
        <f t="shared" si="54"/>
        <v>59</v>
      </c>
      <c r="BD75" s="233">
        <f t="shared" si="54"/>
        <v>62.5</v>
      </c>
      <c r="BE75" s="233">
        <f t="shared" si="54"/>
        <v>66.599999999999994</v>
      </c>
      <c r="BF75" s="233">
        <f t="shared" si="54"/>
        <v>63.7</v>
      </c>
      <c r="BG75" s="233">
        <f t="shared" si="54"/>
        <v>63</v>
      </c>
      <c r="BH75" s="233">
        <f t="shared" si="54"/>
        <v>61.9</v>
      </c>
      <c r="BI75" s="233">
        <f t="shared" si="54"/>
        <v>64.5</v>
      </c>
      <c r="BJ75" s="233">
        <f t="shared" si="54"/>
        <v>59</v>
      </c>
      <c r="BK75" s="233">
        <f t="shared" si="54"/>
        <v>61.2</v>
      </c>
      <c r="BL75" s="233">
        <f t="shared" si="54"/>
        <v>64.900000000000006</v>
      </c>
      <c r="BM75" s="233">
        <f t="shared" si="54"/>
        <v>71.2</v>
      </c>
      <c r="BN75" s="233">
        <f t="shared" si="54"/>
        <v>66</v>
      </c>
      <c r="BO75" s="233">
        <f t="shared" si="54"/>
        <v>73</v>
      </c>
      <c r="BP75" s="233">
        <f t="shared" si="54"/>
        <v>59.3</v>
      </c>
      <c r="BQ75" s="233">
        <f t="shared" si="54"/>
        <v>62.3</v>
      </c>
      <c r="BR75" s="233">
        <f t="shared" si="54"/>
        <v>69.599999999999994</v>
      </c>
      <c r="BS75" s="233">
        <f t="shared" si="54"/>
        <v>61.2</v>
      </c>
      <c r="BT75" s="233">
        <f t="shared" si="54"/>
        <v>67.900000000000006</v>
      </c>
      <c r="BU75" s="233">
        <f t="shared" si="54"/>
        <v>65.400000000000006</v>
      </c>
      <c r="BV75" s="233">
        <f t="shared" si="54"/>
        <v>65.8</v>
      </c>
      <c r="BW75" s="233">
        <f t="shared" si="54"/>
        <v>55</v>
      </c>
    </row>
    <row r="76" spans="1:75" ht="15.75" thickBot="1" x14ac:dyDescent="0.3">
      <c r="A76" s="74" t="s">
        <v>76</v>
      </c>
      <c r="B76" s="60">
        <f t="shared" ref="B76:AG76" si="55">SUM(B63:B75)</f>
        <v>103.53999999999999</v>
      </c>
      <c r="C76" s="60">
        <f t="shared" si="55"/>
        <v>103.53999999999999</v>
      </c>
      <c r="D76" s="60">
        <f t="shared" si="55"/>
        <v>103.53999999999999</v>
      </c>
      <c r="E76" s="60">
        <f t="shared" si="55"/>
        <v>101.04</v>
      </c>
      <c r="F76" s="60">
        <f t="shared" si="55"/>
        <v>101.04</v>
      </c>
      <c r="G76" s="60">
        <f t="shared" si="55"/>
        <v>101.04</v>
      </c>
      <c r="H76" s="60">
        <f t="shared" si="55"/>
        <v>163.04000000000002</v>
      </c>
      <c r="I76" s="60">
        <f t="shared" si="55"/>
        <v>163.04000000000002</v>
      </c>
      <c r="J76" s="60">
        <f t="shared" ref="J76" si="56">SUM(J63:J75)</f>
        <v>281.94000000000005</v>
      </c>
      <c r="K76" s="60">
        <f t="shared" si="55"/>
        <v>306.74</v>
      </c>
      <c r="L76" s="60">
        <f t="shared" si="55"/>
        <v>304.54000000000002</v>
      </c>
      <c r="M76" s="60">
        <f t="shared" si="55"/>
        <v>330.74</v>
      </c>
      <c r="N76" s="60">
        <f t="shared" si="55"/>
        <v>228.64000000000004</v>
      </c>
      <c r="O76" s="60">
        <f t="shared" si="55"/>
        <v>232.24000000000004</v>
      </c>
      <c r="P76" s="60">
        <f t="shared" si="55"/>
        <v>245.74000000000004</v>
      </c>
      <c r="Q76" s="60">
        <f t="shared" si="55"/>
        <v>264.04000000000002</v>
      </c>
      <c r="R76" s="60">
        <f t="shared" si="55"/>
        <v>251.34</v>
      </c>
      <c r="S76" s="60">
        <f t="shared" si="55"/>
        <v>241.57000000000002</v>
      </c>
      <c r="T76" s="60">
        <f t="shared" ref="T76:U76" si="57">SUM(T63:T75)</f>
        <v>224.83</v>
      </c>
      <c r="U76" s="60">
        <f t="shared" si="57"/>
        <v>224.32000000000002</v>
      </c>
      <c r="V76" s="60">
        <f t="shared" si="55"/>
        <v>237.85000000000005</v>
      </c>
      <c r="W76" s="60">
        <f t="shared" si="55"/>
        <v>170.44000000000003</v>
      </c>
      <c r="X76" s="60">
        <f t="shared" si="55"/>
        <v>184.14000000000001</v>
      </c>
      <c r="Y76" s="60">
        <f>SUM(Y63:Y75)</f>
        <v>303.40000000000003</v>
      </c>
      <c r="Z76" s="60">
        <f>SUM(Z63:Z75)</f>
        <v>339.50000000000006</v>
      </c>
      <c r="AA76" s="60">
        <f t="shared" si="55"/>
        <v>325.14000000000004</v>
      </c>
      <c r="AB76" s="60">
        <f t="shared" ref="AB76:AC76" si="58">SUM(AB63:AB75)</f>
        <v>249.44</v>
      </c>
      <c r="AC76" s="60">
        <f t="shared" si="58"/>
        <v>194.14000000000001</v>
      </c>
      <c r="AD76" s="60">
        <f t="shared" ref="AD76:AF76" si="59">SUM(AD63:AD75)</f>
        <v>175.94</v>
      </c>
      <c r="AE76" s="60">
        <f t="shared" si="59"/>
        <v>175.94</v>
      </c>
      <c r="AF76" s="60">
        <f t="shared" si="59"/>
        <v>132.23999999999998</v>
      </c>
      <c r="AG76" s="61">
        <f t="shared" si="55"/>
        <v>489.91</v>
      </c>
      <c r="AH76" s="47">
        <f t="shared" si="29"/>
        <v>339.50000000000006</v>
      </c>
      <c r="AI76" s="48">
        <f t="shared" si="30"/>
        <v>101.04</v>
      </c>
      <c r="AK76" s="50"/>
      <c r="AZ76" s="233">
        <f t="shared" ref="AZ76:BW80" si="60">VALUE(AZ69)</f>
        <v>0</v>
      </c>
      <c r="BA76" s="233">
        <f t="shared" si="60"/>
        <v>0</v>
      </c>
      <c r="BB76" s="233">
        <f t="shared" si="60"/>
        <v>0</v>
      </c>
      <c r="BC76" s="233">
        <f t="shared" si="60"/>
        <v>0</v>
      </c>
      <c r="BD76" s="233">
        <f t="shared" si="60"/>
        <v>0</v>
      </c>
      <c r="BE76" s="233">
        <f t="shared" si="60"/>
        <v>0</v>
      </c>
      <c r="BF76" s="233">
        <f t="shared" si="60"/>
        <v>0</v>
      </c>
      <c r="BG76" s="233">
        <f t="shared" si="60"/>
        <v>0</v>
      </c>
      <c r="BH76" s="233">
        <f t="shared" si="60"/>
        <v>0</v>
      </c>
      <c r="BI76" s="233">
        <f t="shared" si="60"/>
        <v>0</v>
      </c>
      <c r="BJ76" s="233">
        <f t="shared" si="60"/>
        <v>0</v>
      </c>
      <c r="BK76" s="233">
        <f t="shared" si="60"/>
        <v>0</v>
      </c>
      <c r="BL76" s="233">
        <f t="shared" si="60"/>
        <v>0</v>
      </c>
      <c r="BM76" s="233">
        <f t="shared" si="60"/>
        <v>0</v>
      </c>
      <c r="BN76" s="233">
        <f t="shared" si="60"/>
        <v>0</v>
      </c>
      <c r="BO76" s="233">
        <f t="shared" si="60"/>
        <v>0</v>
      </c>
      <c r="BP76" s="233">
        <f t="shared" si="60"/>
        <v>0</v>
      </c>
      <c r="BQ76" s="233">
        <f t="shared" si="60"/>
        <v>0</v>
      </c>
      <c r="BR76" s="233">
        <f t="shared" si="60"/>
        <v>0</v>
      </c>
      <c r="BS76" s="233">
        <f t="shared" si="60"/>
        <v>0</v>
      </c>
      <c r="BT76" s="233">
        <f t="shared" si="60"/>
        <v>0</v>
      </c>
      <c r="BU76" s="233">
        <f t="shared" si="60"/>
        <v>0</v>
      </c>
      <c r="BV76" s="233">
        <f t="shared" si="60"/>
        <v>0</v>
      </c>
      <c r="BW76" s="233">
        <f t="shared" si="60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9"/>
        <v>0</v>
      </c>
      <c r="AI77" s="48">
        <f t="shared" si="30"/>
        <v>0</v>
      </c>
      <c r="AK77" s="50"/>
      <c r="AZ77" s="233">
        <f t="shared" si="60"/>
        <v>380</v>
      </c>
      <c r="BA77" s="233">
        <f t="shared" si="60"/>
        <v>405</v>
      </c>
      <c r="BB77" s="233">
        <f t="shared" si="60"/>
        <v>380</v>
      </c>
      <c r="BC77" s="233">
        <f t="shared" si="60"/>
        <v>371</v>
      </c>
      <c r="BD77" s="233">
        <f t="shared" si="60"/>
        <v>451</v>
      </c>
      <c r="BE77" s="233">
        <f t="shared" si="60"/>
        <v>401</v>
      </c>
      <c r="BF77" s="233">
        <f t="shared" si="60"/>
        <v>249</v>
      </c>
      <c r="BG77" s="233">
        <f t="shared" si="60"/>
        <v>121</v>
      </c>
      <c r="BH77" s="233">
        <f t="shared" si="60"/>
        <v>384.2</v>
      </c>
      <c r="BI77" s="233">
        <f t="shared" si="60"/>
        <v>401</v>
      </c>
      <c r="BJ77" s="233">
        <f t="shared" si="60"/>
        <v>426</v>
      </c>
      <c r="BK77" s="233">
        <f t="shared" si="60"/>
        <v>387</v>
      </c>
      <c r="BL77" s="233">
        <f t="shared" si="60"/>
        <v>408.4</v>
      </c>
      <c r="BM77" s="233">
        <f t="shared" si="60"/>
        <v>413</v>
      </c>
      <c r="BN77" s="233">
        <f t="shared" si="60"/>
        <v>440</v>
      </c>
      <c r="BO77" s="233">
        <f t="shared" si="60"/>
        <v>444</v>
      </c>
      <c r="BP77" s="233">
        <f t="shared" si="60"/>
        <v>389</v>
      </c>
      <c r="BQ77" s="233">
        <f t="shared" si="60"/>
        <v>419</v>
      </c>
      <c r="BR77" s="233">
        <f t="shared" si="60"/>
        <v>368</v>
      </c>
      <c r="BS77" s="233">
        <f t="shared" si="60"/>
        <v>377.1</v>
      </c>
      <c r="BT77" s="233">
        <f t="shared" si="60"/>
        <v>410</v>
      </c>
      <c r="BU77" s="233">
        <f t="shared" si="60"/>
        <v>405</v>
      </c>
      <c r="BV77" s="233">
        <f t="shared" si="60"/>
        <v>400</v>
      </c>
      <c r="BW77" s="233">
        <f t="shared" si="60"/>
        <v>392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9"/>
        <v>0</v>
      </c>
      <c r="AI78" s="48">
        <f t="shared" si="30"/>
        <v>0</v>
      </c>
      <c r="AK78" s="50"/>
      <c r="AZ78" s="233">
        <f t="shared" si="60"/>
        <v>4</v>
      </c>
      <c r="BA78" s="233">
        <f t="shared" si="60"/>
        <v>4</v>
      </c>
      <c r="BB78" s="233">
        <f t="shared" si="60"/>
        <v>6</v>
      </c>
      <c r="BC78" s="233">
        <f t="shared" si="60"/>
        <v>6</v>
      </c>
      <c r="BD78" s="233">
        <f t="shared" si="60"/>
        <v>6</v>
      </c>
      <c r="BE78" s="233">
        <f t="shared" si="60"/>
        <v>5</v>
      </c>
      <c r="BF78" s="233">
        <f t="shared" si="60"/>
        <v>6</v>
      </c>
      <c r="BG78" s="233">
        <f t="shared" si="60"/>
        <v>4</v>
      </c>
      <c r="BH78" s="233">
        <f t="shared" si="60"/>
        <v>3</v>
      </c>
      <c r="BI78" s="233">
        <f t="shared" si="60"/>
        <v>3</v>
      </c>
      <c r="BJ78" s="233">
        <f t="shared" si="60"/>
        <v>3</v>
      </c>
      <c r="BK78" s="233">
        <f t="shared" si="60"/>
        <v>33</v>
      </c>
      <c r="BL78" s="233">
        <f t="shared" si="60"/>
        <v>41.3</v>
      </c>
      <c r="BM78" s="233">
        <f t="shared" si="60"/>
        <v>50</v>
      </c>
      <c r="BN78" s="233">
        <f t="shared" si="60"/>
        <v>50</v>
      </c>
      <c r="BO78" s="233">
        <f t="shared" si="60"/>
        <v>46</v>
      </c>
      <c r="BP78" s="233">
        <f t="shared" si="60"/>
        <v>35</v>
      </c>
      <c r="BQ78" s="233">
        <f t="shared" si="60"/>
        <v>32</v>
      </c>
      <c r="BR78" s="233">
        <f t="shared" si="60"/>
        <v>38</v>
      </c>
      <c r="BS78" s="233">
        <f t="shared" si="60"/>
        <v>29.7</v>
      </c>
      <c r="BT78" s="233">
        <f t="shared" si="60"/>
        <v>36</v>
      </c>
      <c r="BU78" s="233">
        <f t="shared" si="60"/>
        <v>40</v>
      </c>
      <c r="BV78" s="233">
        <f t="shared" si="60"/>
        <v>40</v>
      </c>
      <c r="BW78" s="233">
        <f t="shared" si="60"/>
        <v>4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9"/>
        <v>0</v>
      </c>
      <c r="AI79" s="48">
        <f t="shared" si="30"/>
        <v>0</v>
      </c>
      <c r="AK79" s="50"/>
      <c r="AZ79" s="233">
        <f t="shared" si="60"/>
        <v>120</v>
      </c>
      <c r="BA79" s="233">
        <f t="shared" si="60"/>
        <v>108</v>
      </c>
      <c r="BB79" s="233">
        <f t="shared" si="60"/>
        <v>102.3</v>
      </c>
      <c r="BC79" s="233">
        <f t="shared" si="60"/>
        <v>102.8</v>
      </c>
      <c r="BD79" s="233">
        <f t="shared" si="60"/>
        <v>100.6</v>
      </c>
      <c r="BE79" s="233">
        <f t="shared" si="60"/>
        <v>99.7</v>
      </c>
      <c r="BF79" s="233">
        <f t="shared" si="60"/>
        <v>68</v>
      </c>
      <c r="BG79" s="233">
        <f t="shared" si="60"/>
        <v>35</v>
      </c>
      <c r="BH79" s="233">
        <f t="shared" si="60"/>
        <v>31</v>
      </c>
      <c r="BI79" s="233">
        <f t="shared" si="60"/>
        <v>28</v>
      </c>
      <c r="BJ79" s="233">
        <f t="shared" si="60"/>
        <v>50</v>
      </c>
      <c r="BK79" s="233">
        <f t="shared" si="60"/>
        <v>95</v>
      </c>
      <c r="BL79" s="233">
        <f t="shared" si="60"/>
        <v>105</v>
      </c>
      <c r="BM79" s="233">
        <f t="shared" si="60"/>
        <v>97</v>
      </c>
      <c r="BN79" s="233">
        <f t="shared" si="60"/>
        <v>84</v>
      </c>
      <c r="BO79" s="233">
        <f t="shared" si="60"/>
        <v>98</v>
      </c>
      <c r="BP79" s="233">
        <f t="shared" si="60"/>
        <v>87</v>
      </c>
      <c r="BQ79" s="233">
        <f t="shared" si="60"/>
        <v>42</v>
      </c>
      <c r="BR79" s="233">
        <f t="shared" si="60"/>
        <v>60</v>
      </c>
      <c r="BS79" s="233">
        <f t="shared" si="60"/>
        <v>45</v>
      </c>
      <c r="BT79" s="233">
        <f t="shared" si="60"/>
        <v>83</v>
      </c>
      <c r="BU79" s="233">
        <f t="shared" si="60"/>
        <v>100</v>
      </c>
      <c r="BV79" s="233">
        <f t="shared" si="60"/>
        <v>109</v>
      </c>
      <c r="BW79" s="233">
        <f t="shared" si="60"/>
        <v>108</v>
      </c>
    </row>
    <row r="80" spans="1:75" ht="15.75" thickBot="1" x14ac:dyDescent="0.3">
      <c r="A80" s="74" t="s">
        <v>80</v>
      </c>
      <c r="B80" s="60">
        <f t="shared" ref="B80:AA80" si="61">B77+B78+B79</f>
        <v>0</v>
      </c>
      <c r="C80" s="60">
        <f t="shared" si="61"/>
        <v>0</v>
      </c>
      <c r="D80" s="60">
        <f t="shared" si="61"/>
        <v>0</v>
      </c>
      <c r="E80" s="60">
        <f t="shared" si="61"/>
        <v>0</v>
      </c>
      <c r="F80" s="60">
        <f t="shared" si="61"/>
        <v>0</v>
      </c>
      <c r="G80" s="60">
        <f t="shared" si="61"/>
        <v>0</v>
      </c>
      <c r="H80" s="60">
        <f t="shared" si="61"/>
        <v>0</v>
      </c>
      <c r="I80" s="60">
        <f t="shared" si="61"/>
        <v>0</v>
      </c>
      <c r="J80" s="60">
        <f t="shared" si="61"/>
        <v>0</v>
      </c>
      <c r="K80" s="60">
        <f t="shared" si="61"/>
        <v>0</v>
      </c>
      <c r="L80" s="60">
        <f t="shared" si="61"/>
        <v>0</v>
      </c>
      <c r="M80" s="60">
        <f t="shared" si="61"/>
        <v>0</v>
      </c>
      <c r="N80" s="60">
        <f t="shared" si="61"/>
        <v>0</v>
      </c>
      <c r="O80" s="60">
        <f t="shared" si="61"/>
        <v>0</v>
      </c>
      <c r="P80" s="60">
        <f t="shared" si="61"/>
        <v>0</v>
      </c>
      <c r="Q80" s="60">
        <f t="shared" si="61"/>
        <v>0</v>
      </c>
      <c r="R80" s="60">
        <f t="shared" si="61"/>
        <v>0</v>
      </c>
      <c r="S80" s="60">
        <f t="shared" si="61"/>
        <v>0</v>
      </c>
      <c r="T80" s="60">
        <f t="shared" ref="T80:U80" si="62">T77+T78+T79</f>
        <v>0</v>
      </c>
      <c r="U80" s="60">
        <f t="shared" si="62"/>
        <v>0</v>
      </c>
      <c r="V80" s="60">
        <f t="shared" si="61"/>
        <v>0</v>
      </c>
      <c r="W80" s="60">
        <f t="shared" si="61"/>
        <v>0</v>
      </c>
      <c r="X80" s="60">
        <f t="shared" si="61"/>
        <v>0</v>
      </c>
      <c r="Y80" s="60">
        <f>Y77+Y78+Y79</f>
        <v>0</v>
      </c>
      <c r="Z80" s="60">
        <f>Z77+Z78+Z79</f>
        <v>0</v>
      </c>
      <c r="AA80" s="60">
        <f t="shared" si="61"/>
        <v>0</v>
      </c>
      <c r="AB80" s="60">
        <f t="shared" ref="AB80:AC80" si="63">AB77+AB78+AB79</f>
        <v>0</v>
      </c>
      <c r="AC80" s="60">
        <f t="shared" si="63"/>
        <v>0</v>
      </c>
      <c r="AD80" s="60">
        <f t="shared" ref="AD80:AF80" si="64">AD77+AD78+AD79</f>
        <v>0</v>
      </c>
      <c r="AE80" s="60">
        <f t="shared" si="64"/>
        <v>0</v>
      </c>
      <c r="AF80" s="60">
        <f t="shared" si="64"/>
        <v>0</v>
      </c>
      <c r="AG80" s="61">
        <f>SUM(AG77:AG79)</f>
        <v>106</v>
      </c>
      <c r="AH80" s="47">
        <f t="shared" si="29"/>
        <v>0</v>
      </c>
      <c r="AI80" s="48">
        <f t="shared" si="30"/>
        <v>0</v>
      </c>
      <c r="AK80" s="50"/>
      <c r="AZ80" s="233">
        <f t="shared" si="60"/>
        <v>55</v>
      </c>
      <c r="BA80" s="233">
        <f t="shared" si="60"/>
        <v>47</v>
      </c>
      <c r="BB80" s="233">
        <f t="shared" si="60"/>
        <v>51.2</v>
      </c>
      <c r="BC80" s="233">
        <f t="shared" si="60"/>
        <v>53.7</v>
      </c>
      <c r="BD80" s="233">
        <f t="shared" si="60"/>
        <v>51</v>
      </c>
      <c r="BE80" s="233">
        <f t="shared" si="60"/>
        <v>46.5</v>
      </c>
      <c r="BF80" s="233">
        <f t="shared" si="60"/>
        <v>71.900000000000006</v>
      </c>
      <c r="BG80" s="233">
        <f t="shared" si="60"/>
        <v>68.900000000000006</v>
      </c>
      <c r="BH80" s="233">
        <f t="shared" si="60"/>
        <v>64</v>
      </c>
      <c r="BI80" s="233">
        <f t="shared" si="60"/>
        <v>73.7</v>
      </c>
      <c r="BJ80" s="233">
        <f t="shared" si="60"/>
        <v>76.099999999999994</v>
      </c>
      <c r="BK80" s="233">
        <f t="shared" si="60"/>
        <v>64.7</v>
      </c>
      <c r="BL80" s="233">
        <f t="shared" si="60"/>
        <v>66.3</v>
      </c>
      <c r="BM80" s="233">
        <f t="shared" si="60"/>
        <v>69.099999999999994</v>
      </c>
      <c r="BN80" s="233">
        <f t="shared" si="60"/>
        <v>65.7</v>
      </c>
      <c r="BO80" s="233">
        <f t="shared" si="60"/>
        <v>61</v>
      </c>
      <c r="BP80" s="233">
        <f t="shared" si="60"/>
        <v>52</v>
      </c>
      <c r="BQ80" s="233">
        <f t="shared" si="60"/>
        <v>47.3</v>
      </c>
      <c r="BR80" s="233">
        <f t="shared" si="60"/>
        <v>55</v>
      </c>
      <c r="BS80" s="233">
        <f t="shared" si="60"/>
        <v>55.6</v>
      </c>
      <c r="BT80" s="233">
        <f t="shared" si="60"/>
        <v>59.7</v>
      </c>
      <c r="BU80" s="233">
        <f t="shared" si="60"/>
        <v>58.2</v>
      </c>
      <c r="BV80" s="233">
        <f t="shared" si="60"/>
        <v>56.1</v>
      </c>
      <c r="BW80" s="233">
        <f t="shared" si="60"/>
        <v>50</v>
      </c>
    </row>
    <row r="81" spans="1:64" x14ac:dyDescent="0.25">
      <c r="A81" s="44" t="s">
        <v>81</v>
      </c>
      <c r="B81" s="45">
        <v>55</v>
      </c>
      <c r="C81" s="45">
        <v>50</v>
      </c>
      <c r="D81" s="45">
        <v>60</v>
      </c>
      <c r="E81" s="45">
        <v>56.9</v>
      </c>
      <c r="F81" s="45">
        <v>59</v>
      </c>
      <c r="G81" s="45">
        <v>62.5</v>
      </c>
      <c r="H81" s="45">
        <v>65.599999999999994</v>
      </c>
      <c r="I81" s="45">
        <v>66.599999999999994</v>
      </c>
      <c r="J81" s="45">
        <v>57.8</v>
      </c>
      <c r="K81" s="45">
        <v>63.7</v>
      </c>
      <c r="L81" s="45">
        <v>63.2</v>
      </c>
      <c r="M81" s="45">
        <v>63</v>
      </c>
      <c r="N81" s="45">
        <v>61.9</v>
      </c>
      <c r="O81" s="45">
        <v>64.5</v>
      </c>
      <c r="P81" s="45">
        <v>59</v>
      </c>
      <c r="Q81" s="45">
        <v>61.2</v>
      </c>
      <c r="R81" s="45">
        <v>64.900000000000006</v>
      </c>
      <c r="S81" s="45">
        <v>71.2</v>
      </c>
      <c r="T81" s="45">
        <v>66</v>
      </c>
      <c r="U81" s="45">
        <v>73</v>
      </c>
      <c r="V81" s="45">
        <v>59.3</v>
      </c>
      <c r="W81" s="45">
        <v>73.099999999999994</v>
      </c>
      <c r="X81" s="45">
        <v>62.3</v>
      </c>
      <c r="Y81" s="45">
        <v>62.6</v>
      </c>
      <c r="Z81" s="45">
        <v>69.599999999999994</v>
      </c>
      <c r="AA81" s="45">
        <v>58</v>
      </c>
      <c r="AB81" s="45">
        <v>61.2</v>
      </c>
      <c r="AC81" s="45">
        <v>64.3</v>
      </c>
      <c r="AD81" s="45">
        <v>67.900000000000006</v>
      </c>
      <c r="AE81" s="45">
        <v>65.400000000000006</v>
      </c>
      <c r="AF81" s="45">
        <v>65.8</v>
      </c>
      <c r="AG81" s="52"/>
      <c r="AH81" s="47">
        <f t="shared" si="29"/>
        <v>73.099999999999994</v>
      </c>
      <c r="AI81" s="48">
        <f t="shared" si="30"/>
        <v>50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13" si="65">MAX(B82:AF82)</f>
        <v>0</v>
      </c>
      <c r="AI82" s="48">
        <f t="shared" ref="AI82:AI113" si="66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392</v>
      </c>
      <c r="C83" s="65">
        <v>380</v>
      </c>
      <c r="D83" s="65">
        <v>405</v>
      </c>
      <c r="E83" s="65">
        <v>380</v>
      </c>
      <c r="F83" s="65">
        <v>371</v>
      </c>
      <c r="G83" s="65">
        <v>451</v>
      </c>
      <c r="H83" s="65">
        <v>420</v>
      </c>
      <c r="I83" s="65">
        <v>401</v>
      </c>
      <c r="J83" s="65">
        <v>400</v>
      </c>
      <c r="K83" s="65">
        <v>249</v>
      </c>
      <c r="L83" s="65">
        <v>152</v>
      </c>
      <c r="M83" s="65">
        <v>121</v>
      </c>
      <c r="N83" s="65">
        <v>384.2</v>
      </c>
      <c r="O83" s="65">
        <v>401</v>
      </c>
      <c r="P83" s="65">
        <v>426</v>
      </c>
      <c r="Q83" s="65">
        <v>387</v>
      </c>
      <c r="R83" s="65">
        <v>408.4</v>
      </c>
      <c r="S83" s="65">
        <v>413</v>
      </c>
      <c r="T83" s="65">
        <v>440</v>
      </c>
      <c r="U83" s="65">
        <v>444</v>
      </c>
      <c r="V83" s="65">
        <v>389</v>
      </c>
      <c r="W83" s="65">
        <v>422</v>
      </c>
      <c r="X83" s="65">
        <v>419</v>
      </c>
      <c r="Y83" s="65">
        <v>400</v>
      </c>
      <c r="Z83" s="65">
        <v>368</v>
      </c>
      <c r="AA83" s="65">
        <v>146</v>
      </c>
      <c r="AB83" s="65">
        <v>377.1</v>
      </c>
      <c r="AC83" s="65">
        <v>392.8</v>
      </c>
      <c r="AD83" s="65">
        <v>410</v>
      </c>
      <c r="AE83" s="65">
        <v>405</v>
      </c>
      <c r="AF83" s="65">
        <v>400</v>
      </c>
      <c r="AG83" s="75"/>
      <c r="AH83" s="47">
        <f t="shared" si="65"/>
        <v>451</v>
      </c>
      <c r="AI83" s="48">
        <f t="shared" si="66"/>
        <v>121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4</v>
      </c>
      <c r="C84" s="65">
        <v>4</v>
      </c>
      <c r="D84" s="65">
        <v>4</v>
      </c>
      <c r="E84" s="76">
        <v>6</v>
      </c>
      <c r="F84" s="76">
        <v>6</v>
      </c>
      <c r="G84" s="76">
        <v>6</v>
      </c>
      <c r="H84" s="76">
        <v>4</v>
      </c>
      <c r="I84" s="76">
        <v>5</v>
      </c>
      <c r="J84" s="76">
        <v>6</v>
      </c>
      <c r="K84" s="76">
        <v>6</v>
      </c>
      <c r="L84" s="76">
        <v>6</v>
      </c>
      <c r="M84" s="76">
        <v>4</v>
      </c>
      <c r="N84" s="76">
        <v>3</v>
      </c>
      <c r="O84" s="76">
        <v>3</v>
      </c>
      <c r="P84" s="76">
        <v>3</v>
      </c>
      <c r="Q84" s="76">
        <v>33</v>
      </c>
      <c r="R84" s="76">
        <v>41.3</v>
      </c>
      <c r="S84" s="76">
        <v>50</v>
      </c>
      <c r="T84" s="76">
        <v>50</v>
      </c>
      <c r="U84" s="76">
        <v>46</v>
      </c>
      <c r="V84" s="76">
        <v>35</v>
      </c>
      <c r="W84" s="76">
        <v>30</v>
      </c>
      <c r="X84" s="76">
        <v>32</v>
      </c>
      <c r="Y84" s="76">
        <v>40</v>
      </c>
      <c r="Z84" s="76">
        <v>38</v>
      </c>
      <c r="AA84" s="76">
        <v>38</v>
      </c>
      <c r="AB84" s="76">
        <v>29.7</v>
      </c>
      <c r="AC84" s="76">
        <v>35</v>
      </c>
      <c r="AD84" s="76">
        <v>36</v>
      </c>
      <c r="AE84" s="76">
        <v>40</v>
      </c>
      <c r="AF84" s="76">
        <v>40</v>
      </c>
      <c r="AG84" s="75"/>
      <c r="AH84" s="47">
        <f t="shared" si="65"/>
        <v>50</v>
      </c>
      <c r="AI84" s="48">
        <f t="shared" si="66"/>
        <v>3</v>
      </c>
      <c r="AK84" s="50"/>
      <c r="AY84" s="233"/>
      <c r="BF84" s="232"/>
      <c r="BG84" s="233">
        <f t="array" ref="BG84:BL107">TRANSPOSE(AZ68:BW73)</f>
        <v>50</v>
      </c>
      <c r="BH84" s="233">
        <v>0</v>
      </c>
      <c r="BI84" s="233">
        <v>380</v>
      </c>
      <c r="BJ84" s="233">
        <v>4</v>
      </c>
      <c r="BK84" s="233">
        <v>120</v>
      </c>
      <c r="BL84" s="233">
        <v>55</v>
      </c>
    </row>
    <row r="85" spans="1:64" x14ac:dyDescent="0.25">
      <c r="A85" s="54" t="s">
        <v>85</v>
      </c>
      <c r="B85" s="45">
        <v>108</v>
      </c>
      <c r="C85" s="45">
        <v>120</v>
      </c>
      <c r="D85" s="45">
        <v>108</v>
      </c>
      <c r="E85" s="45">
        <v>102.3</v>
      </c>
      <c r="F85" s="45">
        <v>102.8</v>
      </c>
      <c r="G85" s="45">
        <v>100.6</v>
      </c>
      <c r="H85" s="45">
        <v>107</v>
      </c>
      <c r="I85" s="45">
        <v>99.7</v>
      </c>
      <c r="J85" s="45">
        <v>103.2</v>
      </c>
      <c r="K85" s="45">
        <v>68</v>
      </c>
      <c r="L85" s="45">
        <v>34.6</v>
      </c>
      <c r="M85" s="45">
        <v>35</v>
      </c>
      <c r="N85" s="45">
        <v>31</v>
      </c>
      <c r="O85" s="45">
        <v>28</v>
      </c>
      <c r="P85" s="45">
        <v>50</v>
      </c>
      <c r="Q85" s="45">
        <v>95</v>
      </c>
      <c r="R85" s="45">
        <v>105</v>
      </c>
      <c r="S85" s="45">
        <v>97</v>
      </c>
      <c r="T85" s="45">
        <v>84</v>
      </c>
      <c r="U85" s="45">
        <v>98</v>
      </c>
      <c r="V85" s="45">
        <v>87</v>
      </c>
      <c r="W85" s="45">
        <v>31</v>
      </c>
      <c r="X85" s="45">
        <v>42</v>
      </c>
      <c r="Y85" s="45">
        <v>54</v>
      </c>
      <c r="Z85" s="45">
        <v>60</v>
      </c>
      <c r="AA85" s="45">
        <v>43</v>
      </c>
      <c r="AB85" s="45">
        <v>45</v>
      </c>
      <c r="AC85" s="45">
        <v>44.6</v>
      </c>
      <c r="AD85" s="45">
        <v>83</v>
      </c>
      <c r="AE85" s="45">
        <v>100</v>
      </c>
      <c r="AF85" s="45">
        <v>109</v>
      </c>
      <c r="AG85" s="75"/>
      <c r="AH85" s="47">
        <f t="shared" si="65"/>
        <v>120</v>
      </c>
      <c r="AI85" s="48">
        <f t="shared" si="66"/>
        <v>28</v>
      </c>
      <c r="AK85" s="50"/>
      <c r="AY85" s="233"/>
      <c r="BF85" s="232"/>
      <c r="BG85" s="233">
        <v>60</v>
      </c>
      <c r="BH85" s="233">
        <v>0</v>
      </c>
      <c r="BI85" s="233">
        <v>405</v>
      </c>
      <c r="BJ85" s="233">
        <v>4</v>
      </c>
      <c r="BK85" s="233">
        <v>108</v>
      </c>
      <c r="BL85" s="233">
        <v>47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65"/>
        <v>0</v>
      </c>
      <c r="AI86" s="48">
        <f t="shared" si="66"/>
        <v>0</v>
      </c>
      <c r="AK86" s="50"/>
      <c r="AY86" s="233"/>
      <c r="BF86" s="232"/>
      <c r="BG86" s="233">
        <v>56.9</v>
      </c>
      <c r="BH86" s="233">
        <v>0</v>
      </c>
      <c r="BI86" s="233">
        <v>380</v>
      </c>
      <c r="BJ86" s="233">
        <v>6</v>
      </c>
      <c r="BK86" s="233">
        <v>102.3</v>
      </c>
      <c r="BL86" s="233">
        <v>51.2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65"/>
        <v>0</v>
      </c>
      <c r="AI87" s="48">
        <f t="shared" si="66"/>
        <v>0</v>
      </c>
      <c r="AK87" s="50"/>
      <c r="AL87" s="78" t="s">
        <v>88</v>
      </c>
      <c r="AM87" s="78"/>
      <c r="AY87" s="233"/>
      <c r="BF87" s="233"/>
      <c r="BG87" s="233">
        <v>59</v>
      </c>
      <c r="BH87" s="233">
        <v>0</v>
      </c>
      <c r="BI87" s="233">
        <v>371</v>
      </c>
      <c r="BJ87" s="233">
        <v>6</v>
      </c>
      <c r="BK87" s="233">
        <v>102.8</v>
      </c>
      <c r="BL87" s="233">
        <v>53.7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65"/>
        <v>0</v>
      </c>
      <c r="AI88" s="48">
        <f t="shared" si="66"/>
        <v>0</v>
      </c>
      <c r="AK88" s="79"/>
      <c r="AL88" s="80"/>
      <c r="AM88" s="80"/>
      <c r="AN88" s="81"/>
      <c r="AY88" s="233"/>
      <c r="BF88" s="233"/>
      <c r="BG88" s="233">
        <v>62.5</v>
      </c>
      <c r="BH88" s="233">
        <v>0</v>
      </c>
      <c r="BI88" s="233">
        <v>451</v>
      </c>
      <c r="BJ88" s="233">
        <v>6</v>
      </c>
      <c r="BK88" s="233">
        <v>100.6</v>
      </c>
      <c r="BL88" s="233">
        <v>51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65"/>
        <v>0</v>
      </c>
      <c r="AI89" s="48">
        <f t="shared" si="66"/>
        <v>0</v>
      </c>
      <c r="AK89" s="82" t="s">
        <v>91</v>
      </c>
      <c r="AL89" s="65"/>
      <c r="AM89" s="76"/>
      <c r="AN89" s="83"/>
      <c r="AY89" s="233"/>
      <c r="BF89" s="233"/>
      <c r="BG89" s="233">
        <v>66.599999999999994</v>
      </c>
      <c r="BH89" s="233">
        <v>0</v>
      </c>
      <c r="BI89" s="233">
        <v>401</v>
      </c>
      <c r="BJ89" s="233">
        <v>5</v>
      </c>
      <c r="BK89" s="233">
        <v>99.7</v>
      </c>
      <c r="BL89" s="233">
        <v>46.5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65"/>
        <v>0</v>
      </c>
      <c r="AI90" s="48">
        <f t="shared" si="66"/>
        <v>0</v>
      </c>
      <c r="AK90" s="82" t="s">
        <v>93</v>
      </c>
      <c r="AL90" s="76"/>
      <c r="AM90" s="76"/>
      <c r="AN90" s="83"/>
      <c r="AY90" s="233"/>
      <c r="BF90" s="233"/>
      <c r="BG90" s="233">
        <v>63.7</v>
      </c>
      <c r="BH90" s="233">
        <v>0</v>
      </c>
      <c r="BI90" s="233">
        <v>249</v>
      </c>
      <c r="BJ90" s="233">
        <v>6</v>
      </c>
      <c r="BK90" s="233">
        <v>68</v>
      </c>
      <c r="BL90" s="233">
        <v>71.900000000000006</v>
      </c>
    </row>
    <row r="91" spans="1:64" ht="15.75" thickBot="1" x14ac:dyDescent="0.3">
      <c r="A91" s="84" t="s">
        <v>394</v>
      </c>
      <c r="B91" s="77">
        <v>50</v>
      </c>
      <c r="C91" s="77">
        <v>55</v>
      </c>
      <c r="D91" s="77">
        <v>47</v>
      </c>
      <c r="E91" s="77">
        <v>51.2</v>
      </c>
      <c r="F91" s="77">
        <v>53.7</v>
      </c>
      <c r="G91" s="77">
        <v>51</v>
      </c>
      <c r="H91" s="77">
        <v>53.6</v>
      </c>
      <c r="I91" s="77">
        <v>46.5</v>
      </c>
      <c r="J91" s="77">
        <v>43.9</v>
      </c>
      <c r="K91" s="77">
        <v>71.900000000000006</v>
      </c>
      <c r="L91" s="77">
        <v>72.099999999999994</v>
      </c>
      <c r="M91" s="77">
        <v>68.900000000000006</v>
      </c>
      <c r="N91" s="77">
        <v>64</v>
      </c>
      <c r="O91" s="77">
        <v>73.7</v>
      </c>
      <c r="P91" s="77">
        <v>76.099999999999994</v>
      </c>
      <c r="Q91" s="77">
        <v>64.7</v>
      </c>
      <c r="R91" s="77">
        <v>66.3</v>
      </c>
      <c r="S91" s="77">
        <v>69.099999999999994</v>
      </c>
      <c r="T91" s="77">
        <v>65.7</v>
      </c>
      <c r="U91" s="77">
        <v>61</v>
      </c>
      <c r="V91" s="77">
        <v>52</v>
      </c>
      <c r="W91" s="77">
        <v>48.6</v>
      </c>
      <c r="X91" s="77">
        <v>47.3</v>
      </c>
      <c r="Y91" s="77">
        <v>51.2</v>
      </c>
      <c r="Z91" s="77">
        <v>55</v>
      </c>
      <c r="AA91" s="77">
        <v>52</v>
      </c>
      <c r="AB91" s="77">
        <v>55.6</v>
      </c>
      <c r="AC91" s="77">
        <v>55.6</v>
      </c>
      <c r="AD91" s="77">
        <v>59.7</v>
      </c>
      <c r="AE91" s="77">
        <v>58.2</v>
      </c>
      <c r="AF91" s="77">
        <v>56.1</v>
      </c>
      <c r="AG91" s="85"/>
      <c r="AH91" s="47">
        <f t="shared" si="65"/>
        <v>76.099999999999994</v>
      </c>
      <c r="AI91" s="48">
        <f t="shared" si="66"/>
        <v>43.9</v>
      </c>
      <c r="AK91" s="86"/>
      <c r="AL91" s="45"/>
      <c r="AM91" s="45"/>
      <c r="AN91" s="87"/>
      <c r="AY91" s="233"/>
      <c r="BF91" s="233"/>
      <c r="BG91" s="233">
        <v>63</v>
      </c>
      <c r="BH91" s="233">
        <v>0</v>
      </c>
      <c r="BI91" s="233">
        <v>121</v>
      </c>
      <c r="BJ91" s="233">
        <v>4</v>
      </c>
      <c r="BK91" s="233">
        <v>35</v>
      </c>
      <c r="BL91" s="233">
        <v>68.900000000000006</v>
      </c>
    </row>
    <row r="92" spans="1:64" ht="15.75" thickBot="1" x14ac:dyDescent="0.3">
      <c r="A92" s="74" t="s">
        <v>94</v>
      </c>
      <c r="B92" s="60">
        <f t="shared" ref="B92:AD92" si="67">SUMIF(B81:B91,"&gt;0")</f>
        <v>609</v>
      </c>
      <c r="C92" s="60">
        <f t="shared" si="67"/>
        <v>609</v>
      </c>
      <c r="D92" s="60">
        <f t="shared" si="67"/>
        <v>624</v>
      </c>
      <c r="E92" s="60">
        <f t="shared" si="67"/>
        <v>596.4</v>
      </c>
      <c r="F92" s="60">
        <f t="shared" si="67"/>
        <v>592.5</v>
      </c>
      <c r="G92" s="60">
        <f t="shared" si="67"/>
        <v>671.1</v>
      </c>
      <c r="H92" s="60">
        <f t="shared" si="67"/>
        <v>650.20000000000005</v>
      </c>
      <c r="I92" s="60">
        <f t="shared" si="67"/>
        <v>618.80000000000007</v>
      </c>
      <c r="J92" s="60">
        <f t="shared" si="67"/>
        <v>610.9</v>
      </c>
      <c r="K92" s="60">
        <f t="shared" si="67"/>
        <v>458.6</v>
      </c>
      <c r="L92" s="60">
        <f t="shared" si="67"/>
        <v>327.9</v>
      </c>
      <c r="M92" s="60">
        <f t="shared" si="67"/>
        <v>291.89999999999998</v>
      </c>
      <c r="N92" s="60">
        <f t="shared" si="67"/>
        <v>544.09999999999991</v>
      </c>
      <c r="O92" s="60">
        <f t="shared" si="67"/>
        <v>570.20000000000005</v>
      </c>
      <c r="P92" s="60">
        <f t="shared" si="67"/>
        <v>614.1</v>
      </c>
      <c r="Q92" s="60">
        <f t="shared" si="67"/>
        <v>640.90000000000009</v>
      </c>
      <c r="R92" s="60">
        <f t="shared" si="67"/>
        <v>685.89999999999986</v>
      </c>
      <c r="S92" s="60">
        <f t="shared" si="67"/>
        <v>700.30000000000007</v>
      </c>
      <c r="T92" s="60">
        <f t="shared" ref="T92:U92" si="68">SUMIF(T81:T91,"&gt;0")</f>
        <v>705.7</v>
      </c>
      <c r="U92" s="60">
        <f t="shared" si="68"/>
        <v>722</v>
      </c>
      <c r="V92" s="60">
        <f t="shared" si="67"/>
        <v>622.29999999999995</v>
      </c>
      <c r="W92" s="60">
        <f t="shared" si="67"/>
        <v>604.70000000000005</v>
      </c>
      <c r="X92" s="60">
        <f t="shared" si="67"/>
        <v>602.59999999999991</v>
      </c>
      <c r="Y92" s="60">
        <f>SUMIF(Y81:Y91,"&gt;0")</f>
        <v>607.80000000000007</v>
      </c>
      <c r="Z92" s="60">
        <f>SUMIF(Z81:Z91,"&gt;0")</f>
        <v>590.6</v>
      </c>
      <c r="AA92" s="60">
        <f t="shared" si="67"/>
        <v>337</v>
      </c>
      <c r="AB92" s="60">
        <f t="shared" ref="AB92:AC92" si="69">SUMIF(AB81:AB91,"&gt;0")</f>
        <v>568.6</v>
      </c>
      <c r="AC92" s="60">
        <f t="shared" si="69"/>
        <v>592.30000000000007</v>
      </c>
      <c r="AD92" s="60">
        <f t="shared" si="67"/>
        <v>656.6</v>
      </c>
      <c r="AE92" s="60">
        <f t="shared" ref="AE92:AF92" si="70">SUMIF(AE81:AE91,"&gt;0")</f>
        <v>668.6</v>
      </c>
      <c r="AF92" s="60">
        <f t="shared" si="70"/>
        <v>670.9</v>
      </c>
      <c r="AG92" s="88">
        <f>SUM(AG81:AG91)</f>
        <v>0</v>
      </c>
      <c r="AH92" s="47">
        <f t="shared" si="65"/>
        <v>722</v>
      </c>
      <c r="AI92" s="48">
        <f t="shared" si="66"/>
        <v>291.89999999999998</v>
      </c>
      <c r="AK92" s="86"/>
      <c r="AL92" s="77"/>
      <c r="AM92" s="89"/>
      <c r="AN92" s="257"/>
      <c r="AY92" s="233"/>
      <c r="BF92" s="233"/>
      <c r="BG92" s="233">
        <v>61.9</v>
      </c>
      <c r="BH92" s="233">
        <v>0</v>
      </c>
      <c r="BI92" s="233">
        <v>384.2</v>
      </c>
      <c r="BJ92" s="233">
        <v>3</v>
      </c>
      <c r="BK92" s="233">
        <v>31</v>
      </c>
      <c r="BL92" s="233">
        <v>64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65"/>
        <v>0</v>
      </c>
      <c r="AI93" s="48">
        <f t="shared" si="66"/>
        <v>0</v>
      </c>
      <c r="AK93" s="86"/>
      <c r="AL93" s="77"/>
      <c r="AM93" s="77"/>
      <c r="AN93" s="258"/>
      <c r="BF93" s="233"/>
      <c r="BG93" s="233">
        <v>64.5</v>
      </c>
      <c r="BH93" s="233">
        <v>0</v>
      </c>
      <c r="BI93" s="233">
        <v>401</v>
      </c>
      <c r="BJ93" s="233">
        <v>3</v>
      </c>
      <c r="BK93" s="233">
        <v>28</v>
      </c>
      <c r="BL93" s="233">
        <v>73.7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65"/>
        <v>0</v>
      </c>
      <c r="AI94" s="48">
        <f t="shared" si="66"/>
        <v>0</v>
      </c>
      <c r="AK94" s="91"/>
      <c r="AL94" s="92"/>
      <c r="AM94" s="92"/>
      <c r="AN94" s="93"/>
      <c r="BF94" s="233"/>
      <c r="BG94" s="233">
        <v>59</v>
      </c>
      <c r="BH94" s="233">
        <v>0</v>
      </c>
      <c r="BI94" s="233">
        <v>426</v>
      </c>
      <c r="BJ94" s="233">
        <v>3</v>
      </c>
      <c r="BK94" s="233">
        <v>50</v>
      </c>
      <c r="BL94" s="233">
        <v>76.099999999999994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65"/>
        <v>0</v>
      </c>
      <c r="AI95" s="48">
        <f t="shared" si="66"/>
        <v>0</v>
      </c>
      <c r="BF95" s="233"/>
      <c r="BG95" s="233">
        <v>61.2</v>
      </c>
      <c r="BH95" s="233">
        <v>0</v>
      </c>
      <c r="BI95" s="233">
        <v>387</v>
      </c>
      <c r="BJ95" s="233">
        <v>33</v>
      </c>
      <c r="BK95" s="233">
        <v>95</v>
      </c>
      <c r="BL95" s="233">
        <v>64.7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65"/>
        <v>0</v>
      </c>
      <c r="AI96" s="48">
        <f t="shared" si="66"/>
        <v>0</v>
      </c>
      <c r="BF96" s="233"/>
      <c r="BG96" s="233">
        <v>64.900000000000006</v>
      </c>
      <c r="BH96" s="233">
        <v>0</v>
      </c>
      <c r="BI96" s="233">
        <v>408.4</v>
      </c>
      <c r="BJ96" s="233">
        <v>41.3</v>
      </c>
      <c r="BK96" s="233">
        <v>105</v>
      </c>
      <c r="BL96" s="233">
        <v>66.3</v>
      </c>
    </row>
    <row r="97" spans="1:64" ht="15.75" thickBot="1" x14ac:dyDescent="0.3">
      <c r="A97" s="74" t="s">
        <v>99</v>
      </c>
      <c r="B97" s="95">
        <f t="shared" ref="B97:AG97" si="71">B58+B62+B80+B76+B92+B96</f>
        <v>1212.69</v>
      </c>
      <c r="C97" s="95">
        <f t="shared" si="71"/>
        <v>1212.69</v>
      </c>
      <c r="D97" s="95">
        <f t="shared" si="71"/>
        <v>1227.69</v>
      </c>
      <c r="E97" s="95">
        <f t="shared" si="71"/>
        <v>1196.3899999999999</v>
      </c>
      <c r="F97" s="95">
        <f t="shared" si="71"/>
        <v>1192.49</v>
      </c>
      <c r="G97" s="95">
        <f t="shared" si="71"/>
        <v>1271.0900000000001</v>
      </c>
      <c r="H97" s="95">
        <f t="shared" si="71"/>
        <v>1312.19</v>
      </c>
      <c r="I97" s="95">
        <f t="shared" si="71"/>
        <v>1334.4900000000002</v>
      </c>
      <c r="J97" s="95">
        <f t="shared" si="71"/>
        <v>1530.49</v>
      </c>
      <c r="K97" s="95">
        <f t="shared" si="71"/>
        <v>1498.29</v>
      </c>
      <c r="L97" s="95">
        <f t="shared" si="71"/>
        <v>1457.79</v>
      </c>
      <c r="M97" s="95">
        <f t="shared" si="71"/>
        <v>1498.4899999999998</v>
      </c>
      <c r="N97" s="95">
        <f t="shared" si="71"/>
        <v>1343.6899999999998</v>
      </c>
      <c r="O97" s="95">
        <f t="shared" si="71"/>
        <v>1313.39</v>
      </c>
      <c r="P97" s="95">
        <f t="shared" si="71"/>
        <v>1430.3899999999999</v>
      </c>
      <c r="Q97" s="95">
        <f t="shared" si="71"/>
        <v>1470.49</v>
      </c>
      <c r="R97" s="95">
        <f t="shared" si="71"/>
        <v>1483.09</v>
      </c>
      <c r="S97" s="95">
        <f t="shared" si="71"/>
        <v>1497.7200000000003</v>
      </c>
      <c r="T97" s="95">
        <f t="shared" ref="T97:U97" si="72">T58+T62+T80+T76+T92+T96</f>
        <v>1486.38</v>
      </c>
      <c r="U97" s="95">
        <f t="shared" si="72"/>
        <v>1502.17</v>
      </c>
      <c r="V97" s="95">
        <f t="shared" si="71"/>
        <v>1416</v>
      </c>
      <c r="W97" s="95">
        <f t="shared" si="71"/>
        <v>1285.9900000000002</v>
      </c>
      <c r="X97" s="95">
        <f t="shared" si="71"/>
        <v>1297.5899999999999</v>
      </c>
      <c r="Y97" s="95">
        <f>Y58+Y62+Y80+Y76+Y92+Y96</f>
        <v>1552.0500000000002</v>
      </c>
      <c r="Z97" s="95">
        <f>Z58+Z62+Z80+Z76+Z92+Z96</f>
        <v>1590.9500000000003</v>
      </c>
      <c r="AA97" s="95">
        <f t="shared" si="71"/>
        <v>1502.99</v>
      </c>
      <c r="AB97" s="95">
        <f t="shared" ref="AB97:AC97" si="73">AB58+AB62+AB80+AB76+AB92+AB96</f>
        <v>1378.8899999999999</v>
      </c>
      <c r="AC97" s="95">
        <f t="shared" si="73"/>
        <v>1358.69</v>
      </c>
      <c r="AD97" s="95">
        <f t="shared" si="71"/>
        <v>1406.19</v>
      </c>
      <c r="AE97" s="95">
        <f t="shared" ref="AE97:AF97" si="74">AE58+AE62+AE80+AE76+AE92+AE96</f>
        <v>1418.19</v>
      </c>
      <c r="AF97" s="95">
        <f t="shared" si="74"/>
        <v>1306.69</v>
      </c>
      <c r="AG97" s="61">
        <f t="shared" si="71"/>
        <v>2231.81</v>
      </c>
      <c r="AH97" s="47">
        <f t="shared" si="65"/>
        <v>1590.9500000000003</v>
      </c>
      <c r="AI97" s="48">
        <f t="shared" si="66"/>
        <v>1192.49</v>
      </c>
      <c r="BF97" s="233"/>
      <c r="BG97" s="233">
        <v>71.2</v>
      </c>
      <c r="BH97" s="233">
        <v>0</v>
      </c>
      <c r="BI97" s="233">
        <v>413</v>
      </c>
      <c r="BJ97" s="233">
        <v>50</v>
      </c>
      <c r="BK97" s="233">
        <v>97</v>
      </c>
      <c r="BL97" s="233">
        <v>69.099999999999994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150</v>
      </c>
      <c r="M98" s="97">
        <v>200</v>
      </c>
      <c r="N98" s="97">
        <v>180</v>
      </c>
      <c r="O98" s="97">
        <v>170</v>
      </c>
      <c r="P98" s="97">
        <v>150</v>
      </c>
      <c r="Q98" s="97"/>
      <c r="R98" s="97"/>
      <c r="S98" s="97"/>
      <c r="T98" s="97"/>
      <c r="U98" s="97"/>
      <c r="V98" s="97">
        <v>50</v>
      </c>
      <c r="W98" s="97">
        <v>200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250</v>
      </c>
      <c r="AE98" s="97">
        <v>0</v>
      </c>
      <c r="AF98" s="97">
        <v>0</v>
      </c>
      <c r="AG98" s="88"/>
      <c r="AH98" s="47">
        <f t="shared" si="65"/>
        <v>250</v>
      </c>
      <c r="AI98" s="48">
        <f t="shared" si="66"/>
        <v>0</v>
      </c>
      <c r="BF98" s="233"/>
      <c r="BG98" s="233">
        <v>66</v>
      </c>
      <c r="BH98" s="233">
        <v>0</v>
      </c>
      <c r="BI98" s="233">
        <v>440</v>
      </c>
      <c r="BJ98" s="233">
        <v>50</v>
      </c>
      <c r="BK98" s="233">
        <v>84</v>
      </c>
      <c r="BL98" s="233">
        <v>65.7</v>
      </c>
    </row>
    <row r="99" spans="1:64" ht="15.75" thickBot="1" x14ac:dyDescent="0.3">
      <c r="A99" s="74" t="s">
        <v>101</v>
      </c>
      <c r="B99" s="95">
        <f t="shared" ref="B99:AD99" si="75">B97+B98</f>
        <v>1212.69</v>
      </c>
      <c r="C99" s="95">
        <f t="shared" si="75"/>
        <v>1212.69</v>
      </c>
      <c r="D99" s="95">
        <f t="shared" si="75"/>
        <v>1227.69</v>
      </c>
      <c r="E99" s="95">
        <f t="shared" si="75"/>
        <v>1196.3899999999999</v>
      </c>
      <c r="F99" s="95">
        <f t="shared" si="75"/>
        <v>1192.49</v>
      </c>
      <c r="G99" s="95">
        <f t="shared" si="75"/>
        <v>1271.0900000000001</v>
      </c>
      <c r="H99" s="95">
        <f t="shared" si="75"/>
        <v>1312.19</v>
      </c>
      <c r="I99" s="95">
        <f t="shared" si="75"/>
        <v>1334.4900000000002</v>
      </c>
      <c r="J99" s="95">
        <f t="shared" si="75"/>
        <v>1530.49</v>
      </c>
      <c r="K99" s="95">
        <f t="shared" si="75"/>
        <v>1498.29</v>
      </c>
      <c r="L99" s="95">
        <f t="shared" si="75"/>
        <v>1607.79</v>
      </c>
      <c r="M99" s="95">
        <f t="shared" si="75"/>
        <v>1698.4899999999998</v>
      </c>
      <c r="N99" s="95">
        <f t="shared" si="75"/>
        <v>1523.6899999999998</v>
      </c>
      <c r="O99" s="95">
        <f t="shared" si="75"/>
        <v>1483.39</v>
      </c>
      <c r="P99" s="95">
        <f t="shared" si="75"/>
        <v>1580.3899999999999</v>
      </c>
      <c r="Q99" s="95">
        <f t="shared" si="75"/>
        <v>1470.49</v>
      </c>
      <c r="R99" s="95">
        <f t="shared" si="75"/>
        <v>1483.09</v>
      </c>
      <c r="S99" s="95">
        <f t="shared" si="75"/>
        <v>1497.7200000000003</v>
      </c>
      <c r="T99" s="95">
        <f t="shared" ref="T99:U99" si="76">T97+T98</f>
        <v>1486.38</v>
      </c>
      <c r="U99" s="95">
        <f t="shared" si="76"/>
        <v>1502.17</v>
      </c>
      <c r="V99" s="95">
        <f t="shared" si="75"/>
        <v>1466</v>
      </c>
      <c r="W99" s="95">
        <f t="shared" si="75"/>
        <v>1485.9900000000002</v>
      </c>
      <c r="X99" s="95">
        <f t="shared" si="75"/>
        <v>1547.59</v>
      </c>
      <c r="Y99" s="95">
        <f>Y97+Y98</f>
        <v>1802.0500000000002</v>
      </c>
      <c r="Z99" s="95">
        <f>Z97+Z98</f>
        <v>1840.9500000000003</v>
      </c>
      <c r="AA99" s="95">
        <f t="shared" si="75"/>
        <v>1752.99</v>
      </c>
      <c r="AB99" s="95">
        <f t="shared" ref="AB99:AC99" si="77">AB97+AB98</f>
        <v>1628.8899999999999</v>
      </c>
      <c r="AC99" s="95">
        <f t="shared" si="77"/>
        <v>1608.69</v>
      </c>
      <c r="AD99" s="95">
        <f t="shared" si="75"/>
        <v>1656.19</v>
      </c>
      <c r="AE99" s="95">
        <f t="shared" ref="AE99:AF99" si="78">AE97+AE98</f>
        <v>1418.19</v>
      </c>
      <c r="AF99" s="95">
        <f t="shared" si="78"/>
        <v>1306.69</v>
      </c>
      <c r="AG99" s="88">
        <f>AG96+AG92+AG80+AG76+AG58+AG98</f>
        <v>1693.71</v>
      </c>
      <c r="AH99" s="47">
        <f t="shared" si="65"/>
        <v>1840.9500000000003</v>
      </c>
      <c r="AI99" s="48">
        <f t="shared" si="66"/>
        <v>1192.49</v>
      </c>
      <c r="BF99" s="233"/>
      <c r="BG99" s="233">
        <v>73</v>
      </c>
      <c r="BH99" s="233">
        <v>0</v>
      </c>
      <c r="BI99" s="233">
        <v>444</v>
      </c>
      <c r="BJ99" s="233">
        <v>46</v>
      </c>
      <c r="BK99" s="233">
        <v>98</v>
      </c>
      <c r="BL99" s="233">
        <v>61</v>
      </c>
    </row>
    <row r="100" spans="1:64" ht="15.75" thickBot="1" x14ac:dyDescent="0.3">
      <c r="A100" s="74" t="s">
        <v>102</v>
      </c>
      <c r="B100" s="95">
        <f t="shared" ref="B100:M100" si="79">B99-(B107)</f>
        <v>1212.69</v>
      </c>
      <c r="C100" s="95">
        <f t="shared" si="79"/>
        <v>1212.69</v>
      </c>
      <c r="D100" s="95">
        <f t="shared" si="79"/>
        <v>1227.69</v>
      </c>
      <c r="E100" s="95">
        <f t="shared" si="79"/>
        <v>1196.3899999999999</v>
      </c>
      <c r="F100" s="95">
        <f t="shared" si="79"/>
        <v>1192.49</v>
      </c>
      <c r="G100" s="95">
        <f t="shared" si="79"/>
        <v>1271.0900000000001</v>
      </c>
      <c r="H100" s="95">
        <f t="shared" si="79"/>
        <v>1312.19</v>
      </c>
      <c r="I100" s="95">
        <f t="shared" si="79"/>
        <v>1334.4900000000002</v>
      </c>
      <c r="J100" s="95">
        <f t="shared" si="79"/>
        <v>1530.49</v>
      </c>
      <c r="K100" s="95">
        <f t="shared" si="79"/>
        <v>1498.29</v>
      </c>
      <c r="L100" s="95">
        <f t="shared" si="79"/>
        <v>1607.79</v>
      </c>
      <c r="M100" s="95">
        <f t="shared" si="79"/>
        <v>1698.4899999999998</v>
      </c>
      <c r="N100" s="95">
        <f>N99-(N107)</f>
        <v>1523.6899999999998</v>
      </c>
      <c r="O100" s="95">
        <f t="shared" ref="O100:AD100" si="80">O99-(O107)</f>
        <v>1483.39</v>
      </c>
      <c r="P100" s="95">
        <f t="shared" si="80"/>
        <v>1580.3899999999999</v>
      </c>
      <c r="Q100" s="95">
        <f t="shared" si="80"/>
        <v>1470.49</v>
      </c>
      <c r="R100" s="95">
        <f t="shared" si="80"/>
        <v>1483.09</v>
      </c>
      <c r="S100" s="95">
        <f t="shared" si="80"/>
        <v>1497.7200000000003</v>
      </c>
      <c r="T100" s="95">
        <f t="shared" ref="T100:U100" si="81">T99-(T107)</f>
        <v>1485.38</v>
      </c>
      <c r="U100" s="95">
        <f t="shared" si="81"/>
        <v>1500.17</v>
      </c>
      <c r="V100" s="95">
        <f t="shared" si="80"/>
        <v>1466</v>
      </c>
      <c r="W100" s="95">
        <f t="shared" si="80"/>
        <v>1485.9900000000002</v>
      </c>
      <c r="X100" s="95">
        <f t="shared" si="80"/>
        <v>1547.59</v>
      </c>
      <c r="Y100" s="95">
        <f t="shared" si="80"/>
        <v>1802.0500000000002</v>
      </c>
      <c r="Z100" s="95">
        <f t="shared" si="80"/>
        <v>1840.9500000000003</v>
      </c>
      <c r="AA100" s="95">
        <f t="shared" si="80"/>
        <v>1752.99</v>
      </c>
      <c r="AB100" s="95">
        <f t="shared" ref="AB100:AC100" si="82">AB99-(AB107)</f>
        <v>1628.8899999999999</v>
      </c>
      <c r="AC100" s="95">
        <f t="shared" si="82"/>
        <v>1608.69</v>
      </c>
      <c r="AD100" s="95">
        <f t="shared" si="80"/>
        <v>1656.19</v>
      </c>
      <c r="AE100" s="95">
        <f t="shared" ref="AE100:AF100" si="83">AE99-(AE107)</f>
        <v>1418.19</v>
      </c>
      <c r="AF100" s="95">
        <f t="shared" si="83"/>
        <v>1306.69</v>
      </c>
      <c r="AG100" s="88"/>
      <c r="AH100" s="47">
        <f t="shared" si="65"/>
        <v>1840.9500000000003</v>
      </c>
      <c r="AI100" s="48">
        <f t="shared" si="66"/>
        <v>1192.49</v>
      </c>
      <c r="BF100" s="233"/>
      <c r="BG100" s="233">
        <v>59.3</v>
      </c>
      <c r="BH100" s="233">
        <v>0</v>
      </c>
      <c r="BI100" s="233">
        <v>389</v>
      </c>
      <c r="BJ100" s="233">
        <v>35</v>
      </c>
      <c r="BK100" s="233">
        <v>87</v>
      </c>
      <c r="BL100" s="233">
        <v>52</v>
      </c>
    </row>
    <row r="101" spans="1:64" x14ac:dyDescent="0.25">
      <c r="A101" s="44" t="s">
        <v>84</v>
      </c>
      <c r="B101" s="76">
        <f t="shared" ref="B101:AD101" si="84">IF(B84&lt;0,B84*-1,0)</f>
        <v>0</v>
      </c>
      <c r="C101" s="76">
        <f t="shared" si="84"/>
        <v>0</v>
      </c>
      <c r="D101" s="76">
        <f t="shared" si="84"/>
        <v>0</v>
      </c>
      <c r="E101" s="76">
        <f t="shared" si="84"/>
        <v>0</v>
      </c>
      <c r="F101" s="76">
        <f t="shared" si="84"/>
        <v>0</v>
      </c>
      <c r="G101" s="76">
        <f t="shared" si="84"/>
        <v>0</v>
      </c>
      <c r="H101" s="76">
        <f t="shared" si="84"/>
        <v>0</v>
      </c>
      <c r="I101" s="76">
        <f t="shared" si="84"/>
        <v>0</v>
      </c>
      <c r="J101" s="76">
        <f t="shared" si="84"/>
        <v>0</v>
      </c>
      <c r="K101" s="76">
        <f t="shared" si="84"/>
        <v>0</v>
      </c>
      <c r="L101" s="76">
        <f t="shared" si="84"/>
        <v>0</v>
      </c>
      <c r="M101" s="76">
        <f t="shared" si="84"/>
        <v>0</v>
      </c>
      <c r="N101" s="76">
        <f t="shared" si="84"/>
        <v>0</v>
      </c>
      <c r="O101" s="76">
        <f t="shared" si="84"/>
        <v>0</v>
      </c>
      <c r="P101" s="76">
        <f t="shared" si="84"/>
        <v>0</v>
      </c>
      <c r="Q101" s="76">
        <f t="shared" si="84"/>
        <v>0</v>
      </c>
      <c r="R101" s="76">
        <f t="shared" si="84"/>
        <v>0</v>
      </c>
      <c r="S101" s="76">
        <f t="shared" si="84"/>
        <v>0</v>
      </c>
      <c r="T101" s="76">
        <f t="shared" ref="T101:U101" si="85">IF(T84&lt;0,T84*-1,0)</f>
        <v>0</v>
      </c>
      <c r="U101" s="76">
        <f t="shared" si="85"/>
        <v>0</v>
      </c>
      <c r="V101" s="76">
        <f t="shared" si="84"/>
        <v>0</v>
      </c>
      <c r="W101" s="76">
        <f t="shared" si="84"/>
        <v>0</v>
      </c>
      <c r="X101" s="76">
        <f t="shared" si="84"/>
        <v>0</v>
      </c>
      <c r="Y101" s="76">
        <f t="shared" si="84"/>
        <v>0</v>
      </c>
      <c r="Z101" s="76">
        <f t="shared" si="84"/>
        <v>0</v>
      </c>
      <c r="AA101" s="76">
        <f t="shared" si="84"/>
        <v>0</v>
      </c>
      <c r="AB101" s="76">
        <f t="shared" ref="AB101:AC101" si="86">IF(AB84&lt;0,AB84*-1,0)</f>
        <v>0</v>
      </c>
      <c r="AC101" s="76">
        <f t="shared" si="86"/>
        <v>0</v>
      </c>
      <c r="AD101" s="76">
        <f t="shared" si="84"/>
        <v>0</v>
      </c>
      <c r="AE101" s="76">
        <f t="shared" ref="AE101:AF101" si="87">IF(AE84&lt;0,AE84*-1,0)</f>
        <v>0</v>
      </c>
      <c r="AF101" s="76">
        <f t="shared" si="87"/>
        <v>0</v>
      </c>
      <c r="AG101" s="52"/>
      <c r="AH101" s="47">
        <f t="shared" si="65"/>
        <v>0</v>
      </c>
      <c r="AI101" s="48">
        <f t="shared" si="66"/>
        <v>0</v>
      </c>
      <c r="BF101" s="232"/>
      <c r="BG101" s="233">
        <v>62.3</v>
      </c>
      <c r="BH101" s="233">
        <v>0</v>
      </c>
      <c r="BI101" s="233">
        <v>419</v>
      </c>
      <c r="BJ101" s="233">
        <v>32</v>
      </c>
      <c r="BK101" s="233">
        <v>42</v>
      </c>
      <c r="BL101" s="233">
        <v>47.3</v>
      </c>
    </row>
    <row r="102" spans="1:64" x14ac:dyDescent="0.25">
      <c r="A102" s="54" t="s">
        <v>82</v>
      </c>
      <c r="B102" s="76">
        <f t="shared" ref="B102:AD102" si="88">IF(B82&lt;0,B82*-1,0)</f>
        <v>0</v>
      </c>
      <c r="C102" s="76">
        <f t="shared" si="88"/>
        <v>0</v>
      </c>
      <c r="D102" s="76">
        <f t="shared" si="88"/>
        <v>0</v>
      </c>
      <c r="E102" s="76">
        <f t="shared" si="88"/>
        <v>0</v>
      </c>
      <c r="F102" s="76">
        <f t="shared" si="88"/>
        <v>0</v>
      </c>
      <c r="G102" s="76">
        <f t="shared" si="88"/>
        <v>0</v>
      </c>
      <c r="H102" s="76">
        <f t="shared" si="88"/>
        <v>0</v>
      </c>
      <c r="I102" s="76">
        <f t="shared" si="88"/>
        <v>0</v>
      </c>
      <c r="J102" s="76">
        <f t="shared" si="88"/>
        <v>0</v>
      </c>
      <c r="K102" s="76">
        <f t="shared" si="88"/>
        <v>0</v>
      </c>
      <c r="L102" s="76">
        <f t="shared" si="88"/>
        <v>0</v>
      </c>
      <c r="M102" s="76">
        <f t="shared" si="88"/>
        <v>0</v>
      </c>
      <c r="N102" s="76">
        <f t="shared" si="88"/>
        <v>0</v>
      </c>
      <c r="O102" s="76">
        <f t="shared" si="88"/>
        <v>0</v>
      </c>
      <c r="P102" s="76">
        <f t="shared" si="88"/>
        <v>0</v>
      </c>
      <c r="Q102" s="76">
        <f t="shared" si="88"/>
        <v>0</v>
      </c>
      <c r="R102" s="76">
        <f t="shared" si="88"/>
        <v>0</v>
      </c>
      <c r="S102" s="76">
        <f t="shared" si="88"/>
        <v>0</v>
      </c>
      <c r="T102" s="76">
        <f t="shared" ref="T102:U102" si="89">IF(T82&lt;0,T82*-1,0)</f>
        <v>0</v>
      </c>
      <c r="U102" s="76">
        <f t="shared" si="89"/>
        <v>0</v>
      </c>
      <c r="V102" s="76">
        <f t="shared" si="88"/>
        <v>0</v>
      </c>
      <c r="W102" s="76">
        <f t="shared" si="88"/>
        <v>0</v>
      </c>
      <c r="X102" s="76">
        <f t="shared" si="88"/>
        <v>0</v>
      </c>
      <c r="Y102" s="76">
        <f t="shared" si="88"/>
        <v>0</v>
      </c>
      <c r="Z102" s="76">
        <f t="shared" si="88"/>
        <v>0</v>
      </c>
      <c r="AA102" s="76">
        <f t="shared" si="88"/>
        <v>0</v>
      </c>
      <c r="AB102" s="76">
        <f t="shared" ref="AB102:AC102" si="90">IF(AB82&lt;0,AB82*-1,0)</f>
        <v>0</v>
      </c>
      <c r="AC102" s="76">
        <f t="shared" si="90"/>
        <v>0</v>
      </c>
      <c r="AD102" s="76">
        <f t="shared" si="88"/>
        <v>0</v>
      </c>
      <c r="AE102" s="76">
        <f t="shared" ref="AE102:AF102" si="91">IF(AE82&lt;0,AE82*-1,0)</f>
        <v>0</v>
      </c>
      <c r="AF102" s="76">
        <f t="shared" si="91"/>
        <v>0</v>
      </c>
      <c r="AG102" s="55"/>
      <c r="AH102" s="47">
        <f t="shared" si="65"/>
        <v>0</v>
      </c>
      <c r="AI102" s="48">
        <f t="shared" si="66"/>
        <v>0</v>
      </c>
      <c r="BF102" s="232"/>
      <c r="BG102" s="233">
        <v>69.599999999999994</v>
      </c>
      <c r="BH102" s="233">
        <v>0</v>
      </c>
      <c r="BI102" s="233">
        <v>368</v>
      </c>
      <c r="BJ102" s="233">
        <v>38</v>
      </c>
      <c r="BK102" s="233">
        <v>60</v>
      </c>
      <c r="BL102" s="233">
        <v>55</v>
      </c>
    </row>
    <row r="103" spans="1:64" x14ac:dyDescent="0.25">
      <c r="A103" s="84" t="s">
        <v>103</v>
      </c>
      <c r="B103" s="76">
        <f t="shared" ref="B103:AD103" si="92">IF(B85&lt;0,B85*-1,0)</f>
        <v>0</v>
      </c>
      <c r="C103" s="76">
        <f t="shared" si="92"/>
        <v>0</v>
      </c>
      <c r="D103" s="76">
        <f t="shared" si="92"/>
        <v>0</v>
      </c>
      <c r="E103" s="76">
        <f t="shared" si="92"/>
        <v>0</v>
      </c>
      <c r="F103" s="76">
        <f t="shared" si="92"/>
        <v>0</v>
      </c>
      <c r="G103" s="76">
        <f t="shared" si="92"/>
        <v>0</v>
      </c>
      <c r="H103" s="76">
        <f t="shared" si="92"/>
        <v>0</v>
      </c>
      <c r="I103" s="76">
        <f t="shared" si="92"/>
        <v>0</v>
      </c>
      <c r="J103" s="76">
        <f t="shared" si="92"/>
        <v>0</v>
      </c>
      <c r="K103" s="76">
        <f t="shared" si="92"/>
        <v>0</v>
      </c>
      <c r="L103" s="76">
        <f t="shared" si="92"/>
        <v>0</v>
      </c>
      <c r="M103" s="76">
        <f t="shared" si="92"/>
        <v>0</v>
      </c>
      <c r="N103" s="76">
        <f t="shared" si="92"/>
        <v>0</v>
      </c>
      <c r="O103" s="76">
        <f t="shared" si="92"/>
        <v>0</v>
      </c>
      <c r="P103" s="76">
        <f t="shared" si="92"/>
        <v>0</v>
      </c>
      <c r="Q103" s="76">
        <f t="shared" si="92"/>
        <v>0</v>
      </c>
      <c r="R103" s="76">
        <f t="shared" si="92"/>
        <v>0</v>
      </c>
      <c r="S103" s="76">
        <f t="shared" si="92"/>
        <v>0</v>
      </c>
      <c r="T103" s="76">
        <f t="shared" ref="T103:U103" si="93">IF(T85&lt;0,T85*-1,0)</f>
        <v>0</v>
      </c>
      <c r="U103" s="76">
        <f t="shared" si="93"/>
        <v>0</v>
      </c>
      <c r="V103" s="76">
        <f t="shared" si="92"/>
        <v>0</v>
      </c>
      <c r="W103" s="76">
        <f t="shared" si="92"/>
        <v>0</v>
      </c>
      <c r="X103" s="76">
        <f t="shared" si="92"/>
        <v>0</v>
      </c>
      <c r="Y103" s="76">
        <f t="shared" si="92"/>
        <v>0</v>
      </c>
      <c r="Z103" s="76">
        <f t="shared" si="92"/>
        <v>0</v>
      </c>
      <c r="AA103" s="76">
        <f t="shared" si="92"/>
        <v>0</v>
      </c>
      <c r="AB103" s="76">
        <f t="shared" ref="AB103:AC103" si="94">IF(AB85&lt;0,AB85*-1,0)</f>
        <v>0</v>
      </c>
      <c r="AC103" s="76">
        <f t="shared" si="94"/>
        <v>0</v>
      </c>
      <c r="AD103" s="76">
        <f t="shared" si="92"/>
        <v>0</v>
      </c>
      <c r="AE103" s="76">
        <f t="shared" ref="AE103:AF103" si="95">IF(AE85&lt;0,AE85*-1,0)</f>
        <v>0</v>
      </c>
      <c r="AF103" s="76">
        <f t="shared" si="95"/>
        <v>0</v>
      </c>
      <c r="AG103" s="98"/>
      <c r="AH103" s="47">
        <f t="shared" si="65"/>
        <v>0</v>
      </c>
      <c r="AI103" s="48">
        <f t="shared" si="66"/>
        <v>0</v>
      </c>
      <c r="BF103" s="232"/>
      <c r="BG103" s="233">
        <v>61.2</v>
      </c>
      <c r="BH103" s="233">
        <v>0</v>
      </c>
      <c r="BI103" s="233">
        <v>377.1</v>
      </c>
      <c r="BJ103" s="233">
        <v>29.7</v>
      </c>
      <c r="BK103" s="233">
        <v>45</v>
      </c>
      <c r="BL103" s="233">
        <v>55.6</v>
      </c>
    </row>
    <row r="104" spans="1:64" x14ac:dyDescent="0.25">
      <c r="A104" s="84" t="s">
        <v>104</v>
      </c>
      <c r="B104" s="76">
        <f t="shared" ref="B104:AD104" si="96">IF(B83&lt;0,B83*-1,0)</f>
        <v>0</v>
      </c>
      <c r="C104" s="76">
        <f t="shared" si="96"/>
        <v>0</v>
      </c>
      <c r="D104" s="76">
        <f t="shared" si="96"/>
        <v>0</v>
      </c>
      <c r="E104" s="76">
        <f t="shared" si="96"/>
        <v>0</v>
      </c>
      <c r="F104" s="76">
        <f t="shared" si="96"/>
        <v>0</v>
      </c>
      <c r="G104" s="76">
        <f t="shared" si="96"/>
        <v>0</v>
      </c>
      <c r="H104" s="76">
        <f t="shared" si="96"/>
        <v>0</v>
      </c>
      <c r="I104" s="76">
        <f t="shared" si="96"/>
        <v>0</v>
      </c>
      <c r="J104" s="76">
        <f t="shared" si="96"/>
        <v>0</v>
      </c>
      <c r="K104" s="76">
        <f t="shared" si="96"/>
        <v>0</v>
      </c>
      <c r="L104" s="76">
        <f t="shared" si="96"/>
        <v>0</v>
      </c>
      <c r="M104" s="76">
        <f t="shared" si="96"/>
        <v>0</v>
      </c>
      <c r="N104" s="76">
        <f t="shared" si="96"/>
        <v>0</v>
      </c>
      <c r="O104" s="76">
        <f t="shared" si="96"/>
        <v>0</v>
      </c>
      <c r="P104" s="76">
        <f t="shared" si="96"/>
        <v>0</v>
      </c>
      <c r="Q104" s="76">
        <f t="shared" si="96"/>
        <v>0</v>
      </c>
      <c r="R104" s="76">
        <f t="shared" si="96"/>
        <v>0</v>
      </c>
      <c r="S104" s="76">
        <f t="shared" si="96"/>
        <v>0</v>
      </c>
      <c r="T104" s="76">
        <f t="shared" ref="T104:U104" si="97">IF(T83&lt;0,T83*-1,0)</f>
        <v>0</v>
      </c>
      <c r="U104" s="76">
        <f t="shared" si="97"/>
        <v>0</v>
      </c>
      <c r="V104" s="76">
        <f t="shared" si="96"/>
        <v>0</v>
      </c>
      <c r="W104" s="76">
        <f t="shared" si="96"/>
        <v>0</v>
      </c>
      <c r="X104" s="76">
        <f t="shared" si="96"/>
        <v>0</v>
      </c>
      <c r="Y104" s="76">
        <f t="shared" si="96"/>
        <v>0</v>
      </c>
      <c r="Z104" s="76">
        <f t="shared" si="96"/>
        <v>0</v>
      </c>
      <c r="AA104" s="76">
        <f t="shared" si="96"/>
        <v>0</v>
      </c>
      <c r="AB104" s="76">
        <f t="shared" ref="AB104:AC104" si="98">IF(AB83&lt;0,AB83*-1,0)</f>
        <v>0</v>
      </c>
      <c r="AC104" s="76">
        <f t="shared" si="98"/>
        <v>0</v>
      </c>
      <c r="AD104" s="76">
        <f t="shared" si="96"/>
        <v>0</v>
      </c>
      <c r="AE104" s="76">
        <f t="shared" ref="AE104:AF104" si="99">IF(AE83&lt;0,AE83*-1,0)</f>
        <v>0</v>
      </c>
      <c r="AF104" s="76">
        <f t="shared" si="99"/>
        <v>0</v>
      </c>
      <c r="AG104" s="98"/>
      <c r="AH104" s="47">
        <f t="shared" si="65"/>
        <v>0</v>
      </c>
      <c r="AI104" s="48">
        <f t="shared" si="66"/>
        <v>0</v>
      </c>
      <c r="BF104" s="232"/>
      <c r="BG104" s="233">
        <v>67.900000000000006</v>
      </c>
      <c r="BH104" s="233">
        <v>0</v>
      </c>
      <c r="BI104" s="233">
        <v>410</v>
      </c>
      <c r="BJ104" s="233">
        <v>36</v>
      </c>
      <c r="BK104" s="233">
        <v>83</v>
      </c>
      <c r="BL104" s="233">
        <v>59.7</v>
      </c>
    </row>
    <row r="105" spans="1:64" x14ac:dyDescent="0.25">
      <c r="A105" s="84" t="s">
        <v>81</v>
      </c>
      <c r="B105" s="76">
        <f t="shared" ref="B105:AD105" si="100">IF(B81&lt;0,B81*-1,0)</f>
        <v>0</v>
      </c>
      <c r="C105" s="76">
        <f t="shared" si="100"/>
        <v>0</v>
      </c>
      <c r="D105" s="76">
        <f t="shared" si="100"/>
        <v>0</v>
      </c>
      <c r="E105" s="76">
        <f t="shared" si="100"/>
        <v>0</v>
      </c>
      <c r="F105" s="76">
        <f t="shared" si="100"/>
        <v>0</v>
      </c>
      <c r="G105" s="76">
        <f t="shared" si="100"/>
        <v>0</v>
      </c>
      <c r="H105" s="76">
        <f t="shared" si="100"/>
        <v>0</v>
      </c>
      <c r="I105" s="76">
        <f t="shared" si="100"/>
        <v>0</v>
      </c>
      <c r="J105" s="76">
        <f t="shared" si="100"/>
        <v>0</v>
      </c>
      <c r="K105" s="76">
        <f t="shared" si="100"/>
        <v>0</v>
      </c>
      <c r="L105" s="76">
        <f t="shared" si="100"/>
        <v>0</v>
      </c>
      <c r="M105" s="76">
        <f t="shared" si="100"/>
        <v>0</v>
      </c>
      <c r="N105" s="76">
        <f t="shared" si="100"/>
        <v>0</v>
      </c>
      <c r="O105" s="76">
        <f t="shared" si="100"/>
        <v>0</v>
      </c>
      <c r="P105" s="76">
        <f t="shared" si="100"/>
        <v>0</v>
      </c>
      <c r="Q105" s="76">
        <f t="shared" si="100"/>
        <v>0</v>
      </c>
      <c r="R105" s="76">
        <f t="shared" si="100"/>
        <v>0</v>
      </c>
      <c r="S105" s="76">
        <f t="shared" si="100"/>
        <v>0</v>
      </c>
      <c r="T105" s="76">
        <f t="shared" ref="T105:U105" si="101">IF(T81&lt;0,T81*-1,0)</f>
        <v>0</v>
      </c>
      <c r="U105" s="76">
        <f t="shared" si="101"/>
        <v>0</v>
      </c>
      <c r="V105" s="76">
        <f t="shared" si="100"/>
        <v>0</v>
      </c>
      <c r="W105" s="76">
        <f t="shared" si="100"/>
        <v>0</v>
      </c>
      <c r="X105" s="76">
        <f t="shared" si="100"/>
        <v>0</v>
      </c>
      <c r="Y105" s="76">
        <f t="shared" si="100"/>
        <v>0</v>
      </c>
      <c r="Z105" s="76">
        <f t="shared" si="100"/>
        <v>0</v>
      </c>
      <c r="AA105" s="76">
        <f t="shared" si="100"/>
        <v>0</v>
      </c>
      <c r="AB105" s="76">
        <f t="shared" ref="AB105:AC105" si="102">IF(AB81&lt;0,AB81*-1,0)</f>
        <v>0</v>
      </c>
      <c r="AC105" s="76">
        <f t="shared" si="102"/>
        <v>0</v>
      </c>
      <c r="AD105" s="76">
        <f t="shared" si="100"/>
        <v>0</v>
      </c>
      <c r="AE105" s="76">
        <f t="shared" ref="AE105:AF105" si="103">IF(AE81&lt;0,AE81*-1,0)</f>
        <v>0</v>
      </c>
      <c r="AF105" s="76">
        <f t="shared" si="103"/>
        <v>0</v>
      </c>
      <c r="AG105" s="98"/>
      <c r="AH105" s="47">
        <f t="shared" si="65"/>
        <v>0</v>
      </c>
      <c r="AI105" s="48">
        <f t="shared" si="66"/>
        <v>0</v>
      </c>
      <c r="BF105" s="232"/>
      <c r="BG105" s="233">
        <v>65.400000000000006</v>
      </c>
      <c r="BH105" s="233">
        <v>0</v>
      </c>
      <c r="BI105" s="233">
        <v>405</v>
      </c>
      <c r="BJ105" s="233">
        <v>40</v>
      </c>
      <c r="BK105" s="233">
        <v>100</v>
      </c>
      <c r="BL105" s="233">
        <v>58.2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1</v>
      </c>
      <c r="U106" s="94">
        <v>2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65"/>
        <v>2</v>
      </c>
      <c r="AI106" s="48">
        <f t="shared" si="66"/>
        <v>0</v>
      </c>
      <c r="BG106" s="233">
        <v>65.8</v>
      </c>
      <c r="BH106" s="233">
        <v>0</v>
      </c>
      <c r="BI106" s="233">
        <v>400</v>
      </c>
      <c r="BJ106" s="233">
        <v>40</v>
      </c>
      <c r="BK106" s="233">
        <v>109</v>
      </c>
      <c r="BL106" s="233">
        <v>56.1</v>
      </c>
    </row>
    <row r="107" spans="1:64" ht="15.75" thickBot="1" x14ac:dyDescent="0.3">
      <c r="A107" s="99" t="s">
        <v>106</v>
      </c>
      <c r="B107" s="60">
        <f t="shared" ref="B107:C107" si="104">SUM(B101:B106)</f>
        <v>0</v>
      </c>
      <c r="C107" s="60">
        <f t="shared" si="104"/>
        <v>0</v>
      </c>
      <c r="D107" s="60">
        <f t="shared" ref="D107:AD107" si="105">SUM(D101:D106)</f>
        <v>0</v>
      </c>
      <c r="E107" s="60">
        <f t="shared" si="105"/>
        <v>0</v>
      </c>
      <c r="F107" s="60">
        <f t="shared" si="105"/>
        <v>0</v>
      </c>
      <c r="G107" s="60">
        <f t="shared" si="105"/>
        <v>0</v>
      </c>
      <c r="H107" s="60">
        <f t="shared" si="105"/>
        <v>0</v>
      </c>
      <c r="I107" s="60">
        <f t="shared" si="105"/>
        <v>0</v>
      </c>
      <c r="J107" s="60">
        <f t="shared" si="105"/>
        <v>0</v>
      </c>
      <c r="K107" s="60">
        <f t="shared" si="105"/>
        <v>0</v>
      </c>
      <c r="L107" s="60">
        <f t="shared" si="105"/>
        <v>0</v>
      </c>
      <c r="M107" s="60">
        <f t="shared" si="105"/>
        <v>0</v>
      </c>
      <c r="N107" s="60">
        <f t="shared" si="105"/>
        <v>0</v>
      </c>
      <c r="O107" s="60">
        <f t="shared" si="105"/>
        <v>0</v>
      </c>
      <c r="P107" s="60">
        <f t="shared" si="105"/>
        <v>0</v>
      </c>
      <c r="Q107" s="60">
        <f t="shared" si="105"/>
        <v>0</v>
      </c>
      <c r="R107" s="60">
        <f t="shared" si="105"/>
        <v>0</v>
      </c>
      <c r="S107" s="60">
        <f t="shared" si="105"/>
        <v>0</v>
      </c>
      <c r="T107" s="60">
        <f t="shared" ref="T107:U107" si="106">SUM(T101:T106)</f>
        <v>1</v>
      </c>
      <c r="U107" s="60">
        <f t="shared" si="106"/>
        <v>2</v>
      </c>
      <c r="V107" s="60">
        <f t="shared" si="105"/>
        <v>0</v>
      </c>
      <c r="W107" s="60">
        <f t="shared" si="105"/>
        <v>0</v>
      </c>
      <c r="X107" s="60">
        <f t="shared" si="105"/>
        <v>0</v>
      </c>
      <c r="Y107" s="60">
        <f t="shared" si="105"/>
        <v>0</v>
      </c>
      <c r="Z107" s="60">
        <f t="shared" si="105"/>
        <v>0</v>
      </c>
      <c r="AA107" s="60">
        <f t="shared" si="105"/>
        <v>0</v>
      </c>
      <c r="AB107" s="60">
        <f t="shared" ref="AB107:AC107" si="107">SUM(AB101:AB106)</f>
        <v>0</v>
      </c>
      <c r="AC107" s="60">
        <f t="shared" si="107"/>
        <v>0</v>
      </c>
      <c r="AD107" s="60">
        <f t="shared" si="105"/>
        <v>0</v>
      </c>
      <c r="AE107" s="60">
        <f t="shared" ref="AE107:AF107" si="108">SUM(AE101:AE106)</f>
        <v>0</v>
      </c>
      <c r="AF107" s="60">
        <f t="shared" si="108"/>
        <v>0</v>
      </c>
      <c r="AG107" s="88"/>
      <c r="AH107" s="47">
        <f t="shared" si="65"/>
        <v>2</v>
      </c>
      <c r="AI107" s="48">
        <f t="shared" si="66"/>
        <v>0</v>
      </c>
      <c r="AK107" s="50"/>
      <c r="BG107" s="233">
        <v>55</v>
      </c>
      <c r="BH107" s="233">
        <v>0</v>
      </c>
      <c r="BI107" s="233">
        <v>392</v>
      </c>
      <c r="BJ107" s="233">
        <v>4</v>
      </c>
      <c r="BK107" s="233">
        <v>108</v>
      </c>
      <c r="BL107" s="233">
        <v>50</v>
      </c>
    </row>
    <row r="108" spans="1:64" ht="15.75" thickBot="1" x14ac:dyDescent="0.3">
      <c r="A108" s="74" t="s">
        <v>107</v>
      </c>
      <c r="B108" s="60">
        <f t="shared" ref="B108:AD108" si="109">B92-B107</f>
        <v>609</v>
      </c>
      <c r="C108" s="60">
        <f t="shared" si="109"/>
        <v>609</v>
      </c>
      <c r="D108" s="60">
        <f t="shared" si="109"/>
        <v>624</v>
      </c>
      <c r="E108" s="60">
        <f t="shared" si="109"/>
        <v>596.4</v>
      </c>
      <c r="F108" s="60">
        <f t="shared" si="109"/>
        <v>592.5</v>
      </c>
      <c r="G108" s="60">
        <f t="shared" si="109"/>
        <v>671.1</v>
      </c>
      <c r="H108" s="60">
        <f t="shared" si="109"/>
        <v>650.20000000000005</v>
      </c>
      <c r="I108" s="60">
        <f t="shared" si="109"/>
        <v>618.80000000000007</v>
      </c>
      <c r="J108" s="60">
        <f t="shared" si="109"/>
        <v>610.9</v>
      </c>
      <c r="K108" s="60">
        <f t="shared" si="109"/>
        <v>458.6</v>
      </c>
      <c r="L108" s="60">
        <f t="shared" si="109"/>
        <v>327.9</v>
      </c>
      <c r="M108" s="60">
        <f t="shared" si="109"/>
        <v>291.89999999999998</v>
      </c>
      <c r="N108" s="60">
        <f t="shared" si="109"/>
        <v>544.09999999999991</v>
      </c>
      <c r="O108" s="60">
        <f t="shared" si="109"/>
        <v>570.20000000000005</v>
      </c>
      <c r="P108" s="60">
        <f t="shared" si="109"/>
        <v>614.1</v>
      </c>
      <c r="Q108" s="60">
        <f t="shared" si="109"/>
        <v>640.90000000000009</v>
      </c>
      <c r="R108" s="60">
        <f t="shared" si="109"/>
        <v>685.89999999999986</v>
      </c>
      <c r="S108" s="60">
        <f t="shared" si="109"/>
        <v>700.30000000000007</v>
      </c>
      <c r="T108" s="60">
        <f t="shared" ref="T108:U108" si="110">T92-T107</f>
        <v>704.7</v>
      </c>
      <c r="U108" s="60">
        <f t="shared" si="110"/>
        <v>720</v>
      </c>
      <c r="V108" s="60">
        <f t="shared" si="109"/>
        <v>622.29999999999995</v>
      </c>
      <c r="W108" s="60">
        <f t="shared" si="109"/>
        <v>604.70000000000005</v>
      </c>
      <c r="X108" s="60">
        <f t="shared" si="109"/>
        <v>602.59999999999991</v>
      </c>
      <c r="Y108" s="60">
        <f>Y92-Y107</f>
        <v>607.80000000000007</v>
      </c>
      <c r="Z108" s="60">
        <f>Z92-Z107</f>
        <v>590.6</v>
      </c>
      <c r="AA108" s="60">
        <f t="shared" si="109"/>
        <v>337</v>
      </c>
      <c r="AB108" s="60">
        <f t="shared" ref="AB108:AC108" si="111">AB92-AB107</f>
        <v>568.6</v>
      </c>
      <c r="AC108" s="60">
        <f t="shared" si="111"/>
        <v>592.30000000000007</v>
      </c>
      <c r="AD108" s="60">
        <f t="shared" si="109"/>
        <v>656.6</v>
      </c>
      <c r="AE108" s="60">
        <f t="shared" ref="AE108:AF108" si="112">AE92-AE107</f>
        <v>668.6</v>
      </c>
      <c r="AF108" s="60">
        <f t="shared" si="112"/>
        <v>670.9</v>
      </c>
      <c r="AG108" s="88"/>
      <c r="AH108" s="47">
        <f t="shared" si="65"/>
        <v>720</v>
      </c>
      <c r="AI108" s="48">
        <f t="shared" si="66"/>
        <v>291.89999999999998</v>
      </c>
    </row>
    <row r="109" spans="1:64" x14ac:dyDescent="0.25">
      <c r="A109" s="100" t="s">
        <v>108</v>
      </c>
      <c r="B109" s="101">
        <v>50.058</v>
      </c>
      <c r="C109" s="101">
        <v>49.962000000000003</v>
      </c>
      <c r="D109" s="101">
        <v>49.893000000000001</v>
      </c>
      <c r="E109" s="101">
        <v>50.054000000000002</v>
      </c>
      <c r="F109" s="101">
        <v>50.045999999999999</v>
      </c>
      <c r="G109" s="101">
        <v>50.01</v>
      </c>
      <c r="H109" s="101">
        <v>49.965000000000003</v>
      </c>
      <c r="I109" s="101">
        <v>49.908999999999999</v>
      </c>
      <c r="J109" s="101">
        <v>49.832000000000001</v>
      </c>
      <c r="K109" s="101">
        <v>50.029000000000003</v>
      </c>
      <c r="L109" s="101">
        <v>50.034999999999997</v>
      </c>
      <c r="M109" s="101">
        <v>50.152000000000001</v>
      </c>
      <c r="N109" s="101">
        <v>50.094000000000001</v>
      </c>
      <c r="O109" s="101">
        <v>50.000999999999998</v>
      </c>
      <c r="P109" s="101">
        <v>49.988999999999997</v>
      </c>
      <c r="Q109" s="101">
        <v>49.901000000000003</v>
      </c>
      <c r="R109" s="101">
        <v>50.011000000000003</v>
      </c>
      <c r="S109" s="101">
        <v>50.067</v>
      </c>
      <c r="T109" s="101">
        <v>50.03</v>
      </c>
      <c r="U109" s="101">
        <v>49.97</v>
      </c>
      <c r="V109" s="101">
        <v>49.97</v>
      </c>
      <c r="W109" s="101">
        <v>49.984999999999999</v>
      </c>
      <c r="X109" s="101">
        <v>50.036000000000001</v>
      </c>
      <c r="Y109" s="101">
        <v>49.941000000000003</v>
      </c>
      <c r="Z109" s="101">
        <v>49.877000000000002</v>
      </c>
      <c r="AA109" s="101">
        <v>49.933999999999997</v>
      </c>
      <c r="AB109" s="101">
        <v>49.99</v>
      </c>
      <c r="AC109" s="101">
        <v>49.99</v>
      </c>
      <c r="AD109" s="101">
        <v>50.02</v>
      </c>
      <c r="AE109" s="101">
        <v>50.03</v>
      </c>
      <c r="AF109" s="101">
        <v>49.99</v>
      </c>
      <c r="AG109" s="102"/>
      <c r="AH109" s="47">
        <f t="shared" si="65"/>
        <v>50.152000000000001</v>
      </c>
      <c r="AI109" s="48">
        <f t="shared" si="66"/>
        <v>49.832000000000001</v>
      </c>
    </row>
    <row r="110" spans="1:64" x14ac:dyDescent="0.25">
      <c r="A110" s="103" t="s">
        <v>109</v>
      </c>
      <c r="B110" s="65">
        <v>130.80000000000001</v>
      </c>
      <c r="C110" s="65">
        <v>130.69999999999999</v>
      </c>
      <c r="D110" s="65">
        <v>129</v>
      </c>
      <c r="E110" s="65">
        <v>129.999</v>
      </c>
      <c r="F110" s="65">
        <v>130.69999999999999</v>
      </c>
      <c r="G110" s="65">
        <v>127.1</v>
      </c>
      <c r="H110" s="65">
        <v>127.4</v>
      </c>
      <c r="I110" s="65">
        <v>126.7</v>
      </c>
      <c r="J110" s="65">
        <v>122.8</v>
      </c>
      <c r="K110" s="65">
        <v>127.2</v>
      </c>
      <c r="L110" s="65">
        <v>127</v>
      </c>
      <c r="M110" s="65">
        <v>126.6</v>
      </c>
      <c r="N110" s="65">
        <v>124.9</v>
      </c>
      <c r="O110" s="65">
        <v>126</v>
      </c>
      <c r="P110" s="65">
        <v>123.9</v>
      </c>
      <c r="Q110" s="65">
        <v>126.4</v>
      </c>
      <c r="R110" s="65">
        <v>125.6</v>
      </c>
      <c r="S110" s="65">
        <v>125</v>
      </c>
      <c r="T110" s="65">
        <v>123.9</v>
      </c>
      <c r="U110" s="65">
        <v>124.6</v>
      </c>
      <c r="V110" s="65">
        <v>127.9</v>
      </c>
      <c r="W110" s="65">
        <v>127.4</v>
      </c>
      <c r="X110" s="65">
        <v>125.9</v>
      </c>
      <c r="Y110" s="65">
        <v>125.5</v>
      </c>
      <c r="Z110" s="65">
        <v>125.2</v>
      </c>
      <c r="AA110" s="65">
        <v>127.1</v>
      </c>
      <c r="AB110" s="65">
        <v>128.30000000000001</v>
      </c>
      <c r="AC110" s="65">
        <v>128.30000000000001</v>
      </c>
      <c r="AD110" s="65">
        <v>127</v>
      </c>
      <c r="AE110" s="65">
        <v>127.5</v>
      </c>
      <c r="AF110" s="65">
        <v>128.30000000000001</v>
      </c>
      <c r="AG110" s="104"/>
      <c r="AH110" s="47">
        <f t="shared" si="65"/>
        <v>130.80000000000001</v>
      </c>
      <c r="AI110" s="48">
        <f t="shared" si="66"/>
        <v>122.8</v>
      </c>
    </row>
    <row r="111" spans="1:64" x14ac:dyDescent="0.25">
      <c r="A111" s="103" t="s">
        <v>110</v>
      </c>
      <c r="B111" s="65">
        <v>134</v>
      </c>
      <c r="C111" s="65">
        <v>134</v>
      </c>
      <c r="D111" s="65">
        <v>133</v>
      </c>
      <c r="E111" s="65">
        <v>133.5</v>
      </c>
      <c r="F111" s="65">
        <v>133.9</v>
      </c>
      <c r="G111" s="65">
        <v>130.69999999999999</v>
      </c>
      <c r="H111" s="65">
        <v>129.99</v>
      </c>
      <c r="I111" s="65">
        <v>129.9</v>
      </c>
      <c r="J111" s="65">
        <v>125.9</v>
      </c>
      <c r="K111" s="65">
        <v>128.80000000000001</v>
      </c>
      <c r="L111" s="65">
        <v>128.30000000000001</v>
      </c>
      <c r="M111" s="65">
        <v>128</v>
      </c>
      <c r="N111" s="65">
        <v>127</v>
      </c>
      <c r="O111" s="65">
        <v>128</v>
      </c>
      <c r="P111" s="65">
        <v>126.5</v>
      </c>
      <c r="Q111" s="65">
        <v>129.30000000000001</v>
      </c>
      <c r="R111" s="65">
        <v>128.9</v>
      </c>
      <c r="S111" s="65">
        <v>128.5</v>
      </c>
      <c r="T111" s="65">
        <v>127</v>
      </c>
      <c r="U111" s="65">
        <v>128</v>
      </c>
      <c r="V111" s="65">
        <v>130.80000000000001</v>
      </c>
      <c r="W111" s="65">
        <v>130.19999999999999</v>
      </c>
      <c r="X111" s="65">
        <v>128.9</v>
      </c>
      <c r="Y111" s="65">
        <v>127.8</v>
      </c>
      <c r="Z111" s="65">
        <v>127.4</v>
      </c>
      <c r="AA111" s="65">
        <v>129.5</v>
      </c>
      <c r="AB111" s="65">
        <v>130.6</v>
      </c>
      <c r="AC111" s="65">
        <v>130.6</v>
      </c>
      <c r="AD111" s="65">
        <v>130.1</v>
      </c>
      <c r="AE111" s="65">
        <v>131.19999999999999</v>
      </c>
      <c r="AF111" s="65">
        <v>132.6</v>
      </c>
      <c r="AG111" s="104"/>
      <c r="AH111" s="47">
        <f t="shared" si="65"/>
        <v>134</v>
      </c>
      <c r="AI111" s="48">
        <f t="shared" si="66"/>
        <v>125.9</v>
      </c>
    </row>
    <row r="112" spans="1:64" x14ac:dyDescent="0.25">
      <c r="A112" s="103" t="s">
        <v>111</v>
      </c>
      <c r="B112" s="65">
        <v>130.1</v>
      </c>
      <c r="C112" s="65">
        <v>131.19999999999999</v>
      </c>
      <c r="D112" s="65">
        <v>128</v>
      </c>
      <c r="E112" s="65">
        <v>130</v>
      </c>
      <c r="F112" s="65">
        <v>128.5</v>
      </c>
      <c r="G112" s="65">
        <v>124.7</v>
      </c>
      <c r="H112" s="65">
        <v>128</v>
      </c>
      <c r="I112" s="65">
        <v>123.2</v>
      </c>
      <c r="J112" s="65">
        <v>122.7</v>
      </c>
      <c r="K112" s="65">
        <v>128.80000000000001</v>
      </c>
      <c r="L112" s="65">
        <v>127.8</v>
      </c>
      <c r="M112" s="65">
        <v>127.8</v>
      </c>
      <c r="N112" s="65">
        <v>130.19999999999999</v>
      </c>
      <c r="O112" s="65">
        <v>126.3</v>
      </c>
      <c r="P112" s="65">
        <v>125.1</v>
      </c>
      <c r="Q112" s="65">
        <v>126.3</v>
      </c>
      <c r="R112" s="65">
        <v>125.9</v>
      </c>
      <c r="S112" s="65">
        <v>128.1</v>
      </c>
      <c r="T112" s="65">
        <v>126.5</v>
      </c>
      <c r="U112" s="65">
        <v>124.6</v>
      </c>
      <c r="V112" s="65">
        <v>128.80000000000001</v>
      </c>
      <c r="W112" s="65">
        <v>126.9</v>
      </c>
      <c r="X112" s="65">
        <v>127.1</v>
      </c>
      <c r="Y112" s="65">
        <v>128.19999999999999</v>
      </c>
      <c r="Z112" s="65">
        <v>128.9</v>
      </c>
      <c r="AA112" s="65">
        <v>131.19999999999999</v>
      </c>
      <c r="AB112" s="65">
        <v>132.6</v>
      </c>
      <c r="AC112" s="65">
        <v>132.6</v>
      </c>
      <c r="AD112" s="65">
        <v>127.3</v>
      </c>
      <c r="AE112" s="65">
        <v>128</v>
      </c>
      <c r="AF112" s="65">
        <v>129.5</v>
      </c>
      <c r="AG112" s="104"/>
      <c r="AH112" s="47">
        <f t="shared" si="65"/>
        <v>132.6</v>
      </c>
      <c r="AI112" s="48">
        <f t="shared" si="66"/>
        <v>122.7</v>
      </c>
    </row>
    <row r="113" spans="1:35" x14ac:dyDescent="0.25">
      <c r="A113" s="105" t="s">
        <v>112</v>
      </c>
      <c r="B113" s="65">
        <v>132.69999999999999</v>
      </c>
      <c r="C113" s="65">
        <v>133</v>
      </c>
      <c r="D113" s="65">
        <v>130</v>
      </c>
      <c r="E113" s="65">
        <v>133.1</v>
      </c>
      <c r="F113" s="65">
        <v>130.19999999999999</v>
      </c>
      <c r="G113" s="65">
        <v>128.9</v>
      </c>
      <c r="H113" s="65">
        <v>131.69999999999999</v>
      </c>
      <c r="I113" s="65">
        <v>127.8</v>
      </c>
      <c r="J113" s="65">
        <v>125.9</v>
      </c>
      <c r="K113" s="65">
        <v>130.1</v>
      </c>
      <c r="L113" s="65">
        <v>128.19999999999999</v>
      </c>
      <c r="M113" s="65">
        <v>128.1</v>
      </c>
      <c r="N113" s="65">
        <v>130.80000000000001</v>
      </c>
      <c r="O113" s="65">
        <v>126.3</v>
      </c>
      <c r="P113" s="65">
        <v>125.1</v>
      </c>
      <c r="Q113" s="65">
        <v>127.6</v>
      </c>
      <c r="R113" s="65">
        <v>126.2</v>
      </c>
      <c r="S113" s="65">
        <v>129.5</v>
      </c>
      <c r="T113" s="65">
        <v>127</v>
      </c>
      <c r="U113" s="65">
        <v>125.6</v>
      </c>
      <c r="V113" s="65">
        <v>128.80000000000001</v>
      </c>
      <c r="W113" s="65">
        <v>126</v>
      </c>
      <c r="X113" s="65">
        <v>124.7</v>
      </c>
      <c r="Y113" s="65">
        <v>125.9</v>
      </c>
      <c r="Z113" s="65">
        <v>127.3</v>
      </c>
      <c r="AA113" s="65">
        <v>130.6</v>
      </c>
      <c r="AB113" s="65">
        <v>133.5</v>
      </c>
      <c r="AC113" s="65">
        <v>133.5</v>
      </c>
      <c r="AD113" s="65">
        <v>129.4</v>
      </c>
      <c r="AE113" s="65">
        <v>129.1</v>
      </c>
      <c r="AF113" s="65">
        <v>131.69999999999999</v>
      </c>
      <c r="AG113" s="104"/>
      <c r="AH113" s="47">
        <f t="shared" si="65"/>
        <v>133.5</v>
      </c>
      <c r="AI113" s="48">
        <f t="shared" si="66"/>
        <v>124.7</v>
      </c>
    </row>
    <row r="114" spans="1:35" x14ac:dyDescent="0.25">
      <c r="A114" s="105" t="s">
        <v>113</v>
      </c>
      <c r="B114" s="106">
        <v>133.5</v>
      </c>
      <c r="C114" s="106">
        <v>135.80000000000001</v>
      </c>
      <c r="D114" s="106">
        <v>132</v>
      </c>
      <c r="E114" s="106">
        <v>131.80000000000001</v>
      </c>
      <c r="F114" s="106">
        <v>132</v>
      </c>
      <c r="G114" s="106">
        <v>128.30000000000001</v>
      </c>
      <c r="H114" s="106">
        <v>132.1</v>
      </c>
      <c r="I114" s="106">
        <v>132.1</v>
      </c>
      <c r="J114" s="106">
        <v>130.9</v>
      </c>
      <c r="K114" s="106">
        <v>136.5</v>
      </c>
      <c r="L114" s="106">
        <v>136</v>
      </c>
      <c r="M114" s="106">
        <v>135.80000000000001</v>
      </c>
      <c r="N114" s="106">
        <v>132.1</v>
      </c>
      <c r="O114" s="106">
        <v>133</v>
      </c>
      <c r="P114" s="106">
        <v>132.4</v>
      </c>
      <c r="Q114" s="106">
        <v>135.6</v>
      </c>
      <c r="R114" s="106">
        <v>134.9</v>
      </c>
      <c r="S114" s="106">
        <v>135</v>
      </c>
      <c r="T114" s="106">
        <v>133.6</v>
      </c>
      <c r="U114" s="106">
        <v>133.69999999999999</v>
      </c>
      <c r="V114" s="106">
        <v>135.19999999999999</v>
      </c>
      <c r="W114" s="106">
        <v>135.4</v>
      </c>
      <c r="X114" s="106">
        <v>134.5</v>
      </c>
      <c r="Y114" s="106">
        <v>134.69999999999999</v>
      </c>
      <c r="Z114" s="106">
        <v>133.69999999999999</v>
      </c>
      <c r="AA114" s="106">
        <v>135</v>
      </c>
      <c r="AB114" s="106">
        <v>137.80000000000001</v>
      </c>
      <c r="AC114" s="106">
        <v>137.80000000000001</v>
      </c>
      <c r="AD114" s="106">
        <v>133.30000000000001</v>
      </c>
      <c r="AE114" s="106">
        <v>132.80000000000001</v>
      </c>
      <c r="AF114" s="106">
        <v>131.4</v>
      </c>
      <c r="AG114" s="107"/>
      <c r="AH114" s="47">
        <f t="shared" ref="AH114:AH130" si="113">MAX(B114:AF114)</f>
        <v>137.80000000000001</v>
      </c>
      <c r="AI114" s="48">
        <f t="shared" ref="AI114:AI130" si="114">MIN(B114:AF114)</f>
        <v>128.30000000000001</v>
      </c>
    </row>
    <row r="115" spans="1:35" x14ac:dyDescent="0.25">
      <c r="A115" s="103" t="s">
        <v>114</v>
      </c>
      <c r="B115" s="65">
        <v>132.6</v>
      </c>
      <c r="C115" s="65">
        <v>132.6</v>
      </c>
      <c r="D115" s="65">
        <v>127</v>
      </c>
      <c r="E115" s="65">
        <v>133.80000000000001</v>
      </c>
      <c r="F115" s="65">
        <v>132.30000000000001</v>
      </c>
      <c r="G115" s="65">
        <v>130.69999999999999</v>
      </c>
      <c r="H115" s="65">
        <v>126.8</v>
      </c>
      <c r="I115" s="65">
        <v>126.6</v>
      </c>
      <c r="J115" s="65">
        <v>125.9</v>
      </c>
      <c r="K115" s="65">
        <v>128.6</v>
      </c>
      <c r="L115" s="65">
        <v>127.5</v>
      </c>
      <c r="M115" s="65">
        <v>131.35</v>
      </c>
      <c r="N115" s="65">
        <v>130.6</v>
      </c>
      <c r="O115" s="65">
        <v>129.1</v>
      </c>
      <c r="P115" s="65">
        <v>127.4</v>
      </c>
      <c r="Q115" s="65">
        <v>131.19999999999999</v>
      </c>
      <c r="R115" s="65">
        <v>133.4</v>
      </c>
      <c r="S115" s="65">
        <v>131.69999999999999</v>
      </c>
      <c r="T115" s="65">
        <v>132</v>
      </c>
      <c r="U115" s="65">
        <v>124</v>
      </c>
      <c r="V115" s="65">
        <v>133.1</v>
      </c>
      <c r="W115" s="65">
        <v>134.6</v>
      </c>
      <c r="X115" s="65">
        <v>135</v>
      </c>
      <c r="Y115" s="65">
        <v>134.4</v>
      </c>
      <c r="Z115" s="65">
        <v>130.9</v>
      </c>
      <c r="AA115" s="65">
        <v>133</v>
      </c>
      <c r="AB115" s="65">
        <v>130.19999999999999</v>
      </c>
      <c r="AC115" s="65">
        <v>130.19999999999999</v>
      </c>
      <c r="AD115" s="65">
        <v>132.69999999999999</v>
      </c>
      <c r="AE115" s="65">
        <v>128.69999999999999</v>
      </c>
      <c r="AF115" s="65">
        <v>10.6</v>
      </c>
      <c r="AG115" s="104"/>
      <c r="AH115" s="47">
        <f t="shared" si="113"/>
        <v>135</v>
      </c>
      <c r="AI115" s="48">
        <f t="shared" si="114"/>
        <v>10.6</v>
      </c>
    </row>
    <row r="116" spans="1:35" ht="15.75" thickBot="1" x14ac:dyDescent="0.3">
      <c r="A116" s="103" t="s">
        <v>115</v>
      </c>
      <c r="B116" s="92">
        <v>67.5</v>
      </c>
      <c r="C116" s="92">
        <v>67.599999999999994</v>
      </c>
      <c r="D116" s="92">
        <v>67</v>
      </c>
      <c r="E116" s="92">
        <v>67.099999999999994</v>
      </c>
      <c r="F116" s="92">
        <v>67.599999999999994</v>
      </c>
      <c r="G116" s="92">
        <v>66</v>
      </c>
      <c r="H116" s="92">
        <v>65.900000000000006</v>
      </c>
      <c r="I116" s="92">
        <v>65.3</v>
      </c>
      <c r="J116" s="92">
        <v>63.3</v>
      </c>
      <c r="K116" s="92">
        <v>64.599999999999994</v>
      </c>
      <c r="L116" s="92">
        <v>64.2</v>
      </c>
      <c r="M116" s="92">
        <v>64</v>
      </c>
      <c r="N116" s="92">
        <v>63.7</v>
      </c>
      <c r="O116" s="92">
        <v>64.099999999999994</v>
      </c>
      <c r="P116" s="92">
        <v>63.4</v>
      </c>
      <c r="Q116" s="92">
        <v>64.8</v>
      </c>
      <c r="R116" s="92">
        <v>64.7</v>
      </c>
      <c r="S116" s="92">
        <v>64.2</v>
      </c>
      <c r="T116" s="92">
        <v>63.6</v>
      </c>
      <c r="U116" s="92">
        <v>64.3</v>
      </c>
      <c r="V116" s="92">
        <v>65.599999999999994</v>
      </c>
      <c r="W116" s="92">
        <v>65.2</v>
      </c>
      <c r="X116" s="92">
        <v>64.5</v>
      </c>
      <c r="Y116" s="92">
        <v>63.9</v>
      </c>
      <c r="Z116" s="92">
        <v>63.8</v>
      </c>
      <c r="AA116" s="92">
        <v>65.099999999999994</v>
      </c>
      <c r="AB116" s="92">
        <v>65.099999999999994</v>
      </c>
      <c r="AC116" s="92">
        <v>65.099999999999994</v>
      </c>
      <c r="AD116" s="92">
        <v>65.099999999999994</v>
      </c>
      <c r="AE116" s="92">
        <v>66</v>
      </c>
      <c r="AF116" s="92">
        <v>66.8</v>
      </c>
      <c r="AG116" s="108"/>
      <c r="AH116" s="47">
        <f t="shared" si="113"/>
        <v>67.599999999999994</v>
      </c>
      <c r="AI116" s="48">
        <f t="shared" si="114"/>
        <v>63.3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13"/>
        <v>0</v>
      </c>
      <c r="AI117" s="48">
        <f t="shared" si="114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152.94</v>
      </c>
      <c r="C118" s="111">
        <f>SUM(C22,C28,C31:C32,C66,C68:C69,C71,C73,C119:C123,C155,C161,C167,C176,C178,C190,C197,C200:C201,C208,C210,C212,C216:C218,C220:C222,C227,C233:C234,C236:C238,C246,C251)</f>
        <v>145.04</v>
      </c>
      <c r="D118" s="111">
        <f t="shared" ref="D118:O118" si="115">SUM(D22,D28,D31:D32,D66,D68:D69,D71,D73,D119:D123,D155,D161,D167,D176,D178,D190,D197,D200:D201,D208,D210,D212,D216:D218,D220:D222,D227,D233:D234,D236:D238,D246,D251)</f>
        <v>120.53999999999999</v>
      </c>
      <c r="E118" s="111">
        <f t="shared" si="115"/>
        <v>134.58799999999999</v>
      </c>
      <c r="F118" s="111">
        <f t="shared" si="115"/>
        <v>142.88800000000001</v>
      </c>
      <c r="G118" s="111">
        <f t="shared" si="115"/>
        <v>177.14399999999998</v>
      </c>
      <c r="H118" s="111">
        <f t="shared" si="115"/>
        <v>206.35999999999996</v>
      </c>
      <c r="I118" s="111">
        <f t="shared" si="115"/>
        <v>241.596</v>
      </c>
      <c r="J118" s="111">
        <f t="shared" si="115"/>
        <v>319.71599999999995</v>
      </c>
      <c r="K118" s="111">
        <f t="shared" si="115"/>
        <v>353.10399999999998</v>
      </c>
      <c r="L118" s="111">
        <f t="shared" si="115"/>
        <v>374.59999999999997</v>
      </c>
      <c r="M118" s="111">
        <f t="shared" si="115"/>
        <v>377.04399999999993</v>
      </c>
      <c r="N118" s="111">
        <f t="shared" si="115"/>
        <v>359.03000000000003</v>
      </c>
      <c r="O118" s="111">
        <f t="shared" si="115"/>
        <v>336.822</v>
      </c>
      <c r="P118" s="111">
        <v>42</v>
      </c>
      <c r="Q118" s="111">
        <f t="shared" ref="Q118:AD118" si="116">SUM(Q22,Q28,Q31:Q32,Q66,Q68:Q69,Q71,Q73,Q119:Q123,Q155,Q161,Q167,Q176,Q178,Q190,Q197,Q200:Q201,Q208,Q210,Q212,Q216:Q218,Q220:Q222,Q227,Q233:Q234,Q236:Q238,Q246,Q251)</f>
        <v>313.02500000000003</v>
      </c>
      <c r="R118" s="111">
        <f t="shared" si="116"/>
        <v>300.30199999999996</v>
      </c>
      <c r="S118" s="111">
        <f t="shared" si="116"/>
        <v>293.67</v>
      </c>
      <c r="T118" s="111">
        <f t="shared" ref="T118:U118" si="117">SUM(T22,T28,T31:T32,T66,T68:T69,T71,T73,T119:T123,T155,T161,T167,T176,T178,T190,T197,T200:T201,T208,T210,T212,T216:T218,T220:T222,T227,T233:T234,T236:T238,T246,T251)</f>
        <v>278.43</v>
      </c>
      <c r="U118" s="111">
        <f t="shared" si="117"/>
        <v>293.52000000000004</v>
      </c>
      <c r="V118" s="111">
        <f t="shared" si="116"/>
        <v>302.05</v>
      </c>
      <c r="W118" s="111">
        <f t="shared" si="116"/>
        <v>314.54000000000002</v>
      </c>
      <c r="X118" s="111">
        <f t="shared" si="116"/>
        <v>346.84</v>
      </c>
      <c r="Y118" s="111">
        <f t="shared" ref="Y118:Z118" si="118">SUM(Y20,Y26,Y37:Y38,Y66,Y68:Y69,Y71,Y73,Y119:Y123,Y148,Y154,Y160,Y169,Y171,Y183,Y190,Y193:Y194,Y201,Y203,Y205,Y209:Y211,Y213:Y215,Y220,Y226:Y227,Y229:Y231,Y239,Y244)</f>
        <v>407.20000000000005</v>
      </c>
      <c r="Z118" s="111">
        <f t="shared" si="118"/>
        <v>427.9</v>
      </c>
      <c r="AA118" s="111">
        <f t="shared" si="116"/>
        <v>404.82</v>
      </c>
      <c r="AB118" s="111">
        <f t="shared" ref="AB118:AC118" si="119">SUM(AB22,AB28,AB31:AB32,AB66,AB68:AB69,AB71,AB73,AB119:AB123,AB155,AB161,AB167,AB176,AB178,AB190,AB197,AB200:AB201,AB208,AB210,AB212,AB216:AB218,AB220:AB222,AB227,AB233:AB234,AB236:AB238,AB246,AB251)</f>
        <v>375.08</v>
      </c>
      <c r="AC118" s="111">
        <f t="shared" si="119"/>
        <v>356.44</v>
      </c>
      <c r="AD118" s="111">
        <f t="shared" si="116"/>
        <v>321.45999999999998</v>
      </c>
      <c r="AE118" s="111">
        <f t="shared" ref="AE118:AF118" si="120">SUM(AE22,AE28,AE31:AE32,AE66,AE68:AE69,AE71,AE73,AE119:AE123,AE155,AE161,AE167,AE176,AE178,AE190,AE197,AE200:AE201,AE208,AE210,AE212,AE216:AE218,AE220:AE222,AE227,AE233:AE234,AE236:AE238,AE246,AE251)</f>
        <v>238.33999999999997</v>
      </c>
      <c r="AF118" s="111">
        <f t="shared" si="120"/>
        <v>185.48000000000002</v>
      </c>
      <c r="AG118" s="112"/>
      <c r="AH118" s="47">
        <f t="shared" si="113"/>
        <v>427.9</v>
      </c>
      <c r="AI118" s="48">
        <f t="shared" si="114"/>
        <v>42</v>
      </c>
    </row>
    <row r="119" spans="1:35" x14ac:dyDescent="0.25">
      <c r="A119" s="172" t="s">
        <v>118</v>
      </c>
      <c r="B119" s="113">
        <v>-4</v>
      </c>
      <c r="C119" s="113">
        <v>-6</v>
      </c>
      <c r="D119" s="113">
        <v>-15</v>
      </c>
      <c r="E119" s="113">
        <v>-13</v>
      </c>
      <c r="F119" s="113">
        <v>-11.6</v>
      </c>
      <c r="G119" s="113">
        <v>-16</v>
      </c>
      <c r="H119" s="113">
        <v>-5.4</v>
      </c>
      <c r="I119" s="113">
        <v>6</v>
      </c>
      <c r="J119" s="113">
        <v>17.5</v>
      </c>
      <c r="K119" s="113">
        <v>23.6</v>
      </c>
      <c r="L119" s="113">
        <v>29.6</v>
      </c>
      <c r="M119" s="113">
        <v>32</v>
      </c>
      <c r="N119" s="113">
        <v>21</v>
      </c>
      <c r="O119" s="113">
        <v>26</v>
      </c>
      <c r="P119" s="113">
        <v>25.6</v>
      </c>
      <c r="Q119" s="113">
        <v>23.9</v>
      </c>
      <c r="R119" s="113">
        <v>21</v>
      </c>
      <c r="S119" s="113">
        <v>21</v>
      </c>
      <c r="T119" s="113">
        <v>18</v>
      </c>
      <c r="U119" s="113">
        <v>16</v>
      </c>
      <c r="V119" s="113">
        <v>28</v>
      </c>
      <c r="W119" s="113">
        <v>17.100000000000001</v>
      </c>
      <c r="X119" s="113">
        <v>18</v>
      </c>
      <c r="Y119" s="113">
        <v>36</v>
      </c>
      <c r="Z119" s="113">
        <v>39.200000000000003</v>
      </c>
      <c r="AA119" s="113">
        <v>37.1</v>
      </c>
      <c r="AB119" s="113">
        <v>30.4</v>
      </c>
      <c r="AC119" s="113">
        <v>20.100000000000001</v>
      </c>
      <c r="AD119" s="113">
        <v>20.100000000000001</v>
      </c>
      <c r="AE119" s="113">
        <v>8.1</v>
      </c>
      <c r="AF119" s="113">
        <v>1.2</v>
      </c>
      <c r="AG119" s="114">
        <v>75</v>
      </c>
      <c r="AH119" s="47">
        <f t="shared" si="113"/>
        <v>39.200000000000003</v>
      </c>
      <c r="AI119" s="48">
        <f t="shared" si="114"/>
        <v>-16</v>
      </c>
    </row>
    <row r="120" spans="1:35" x14ac:dyDescent="0.25">
      <c r="A120" s="173" t="s">
        <v>119</v>
      </c>
      <c r="B120" s="115">
        <v>-9.6</v>
      </c>
      <c r="C120" s="115">
        <v>-11.5</v>
      </c>
      <c r="D120" s="115">
        <v>-25</v>
      </c>
      <c r="E120" s="115">
        <v>-20.6</v>
      </c>
      <c r="F120" s="115">
        <v>-18.899999999999999</v>
      </c>
      <c r="G120" s="115">
        <v>-24.5</v>
      </c>
      <c r="H120" s="115">
        <v>-11.2</v>
      </c>
      <c r="I120" s="115">
        <v>3.1</v>
      </c>
      <c r="J120" s="115">
        <v>16.899999999999999</v>
      </c>
      <c r="K120" s="115">
        <v>31.1</v>
      </c>
      <c r="L120" s="115">
        <v>38.1</v>
      </c>
      <c r="M120" s="115">
        <v>43.3</v>
      </c>
      <c r="N120" s="115">
        <v>28.6</v>
      </c>
      <c r="O120" s="115">
        <v>34</v>
      </c>
      <c r="P120" s="115">
        <v>27.9</v>
      </c>
      <c r="Q120" s="115">
        <v>30.1</v>
      </c>
      <c r="R120" s="115">
        <v>24.7</v>
      </c>
      <c r="S120" s="115">
        <v>25</v>
      </c>
      <c r="T120" s="115">
        <v>17</v>
      </c>
      <c r="U120" s="115">
        <v>17.600000000000001</v>
      </c>
      <c r="V120" s="115">
        <v>34.700000000000003</v>
      </c>
      <c r="W120" s="115">
        <v>22</v>
      </c>
      <c r="X120" s="115">
        <v>23.1</v>
      </c>
      <c r="Y120" s="115">
        <v>46.5</v>
      </c>
      <c r="Z120" s="115">
        <v>50.6</v>
      </c>
      <c r="AA120" s="115">
        <v>50.3</v>
      </c>
      <c r="AB120" s="115">
        <v>40.5</v>
      </c>
      <c r="AC120" s="115">
        <v>27.1</v>
      </c>
      <c r="AD120" s="115">
        <v>20.100000000000001</v>
      </c>
      <c r="AE120" s="115">
        <v>7</v>
      </c>
      <c r="AF120" s="115">
        <v>-2.5</v>
      </c>
      <c r="AG120" s="114">
        <v>240</v>
      </c>
      <c r="AH120" s="47">
        <f t="shared" si="113"/>
        <v>50.6</v>
      </c>
      <c r="AI120" s="48">
        <f t="shared" si="114"/>
        <v>-25</v>
      </c>
    </row>
    <row r="121" spans="1:35" x14ac:dyDescent="0.25">
      <c r="A121" s="173" t="s">
        <v>120</v>
      </c>
      <c r="B121" s="115">
        <v>-10</v>
      </c>
      <c r="C121" s="115">
        <v>-14</v>
      </c>
      <c r="D121" s="115">
        <v>-9</v>
      </c>
      <c r="E121" s="115">
        <v>-13.1</v>
      </c>
      <c r="F121" s="115">
        <v>-9.6</v>
      </c>
      <c r="G121" s="115">
        <v>3</v>
      </c>
      <c r="H121" s="115">
        <v>3.6</v>
      </c>
      <c r="I121" s="115">
        <v>6.4</v>
      </c>
      <c r="J121" s="115">
        <v>25.2</v>
      </c>
      <c r="K121" s="115">
        <v>39.6</v>
      </c>
      <c r="L121" s="115">
        <v>44.5</v>
      </c>
      <c r="M121" s="115">
        <v>43.9</v>
      </c>
      <c r="N121" s="115">
        <v>44</v>
      </c>
      <c r="O121" s="115">
        <v>31</v>
      </c>
      <c r="P121" s="115">
        <v>27</v>
      </c>
      <c r="Q121" s="115">
        <v>15.4</v>
      </c>
      <c r="R121" s="115">
        <v>12.3</v>
      </c>
      <c r="S121" s="115">
        <v>14</v>
      </c>
      <c r="T121" s="115">
        <v>18</v>
      </c>
      <c r="U121" s="115">
        <v>19</v>
      </c>
      <c r="V121" s="115">
        <v>28</v>
      </c>
      <c r="W121" s="115">
        <v>42</v>
      </c>
      <c r="X121" s="115">
        <v>50</v>
      </c>
      <c r="Y121" s="115">
        <v>58</v>
      </c>
      <c r="Z121" s="115">
        <v>63</v>
      </c>
      <c r="AA121" s="115">
        <v>53</v>
      </c>
      <c r="AB121" s="115">
        <v>57</v>
      </c>
      <c r="AC121" s="115">
        <f>26.2+28.7</f>
        <v>54.9</v>
      </c>
      <c r="AD121" s="115">
        <f>20.7+22.4</f>
        <v>43.099999999999994</v>
      </c>
      <c r="AE121" s="115">
        <v>13</v>
      </c>
      <c r="AF121" s="115">
        <f>-1.4-1.9</f>
        <v>-3.3</v>
      </c>
      <c r="AG121" s="114">
        <v>240</v>
      </c>
      <c r="AH121" s="47">
        <f t="shared" si="113"/>
        <v>63</v>
      </c>
      <c r="AI121" s="48">
        <f t="shared" si="114"/>
        <v>-14</v>
      </c>
    </row>
    <row r="122" spans="1:35" ht="15.75" thickBot="1" x14ac:dyDescent="0.3">
      <c r="A122" s="173" t="s">
        <v>121</v>
      </c>
      <c r="B122" s="115">
        <v>-4</v>
      </c>
      <c r="C122" s="115">
        <v>-4</v>
      </c>
      <c r="D122" s="115">
        <v>-6</v>
      </c>
      <c r="E122" s="115">
        <v>-7.2</v>
      </c>
      <c r="F122" s="115">
        <v>-1.4</v>
      </c>
      <c r="G122" s="115">
        <v>0.9</v>
      </c>
      <c r="H122" s="115">
        <v>-1.6</v>
      </c>
      <c r="I122" s="115">
        <v>1.2</v>
      </c>
      <c r="J122" s="115">
        <v>4.9000000000000004</v>
      </c>
      <c r="K122" s="115">
        <v>21.1</v>
      </c>
      <c r="L122" s="115">
        <v>24.9</v>
      </c>
      <c r="M122" s="115">
        <v>22.1</v>
      </c>
      <c r="N122" s="115">
        <v>20</v>
      </c>
      <c r="O122" s="115">
        <v>17</v>
      </c>
      <c r="P122" s="115">
        <v>8.1</v>
      </c>
      <c r="Q122" s="115">
        <v>7.8</v>
      </c>
      <c r="R122" s="115">
        <v>2.6</v>
      </c>
      <c r="S122" s="115">
        <v>2</v>
      </c>
      <c r="T122" s="115">
        <v>4</v>
      </c>
      <c r="U122" s="115">
        <v>5</v>
      </c>
      <c r="V122" s="115">
        <v>9</v>
      </c>
      <c r="W122" s="115">
        <v>21</v>
      </c>
      <c r="X122" s="115">
        <v>23</v>
      </c>
      <c r="Y122" s="115">
        <v>28</v>
      </c>
      <c r="Z122" s="115">
        <v>30</v>
      </c>
      <c r="AA122" s="115">
        <v>28</v>
      </c>
      <c r="AB122" s="115">
        <v>28.2</v>
      </c>
      <c r="AC122" s="115">
        <v>26.7</v>
      </c>
      <c r="AD122" s="115">
        <v>13.8</v>
      </c>
      <c r="AE122" s="115">
        <v>3</v>
      </c>
      <c r="AF122" s="115">
        <v>-2.7</v>
      </c>
      <c r="AG122" s="114">
        <v>60</v>
      </c>
      <c r="AH122" s="47">
        <f t="shared" si="113"/>
        <v>30</v>
      </c>
      <c r="AI122" s="48">
        <f t="shared" si="114"/>
        <v>-7.2</v>
      </c>
    </row>
    <row r="123" spans="1:35" x14ac:dyDescent="0.25">
      <c r="A123" s="172" t="s">
        <v>259</v>
      </c>
      <c r="B123" s="117">
        <v>90</v>
      </c>
      <c r="C123" s="117">
        <v>90</v>
      </c>
      <c r="D123" s="117">
        <v>85</v>
      </c>
      <c r="E123" s="117">
        <f>1.64*60.7</f>
        <v>99.548000000000002</v>
      </c>
      <c r="F123" s="117">
        <f>1.64*58.2</f>
        <v>95.447999999999993</v>
      </c>
      <c r="G123" s="117">
        <f>1.64*76.1</f>
        <v>124.80399999999999</v>
      </c>
      <c r="H123" s="117">
        <f>1.64*80.5</f>
        <v>132.01999999999998</v>
      </c>
      <c r="I123" s="117">
        <f>1.64*82.9</f>
        <v>135.95599999999999</v>
      </c>
      <c r="J123" s="117">
        <f>1.64*100.9</f>
        <v>165.476</v>
      </c>
      <c r="K123" s="117">
        <f>1.64*90.1</f>
        <v>147.76399999999998</v>
      </c>
      <c r="L123" s="117">
        <f>1.64*89</f>
        <v>145.95999999999998</v>
      </c>
      <c r="M123" s="117">
        <f>1.64*86.1</f>
        <v>141.20399999999998</v>
      </c>
      <c r="N123" s="117">
        <f>87*1.67</f>
        <v>145.29</v>
      </c>
      <c r="O123" s="117">
        <f>74.6*1.67</f>
        <v>124.58199999999998</v>
      </c>
      <c r="P123" s="117">
        <f>88.6*1.67</f>
        <v>147.96199999999999</v>
      </c>
      <c r="Q123" s="117">
        <f>75.5*1.67</f>
        <v>126.08499999999999</v>
      </c>
      <c r="R123" s="117">
        <f>78.6*1.67</f>
        <v>131.26199999999997</v>
      </c>
      <c r="S123" s="117">
        <f>78*1.6</f>
        <v>124.80000000000001</v>
      </c>
      <c r="T123" s="117">
        <v>120</v>
      </c>
      <c r="U123" s="117">
        <v>140</v>
      </c>
      <c r="V123" s="117">
        <f>70*1.6</f>
        <v>112</v>
      </c>
      <c r="W123" s="117">
        <f>77*1.6</f>
        <v>123.2</v>
      </c>
      <c r="X123" s="117">
        <f>90*1.6</f>
        <v>144</v>
      </c>
      <c r="Y123" s="117">
        <f>91*1.6</f>
        <v>145.6</v>
      </c>
      <c r="Z123" s="117">
        <f>95*1.6</f>
        <v>152</v>
      </c>
      <c r="AA123" s="117">
        <f>92.3*1.6</f>
        <v>147.68</v>
      </c>
      <c r="AB123" s="117">
        <f>81.4*1.6</f>
        <v>130.24</v>
      </c>
      <c r="AC123" s="117">
        <f>89*1.6</f>
        <v>142.4</v>
      </c>
      <c r="AD123" s="117">
        <f>85.7*1.6</f>
        <v>137.12</v>
      </c>
      <c r="AE123" s="117">
        <v>120</v>
      </c>
      <c r="AF123" s="117">
        <f>63.4*1.6</f>
        <v>101.44</v>
      </c>
      <c r="AG123" s="118">
        <v>120</v>
      </c>
      <c r="AH123" s="47">
        <f t="shared" si="113"/>
        <v>165.476</v>
      </c>
      <c r="AI123" s="48">
        <f t="shared" si="114"/>
        <v>85</v>
      </c>
    </row>
    <row r="124" spans="1:35" x14ac:dyDescent="0.25">
      <c r="A124" s="173" t="s">
        <v>258</v>
      </c>
      <c r="B124" s="117">
        <v>71</v>
      </c>
      <c r="C124" s="117">
        <v>70</v>
      </c>
      <c r="D124" s="117">
        <v>74</v>
      </c>
      <c r="E124" s="117">
        <v>72.3</v>
      </c>
      <c r="F124" s="117">
        <v>70</v>
      </c>
      <c r="G124" s="117">
        <v>84</v>
      </c>
      <c r="H124" s="117">
        <v>88</v>
      </c>
      <c r="I124" s="117">
        <v>90.4</v>
      </c>
      <c r="J124" s="117">
        <v>105.1</v>
      </c>
      <c r="K124" s="117">
        <v>96</v>
      </c>
      <c r="L124" s="117">
        <v>96.2</v>
      </c>
      <c r="M124" s="117">
        <v>93.1</v>
      </c>
      <c r="N124" s="117">
        <v>93.2</v>
      </c>
      <c r="O124" s="117">
        <v>76.7</v>
      </c>
      <c r="P124" s="117">
        <v>88.9</v>
      </c>
      <c r="Q124" s="117">
        <v>83.1</v>
      </c>
      <c r="R124" s="117">
        <v>86.2</v>
      </c>
      <c r="S124" s="117">
        <v>86</v>
      </c>
      <c r="T124" s="117">
        <v>89</v>
      </c>
      <c r="U124" s="117">
        <v>90</v>
      </c>
      <c r="V124" s="117">
        <v>78</v>
      </c>
      <c r="W124" s="117">
        <v>84</v>
      </c>
      <c r="X124" s="117">
        <v>94</v>
      </c>
      <c r="Y124" s="117">
        <v>94</v>
      </c>
      <c r="Z124" s="117">
        <v>98.3</v>
      </c>
      <c r="AA124" s="117">
        <v>95.6</v>
      </c>
      <c r="AB124" s="117">
        <v>86.4</v>
      </c>
      <c r="AC124" s="117">
        <v>94</v>
      </c>
      <c r="AD124" s="117">
        <v>91.8</v>
      </c>
      <c r="AE124" s="117">
        <v>84.2</v>
      </c>
      <c r="AF124" s="117">
        <v>75.900000000000006</v>
      </c>
      <c r="AG124" s="118"/>
      <c r="AH124" s="47">
        <f t="shared" si="113"/>
        <v>105.1</v>
      </c>
      <c r="AI124" s="48">
        <f t="shared" si="114"/>
        <v>70</v>
      </c>
    </row>
    <row r="125" spans="1:35" x14ac:dyDescent="0.25">
      <c r="A125" s="173" t="s">
        <v>255</v>
      </c>
      <c r="B125" s="117">
        <v>60</v>
      </c>
      <c r="C125" s="117">
        <v>65</v>
      </c>
      <c r="D125" s="117">
        <v>68</v>
      </c>
      <c r="E125" s="117">
        <v>66.2</v>
      </c>
      <c r="F125" s="117">
        <v>61.3</v>
      </c>
      <c r="G125" s="117">
        <v>66.3</v>
      </c>
      <c r="H125" s="117">
        <v>55.3</v>
      </c>
      <c r="I125" s="117">
        <v>43.3</v>
      </c>
      <c r="J125" s="117">
        <v>25.7</v>
      </c>
      <c r="K125" s="117">
        <v>-6.9</v>
      </c>
      <c r="L125" s="117">
        <v>-21.8</v>
      </c>
      <c r="M125" s="117">
        <v>-21.6</v>
      </c>
      <c r="N125" s="117">
        <v>-2.8</v>
      </c>
      <c r="O125" s="117">
        <v>-5</v>
      </c>
      <c r="P125" s="117">
        <v>10.1</v>
      </c>
      <c r="Q125" s="117">
        <v>10.5</v>
      </c>
      <c r="R125" s="117">
        <v>18.899999999999999</v>
      </c>
      <c r="S125" s="117">
        <v>21</v>
      </c>
      <c r="T125" s="117">
        <v>24</v>
      </c>
      <c r="U125" s="117">
        <v>25</v>
      </c>
      <c r="V125" s="117">
        <v>-8</v>
      </c>
      <c r="W125" s="117">
        <v>-3</v>
      </c>
      <c r="X125" s="117">
        <v>-3</v>
      </c>
      <c r="Y125" s="117">
        <v>-30</v>
      </c>
      <c r="Z125" s="117">
        <v>-35.4</v>
      </c>
      <c r="AA125" s="117">
        <v>-28</v>
      </c>
      <c r="AB125" s="117">
        <v>-36.799999999999997</v>
      </c>
      <c r="AC125" s="117">
        <v>-9</v>
      </c>
      <c r="AD125" s="117">
        <v>6.1</v>
      </c>
      <c r="AE125" s="117">
        <v>32</v>
      </c>
      <c r="AF125" s="117">
        <v>41.6</v>
      </c>
      <c r="AG125" s="118"/>
      <c r="AH125" s="47">
        <f t="shared" si="113"/>
        <v>68</v>
      </c>
      <c r="AI125" s="48">
        <f t="shared" si="114"/>
        <v>-36.799999999999997</v>
      </c>
    </row>
    <row r="126" spans="1:35" ht="15.75" thickBot="1" x14ac:dyDescent="0.3">
      <c r="A126" s="173" t="s">
        <v>254</v>
      </c>
      <c r="B126" s="117">
        <v>72</v>
      </c>
      <c r="C126" s="117">
        <v>72</v>
      </c>
      <c r="D126" s="117">
        <v>78</v>
      </c>
      <c r="E126" s="117">
        <v>73</v>
      </c>
      <c r="F126" s="117">
        <v>75</v>
      </c>
      <c r="G126" s="117">
        <v>90.4</v>
      </c>
      <c r="H126" s="117">
        <v>94.3</v>
      </c>
      <c r="I126" s="117">
        <v>87.8</v>
      </c>
      <c r="J126" s="117">
        <v>105.2</v>
      </c>
      <c r="K126" s="117">
        <v>82.5</v>
      </c>
      <c r="L126" s="117">
        <v>73.5</v>
      </c>
      <c r="M126" s="117">
        <v>66.5</v>
      </c>
      <c r="N126" s="117">
        <v>88.7</v>
      </c>
      <c r="O126" s="117">
        <v>78.3</v>
      </c>
      <c r="P126" s="117">
        <v>92.4</v>
      </c>
      <c r="Q126" s="117">
        <v>85.1</v>
      </c>
      <c r="R126" s="117">
        <v>90.2</v>
      </c>
      <c r="S126" s="117">
        <v>89</v>
      </c>
      <c r="T126" s="117">
        <v>93</v>
      </c>
      <c r="U126" s="117">
        <v>100</v>
      </c>
      <c r="V126" s="117">
        <v>80</v>
      </c>
      <c r="W126" s="117">
        <v>87</v>
      </c>
      <c r="X126" s="117">
        <v>90</v>
      </c>
      <c r="Y126" s="117">
        <v>90</v>
      </c>
      <c r="Z126" s="117">
        <v>97</v>
      </c>
      <c r="AA126" s="117">
        <v>78.099999999999994</v>
      </c>
      <c r="AB126" s="117">
        <v>84.6</v>
      </c>
      <c r="AC126" s="117">
        <v>96.9</v>
      </c>
      <c r="AD126" s="117">
        <v>92</v>
      </c>
      <c r="AE126" s="117">
        <v>83</v>
      </c>
      <c r="AF126" s="117">
        <v>81</v>
      </c>
      <c r="AG126" s="114"/>
      <c r="AH126" s="47">
        <f t="shared" si="113"/>
        <v>105.2</v>
      </c>
      <c r="AI126" s="48">
        <f t="shared" si="114"/>
        <v>66.5</v>
      </c>
    </row>
    <row r="127" spans="1:35" x14ac:dyDescent="0.25">
      <c r="A127" s="172" t="s">
        <v>587</v>
      </c>
      <c r="B127" s="117">
        <v>18.5</v>
      </c>
      <c r="C127" s="117">
        <v>23.5</v>
      </c>
      <c r="D127" s="117">
        <v>27</v>
      </c>
      <c r="E127" s="117">
        <v>28.4</v>
      </c>
      <c r="F127" s="117">
        <v>28.7</v>
      </c>
      <c r="G127" s="117">
        <v>30.6</v>
      </c>
      <c r="H127" s="117">
        <v>27.7</v>
      </c>
      <c r="I127" s="117">
        <v>22.1</v>
      </c>
      <c r="J127" s="117">
        <v>12.1</v>
      </c>
      <c r="K127" s="117">
        <v>7</v>
      </c>
      <c r="L127" s="117">
        <v>1.8</v>
      </c>
      <c r="M127" s="117">
        <v>-2.5</v>
      </c>
      <c r="N127" s="117">
        <v>8.3000000000000007</v>
      </c>
      <c r="O127" s="117">
        <v>4.2</v>
      </c>
      <c r="P127" s="117">
        <v>6.8</v>
      </c>
      <c r="Q127" s="117">
        <v>-4.0999999999999996</v>
      </c>
      <c r="R127" s="117">
        <v>0</v>
      </c>
      <c r="S127" s="117">
        <v>0</v>
      </c>
      <c r="T127" s="117">
        <v>3</v>
      </c>
      <c r="U127" s="117">
        <v>3</v>
      </c>
      <c r="V127" s="117">
        <v>1</v>
      </c>
      <c r="W127" s="117">
        <v>7</v>
      </c>
      <c r="X127" s="117">
        <v>8</v>
      </c>
      <c r="Y127" s="117">
        <v>-3.3</v>
      </c>
      <c r="Z127" s="117">
        <v>-14</v>
      </c>
      <c r="AA127" s="117">
        <v>-21</v>
      </c>
      <c r="AB127" s="117">
        <v>-2.9</v>
      </c>
      <c r="AC127" s="117">
        <v>6.5</v>
      </c>
      <c r="AD127" s="117">
        <v>13.3</v>
      </c>
      <c r="AE127" s="117">
        <v>17.8</v>
      </c>
      <c r="AF127" s="117">
        <v>21.2</v>
      </c>
      <c r="AG127" s="114"/>
      <c r="AH127" s="47">
        <f t="shared" si="113"/>
        <v>30.6</v>
      </c>
      <c r="AI127" s="48">
        <f t="shared" si="114"/>
        <v>-21</v>
      </c>
    </row>
    <row r="128" spans="1:35" x14ac:dyDescent="0.25">
      <c r="A128" s="173" t="s">
        <v>123</v>
      </c>
      <c r="B128" s="106">
        <v>-9.4</v>
      </c>
      <c r="C128" s="106">
        <v>-7</v>
      </c>
      <c r="D128" s="106">
        <v>-6.1</v>
      </c>
      <c r="E128" s="106">
        <v>-5.3</v>
      </c>
      <c r="F128" s="106">
        <v>-4.9000000000000004</v>
      </c>
      <c r="G128" s="106">
        <v>-13.4</v>
      </c>
      <c r="H128" s="106">
        <v>-19.7</v>
      </c>
      <c r="I128" s="106">
        <v>-23</v>
      </c>
      <c r="J128" s="106">
        <v>-29</v>
      </c>
      <c r="K128" s="106">
        <v>-38.9</v>
      </c>
      <c r="L128" s="106">
        <v>-43.2</v>
      </c>
      <c r="M128" s="106">
        <v>-40.6</v>
      </c>
      <c r="N128" s="106">
        <v>-28.8</v>
      </c>
      <c r="O128" s="106">
        <v>-27.2</v>
      </c>
      <c r="P128" s="106">
        <v>-25.5</v>
      </c>
      <c r="Q128" s="106">
        <v>-20.3</v>
      </c>
      <c r="R128" s="106">
        <v>-20.2</v>
      </c>
      <c r="S128" s="106">
        <v>-18</v>
      </c>
      <c r="T128" s="106">
        <v>-30</v>
      </c>
      <c r="U128" s="106">
        <v>-28</v>
      </c>
      <c r="V128" s="106">
        <v>-30.1</v>
      </c>
      <c r="W128" s="106">
        <v>-45</v>
      </c>
      <c r="X128" s="106">
        <v>-53.1</v>
      </c>
      <c r="Y128" s="106">
        <v>-62</v>
      </c>
      <c r="Z128" s="106">
        <v>-55</v>
      </c>
      <c r="AA128" s="106">
        <v>-47.4</v>
      </c>
      <c r="AB128" s="106">
        <v>-37.1</v>
      </c>
      <c r="AC128" s="106">
        <v>-33.6</v>
      </c>
      <c r="AD128" s="106">
        <v>-26</v>
      </c>
      <c r="AE128" s="106">
        <v>-20.9</v>
      </c>
      <c r="AF128" s="106">
        <v>-12.2</v>
      </c>
      <c r="AG128" s="114"/>
      <c r="AH128" s="47">
        <f t="shared" si="113"/>
        <v>-4.9000000000000004</v>
      </c>
      <c r="AI128" s="48">
        <f t="shared" si="114"/>
        <v>-62</v>
      </c>
    </row>
    <row r="129" spans="1:37" x14ac:dyDescent="0.25">
      <c r="A129" s="173" t="s">
        <v>260</v>
      </c>
      <c r="B129" s="106">
        <v>-21</v>
      </c>
      <c r="C129" s="106">
        <v>-20</v>
      </c>
      <c r="D129" s="106">
        <v>-25</v>
      </c>
      <c r="E129" s="106">
        <v>-25.1</v>
      </c>
      <c r="F129" s="106">
        <v>-24</v>
      </c>
      <c r="G129" s="106">
        <v>-38</v>
      </c>
      <c r="H129" s="106">
        <v>-35.4</v>
      </c>
      <c r="I129" s="106">
        <v>-29.2</v>
      </c>
      <c r="J129" s="106">
        <v>-33.700000000000003</v>
      </c>
      <c r="K129" s="106">
        <v>-34.9</v>
      </c>
      <c r="L129" s="106">
        <v>-33.5</v>
      </c>
      <c r="M129" s="106">
        <v>-29.3</v>
      </c>
      <c r="N129" s="106">
        <v>-38.200000000000003</v>
      </c>
      <c r="O129" s="106">
        <v>-27.1</v>
      </c>
      <c r="P129" s="106">
        <v>-32.9</v>
      </c>
      <c r="Q129" s="106">
        <v>-16.5</v>
      </c>
      <c r="R129" s="106">
        <v>-19.600000000000001</v>
      </c>
      <c r="S129" s="106">
        <v>-23</v>
      </c>
      <c r="T129" s="106">
        <v>-27</v>
      </c>
      <c r="U129" s="106">
        <v>-27</v>
      </c>
      <c r="V129" s="106">
        <v>-28</v>
      </c>
      <c r="W129" s="106">
        <v>-38</v>
      </c>
      <c r="X129" s="106">
        <v>-44</v>
      </c>
      <c r="Y129" s="106">
        <v>-35</v>
      </c>
      <c r="Z129" s="106">
        <v>-39</v>
      </c>
      <c r="AA129" s="106">
        <v>-30</v>
      </c>
      <c r="AB129" s="106">
        <v>-36.9</v>
      </c>
      <c r="AC129" s="106">
        <v>-45.5</v>
      </c>
      <c r="AD129" s="106">
        <v>-46.1</v>
      </c>
      <c r="AE129" s="106">
        <v>-28</v>
      </c>
      <c r="AF129" s="106">
        <v>-21.5</v>
      </c>
      <c r="AG129" s="114"/>
      <c r="AH129" s="47">
        <f t="shared" si="113"/>
        <v>-16.5</v>
      </c>
      <c r="AI129" s="48">
        <f t="shared" si="114"/>
        <v>-46.1</v>
      </c>
    </row>
    <row r="130" spans="1:37" ht="15.75" thickBot="1" x14ac:dyDescent="0.3">
      <c r="A130" s="173" t="s">
        <v>257</v>
      </c>
      <c r="B130" s="106">
        <v>93.4</v>
      </c>
      <c r="C130" s="106">
        <v>85</v>
      </c>
      <c r="D130" s="106">
        <v>88</v>
      </c>
      <c r="E130" s="106">
        <v>84</v>
      </c>
      <c r="F130" s="106">
        <v>85.7</v>
      </c>
      <c r="G130" s="106">
        <v>85.6</v>
      </c>
      <c r="H130" s="106">
        <v>97.2</v>
      </c>
      <c r="I130" s="106">
        <v>104.1</v>
      </c>
      <c r="J130" s="106">
        <v>108.8</v>
      </c>
      <c r="K130" s="106">
        <v>101.4</v>
      </c>
      <c r="L130" s="106">
        <v>99.6</v>
      </c>
      <c r="M130" s="106">
        <v>97.3</v>
      </c>
      <c r="N130" s="106">
        <v>90.5</v>
      </c>
      <c r="O130" s="106">
        <v>98.9</v>
      </c>
      <c r="P130" s="106">
        <v>103.6</v>
      </c>
      <c r="Q130" s="106">
        <v>111.8</v>
      </c>
      <c r="R130" s="106">
        <v>102.2</v>
      </c>
      <c r="S130" s="106">
        <v>109</v>
      </c>
      <c r="T130" s="106">
        <v>118</v>
      </c>
      <c r="U130" s="106">
        <v>118</v>
      </c>
      <c r="V130" s="106">
        <v>94</v>
      </c>
      <c r="W130" s="106">
        <v>99</v>
      </c>
      <c r="X130" s="106">
        <v>106.3</v>
      </c>
      <c r="Y130" s="106">
        <v>119</v>
      </c>
      <c r="Z130" s="106">
        <v>111.2</v>
      </c>
      <c r="AA130" s="106">
        <v>103</v>
      </c>
      <c r="AB130" s="106">
        <v>90.41</v>
      </c>
      <c r="AC130" s="106">
        <v>87.3</v>
      </c>
      <c r="AD130" s="106">
        <v>96</v>
      </c>
      <c r="AE130" s="106">
        <v>100.5</v>
      </c>
      <c r="AF130" s="106">
        <v>97.8</v>
      </c>
      <c r="AG130" s="114"/>
      <c r="AH130" s="47">
        <f t="shared" si="113"/>
        <v>119</v>
      </c>
      <c r="AI130" s="48">
        <f t="shared" si="114"/>
        <v>84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1983.6</v>
      </c>
      <c r="C132" s="147">
        <v>1983.88</v>
      </c>
      <c r="D132" s="147">
        <v>1984.1</v>
      </c>
      <c r="E132" s="147" t="s">
        <v>602</v>
      </c>
      <c r="F132" s="147">
        <v>1984.55</v>
      </c>
      <c r="G132" s="147">
        <v>1984.75</v>
      </c>
      <c r="H132" s="147"/>
      <c r="I132" s="147">
        <v>1984.9</v>
      </c>
      <c r="J132" s="147"/>
      <c r="K132" s="147">
        <v>1984.72</v>
      </c>
      <c r="L132" s="147"/>
      <c r="M132" s="147">
        <v>1984.08</v>
      </c>
      <c r="N132" s="147">
        <v>1983.73</v>
      </c>
      <c r="O132" s="147">
        <v>1983.77</v>
      </c>
      <c r="P132" s="147">
        <v>1983.97</v>
      </c>
      <c r="Q132" s="147">
        <v>1983.97</v>
      </c>
      <c r="R132" s="147">
        <v>1583.98</v>
      </c>
      <c r="S132" s="147">
        <v>1984</v>
      </c>
      <c r="T132" s="147">
        <v>1984.02</v>
      </c>
      <c r="U132" s="147">
        <v>1984.07</v>
      </c>
      <c r="V132" s="147">
        <v>1984.12</v>
      </c>
      <c r="W132" s="147"/>
      <c r="X132" s="147">
        <v>1984.28</v>
      </c>
      <c r="Y132" s="147"/>
      <c r="Z132" s="147">
        <v>1984.1</v>
      </c>
      <c r="AA132" s="147"/>
      <c r="AB132" s="147">
        <v>1983.38</v>
      </c>
      <c r="AC132" s="147"/>
      <c r="AD132" s="147">
        <v>1983.41</v>
      </c>
      <c r="AE132" s="147">
        <v>1983.44</v>
      </c>
      <c r="AF132" s="148">
        <v>1983.62</v>
      </c>
      <c r="AG132" s="149"/>
      <c r="AH132" s="47"/>
      <c r="AI132" s="48"/>
    </row>
    <row r="133" spans="1:37" x14ac:dyDescent="0.25">
      <c r="A133" s="185" t="s">
        <v>238</v>
      </c>
      <c r="B133" s="150">
        <v>520.32000000000005</v>
      </c>
      <c r="C133" s="150">
        <v>520.67999999999995</v>
      </c>
      <c r="D133" s="150">
        <v>520.96</v>
      </c>
      <c r="E133" s="150">
        <v>521.38</v>
      </c>
      <c r="F133" s="150">
        <v>521.65</v>
      </c>
      <c r="G133" s="150">
        <v>521.96</v>
      </c>
      <c r="H133" s="150"/>
      <c r="I133" s="150">
        <v>522.1</v>
      </c>
      <c r="J133" s="150"/>
      <c r="K133" s="150">
        <v>521.85</v>
      </c>
      <c r="L133" s="150"/>
      <c r="M133" s="150">
        <v>521.38</v>
      </c>
      <c r="N133" s="150">
        <v>521.16</v>
      </c>
      <c r="O133" s="150">
        <v>521.08000000000004</v>
      </c>
      <c r="P133" s="150">
        <v>521</v>
      </c>
      <c r="Q133" s="150">
        <v>520.88</v>
      </c>
      <c r="R133" s="150">
        <v>520.76</v>
      </c>
      <c r="S133" s="150">
        <v>520.70000000000005</v>
      </c>
      <c r="T133" s="150">
        <v>520.61</v>
      </c>
      <c r="U133" s="150">
        <v>520.53</v>
      </c>
      <c r="V133" s="150">
        <v>520.46</v>
      </c>
      <c r="W133" s="150"/>
      <c r="X133" s="150">
        <v>520.55999999999995</v>
      </c>
      <c r="Y133" s="150"/>
      <c r="Z133" s="150">
        <v>520.14</v>
      </c>
      <c r="AA133" s="150"/>
      <c r="AB133" s="150">
        <v>519.54999999999995</v>
      </c>
      <c r="AC133" s="150"/>
      <c r="AD133" s="150">
        <v>519.54</v>
      </c>
      <c r="AE133" s="150">
        <v>519.65</v>
      </c>
      <c r="AF133" s="151">
        <v>519.88</v>
      </c>
      <c r="AG133" s="149"/>
      <c r="AH133" s="47"/>
      <c r="AI133" s="48"/>
    </row>
    <row r="134" spans="1:37" x14ac:dyDescent="0.25">
      <c r="A134" s="185" t="s">
        <v>239</v>
      </c>
      <c r="B134" s="150">
        <v>622.30999999999995</v>
      </c>
      <c r="C134" s="150">
        <v>622.41999999999996</v>
      </c>
      <c r="D134" s="150">
        <v>622.95000000000005</v>
      </c>
      <c r="E134" s="150">
        <v>623.03</v>
      </c>
      <c r="F134" s="150">
        <v>623.08000000000004</v>
      </c>
      <c r="G134" s="150">
        <v>623.15</v>
      </c>
      <c r="H134" s="150"/>
      <c r="I134" s="150">
        <v>623.1</v>
      </c>
      <c r="J134" s="150"/>
      <c r="K134" s="150">
        <v>623.02</v>
      </c>
      <c r="L134" s="150"/>
      <c r="M134" s="150">
        <v>622.86</v>
      </c>
      <c r="N134" s="150">
        <v>622.83000000000004</v>
      </c>
      <c r="O134" s="150">
        <v>622.85</v>
      </c>
      <c r="P134" s="150">
        <v>622.88</v>
      </c>
      <c r="Q134" s="150">
        <v>622.79999999999995</v>
      </c>
      <c r="R134" s="150">
        <v>622.6</v>
      </c>
      <c r="S134" s="150">
        <v>622.51</v>
      </c>
      <c r="T134" s="150">
        <v>622.47</v>
      </c>
      <c r="U134" s="150">
        <v>622.5</v>
      </c>
      <c r="V134" s="150">
        <v>622.45500000000004</v>
      </c>
      <c r="W134" s="150"/>
      <c r="X134" s="150">
        <v>622.51</v>
      </c>
      <c r="Y134" s="150"/>
      <c r="Z134" s="150">
        <v>622.47</v>
      </c>
      <c r="AA134" s="150"/>
      <c r="AB134" s="150">
        <v>622.35</v>
      </c>
      <c r="AC134" s="150"/>
      <c r="AD134" s="150"/>
      <c r="AE134" s="150"/>
      <c r="AF134" s="151"/>
      <c r="AG134" s="149"/>
      <c r="AH134" s="47"/>
      <c r="AI134" s="48"/>
    </row>
    <row r="135" spans="1:37" x14ac:dyDescent="0.25">
      <c r="A135" s="185" t="s">
        <v>240</v>
      </c>
      <c r="B135" s="150">
        <v>335.43</v>
      </c>
      <c r="C135" s="150">
        <v>335.71</v>
      </c>
      <c r="D135" s="150">
        <v>336</v>
      </c>
      <c r="E135" s="150">
        <v>336.24</v>
      </c>
      <c r="F135" s="150">
        <v>336.49</v>
      </c>
      <c r="G135" s="150">
        <v>336.72</v>
      </c>
      <c r="H135" s="150"/>
      <c r="I135" s="150">
        <v>336.82</v>
      </c>
      <c r="J135" s="150"/>
      <c r="K135" s="150">
        <v>336.61</v>
      </c>
      <c r="L135" s="150"/>
      <c r="M135" s="150">
        <v>336.31</v>
      </c>
      <c r="N135" s="150">
        <v>336.03</v>
      </c>
      <c r="O135" s="150">
        <v>335.7</v>
      </c>
      <c r="P135" s="150">
        <v>335.44</v>
      </c>
      <c r="Q135" s="150">
        <v>335.26</v>
      </c>
      <c r="R135" s="150">
        <v>335.26</v>
      </c>
      <c r="S135" s="150">
        <v>335.26</v>
      </c>
      <c r="T135" s="150">
        <v>335.27</v>
      </c>
      <c r="U135" s="150">
        <v>335.21</v>
      </c>
      <c r="V135" s="150">
        <v>335.15</v>
      </c>
      <c r="W135" s="150"/>
      <c r="X135" s="150">
        <v>335.09</v>
      </c>
      <c r="Y135" s="150"/>
      <c r="Z135" s="150">
        <v>334.81</v>
      </c>
      <c r="AA135" s="150"/>
      <c r="AB135" s="150">
        <v>334.59</v>
      </c>
      <c r="AC135" s="150"/>
      <c r="AD135" s="150">
        <v>334.59</v>
      </c>
      <c r="AE135" s="150">
        <v>334.58</v>
      </c>
      <c r="AF135" s="151">
        <v>334.58</v>
      </c>
      <c r="AG135" s="149"/>
      <c r="AH135" s="47"/>
      <c r="AI135" s="48"/>
    </row>
    <row r="136" spans="1:37" x14ac:dyDescent="0.25">
      <c r="A136" s="185" t="s">
        <v>384</v>
      </c>
      <c r="B136" s="150">
        <v>883.5</v>
      </c>
      <c r="C136" s="150">
        <v>884.3</v>
      </c>
      <c r="D136" s="150">
        <v>884.9</v>
      </c>
      <c r="E136" s="150">
        <v>885.2</v>
      </c>
      <c r="F136" s="150">
        <v>886.1</v>
      </c>
      <c r="G136" s="150">
        <v>886.7</v>
      </c>
      <c r="H136" s="150"/>
      <c r="I136" s="150">
        <v>886.9</v>
      </c>
      <c r="J136" s="150"/>
      <c r="K136" s="150">
        <v>886.8</v>
      </c>
      <c r="L136" s="150"/>
      <c r="M136" s="150">
        <v>886.7</v>
      </c>
      <c r="N136" s="150">
        <v>886.7</v>
      </c>
      <c r="O136" s="150">
        <v>887.2</v>
      </c>
      <c r="P136" s="150">
        <v>887.5</v>
      </c>
      <c r="Q136" s="150">
        <v>887</v>
      </c>
      <c r="R136" s="150">
        <v>886.4</v>
      </c>
      <c r="S136" s="150">
        <v>885.6</v>
      </c>
      <c r="T136" s="150">
        <v>885.4</v>
      </c>
      <c r="U136" s="150">
        <v>885.3</v>
      </c>
      <c r="V136" s="150">
        <v>884.9</v>
      </c>
      <c r="W136" s="150"/>
      <c r="X136" s="150">
        <v>885.4</v>
      </c>
      <c r="Y136" s="150"/>
      <c r="Z136" s="150">
        <v>885.4</v>
      </c>
      <c r="AA136" s="150"/>
      <c r="AB136" s="150">
        <v>884.6</v>
      </c>
      <c r="AC136" s="150"/>
      <c r="AD136" s="150">
        <v>884.5</v>
      </c>
      <c r="AE136" s="150">
        <v>885.1</v>
      </c>
      <c r="AF136" s="151">
        <v>885.7</v>
      </c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1519.52</v>
      </c>
      <c r="N137" s="152"/>
      <c r="O137" s="152"/>
      <c r="P137" s="152"/>
      <c r="Q137" s="152"/>
      <c r="R137" s="152">
        <v>1519.53</v>
      </c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21">SUM(B139:B243)</f>
        <v>0</v>
      </c>
      <c r="C244" s="134">
        <f t="shared" si="121"/>
        <v>0</v>
      </c>
      <c r="D244" s="134">
        <f t="shared" si="121"/>
        <v>0</v>
      </c>
      <c r="E244" s="134">
        <f t="shared" si="121"/>
        <v>0</v>
      </c>
      <c r="F244" s="134">
        <f t="shared" si="121"/>
        <v>0</v>
      </c>
      <c r="G244" s="134">
        <f t="shared" si="121"/>
        <v>0</v>
      </c>
      <c r="H244" s="134">
        <f t="shared" si="121"/>
        <v>0</v>
      </c>
      <c r="I244" s="134">
        <f t="shared" si="121"/>
        <v>0</v>
      </c>
      <c r="J244" s="134">
        <f t="shared" si="121"/>
        <v>0</v>
      </c>
      <c r="K244" s="134">
        <f t="shared" si="121"/>
        <v>0</v>
      </c>
      <c r="L244" s="134">
        <f t="shared" si="121"/>
        <v>0</v>
      </c>
      <c r="M244" s="134">
        <f t="shared" si="121"/>
        <v>0</v>
      </c>
      <c r="N244" s="134">
        <f t="shared" si="121"/>
        <v>0</v>
      </c>
      <c r="O244" s="134">
        <f t="shared" si="121"/>
        <v>0</v>
      </c>
      <c r="P244" s="134">
        <f t="shared" si="121"/>
        <v>0</v>
      </c>
      <c r="Q244" s="134">
        <f t="shared" si="121"/>
        <v>0</v>
      </c>
      <c r="R244" s="134">
        <f t="shared" si="121"/>
        <v>0</v>
      </c>
      <c r="S244" s="134">
        <f t="shared" si="121"/>
        <v>0</v>
      </c>
      <c r="T244" s="134">
        <f t="shared" si="121"/>
        <v>0</v>
      </c>
      <c r="U244" s="134">
        <f t="shared" si="121"/>
        <v>0</v>
      </c>
      <c r="V244" s="134">
        <f t="shared" si="121"/>
        <v>0</v>
      </c>
      <c r="W244" s="134">
        <f t="shared" si="121"/>
        <v>0</v>
      </c>
      <c r="X244" s="134">
        <f t="shared" si="121"/>
        <v>0</v>
      </c>
      <c r="Y244" s="134">
        <f t="shared" si="121"/>
        <v>0</v>
      </c>
      <c r="Z244" s="134">
        <f t="shared" si="121"/>
        <v>0</v>
      </c>
      <c r="AA244" s="134">
        <f t="shared" si="121"/>
        <v>0</v>
      </c>
      <c r="AB244" s="134">
        <f t="shared" si="121"/>
        <v>0</v>
      </c>
      <c r="AC244" s="134">
        <f t="shared" si="121"/>
        <v>0</v>
      </c>
      <c r="AD244" s="134">
        <f t="shared" si="121"/>
        <v>0</v>
      </c>
      <c r="AE244" s="134">
        <f t="shared" si="121"/>
        <v>0</v>
      </c>
      <c r="AF244" s="135">
        <f t="shared" si="121"/>
        <v>0</v>
      </c>
      <c r="AG244" s="136">
        <f t="shared" si="12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22">AF246</f>
        <v>0.3</v>
      </c>
      <c r="C246" s="138">
        <v>0.3</v>
      </c>
      <c r="D246" s="138">
        <f t="shared" ref="D246:S251" si="123">C246</f>
        <v>0.3</v>
      </c>
      <c r="E246" s="138">
        <f t="shared" si="123"/>
        <v>0.3</v>
      </c>
      <c r="F246" s="138">
        <f t="shared" si="123"/>
        <v>0.3</v>
      </c>
      <c r="G246" s="138">
        <f t="shared" si="123"/>
        <v>0.3</v>
      </c>
      <c r="H246" s="138">
        <f t="shared" si="123"/>
        <v>0.3</v>
      </c>
      <c r="I246" s="138">
        <f t="shared" si="123"/>
        <v>0.3</v>
      </c>
      <c r="J246" s="138">
        <f t="shared" si="123"/>
        <v>0.3</v>
      </c>
      <c r="K246" s="138">
        <f t="shared" si="123"/>
        <v>0.3</v>
      </c>
      <c r="L246" s="138">
        <f t="shared" si="123"/>
        <v>0.3</v>
      </c>
      <c r="M246" s="138">
        <f t="shared" si="123"/>
        <v>0.3</v>
      </c>
      <c r="N246" s="138">
        <f t="shared" si="123"/>
        <v>0.3</v>
      </c>
      <c r="O246" s="138">
        <f t="shared" si="123"/>
        <v>0.3</v>
      </c>
      <c r="P246" s="138">
        <f t="shared" si="123"/>
        <v>0.3</v>
      </c>
      <c r="Q246" s="138">
        <f t="shared" si="123"/>
        <v>0.3</v>
      </c>
      <c r="R246" s="138">
        <f t="shared" si="123"/>
        <v>0.3</v>
      </c>
      <c r="S246" s="138">
        <f t="shared" si="123"/>
        <v>0.3</v>
      </c>
      <c r="T246" s="138">
        <f t="shared" ref="T246:AF251" si="124">S246</f>
        <v>0.3</v>
      </c>
      <c r="U246" s="138">
        <f t="shared" si="124"/>
        <v>0.3</v>
      </c>
      <c r="V246" s="138">
        <f t="shared" si="124"/>
        <v>0.3</v>
      </c>
      <c r="W246" s="138">
        <f t="shared" si="124"/>
        <v>0.3</v>
      </c>
      <c r="X246" s="138">
        <f t="shared" si="124"/>
        <v>0.3</v>
      </c>
      <c r="Y246" s="138">
        <f t="shared" si="124"/>
        <v>0.3</v>
      </c>
      <c r="Z246" s="138">
        <f t="shared" si="124"/>
        <v>0.3</v>
      </c>
      <c r="AA246" s="138">
        <f t="shared" si="124"/>
        <v>0.3</v>
      </c>
      <c r="AB246" s="138">
        <f t="shared" si="124"/>
        <v>0.3</v>
      </c>
      <c r="AC246" s="138">
        <f t="shared" si="124"/>
        <v>0.3</v>
      </c>
      <c r="AD246" s="138">
        <f t="shared" si="124"/>
        <v>0.3</v>
      </c>
      <c r="AE246" s="138">
        <f t="shared" si="124"/>
        <v>0.3</v>
      </c>
      <c r="AF246" s="138">
        <f t="shared" si="12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22"/>
        <v>0.4</v>
      </c>
      <c r="C247" s="126">
        <v>0.4</v>
      </c>
      <c r="D247" s="126">
        <f t="shared" si="123"/>
        <v>0.4</v>
      </c>
      <c r="E247" s="126">
        <f t="shared" si="123"/>
        <v>0.4</v>
      </c>
      <c r="F247" s="126">
        <f t="shared" si="123"/>
        <v>0.4</v>
      </c>
      <c r="G247" s="126">
        <f t="shared" si="123"/>
        <v>0.4</v>
      </c>
      <c r="H247" s="126">
        <f t="shared" si="123"/>
        <v>0.4</v>
      </c>
      <c r="I247" s="126">
        <f t="shared" si="123"/>
        <v>0.4</v>
      </c>
      <c r="J247" s="126">
        <f t="shared" si="123"/>
        <v>0.4</v>
      </c>
      <c r="K247" s="126">
        <f t="shared" si="123"/>
        <v>0.4</v>
      </c>
      <c r="L247" s="126">
        <f t="shared" si="123"/>
        <v>0.4</v>
      </c>
      <c r="M247" s="126">
        <f t="shared" si="123"/>
        <v>0.4</v>
      </c>
      <c r="N247" s="126">
        <f t="shared" si="123"/>
        <v>0.4</v>
      </c>
      <c r="O247" s="126">
        <f t="shared" si="123"/>
        <v>0.4</v>
      </c>
      <c r="P247" s="126">
        <f t="shared" si="123"/>
        <v>0.4</v>
      </c>
      <c r="Q247" s="126">
        <f t="shared" si="123"/>
        <v>0.4</v>
      </c>
      <c r="R247" s="126">
        <f t="shared" si="123"/>
        <v>0.4</v>
      </c>
      <c r="S247" s="126">
        <f t="shared" si="123"/>
        <v>0.4</v>
      </c>
      <c r="T247" s="126">
        <f t="shared" si="124"/>
        <v>0.4</v>
      </c>
      <c r="U247" s="126">
        <f t="shared" si="124"/>
        <v>0.4</v>
      </c>
      <c r="V247" s="126">
        <f t="shared" si="124"/>
        <v>0.4</v>
      </c>
      <c r="W247" s="126">
        <f t="shared" si="124"/>
        <v>0.4</v>
      </c>
      <c r="X247" s="126">
        <f t="shared" si="124"/>
        <v>0.4</v>
      </c>
      <c r="Y247" s="126">
        <f t="shared" si="124"/>
        <v>0.4</v>
      </c>
      <c r="Z247" s="126">
        <f t="shared" si="124"/>
        <v>0.4</v>
      </c>
      <c r="AA247" s="126">
        <f t="shared" si="124"/>
        <v>0.4</v>
      </c>
      <c r="AB247" s="126">
        <f t="shared" si="124"/>
        <v>0.4</v>
      </c>
      <c r="AC247" s="126">
        <f t="shared" si="124"/>
        <v>0.4</v>
      </c>
      <c r="AD247" s="126">
        <f t="shared" si="124"/>
        <v>0.4</v>
      </c>
      <c r="AE247" s="126">
        <f t="shared" si="124"/>
        <v>0.4</v>
      </c>
      <c r="AF247" s="126">
        <f t="shared" si="12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22"/>
        <v>1.5</v>
      </c>
      <c r="C248" s="126">
        <v>1.5</v>
      </c>
      <c r="D248" s="126">
        <f t="shared" si="123"/>
        <v>1.5</v>
      </c>
      <c r="E248" s="126">
        <f t="shared" si="123"/>
        <v>1.5</v>
      </c>
      <c r="F248" s="126">
        <f t="shared" si="123"/>
        <v>1.5</v>
      </c>
      <c r="G248" s="126">
        <f t="shared" si="123"/>
        <v>1.5</v>
      </c>
      <c r="H248" s="126">
        <f t="shared" si="123"/>
        <v>1.5</v>
      </c>
      <c r="I248" s="126">
        <f t="shared" si="123"/>
        <v>1.5</v>
      </c>
      <c r="J248" s="126">
        <f t="shared" si="123"/>
        <v>1.5</v>
      </c>
      <c r="K248" s="126">
        <f t="shared" si="123"/>
        <v>1.5</v>
      </c>
      <c r="L248" s="126">
        <f t="shared" si="123"/>
        <v>1.5</v>
      </c>
      <c r="M248" s="126">
        <f t="shared" si="123"/>
        <v>1.5</v>
      </c>
      <c r="N248" s="126">
        <f t="shared" si="123"/>
        <v>1.5</v>
      </c>
      <c r="O248" s="126">
        <f t="shared" si="123"/>
        <v>1.5</v>
      </c>
      <c r="P248" s="126">
        <f t="shared" si="123"/>
        <v>1.5</v>
      </c>
      <c r="Q248" s="126">
        <f t="shared" si="123"/>
        <v>1.5</v>
      </c>
      <c r="R248" s="126">
        <f t="shared" si="123"/>
        <v>1.5</v>
      </c>
      <c r="S248" s="126">
        <f t="shared" si="123"/>
        <v>1.5</v>
      </c>
      <c r="T248" s="126">
        <f t="shared" si="124"/>
        <v>1.5</v>
      </c>
      <c r="U248" s="126">
        <f t="shared" si="124"/>
        <v>1.5</v>
      </c>
      <c r="V248" s="126">
        <f t="shared" si="124"/>
        <v>1.5</v>
      </c>
      <c r="W248" s="126">
        <f t="shared" si="124"/>
        <v>1.5</v>
      </c>
      <c r="X248" s="126">
        <f t="shared" si="124"/>
        <v>1.5</v>
      </c>
      <c r="Y248" s="126">
        <f t="shared" si="124"/>
        <v>1.5</v>
      </c>
      <c r="Z248" s="126">
        <f t="shared" si="124"/>
        <v>1.5</v>
      </c>
      <c r="AA248" s="126">
        <f t="shared" si="124"/>
        <v>1.5</v>
      </c>
      <c r="AB248" s="126">
        <f t="shared" si="124"/>
        <v>1.5</v>
      </c>
      <c r="AC248" s="126">
        <f t="shared" si="124"/>
        <v>1.5</v>
      </c>
      <c r="AD248" s="126">
        <f t="shared" si="124"/>
        <v>1.5</v>
      </c>
      <c r="AE248" s="126">
        <f t="shared" si="124"/>
        <v>1.5</v>
      </c>
      <c r="AF248" s="126">
        <f t="shared" si="12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22"/>
        <v>0.3</v>
      </c>
      <c r="C249" s="126">
        <v>0.3</v>
      </c>
      <c r="D249" s="126">
        <f t="shared" si="123"/>
        <v>0.3</v>
      </c>
      <c r="E249" s="126">
        <f t="shared" si="123"/>
        <v>0.3</v>
      </c>
      <c r="F249" s="126">
        <f t="shared" si="123"/>
        <v>0.3</v>
      </c>
      <c r="G249" s="126">
        <f t="shared" si="123"/>
        <v>0.3</v>
      </c>
      <c r="H249" s="126">
        <f t="shared" si="123"/>
        <v>0.3</v>
      </c>
      <c r="I249" s="126">
        <f t="shared" si="123"/>
        <v>0.3</v>
      </c>
      <c r="J249" s="126">
        <f t="shared" si="123"/>
        <v>0.3</v>
      </c>
      <c r="K249" s="126">
        <f t="shared" si="123"/>
        <v>0.3</v>
      </c>
      <c r="L249" s="126">
        <f t="shared" si="123"/>
        <v>0.3</v>
      </c>
      <c r="M249" s="126">
        <f t="shared" si="123"/>
        <v>0.3</v>
      </c>
      <c r="N249" s="126">
        <f t="shared" si="123"/>
        <v>0.3</v>
      </c>
      <c r="O249" s="126">
        <f t="shared" si="123"/>
        <v>0.3</v>
      </c>
      <c r="P249" s="126">
        <f t="shared" si="123"/>
        <v>0.3</v>
      </c>
      <c r="Q249" s="126">
        <f t="shared" si="123"/>
        <v>0.3</v>
      </c>
      <c r="R249" s="126">
        <f t="shared" si="123"/>
        <v>0.3</v>
      </c>
      <c r="S249" s="126">
        <f t="shared" si="123"/>
        <v>0.3</v>
      </c>
      <c r="T249" s="126">
        <f t="shared" si="124"/>
        <v>0.3</v>
      </c>
      <c r="U249" s="126">
        <f t="shared" si="124"/>
        <v>0.3</v>
      </c>
      <c r="V249" s="126">
        <f t="shared" si="124"/>
        <v>0.3</v>
      </c>
      <c r="W249" s="126">
        <f t="shared" si="124"/>
        <v>0.3</v>
      </c>
      <c r="X249" s="126">
        <f t="shared" si="124"/>
        <v>0.3</v>
      </c>
      <c r="Y249" s="126">
        <f t="shared" si="124"/>
        <v>0.3</v>
      </c>
      <c r="Z249" s="126">
        <f t="shared" si="124"/>
        <v>0.3</v>
      </c>
      <c r="AA249" s="126">
        <f t="shared" si="124"/>
        <v>0.3</v>
      </c>
      <c r="AB249" s="126">
        <f t="shared" si="124"/>
        <v>0.3</v>
      </c>
      <c r="AC249" s="126">
        <f t="shared" si="124"/>
        <v>0.3</v>
      </c>
      <c r="AD249" s="126">
        <f t="shared" si="124"/>
        <v>0.3</v>
      </c>
      <c r="AE249" s="126">
        <f t="shared" si="124"/>
        <v>0.3</v>
      </c>
      <c r="AF249" s="126">
        <f t="shared" si="12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22"/>
        <v>0.4</v>
      </c>
      <c r="C250" s="126">
        <v>0.4</v>
      </c>
      <c r="D250" s="126">
        <f t="shared" si="123"/>
        <v>0.4</v>
      </c>
      <c r="E250" s="126">
        <f t="shared" si="123"/>
        <v>0.4</v>
      </c>
      <c r="F250" s="126">
        <f t="shared" si="123"/>
        <v>0.4</v>
      </c>
      <c r="G250" s="126">
        <f t="shared" si="123"/>
        <v>0.4</v>
      </c>
      <c r="H250" s="126">
        <f t="shared" si="123"/>
        <v>0.4</v>
      </c>
      <c r="I250" s="126">
        <f t="shared" si="123"/>
        <v>0.4</v>
      </c>
      <c r="J250" s="126">
        <f t="shared" si="123"/>
        <v>0.4</v>
      </c>
      <c r="K250" s="126">
        <f t="shared" si="123"/>
        <v>0.4</v>
      </c>
      <c r="L250" s="126">
        <f t="shared" si="123"/>
        <v>0.4</v>
      </c>
      <c r="M250" s="126">
        <f t="shared" si="123"/>
        <v>0.4</v>
      </c>
      <c r="N250" s="126">
        <f t="shared" si="123"/>
        <v>0.4</v>
      </c>
      <c r="O250" s="126">
        <f t="shared" si="123"/>
        <v>0.4</v>
      </c>
      <c r="P250" s="126">
        <f t="shared" si="123"/>
        <v>0.4</v>
      </c>
      <c r="Q250" s="126">
        <f t="shared" si="123"/>
        <v>0.4</v>
      </c>
      <c r="R250" s="126">
        <f t="shared" si="123"/>
        <v>0.4</v>
      </c>
      <c r="S250" s="126">
        <f t="shared" si="123"/>
        <v>0.4</v>
      </c>
      <c r="T250" s="126">
        <f t="shared" si="124"/>
        <v>0.4</v>
      </c>
      <c r="U250" s="126">
        <f t="shared" si="124"/>
        <v>0.4</v>
      </c>
      <c r="V250" s="126">
        <f t="shared" si="124"/>
        <v>0.4</v>
      </c>
      <c r="W250" s="126">
        <f t="shared" si="124"/>
        <v>0.4</v>
      </c>
      <c r="X250" s="126">
        <f t="shared" si="124"/>
        <v>0.4</v>
      </c>
      <c r="Y250" s="126">
        <f t="shared" si="124"/>
        <v>0.4</v>
      </c>
      <c r="Z250" s="126">
        <f t="shared" si="124"/>
        <v>0.4</v>
      </c>
      <c r="AA250" s="126">
        <f t="shared" si="124"/>
        <v>0.4</v>
      </c>
      <c r="AB250" s="126">
        <f t="shared" si="124"/>
        <v>0.4</v>
      </c>
      <c r="AC250" s="126">
        <f t="shared" si="124"/>
        <v>0.4</v>
      </c>
      <c r="AD250" s="126">
        <f t="shared" si="124"/>
        <v>0.4</v>
      </c>
      <c r="AE250" s="126">
        <f t="shared" si="124"/>
        <v>0.4</v>
      </c>
      <c r="AF250" s="126">
        <f t="shared" si="12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22"/>
        <v>0.64</v>
      </c>
      <c r="C251" s="130">
        <v>0.64</v>
      </c>
      <c r="D251" s="130">
        <f t="shared" si="123"/>
        <v>0.64</v>
      </c>
      <c r="E251" s="130">
        <f t="shared" si="123"/>
        <v>0.64</v>
      </c>
      <c r="F251" s="130">
        <f t="shared" si="123"/>
        <v>0.64</v>
      </c>
      <c r="G251" s="130">
        <f t="shared" si="123"/>
        <v>0.64</v>
      </c>
      <c r="H251" s="130">
        <f t="shared" si="123"/>
        <v>0.64</v>
      </c>
      <c r="I251" s="130">
        <f t="shared" si="123"/>
        <v>0.64</v>
      </c>
      <c r="J251" s="130">
        <f t="shared" si="123"/>
        <v>0.64</v>
      </c>
      <c r="K251" s="130">
        <f t="shared" si="123"/>
        <v>0.64</v>
      </c>
      <c r="L251" s="130">
        <f t="shared" si="123"/>
        <v>0.64</v>
      </c>
      <c r="M251" s="130">
        <f t="shared" si="123"/>
        <v>0.64</v>
      </c>
      <c r="N251" s="130">
        <f t="shared" si="123"/>
        <v>0.64</v>
      </c>
      <c r="O251" s="130">
        <f t="shared" si="123"/>
        <v>0.64</v>
      </c>
      <c r="P251" s="130">
        <f t="shared" si="123"/>
        <v>0.64</v>
      </c>
      <c r="Q251" s="130">
        <f t="shared" si="123"/>
        <v>0.64</v>
      </c>
      <c r="R251" s="130">
        <f t="shared" si="123"/>
        <v>0.64</v>
      </c>
      <c r="S251" s="130">
        <f t="shared" si="123"/>
        <v>0.64</v>
      </c>
      <c r="T251" s="130">
        <f t="shared" si="124"/>
        <v>0.64</v>
      </c>
      <c r="U251" s="130">
        <f t="shared" si="124"/>
        <v>0.64</v>
      </c>
      <c r="V251" s="130">
        <f t="shared" si="124"/>
        <v>0.64</v>
      </c>
      <c r="W251" s="130">
        <f t="shared" si="124"/>
        <v>0.64</v>
      </c>
      <c r="X251" s="130">
        <f t="shared" si="124"/>
        <v>0.64</v>
      </c>
      <c r="Y251" s="130">
        <f t="shared" si="124"/>
        <v>0.64</v>
      </c>
      <c r="Z251" s="130">
        <f t="shared" si="124"/>
        <v>0.64</v>
      </c>
      <c r="AA251" s="130">
        <f t="shared" si="124"/>
        <v>0.64</v>
      </c>
      <c r="AB251" s="130">
        <f t="shared" si="124"/>
        <v>0.64</v>
      </c>
      <c r="AC251" s="130">
        <f t="shared" si="124"/>
        <v>0.64</v>
      </c>
      <c r="AD251" s="130">
        <f t="shared" si="124"/>
        <v>0.64</v>
      </c>
      <c r="AE251" s="130">
        <f t="shared" si="124"/>
        <v>0.64</v>
      </c>
      <c r="AF251" s="130">
        <f t="shared" si="12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5">SUM(B246:B251)</f>
        <v>3.54</v>
      </c>
      <c r="C252" s="134">
        <f t="shared" si="125"/>
        <v>3.54</v>
      </c>
      <c r="D252" s="134">
        <f t="shared" si="125"/>
        <v>3.54</v>
      </c>
      <c r="E252" s="134">
        <f t="shared" si="125"/>
        <v>3.54</v>
      </c>
      <c r="F252" s="134">
        <f t="shared" si="125"/>
        <v>3.54</v>
      </c>
      <c r="G252" s="134">
        <f t="shared" si="125"/>
        <v>3.54</v>
      </c>
      <c r="H252" s="134">
        <f t="shared" si="125"/>
        <v>3.54</v>
      </c>
      <c r="I252" s="134">
        <f t="shared" si="125"/>
        <v>3.54</v>
      </c>
      <c r="J252" s="134">
        <f t="shared" si="125"/>
        <v>3.54</v>
      </c>
      <c r="K252" s="134">
        <f t="shared" si="125"/>
        <v>3.54</v>
      </c>
      <c r="L252" s="134">
        <f t="shared" si="125"/>
        <v>3.54</v>
      </c>
      <c r="M252" s="134">
        <f t="shared" si="125"/>
        <v>3.54</v>
      </c>
      <c r="N252" s="134">
        <f t="shared" si="125"/>
        <v>3.54</v>
      </c>
      <c r="O252" s="134">
        <f t="shared" si="125"/>
        <v>3.54</v>
      </c>
      <c r="P252" s="134">
        <f t="shared" si="125"/>
        <v>3.54</v>
      </c>
      <c r="Q252" s="134">
        <f t="shared" si="125"/>
        <v>3.54</v>
      </c>
      <c r="R252" s="134">
        <f t="shared" si="125"/>
        <v>3.54</v>
      </c>
      <c r="S252" s="134">
        <f t="shared" si="125"/>
        <v>3.54</v>
      </c>
      <c r="T252" s="134">
        <f t="shared" si="125"/>
        <v>3.54</v>
      </c>
      <c r="U252" s="134">
        <f t="shared" si="125"/>
        <v>3.54</v>
      </c>
      <c r="V252" s="134">
        <f t="shared" si="125"/>
        <v>3.54</v>
      </c>
      <c r="W252" s="134">
        <f t="shared" si="125"/>
        <v>3.54</v>
      </c>
      <c r="X252" s="134">
        <f t="shared" si="125"/>
        <v>3.54</v>
      </c>
      <c r="Y252" s="134">
        <f t="shared" si="125"/>
        <v>3.54</v>
      </c>
      <c r="Z252" s="134">
        <f t="shared" si="125"/>
        <v>3.54</v>
      </c>
      <c r="AA252" s="134">
        <f t="shared" si="125"/>
        <v>3.54</v>
      </c>
      <c r="AB252" s="134">
        <f t="shared" si="125"/>
        <v>3.54</v>
      </c>
      <c r="AC252" s="134">
        <f t="shared" si="125"/>
        <v>3.54</v>
      </c>
      <c r="AD252" s="134">
        <f t="shared" si="125"/>
        <v>3.54</v>
      </c>
      <c r="AE252" s="134">
        <f t="shared" si="125"/>
        <v>3.54</v>
      </c>
      <c r="AF252" s="134">
        <f t="shared" si="125"/>
        <v>3.54</v>
      </c>
      <c r="AG252" s="143">
        <f t="shared" si="12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1698.4899999999998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2080/10/16)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L9:L10"/>
    <mergeCell ref="AB8:AF8"/>
    <mergeCell ref="A9:A10"/>
    <mergeCell ref="B9:B10"/>
    <mergeCell ref="C9:C10"/>
    <mergeCell ref="D9:D10"/>
    <mergeCell ref="E9:E10"/>
    <mergeCell ref="F9:F10"/>
    <mergeCell ref="S8:AA8"/>
    <mergeCell ref="G9:G10"/>
    <mergeCell ref="H9:H10"/>
    <mergeCell ref="I9:I10"/>
    <mergeCell ref="J9:J10"/>
    <mergeCell ref="K9:K10"/>
    <mergeCell ref="X9:X10"/>
    <mergeCell ref="M9:M10"/>
    <mergeCell ref="N9:N10"/>
    <mergeCell ref="O9:O10"/>
    <mergeCell ref="P9:P10"/>
    <mergeCell ref="Q9:Q10"/>
    <mergeCell ref="R9:R10"/>
    <mergeCell ref="AE9:AE10"/>
    <mergeCell ref="AF9:AF10"/>
    <mergeCell ref="AG9:AG10"/>
    <mergeCell ref="AN92:AN93"/>
    <mergeCell ref="A258:B258"/>
    <mergeCell ref="Y9:Y10"/>
    <mergeCell ref="Z9:Z10"/>
    <mergeCell ref="AA9:AA10"/>
    <mergeCell ref="AB9:AB10"/>
    <mergeCell ref="AC9:AC10"/>
    <mergeCell ref="AD9:AD10"/>
    <mergeCell ref="S9:S10"/>
    <mergeCell ref="T9:T10"/>
    <mergeCell ref="U9:U10"/>
    <mergeCell ref="V9:V10"/>
    <mergeCell ref="W9:W10"/>
  </mergeCells>
  <conditionalFormatting sqref="A11:A130">
    <cfRule type="expression" dxfId="2427" priority="157">
      <formula>$AH11=0</formula>
    </cfRule>
  </conditionalFormatting>
  <conditionalFormatting sqref="A132:A253">
    <cfRule type="expression" dxfId="2426" priority="158">
      <formula>$AH132=0</formula>
    </cfRule>
  </conditionalFormatting>
  <conditionalFormatting sqref="B8">
    <cfRule type="expression" dxfId="2425" priority="216">
      <formula>AND(C$9&gt;=14/24,C$9&lt;20/24)</formula>
    </cfRule>
    <cfRule type="expression" dxfId="2424" priority="219">
      <formula>C$9&gt;=20/24</formula>
    </cfRule>
    <cfRule type="expression" dxfId="2423" priority="218">
      <formula>C$9&lt;8/24</formula>
    </cfRule>
    <cfRule type="expression" dxfId="2422" priority="217">
      <formula>AND(C$9&gt;=8/24,C$9&lt;14/24)</formula>
    </cfRule>
  </conditionalFormatting>
  <conditionalFormatting sqref="B11:O52 P12:AF52 B59:D68 B69:AF74 B77:AF99 B9:AF10 B101:AF117 B119:AF137 B244:AF244 B246:B252">
    <cfRule type="expression" dxfId="2421" priority="89">
      <formula>B$9&gt;=20/24</formula>
    </cfRule>
  </conditionalFormatting>
  <conditionalFormatting sqref="B11:O55 P12:AF55 E56:F57 B56:D61 G57 V57:X57 H57:S61 T57:U80 E58:G61 V58:AF80 AG62 B62:S80 AG80">
    <cfRule type="expression" dxfId="2420" priority="88">
      <formula>B11&gt;$AG11</formula>
    </cfRule>
  </conditionalFormatting>
  <conditionalFormatting sqref="B9:AF10 B11:O52 P12:AF52 B59:D68 B69:AF74 B77:AF99 B101:AF117 B119:AF137 B244:AF244 B246:B252">
    <cfRule type="expression" dxfId="2419" priority="92">
      <formula>B$9&lt;8/24</formula>
    </cfRule>
    <cfRule type="expression" dxfId="2418" priority="91">
      <formula>AND(B$9&gt;=8/24,B$9&lt;14/24)</formula>
    </cfRule>
    <cfRule type="expression" dxfId="2417" priority="90">
      <formula>AND(B$9&gt;=14/24,B$9&lt;20/24)</formula>
    </cfRule>
  </conditionalFormatting>
  <conditionalFormatting sqref="B53:AF54 B55:F57">
    <cfRule type="expression" dxfId="2416" priority="75">
      <formula>AND(B$9&gt;=14/24,B$9&lt;20/24)</formula>
    </cfRule>
    <cfRule type="expression" dxfId="2415" priority="76">
      <formula>AND(B$9&gt;=8/24,B$9&lt;14/24)</formula>
    </cfRule>
    <cfRule type="expression" dxfId="2414" priority="74">
      <formula>B$9&gt;=20/24</formula>
    </cfRule>
  </conditionalFormatting>
  <conditionalFormatting sqref="D246:AF252">
    <cfRule type="expression" dxfId="2413" priority="204">
      <formula>D$9&lt;8/24</formula>
    </cfRule>
    <cfRule type="expression" dxfId="2412" priority="203">
      <formula>AND(D$9&gt;=8/24,D$9&lt;14/24)</formula>
    </cfRule>
    <cfRule type="expression" dxfId="2411" priority="202">
      <formula>AND(D$9&gt;=14/24,D$9&lt;20/24)</formula>
    </cfRule>
    <cfRule type="expression" dxfId="2410" priority="201">
      <formula>D$9&gt;=20/24</formula>
    </cfRule>
  </conditionalFormatting>
  <conditionalFormatting sqref="E63:J67 K67">
    <cfRule type="expression" dxfId="2409" priority="122">
      <formula>AND(E$9&gt;=14/24,E$9&lt;20/24)</formula>
    </cfRule>
    <cfRule type="expression" dxfId="2408" priority="121">
      <formula>E$9&gt;=20/24</formula>
    </cfRule>
    <cfRule type="expression" dxfId="2407" priority="124">
      <formula>E$9&lt;8/24</formula>
    </cfRule>
    <cfRule type="expression" dxfId="2406" priority="123">
      <formula>AND(E$9&gt;=8/24,E$9&lt;14/24)</formula>
    </cfRule>
  </conditionalFormatting>
  <conditionalFormatting sqref="E68:K68">
    <cfRule type="expression" dxfId="2405" priority="118">
      <formula>AND(E$9&gt;=8/24,E$9&lt;14/24)</formula>
    </cfRule>
    <cfRule type="expression" dxfId="2404" priority="117">
      <formula>AND(E$9&gt;=14/24,E$9&lt;20/24)</formula>
    </cfRule>
    <cfRule type="expression" dxfId="2403" priority="116">
      <formula>E$9&gt;=20/24</formula>
    </cfRule>
    <cfRule type="expression" dxfId="2402" priority="119">
      <formula>E$9&lt;8/24</formula>
    </cfRule>
  </conditionalFormatting>
  <conditionalFormatting sqref="E11:AF11">
    <cfRule type="expression" dxfId="2401" priority="126">
      <formula>E$9&gt;=20/24</formula>
    </cfRule>
    <cfRule type="expression" dxfId="2400" priority="125">
      <formula>E11&gt;$AG11</formula>
    </cfRule>
    <cfRule type="expression" dxfId="2399" priority="129">
      <formula>E$9&lt;8/24</formula>
    </cfRule>
    <cfRule type="expression" dxfId="2398" priority="128">
      <formula>AND(E$9&gt;=8/24,E$9&lt;14/24)</formula>
    </cfRule>
    <cfRule type="expression" dxfId="2397" priority="127">
      <formula>AND(E$9&gt;=14/24,E$9&lt;20/24)</formula>
    </cfRule>
  </conditionalFormatting>
  <conditionalFormatting sqref="E59:AF62">
    <cfRule type="expression" dxfId="2396" priority="136">
      <formula>AND(E$9&gt;=14/24,E$9&lt;20/24)</formula>
    </cfRule>
    <cfRule type="expression" dxfId="2395" priority="135">
      <formula>E$9&gt;=20/24</formula>
    </cfRule>
    <cfRule type="expression" dxfId="2394" priority="137">
      <formula>AND(E$9&gt;=8/24,E$9&lt;14/24)</formula>
    </cfRule>
    <cfRule type="expression" dxfId="2393" priority="138">
      <formula>E$9&lt;8/24</formula>
    </cfRule>
  </conditionalFormatting>
  <conditionalFormatting sqref="F63:L65">
    <cfRule type="expression" dxfId="2392" priority="151">
      <formula>AND(F$9&gt;=8/24,F$9&lt;14/24)</formula>
    </cfRule>
    <cfRule type="expression" dxfId="2391" priority="149">
      <formula>F$9&gt;=20/24</formula>
    </cfRule>
    <cfRule type="expression" dxfId="2390" priority="150">
      <formula>AND(F$9&gt;=14/24,F$9&lt;20/24)</formula>
    </cfRule>
    <cfRule type="expression" dxfId="2389" priority="152">
      <formula>F$9&lt;8/24</formula>
    </cfRule>
  </conditionalFormatting>
  <conditionalFormatting sqref="G55:X57 Y55:AF55">
    <cfRule type="expression" dxfId="2388" priority="94">
      <formula>G$9&gt;=20/24</formula>
    </cfRule>
  </conditionalFormatting>
  <conditionalFormatting sqref="G56:X56">
    <cfRule type="expression" dxfId="2387" priority="93">
      <formula>G56&gt;$AG56</formula>
    </cfRule>
  </conditionalFormatting>
  <conditionalFormatting sqref="L68:AF68">
    <cfRule type="expression" dxfId="2386" priority="148">
      <formula>L$9&lt;8/24</formula>
    </cfRule>
    <cfRule type="expression" dxfId="2385" priority="147">
      <formula>AND(L$9&gt;=8/24,L$9&lt;14/24)</formula>
    </cfRule>
    <cfRule type="expression" dxfId="2384" priority="146">
      <formula>AND(L$9&gt;=14/24,L$9&lt;20/24)</formula>
    </cfRule>
    <cfRule type="expression" dxfId="2383" priority="145">
      <formula>L$9&gt;=20/24</formula>
    </cfRule>
  </conditionalFormatting>
  <conditionalFormatting sqref="M8 S8 AB8">
    <cfRule type="expression" dxfId="2382" priority="209">
      <formula>AND(N$9&gt;=8/24,N$9&lt;14/24)</formula>
    </cfRule>
    <cfRule type="expression" dxfId="2381" priority="208">
      <formula>AND(N$9&gt;=14/24,N$9&lt;20/24)</formula>
    </cfRule>
    <cfRule type="expression" dxfId="2380" priority="210">
      <formula>N$9&lt;8/24</formula>
    </cfRule>
  </conditionalFormatting>
  <conditionalFormatting sqref="M63:X67">
    <cfRule type="expression" dxfId="2379" priority="156">
      <formula>M$9&lt;8/24</formula>
    </cfRule>
    <cfRule type="expression" dxfId="2378" priority="155">
      <formula>AND(M$9&gt;=8/24,M$9&lt;14/24)</formula>
    </cfRule>
    <cfRule type="expression" dxfId="2377" priority="154">
      <formula>AND(M$9&gt;=14/24,M$9&lt;20/24)</formula>
    </cfRule>
    <cfRule type="expression" dxfId="2376" priority="153">
      <formula>M$9&gt;=20/24</formula>
    </cfRule>
  </conditionalFormatting>
  <conditionalFormatting sqref="O3:P3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75" priority="207">
      <formula>N$9&gt;=20/24</formula>
    </cfRule>
  </conditionalFormatting>
  <conditionalFormatting sqref="S8">
    <cfRule type="expression" dxfId="2374" priority="195">
      <formula>AND(U$9&gt;=14/24,U$9&lt;20/24)</formula>
    </cfRule>
    <cfRule type="expression" dxfId="2373" priority="196">
      <formula>AND(U$9&gt;=8/24,U$9&lt;14/24)</formula>
    </cfRule>
    <cfRule type="expression" dxfId="2372" priority="197">
      <formula>U$9&lt;8/24</formula>
    </cfRule>
    <cfRule type="expression" dxfId="2371" priority="194">
      <formula>U$9&gt;=20/24</formula>
    </cfRule>
  </conditionalFormatting>
  <conditionalFormatting sqref="V3 AB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V63:AF68">
    <cfRule type="expression" dxfId="2370" priority="141">
      <formula>AND(V$9&gt;=8/24,V$9&lt;14/24)</formula>
    </cfRule>
    <cfRule type="expression" dxfId="2369" priority="140">
      <formula>AND(V$9&gt;=14/24,V$9&lt;20/24)</formula>
    </cfRule>
    <cfRule type="expression" dxfId="2368" priority="139">
      <formula>V$9&gt;=20/24</formula>
    </cfRule>
    <cfRule type="expression" dxfId="2367" priority="142">
      <formula>V$9&lt;8/24</formula>
    </cfRule>
  </conditionalFormatting>
  <conditionalFormatting sqref="Y53:AF55 B53:X57">
    <cfRule type="expression" dxfId="2366" priority="120">
      <formula>B$9&lt;8/24</formula>
    </cfRule>
  </conditionalFormatting>
  <conditionalFormatting sqref="Y55:AF55 G55:X57">
    <cfRule type="expression" dxfId="2365" priority="95">
      <formula>AND(G$9&gt;=14/24,G$9&lt;20/24)</formula>
    </cfRule>
    <cfRule type="expression" dxfId="2364" priority="96">
      <formula>AND(G$9&gt;=8/24,G$9&lt;14/24)</formula>
    </cfRule>
  </conditionalFormatting>
  <conditionalFormatting sqref="Y56:AF57">
    <cfRule type="expression" dxfId="2363" priority="143">
      <formula>Y$9&lt;8/24</formula>
    </cfRule>
    <cfRule type="expression" dxfId="2362" priority="133">
      <formula>AND(Y$9&gt;=8/24,Y$9&lt;14/24)</formula>
    </cfRule>
    <cfRule type="expression" dxfId="2361" priority="132">
      <formula>AND(Y$9&gt;=14/24,Y$9&lt;20/24)</formula>
    </cfRule>
    <cfRule type="expression" dxfId="2360" priority="131">
      <formula>Y$9&gt;=20/24</formula>
    </cfRule>
    <cfRule type="expression" dxfId="2359" priority="130">
      <formula>Y56&gt;$AG56</formula>
    </cfRule>
  </conditionalFormatting>
  <conditionalFormatting sqref="AB8">
    <cfRule type="expression" dxfId="2358" priority="191">
      <formula>AND(AD$9&gt;=14/24,AD$9&lt;20/24)</formula>
    </cfRule>
    <cfRule type="expression" dxfId="2357" priority="192">
      <formula>AND(AD$9&gt;=8/24,AD$9&lt;14/24)</formula>
    </cfRule>
    <cfRule type="expression" dxfId="2356" priority="193">
      <formula>AD$9&lt;8/24</formula>
    </cfRule>
    <cfRule type="expression" dxfId="2355" priority="190">
      <formula>AD$9&gt;=20/24</formula>
    </cfRule>
  </conditionalFormatting>
  <conditionalFormatting sqref="AG58">
    <cfRule type="expression" dxfId="2354" priority="185">
      <formula>AG58&gt;$AG58</formula>
    </cfRule>
  </conditionalFormatting>
  <conditionalFormatting sqref="AG62">
    <cfRule type="expression" dxfId="2353" priority="171">
      <formula>AG$9&lt;8/24</formula>
    </cfRule>
    <cfRule type="expression" dxfId="2352" priority="169">
      <formula>AND(AG$9&gt;=14/24,AG$9&lt;20/24)</formula>
    </cfRule>
    <cfRule type="expression" dxfId="2351" priority="170">
      <formula>AND(AG$9&gt;=8/24,AG$9&lt;14/24)</formula>
    </cfRule>
    <cfRule type="expression" dxfId="2350" priority="168">
      <formula>AG$9&gt;=20/24</formula>
    </cfRule>
  </conditionalFormatting>
  <conditionalFormatting sqref="AG75:AG76">
    <cfRule type="expression" dxfId="2349" priority="163">
      <formula>AG75&gt;$AG75</formula>
    </cfRule>
  </conditionalFormatting>
  <conditionalFormatting sqref="AG80">
    <cfRule type="expression" dxfId="2348" priority="167">
      <formula>AG$9&lt;8/24</formula>
    </cfRule>
    <cfRule type="expression" dxfId="2347" priority="164">
      <formula>AG$9&gt;=20/24</formula>
    </cfRule>
    <cfRule type="expression" dxfId="2346" priority="165">
      <formula>AND(AG$9&gt;=14/24,AG$9&lt;20/24)</formula>
    </cfRule>
    <cfRule type="expression" dxfId="2345" priority="166">
      <formula>AND(AG$9&gt;=8/24,AG$9&lt;14/24)</formula>
    </cfRule>
  </conditionalFormatting>
  <conditionalFormatting sqref="AG97">
    <cfRule type="expression" dxfId="2344" priority="189">
      <formula>AG$9&lt;8/24</formula>
    </cfRule>
    <cfRule type="expression" dxfId="2343" priority="188">
      <formula>AND(AG$9&gt;=8/24,AG$9&lt;14/24)</formula>
    </cfRule>
    <cfRule type="expression" dxfId="2342" priority="187">
      <formula>AND(AG$9&gt;=14/24,AG$9&lt;20/24)</formula>
    </cfRule>
    <cfRule type="expression" dxfId="2341" priority="186">
      <formula>AG$9&gt;=20/24</formula>
    </cfRule>
  </conditionalFormatting>
  <conditionalFormatting sqref="AL4:AL6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340" priority="214">
      <formula>AJ$9&lt;8/24</formula>
    </cfRule>
    <cfRule type="expression" dxfId="2339" priority="212">
      <formula>AND(AJ$9&gt;=14/24,AJ$9&lt;20/24)</formula>
    </cfRule>
    <cfRule type="expression" dxfId="2338" priority="211">
      <formula>AJ$9&gt;=20/24</formula>
    </cfRule>
    <cfRule type="expression" dxfId="2337" priority="213">
      <formula>AND(AJ$9&gt;=8/24,AJ$9&lt;14/24)</formula>
    </cfRule>
  </conditionalFormatting>
  <conditionalFormatting sqref="AL88:AN88 AL94:AN94">
    <cfRule type="expression" dxfId="2336" priority="178">
      <formula>AL$9&gt;=20/24</formula>
    </cfRule>
    <cfRule type="expression" dxfId="2335" priority="179">
      <formula>AND(AL$9&gt;=14/24,AL$9&lt;20/24)</formula>
    </cfRule>
    <cfRule type="expression" dxfId="2334" priority="180">
      <formula>AND(AL$9&gt;=8/24,AL$9&lt;14/24)</formula>
    </cfRule>
    <cfRule type="expression" dxfId="2333" priority="181">
      <formula>AL$9&lt;8/24</formula>
    </cfRule>
  </conditionalFormatting>
  <conditionalFormatting sqref="AM15:AM21">
    <cfRule type="expression" dxfId="2332" priority="14">
      <formula>AX$9&gt;=20/24</formula>
    </cfRule>
    <cfRule type="expression" dxfId="2331" priority="15">
      <formula>AND(AX$9&gt;=14/24,AX$9&lt;20/24)</formula>
    </cfRule>
    <cfRule type="expression" dxfId="2330" priority="16">
      <formula>AND(AX$9&gt;=8/24,AX$9&lt;14/24)</formula>
    </cfRule>
    <cfRule type="expression" dxfId="2329" priority="17">
      <formula>AX$9&lt;8/24</formula>
    </cfRule>
  </conditionalFormatting>
  <conditionalFormatting sqref="AN89:AN92">
    <cfRule type="expression" dxfId="2328" priority="177">
      <formula>AN$9&lt;8/24</formula>
    </cfRule>
    <cfRule type="expression" dxfId="2327" priority="176">
      <formula>AND(AN$9&gt;=8/24,AN$9&lt;14/24)</formula>
    </cfRule>
    <cfRule type="expression" dxfId="2326" priority="175">
      <formula>AND(AN$9&gt;=14/24,AN$9&lt;20/24)</formula>
    </cfRule>
    <cfRule type="expression" dxfId="2325" priority="174">
      <formula>AN$9&gt;=20/24</formula>
    </cfRule>
  </conditionalFormatting>
  <conditionalFormatting sqref="AN15:AR15">
    <cfRule type="expression" dxfId="2324" priority="2">
      <formula>U$9&gt;=20/24</formula>
    </cfRule>
    <cfRule type="expression" dxfId="2323" priority="3">
      <formula>AND(U$9&gt;=14/24,U$9&lt;20/24)</formula>
    </cfRule>
    <cfRule type="expression" dxfId="2322" priority="4">
      <formula>AND(U$9&gt;=8/24,U$9&lt;14/24)</formula>
    </cfRule>
    <cfRule type="expression" dxfId="2321" priority="5">
      <formula>U$9&lt;8/24</formula>
    </cfRule>
  </conditionalFormatting>
  <conditionalFormatting sqref="AN16:AR21">
    <cfRule type="expression" dxfId="2320" priority="365">
      <formula>AND(BX$9&gt;=8/24,BX$9&lt;14/24)</formula>
    </cfRule>
    <cfRule type="expression" dxfId="2319" priority="364">
      <formula>AND(BX$9&gt;=14/24,BX$9&lt;20/24)</formula>
    </cfRule>
    <cfRule type="expression" dxfId="2318" priority="363">
      <formula>BX$9&gt;=20/24</formula>
    </cfRule>
    <cfRule type="expression" dxfId="2317" priority="366">
      <formula>BX$9&lt;8/24</formula>
    </cfRule>
  </conditionalFormatting>
  <conditionalFormatting sqref="AS15">
    <cfRule type="expression" dxfId="2316" priority="11">
      <formula>AND(AA$9&gt;=14/24,AA$9&lt;20/24)</formula>
    </cfRule>
    <cfRule type="expression" dxfId="2315" priority="10">
      <formula>AA$9&gt;=20/24</formula>
    </cfRule>
    <cfRule type="expression" dxfId="2314" priority="12">
      <formula>AND(AA$9&gt;=8/24,AA$9&lt;14/24)</formula>
    </cfRule>
    <cfRule type="expression" dxfId="2313" priority="13">
      <formula>AA$9&lt;8/24</formula>
    </cfRule>
  </conditionalFormatting>
  <conditionalFormatting sqref="AS16:AS21">
    <cfRule type="expression" dxfId="2312" priority="21">
      <formula>CD$9&lt;8/24</formula>
    </cfRule>
    <cfRule type="expression" dxfId="2311" priority="19">
      <formula>AND(CD$9&gt;=14/24,CD$9&lt;20/24)</formula>
    </cfRule>
    <cfRule type="expression" dxfId="2310" priority="18">
      <formula>CD$9&gt;=20/24</formula>
    </cfRule>
    <cfRule type="expression" dxfId="2309" priority="20">
      <formula>AND(CD$9&gt;=8/24,CD$9&lt;14/24)</formula>
    </cfRule>
  </conditionalFormatting>
  <conditionalFormatting sqref="AT15 AX15">
    <cfRule type="expression" dxfId="2308" priority="25">
      <formula>AC$9&lt;8/24</formula>
    </cfRule>
    <cfRule type="expression" dxfId="2307" priority="24">
      <formula>AND(AC$9&gt;=8/24,AC$9&lt;14/24)</formula>
    </cfRule>
    <cfRule type="expression" dxfId="2306" priority="23">
      <formula>AND(AC$9&gt;=14/24,AC$9&lt;20/24)</formula>
    </cfRule>
    <cfRule type="expression" dxfId="2305" priority="22">
      <formula>AC$9&gt;=20/24</formula>
    </cfRule>
  </conditionalFormatting>
  <conditionalFormatting sqref="AT16:AT21">
    <cfRule type="expression" dxfId="2304" priority="26">
      <formula>CF$9&gt;=20/24</formula>
    </cfRule>
    <cfRule type="expression" dxfId="2303" priority="29">
      <formula>CF$9&lt;8/24</formula>
    </cfRule>
    <cfRule type="expression" dxfId="2302" priority="28">
      <formula>AND(CF$9&gt;=8/24,CF$9&lt;14/24)</formula>
    </cfRule>
    <cfRule type="expression" dxfId="2301" priority="27">
      <formula>AND(CF$9&gt;=14/24,CF$9&lt;20/24)</formula>
    </cfRule>
  </conditionalFormatting>
  <conditionalFormatting sqref="AU15:AV15">
    <cfRule type="expression" dxfId="2300" priority="33">
      <formula>AE$9&lt;8/24</formula>
    </cfRule>
    <cfRule type="expression" dxfId="2299" priority="31">
      <formula>AND(AE$9&gt;=14/24,AE$9&lt;20/24)</formula>
    </cfRule>
    <cfRule type="expression" dxfId="2298" priority="30">
      <formula>AE$9&gt;=20/24</formula>
    </cfRule>
    <cfRule type="expression" dxfId="2297" priority="32">
      <formula>AND(AE$9&gt;=8/24,AE$9&lt;14/24)</formula>
    </cfRule>
  </conditionalFormatting>
  <conditionalFormatting sqref="AU16:AX21">
    <cfRule type="expression" dxfId="2296" priority="382">
      <formula>CH$9&lt;8/24</formula>
    </cfRule>
    <cfRule type="expression" dxfId="2295" priority="379">
      <formula>CH$9&gt;=20/24</formula>
    </cfRule>
    <cfRule type="expression" dxfId="2294" priority="380">
      <formula>AND(CH$9&gt;=14/24,CH$9&lt;20/24)</formula>
    </cfRule>
    <cfRule type="expression" dxfId="2293" priority="381">
      <formula>AND(CH$9&gt;=8/24,CH$9&lt;14/24)</formula>
    </cfRule>
  </conditionalFormatting>
  <conditionalFormatting sqref="AW15">
    <cfRule type="expression" dxfId="2292" priority="7">
      <formula>AND(B$9&gt;=14/24,B$9&lt;20/24)</formula>
    </cfRule>
    <cfRule type="expression" dxfId="2291" priority="6">
      <formula>B$9&gt;=20/24</formula>
    </cfRule>
    <cfRule type="expression" dxfId="2290" priority="9">
      <formula>B$9&lt;8/24</formula>
    </cfRule>
    <cfRule type="expression" dxfId="2289" priority="8">
      <formula>AND(B$9&gt;=8/24,B$9&lt;14/24)</formula>
    </cfRule>
  </conditionalFormatting>
  <conditionalFormatting sqref="BX15:CC15">
    <cfRule type="expression" dxfId="2288" priority="374">
      <formula>AH$9&lt;8/24</formula>
    </cfRule>
    <cfRule type="expression" dxfId="2287" priority="371">
      <formula>AH$9&gt;=20/24</formula>
    </cfRule>
    <cfRule type="expression" dxfId="2286" priority="372">
      <formula>AND(AH$9&gt;=14/24,AH$9&lt;20/24)</formula>
    </cfRule>
    <cfRule type="expression" dxfId="2285" priority="373">
      <formula>AND(AH$9&gt;=8/24,AH$9&lt;14/24)</formula>
    </cfRule>
  </conditionalFormatting>
  <conditionalFormatting sqref="BX16:CC21">
    <cfRule type="expression" dxfId="2284" priority="34">
      <formula>CL$9&gt;=20/24</formula>
    </cfRule>
    <cfRule type="expression" dxfId="2283" priority="37">
      <formula>CL$9&lt;8/24</formula>
    </cfRule>
    <cfRule type="expression" dxfId="2282" priority="35">
      <formula>AND(CL$9&gt;=14/24,CL$9&lt;20/24)</formula>
    </cfRule>
    <cfRule type="expression" dxfId="2281" priority="36">
      <formula>AND(CL$9&gt;=8/24,CL$9&lt;14/24)</formula>
    </cfRule>
  </conditionalFormatting>
  <conditionalFormatting sqref="CD15">
    <cfRule type="expression" dxfId="2280" priority="375">
      <formula>AO$9&gt;=20/24</formula>
    </cfRule>
    <cfRule type="expression" dxfId="2279" priority="376">
      <formula>AND(AO$9&gt;=14/24,AO$9&lt;20/24)</formula>
    </cfRule>
    <cfRule type="expression" dxfId="2278" priority="377">
      <formula>AND(AO$9&gt;=8/24,AO$9&lt;14/24)</formula>
    </cfRule>
    <cfRule type="expression" dxfId="2277" priority="378">
      <formula>AO$9&lt;8/24</formula>
    </cfRule>
  </conditionalFormatting>
  <conditionalFormatting sqref="CD16:CD21">
    <cfRule type="expression" dxfId="2276" priority="41">
      <formula>CS$9&lt;8/24</formula>
    </cfRule>
    <cfRule type="expression" dxfId="2275" priority="38">
      <formula>CS$9&gt;=20/24</formula>
    </cfRule>
    <cfRule type="expression" dxfId="2274" priority="39">
      <formula>AND(CS$9&gt;=14/24,CS$9&lt;20/24)</formula>
    </cfRule>
    <cfRule type="expression" dxfId="2273" priority="40">
      <formula>AND(CS$9&gt;=8/24,CS$9&lt;14/24)</formula>
    </cfRule>
  </conditionalFormatting>
  <conditionalFormatting sqref="CE15">
    <cfRule type="expression" dxfId="2272" priority="42">
      <formula>AQ$9&gt;=20/24</formula>
    </cfRule>
    <cfRule type="expression" dxfId="2271" priority="43">
      <formula>AND(AQ$9&gt;=14/24,AQ$9&lt;20/24)</formula>
    </cfRule>
    <cfRule type="expression" dxfId="2270" priority="44">
      <formula>AND(AQ$9&gt;=8/24,AQ$9&lt;14/24)</formula>
    </cfRule>
    <cfRule type="expression" dxfId="2269" priority="45">
      <formula>AQ$9&lt;8/24</formula>
    </cfRule>
  </conditionalFormatting>
  <conditionalFormatting sqref="CE16:CE21">
    <cfRule type="expression" dxfId="2268" priority="46">
      <formula>CU$9&gt;=20/24</formula>
    </cfRule>
    <cfRule type="expression" dxfId="2267" priority="47">
      <formula>AND(CU$9&gt;=14/24,CU$9&lt;20/24)</formula>
    </cfRule>
    <cfRule type="expression" dxfId="2266" priority="49">
      <formula>CU$9&lt;8/24</formula>
    </cfRule>
    <cfRule type="expression" dxfId="2265" priority="48">
      <formula>AND(CU$9&gt;=8/24,CU$9&lt;14/24)</formula>
    </cfRule>
  </conditionalFormatting>
  <conditionalFormatting sqref="CF15">
    <cfRule type="expression" dxfId="2264" priority="50">
      <formula>AS$9&gt;=20/24</formula>
    </cfRule>
    <cfRule type="expression" dxfId="2263" priority="51">
      <formula>AND(AS$9&gt;=14/24,AS$9&lt;20/24)</formula>
    </cfRule>
    <cfRule type="expression" dxfId="2262" priority="52">
      <formula>AND(AS$9&gt;=8/24,AS$9&lt;14/24)</formula>
    </cfRule>
    <cfRule type="expression" dxfId="2261" priority="53">
      <formula>AS$9&lt;8/24</formula>
    </cfRule>
  </conditionalFormatting>
  <conditionalFormatting sqref="CF16:CF21">
    <cfRule type="expression" dxfId="2260" priority="54">
      <formula>CW$9&gt;=20/24</formula>
    </cfRule>
    <cfRule type="expression" dxfId="2259" priority="55">
      <formula>AND(CW$9&gt;=14/24,CW$9&lt;20/24)</formula>
    </cfRule>
    <cfRule type="expression" dxfId="2258" priority="56">
      <formula>AND(CW$9&gt;=8/24,CW$9&lt;14/24)</formula>
    </cfRule>
    <cfRule type="expression" dxfId="2257" priority="57">
      <formula>CW$9&lt;8/24</formula>
    </cfRule>
  </conditionalFormatting>
  <conditionalFormatting sqref="CG15:CI15">
    <cfRule type="expression" dxfId="2256" priority="59">
      <formula>AND(AU$9&gt;=14/24,AU$9&lt;20/24)</formula>
    </cfRule>
    <cfRule type="expression" dxfId="2255" priority="61">
      <formula>AU$9&lt;8/24</formula>
    </cfRule>
    <cfRule type="expression" dxfId="2254" priority="60">
      <formula>AND(AU$9&gt;=8/24,AU$9&lt;14/24)</formula>
    </cfRule>
    <cfRule type="expression" dxfId="2253" priority="58">
      <formula>AU$9&gt;=20/24</formula>
    </cfRule>
  </conditionalFormatting>
  <conditionalFormatting sqref="CG16:CI21">
    <cfRule type="expression" dxfId="2252" priority="65">
      <formula>CY$9&lt;8/24</formula>
    </cfRule>
    <cfRule type="expression" dxfId="2251" priority="62">
      <formula>CY$9&gt;=20/24</formula>
    </cfRule>
    <cfRule type="expression" dxfId="2250" priority="63">
      <formula>AND(CY$9&gt;=14/24,CY$9&lt;20/24)</formula>
    </cfRule>
    <cfRule type="expression" dxfId="2249" priority="64">
      <formula>AND(CY$9&gt;=8/24,CY$9&lt;14/24)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9014-35AD-45B8-A91B-3A4BBE889F7C}">
  <dimension ref="A1:CJ294"/>
  <sheetViews>
    <sheetView zoomScaleNormal="100" workbookViewId="0">
      <pane xSplit="1" ySplit="10" topLeftCell="B71" activePane="bottomRight" state="frozen"/>
      <selection activeCell="Z63" sqref="Z63"/>
      <selection pane="topRight" activeCell="Z63" sqref="Z63"/>
      <selection pane="bottomLeft" activeCell="Z63" sqref="Z63"/>
      <selection pane="bottomRight" activeCell="AB85" activeCellId="6" sqref="C85:G85 I85 K85 M85:V85 X85 Z85 AB85:AE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5.8554687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2080/10/17</v>
      </c>
      <c r="C4" s="272"/>
      <c r="D4" s="272"/>
      <c r="E4" s="273" t="str">
        <f ca="1">"2080/"&amp;"10/"&amp;INT(MID(CELL("filename",G6),FIND("]",CELL("filename",G6))+1,200))</f>
        <v>2080/10/17</v>
      </c>
      <c r="F4" s="273"/>
      <c r="G4" s="273"/>
      <c r="H4" s="273" t="str">
        <f ca="1">TEXT(E4,"dddd")</f>
        <v>Thursday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645.9</v>
      </c>
      <c r="C5" s="30">
        <f t="shared" ref="C5:AE5" si="0">D92</f>
        <v>632.1</v>
      </c>
      <c r="D5" s="30">
        <f t="shared" si="0"/>
        <v>638.5</v>
      </c>
      <c r="E5" s="30">
        <f t="shared" si="0"/>
        <v>648.4</v>
      </c>
      <c r="F5" s="30">
        <f t="shared" si="0"/>
        <v>635.6</v>
      </c>
      <c r="G5" s="30">
        <f t="shared" si="0"/>
        <v>622.1</v>
      </c>
      <c r="H5" s="30">
        <f t="shared" si="0"/>
        <v>523.79999999999995</v>
      </c>
      <c r="I5" s="30">
        <f t="shared" si="0"/>
        <v>572.69999999999993</v>
      </c>
      <c r="J5" s="30">
        <f t="shared" si="0"/>
        <v>346.20000000000005</v>
      </c>
      <c r="K5" s="30">
        <f t="shared" si="0"/>
        <v>288.39999999999998</v>
      </c>
      <c r="L5" s="30">
        <f t="shared" si="0"/>
        <v>321.89999999999998</v>
      </c>
      <c r="M5" s="30">
        <f t="shared" si="0"/>
        <v>470.4</v>
      </c>
      <c r="N5" s="30">
        <f t="shared" si="0"/>
        <v>565.6</v>
      </c>
      <c r="O5" s="30">
        <f t="shared" si="0"/>
        <v>707</v>
      </c>
      <c r="P5" s="30">
        <f t="shared" si="0"/>
        <v>629.40000000000009</v>
      </c>
      <c r="Q5" s="30">
        <f t="shared" si="0"/>
        <v>731</v>
      </c>
      <c r="R5" s="30">
        <f t="shared" si="0"/>
        <v>780.50000000000011</v>
      </c>
      <c r="S5" s="30">
        <f t="shared" si="0"/>
        <v>778.60000000000014</v>
      </c>
      <c r="T5" s="30">
        <f t="shared" si="0"/>
        <v>748.8</v>
      </c>
      <c r="U5" s="30">
        <f t="shared" si="0"/>
        <v>632.5</v>
      </c>
      <c r="V5" s="30">
        <f t="shared" si="0"/>
        <v>625</v>
      </c>
      <c r="W5" s="30">
        <f t="shared" si="0"/>
        <v>644.70000000000005</v>
      </c>
      <c r="X5" s="30">
        <f t="shared" si="0"/>
        <v>566</v>
      </c>
      <c r="Y5" s="30">
        <f t="shared" si="0"/>
        <v>368.6</v>
      </c>
      <c r="Z5" s="30">
        <f t="shared" si="0"/>
        <v>376.09999999999997</v>
      </c>
      <c r="AA5" s="30">
        <f t="shared" si="0"/>
        <v>640.10000000000014</v>
      </c>
      <c r="AB5" s="30">
        <f t="shared" si="0"/>
        <v>623.1</v>
      </c>
      <c r="AC5" s="30">
        <f t="shared" si="0"/>
        <v>677.30000000000007</v>
      </c>
      <c r="AD5" s="30">
        <f t="shared" si="0"/>
        <v>686.6</v>
      </c>
      <c r="AE5" s="30">
        <f t="shared" si="0"/>
        <v>687.9</v>
      </c>
      <c r="AF5" s="30">
        <f>B92</f>
        <v>621.70000000000005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Load=1215</v>
      </c>
      <c r="B7" s="35">
        <f>B100</f>
        <v>1232.99</v>
      </c>
      <c r="C7" s="35">
        <f t="shared" ref="C7:AF7" si="1">C100</f>
        <v>1255.29</v>
      </c>
      <c r="D7" s="35">
        <f t="shared" si="1"/>
        <v>1214.9900000000002</v>
      </c>
      <c r="E7" s="35">
        <f t="shared" si="1"/>
        <v>1221.3900000000001</v>
      </c>
      <c r="F7" s="35">
        <f t="shared" si="1"/>
        <v>1241.99</v>
      </c>
      <c r="G7" s="35">
        <f t="shared" si="1"/>
        <v>1263.9900000000002</v>
      </c>
      <c r="H7" s="35">
        <f t="shared" si="1"/>
        <v>1339.69</v>
      </c>
      <c r="I7" s="35">
        <f t="shared" si="1"/>
        <v>1284.99</v>
      </c>
      <c r="J7" s="35">
        <f t="shared" si="1"/>
        <v>1729.69</v>
      </c>
      <c r="K7" s="35">
        <f t="shared" si="1"/>
        <v>1618.69</v>
      </c>
      <c r="L7" s="35">
        <f t="shared" si="1"/>
        <v>1731.19</v>
      </c>
      <c r="M7" s="35">
        <f t="shared" si="1"/>
        <v>1688.19</v>
      </c>
      <c r="N7" s="35">
        <f t="shared" si="1"/>
        <v>1542.99</v>
      </c>
      <c r="O7" s="35">
        <f t="shared" si="1"/>
        <v>1529.99</v>
      </c>
      <c r="P7" s="35">
        <f t="shared" si="1"/>
        <v>1500.93</v>
      </c>
      <c r="Q7" s="35">
        <f t="shared" si="1"/>
        <v>1466.5900000000001</v>
      </c>
      <c r="R7" s="35">
        <f t="shared" si="1"/>
        <v>1505.69</v>
      </c>
      <c r="S7" s="35">
        <f t="shared" si="1"/>
        <v>1518.19</v>
      </c>
      <c r="T7" s="35">
        <f t="shared" si="1"/>
        <v>1530.3900000000003</v>
      </c>
      <c r="U7" s="35">
        <f t="shared" si="1"/>
        <v>1524.0900000000001</v>
      </c>
      <c r="V7" s="35">
        <f t="shared" si="1"/>
        <v>1404.19</v>
      </c>
      <c r="W7" s="35">
        <f t="shared" si="1"/>
        <v>1543.99</v>
      </c>
      <c r="X7" s="35">
        <f t="shared" si="1"/>
        <v>1668.69</v>
      </c>
      <c r="Y7" s="35">
        <f t="shared" si="1"/>
        <v>1780.15</v>
      </c>
      <c r="Z7" s="35">
        <f t="shared" si="1"/>
        <v>1770.4500000000003</v>
      </c>
      <c r="AA7" s="35">
        <f t="shared" si="1"/>
        <v>1750.5900000000001</v>
      </c>
      <c r="AB7" s="35">
        <f t="shared" si="1"/>
        <v>1666.0900000000001</v>
      </c>
      <c r="AC7" s="35">
        <f t="shared" si="1"/>
        <v>1640.0900000000001</v>
      </c>
      <c r="AD7" s="35">
        <f t="shared" si="1"/>
        <v>1607.19</v>
      </c>
      <c r="AE7" s="35">
        <f t="shared" si="1"/>
        <v>1393.49</v>
      </c>
      <c r="AF7" s="35">
        <f t="shared" si="1"/>
        <v>1311.79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1770.45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1770.45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26.6</v>
      </c>
      <c r="C11" s="45">
        <v>26</v>
      </c>
      <c r="D11" s="45">
        <v>25.7</v>
      </c>
      <c r="E11" s="45">
        <v>25.7</v>
      </c>
      <c r="F11" s="45">
        <v>25.7</v>
      </c>
      <c r="G11" s="45">
        <v>25.7</v>
      </c>
      <c r="H11" s="45">
        <v>25.7</v>
      </c>
      <c r="I11" s="45">
        <v>25.7</v>
      </c>
      <c r="J11" s="45">
        <v>25.7</v>
      </c>
      <c r="K11" s="45">
        <v>25.7</v>
      </c>
      <c r="L11" s="45">
        <v>25.7</v>
      </c>
      <c r="M11" s="45">
        <v>25.7</v>
      </c>
      <c r="N11" s="45">
        <v>25.7</v>
      </c>
      <c r="O11" s="45">
        <v>25.7</v>
      </c>
      <c r="P11" s="45">
        <v>25.7</v>
      </c>
      <c r="Q11" s="45">
        <v>25.7</v>
      </c>
      <c r="R11" s="45">
        <v>25.7</v>
      </c>
      <c r="S11" s="45">
        <v>25.7</v>
      </c>
      <c r="T11" s="45">
        <v>25.7</v>
      </c>
      <c r="U11" s="45">
        <v>25.7</v>
      </c>
      <c r="V11" s="45">
        <v>25.7</v>
      </c>
      <c r="W11" s="45">
        <v>25.7</v>
      </c>
      <c r="X11" s="45">
        <v>25.7</v>
      </c>
      <c r="Y11" s="45">
        <v>25.7</v>
      </c>
      <c r="Z11" s="45">
        <v>25.7</v>
      </c>
      <c r="AA11" s="45">
        <v>25.7</v>
      </c>
      <c r="AB11" s="45">
        <v>25.4</v>
      </c>
      <c r="AC11" s="45">
        <v>25.9</v>
      </c>
      <c r="AD11" s="45">
        <v>28.5</v>
      </c>
      <c r="AE11" s="45">
        <v>28.5</v>
      </c>
      <c r="AF11" s="45">
        <v>28.5</v>
      </c>
      <c r="AG11" s="46">
        <v>86</v>
      </c>
      <c r="AH11" s="47">
        <f t="shared" ref="AH11:AH16" si="2">MAX(B11:AF11)</f>
        <v>28.5</v>
      </c>
      <c r="AI11" s="48">
        <f t="shared" ref="AI11:AI16" si="3">MIN(B11:AF11)</f>
        <v>25.4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17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</v>
      </c>
      <c r="L13" s="45">
        <v>10</v>
      </c>
      <c r="M13" s="45">
        <v>10</v>
      </c>
      <c r="N13" s="45">
        <v>10</v>
      </c>
      <c r="O13" s="45">
        <v>10</v>
      </c>
      <c r="P13" s="45">
        <v>10</v>
      </c>
      <c r="Q13" s="45">
        <v>10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11.1</v>
      </c>
      <c r="AF13" s="45">
        <v>11.1</v>
      </c>
      <c r="AG13" s="49">
        <v>54</v>
      </c>
      <c r="AH13" s="47">
        <f t="shared" si="2"/>
        <v>11.1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2080/10/17)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15</v>
      </c>
      <c r="C14" s="45">
        <v>15</v>
      </c>
      <c r="D14" s="45">
        <v>15</v>
      </c>
      <c r="E14" s="45">
        <v>15</v>
      </c>
      <c r="F14" s="45">
        <v>15</v>
      </c>
      <c r="G14" s="45">
        <v>15</v>
      </c>
      <c r="H14" s="45">
        <v>15</v>
      </c>
      <c r="I14" s="45">
        <v>15</v>
      </c>
      <c r="J14" s="45">
        <v>15</v>
      </c>
      <c r="K14" s="45">
        <v>15</v>
      </c>
      <c r="L14" s="45">
        <v>15</v>
      </c>
      <c r="M14" s="45">
        <v>15</v>
      </c>
      <c r="N14" s="45">
        <v>15</v>
      </c>
      <c r="O14" s="45">
        <v>15</v>
      </c>
      <c r="P14" s="45">
        <v>15</v>
      </c>
      <c r="Q14" s="45">
        <v>15</v>
      </c>
      <c r="R14" s="45">
        <v>15</v>
      </c>
      <c r="S14" s="45">
        <v>15</v>
      </c>
      <c r="T14" s="45">
        <v>15</v>
      </c>
      <c r="U14" s="45">
        <v>15</v>
      </c>
      <c r="V14" s="45">
        <v>15</v>
      </c>
      <c r="W14" s="45">
        <v>15</v>
      </c>
      <c r="X14" s="45">
        <v>15</v>
      </c>
      <c r="Y14" s="45">
        <v>15</v>
      </c>
      <c r="Z14" s="45">
        <v>15</v>
      </c>
      <c r="AA14" s="45">
        <v>15</v>
      </c>
      <c r="AB14" s="45">
        <v>15</v>
      </c>
      <c r="AC14" s="45">
        <v>15</v>
      </c>
      <c r="AD14" s="45">
        <v>15</v>
      </c>
      <c r="AE14" s="45">
        <v>12.5</v>
      </c>
      <c r="AF14" s="45">
        <v>12.5</v>
      </c>
      <c r="AG14" s="46">
        <v>52.4</v>
      </c>
      <c r="AH14" s="47">
        <f t="shared" si="2"/>
        <v>15</v>
      </c>
      <c r="AI14" s="48">
        <f t="shared" si="3"/>
        <v>12.5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27.9</v>
      </c>
      <c r="C15" s="45">
        <v>28.2</v>
      </c>
      <c r="D15" s="45">
        <v>28.5</v>
      </c>
      <c r="E15" s="45">
        <v>28.5</v>
      </c>
      <c r="F15" s="45">
        <v>28.5</v>
      </c>
      <c r="G15" s="45">
        <v>28.5</v>
      </c>
      <c r="H15" s="45">
        <v>28.5</v>
      </c>
      <c r="I15" s="45">
        <v>28.5</v>
      </c>
      <c r="J15" s="45">
        <v>28.5</v>
      </c>
      <c r="K15" s="45">
        <v>28.5</v>
      </c>
      <c r="L15" s="45">
        <v>28.5</v>
      </c>
      <c r="M15" s="45">
        <v>28.5</v>
      </c>
      <c r="N15" s="45">
        <v>28.5</v>
      </c>
      <c r="O15" s="45">
        <v>28.5</v>
      </c>
      <c r="P15" s="45">
        <v>28.5</v>
      </c>
      <c r="Q15" s="45">
        <v>28.5</v>
      </c>
      <c r="R15" s="45">
        <v>28.5</v>
      </c>
      <c r="S15" s="45">
        <v>28.5</v>
      </c>
      <c r="T15" s="45">
        <v>28.5</v>
      </c>
      <c r="U15" s="45">
        <v>28.5</v>
      </c>
      <c r="V15" s="45">
        <v>28.5</v>
      </c>
      <c r="W15" s="45">
        <v>28.5</v>
      </c>
      <c r="X15" s="45">
        <v>28.5</v>
      </c>
      <c r="Y15" s="45">
        <v>28.5</v>
      </c>
      <c r="Z15" s="45">
        <v>28.5</v>
      </c>
      <c r="AA15" s="45">
        <v>28.5</v>
      </c>
      <c r="AB15" s="45">
        <v>28.5</v>
      </c>
      <c r="AC15" s="45">
        <v>28.5</v>
      </c>
      <c r="AD15" s="45">
        <v>28.5</v>
      </c>
      <c r="AE15" s="45">
        <v>28.9</v>
      </c>
      <c r="AF15" s="45">
        <v>28.9</v>
      </c>
      <c r="AG15" s="49">
        <v>50</v>
      </c>
      <c r="AH15" s="47">
        <f t="shared" si="2"/>
        <v>28.9</v>
      </c>
      <c r="AI15" s="48">
        <f t="shared" si="3"/>
        <v>27.9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15.8</v>
      </c>
      <c r="C16" s="45">
        <v>16.2</v>
      </c>
      <c r="D16" s="45">
        <v>16.2</v>
      </c>
      <c r="E16" s="45">
        <v>16.2</v>
      </c>
      <c r="F16" s="45">
        <v>16.2</v>
      </c>
      <c r="G16" s="45">
        <v>16.2</v>
      </c>
      <c r="H16" s="45">
        <v>16.2</v>
      </c>
      <c r="I16" s="45">
        <v>16.2</v>
      </c>
      <c r="J16" s="45">
        <v>16.2</v>
      </c>
      <c r="K16" s="45">
        <v>16.2</v>
      </c>
      <c r="L16" s="45">
        <v>16.2</v>
      </c>
      <c r="M16" s="45">
        <v>16.2</v>
      </c>
      <c r="N16" s="45">
        <v>16.2</v>
      </c>
      <c r="O16" s="45">
        <v>16.2</v>
      </c>
      <c r="P16" s="45">
        <v>16.2</v>
      </c>
      <c r="Q16" s="45">
        <v>16.2</v>
      </c>
      <c r="R16" s="45">
        <v>16.2</v>
      </c>
      <c r="S16" s="45">
        <v>16.2</v>
      </c>
      <c r="T16" s="45">
        <v>16.2</v>
      </c>
      <c r="U16" s="45">
        <v>16.2</v>
      </c>
      <c r="V16" s="45">
        <v>16.2</v>
      </c>
      <c r="W16" s="45">
        <v>16.2</v>
      </c>
      <c r="X16" s="45">
        <v>16.2</v>
      </c>
      <c r="Y16" s="45">
        <v>16.2</v>
      </c>
      <c r="Z16" s="45">
        <v>16.2</v>
      </c>
      <c r="AA16" s="45">
        <v>16.2</v>
      </c>
      <c r="AB16" s="45">
        <v>16.2</v>
      </c>
      <c r="AC16" s="45">
        <v>16.2</v>
      </c>
      <c r="AD16" s="45">
        <v>16.2</v>
      </c>
      <c r="AE16" s="45">
        <v>17.3</v>
      </c>
      <c r="AF16" s="45">
        <v>17.3</v>
      </c>
      <c r="AG16" s="49">
        <v>45</v>
      </c>
      <c r="AH16" s="47">
        <f t="shared" si="2"/>
        <v>17.3</v>
      </c>
      <c r="AI16" s="48">
        <f t="shared" si="3"/>
        <v>15.8</v>
      </c>
      <c r="AK16" s="50"/>
      <c r="AL16" s="160" t="s">
        <v>7</v>
      </c>
      <c r="AM16" s="227">
        <f>B58</f>
        <v>470.35</v>
      </c>
      <c r="AN16" s="227">
        <f t="shared" ref="AN16:AR16" si="4">C58</f>
        <v>468.65000000000003</v>
      </c>
      <c r="AO16" s="227">
        <f t="shared" si="4"/>
        <v>468.95000000000005</v>
      </c>
      <c r="AP16" s="227">
        <f t="shared" si="4"/>
        <v>468.95000000000005</v>
      </c>
      <c r="AQ16" s="227">
        <f t="shared" si="4"/>
        <v>468.95000000000005</v>
      </c>
      <c r="AR16" s="227">
        <f t="shared" si="4"/>
        <v>468.95000000000005</v>
      </c>
      <c r="AS16" s="227">
        <f>I58</f>
        <v>468.95000000000005</v>
      </c>
      <c r="AT16" s="227">
        <f>K58</f>
        <v>468.95000000000005</v>
      </c>
      <c r="AU16" s="227">
        <f t="shared" ref="AU16:BD16" si="5">M58</f>
        <v>468.95000000000005</v>
      </c>
      <c r="AV16" s="227">
        <f t="shared" si="5"/>
        <v>468.95000000000005</v>
      </c>
      <c r="AW16" s="227">
        <f t="shared" si="5"/>
        <v>468.95000000000005</v>
      </c>
      <c r="AX16" s="227">
        <f t="shared" si="5"/>
        <v>468.95000000000005</v>
      </c>
      <c r="AY16" s="227">
        <f t="shared" si="5"/>
        <v>468.95000000000005</v>
      </c>
      <c r="AZ16" s="227">
        <f t="shared" si="5"/>
        <v>468.95000000000005</v>
      </c>
      <c r="BA16" s="227">
        <f t="shared" si="5"/>
        <v>468.95000000000005</v>
      </c>
      <c r="BB16" s="227">
        <f t="shared" si="5"/>
        <v>468.95000000000005</v>
      </c>
      <c r="BC16" s="227">
        <f t="shared" si="5"/>
        <v>468.95000000000005</v>
      </c>
      <c r="BD16" s="227">
        <f t="shared" si="5"/>
        <v>468.95000000000005</v>
      </c>
      <c r="BE16" s="227">
        <f>X58</f>
        <v>468.95000000000005</v>
      </c>
      <c r="BF16" s="227">
        <f>Z58</f>
        <v>468.95000000000005</v>
      </c>
      <c r="BG16" s="227">
        <f>AB58</f>
        <v>468.65000000000003</v>
      </c>
      <c r="BH16" s="227">
        <f>AD58</f>
        <v>471.75</v>
      </c>
      <c r="BI16" s="227">
        <f>AE58</f>
        <v>474.15000000000003</v>
      </c>
      <c r="BJ16" s="227">
        <f>AF58</f>
        <v>474.15000000000003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35.4</v>
      </c>
      <c r="AN17" s="227">
        <f t="shared" ref="AN17:AR17" si="6">C62</f>
        <v>35.5</v>
      </c>
      <c r="AO17" s="227">
        <f t="shared" si="6"/>
        <v>35.6</v>
      </c>
      <c r="AP17" s="227">
        <f t="shared" si="6"/>
        <v>35.6</v>
      </c>
      <c r="AQ17" s="227">
        <f t="shared" si="6"/>
        <v>35.6</v>
      </c>
      <c r="AR17" s="227">
        <f t="shared" si="6"/>
        <v>35.6</v>
      </c>
      <c r="AS17" s="227">
        <f>I62</f>
        <v>65.599999999999994</v>
      </c>
      <c r="AT17" s="227">
        <f>K62</f>
        <v>386.5</v>
      </c>
      <c r="AU17" s="227">
        <f t="shared" ref="AU17:BD17" si="7">M62</f>
        <v>316.5</v>
      </c>
      <c r="AV17" s="227">
        <f t="shared" si="7"/>
        <v>156.5</v>
      </c>
      <c r="AW17" s="227">
        <f t="shared" si="7"/>
        <v>56.5</v>
      </c>
      <c r="AX17" s="227">
        <f t="shared" si="7"/>
        <v>81.5</v>
      </c>
      <c r="AY17" s="227">
        <f t="shared" si="7"/>
        <v>111.5</v>
      </c>
      <c r="AZ17" s="227">
        <f t="shared" si="7"/>
        <v>86.6</v>
      </c>
      <c r="BA17" s="227">
        <f t="shared" si="7"/>
        <v>51.6</v>
      </c>
      <c r="BB17" s="227">
        <f t="shared" si="7"/>
        <v>86.6</v>
      </c>
      <c r="BC17" s="227">
        <f t="shared" si="7"/>
        <v>112.6</v>
      </c>
      <c r="BD17" s="227">
        <f t="shared" si="7"/>
        <v>112.6</v>
      </c>
      <c r="BE17" s="227">
        <f>X62</f>
        <v>146.6</v>
      </c>
      <c r="BF17" s="227">
        <f>Z62</f>
        <v>346.6</v>
      </c>
      <c r="BG17" s="227">
        <f>AB62</f>
        <v>91.1</v>
      </c>
      <c r="BH17" s="227">
        <f>AD62</f>
        <v>85.6</v>
      </c>
      <c r="BI17" s="227">
        <f>AE62</f>
        <v>105.2</v>
      </c>
      <c r="BJ17" s="227">
        <f>AF62</f>
        <v>35.200000000000003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</v>
      </c>
      <c r="C18" s="45">
        <v>7</v>
      </c>
      <c r="D18" s="45">
        <v>7</v>
      </c>
      <c r="E18" s="45">
        <v>7</v>
      </c>
      <c r="F18" s="45">
        <v>7</v>
      </c>
      <c r="G18" s="45">
        <v>7</v>
      </c>
      <c r="H18" s="45">
        <v>7</v>
      </c>
      <c r="I18" s="45">
        <v>7</v>
      </c>
      <c r="J18" s="45">
        <v>7</v>
      </c>
      <c r="K18" s="45">
        <v>7</v>
      </c>
      <c r="L18" s="45">
        <v>7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7</v>
      </c>
      <c r="S18" s="45">
        <v>7</v>
      </c>
      <c r="T18" s="45">
        <v>7</v>
      </c>
      <c r="U18" s="45">
        <v>7</v>
      </c>
      <c r="V18" s="45">
        <v>7</v>
      </c>
      <c r="W18" s="45">
        <v>7</v>
      </c>
      <c r="X18" s="45">
        <v>7</v>
      </c>
      <c r="Y18" s="45">
        <v>7</v>
      </c>
      <c r="Z18" s="45">
        <v>7</v>
      </c>
      <c r="AA18" s="45">
        <v>7</v>
      </c>
      <c r="AB18" s="45">
        <v>7</v>
      </c>
      <c r="AC18" s="45">
        <v>7</v>
      </c>
      <c r="AD18" s="45">
        <v>7</v>
      </c>
      <c r="AE18" s="45">
        <v>7.3</v>
      </c>
      <c r="AF18" s="45">
        <v>7.3</v>
      </c>
      <c r="AG18" s="49">
        <v>42</v>
      </c>
      <c r="AH18" s="47">
        <f t="shared" ref="AH18:AH49" si="8">MAX(B18:AF18)</f>
        <v>7.3</v>
      </c>
      <c r="AI18" s="48">
        <f t="shared" ref="AI18:AI49" si="9">MIN(B18:AF18)</f>
        <v>7</v>
      </c>
      <c r="AK18" s="50"/>
      <c r="AL18" s="160" t="s">
        <v>593</v>
      </c>
      <c r="AM18" s="227">
        <f>B76</f>
        <v>105.54</v>
      </c>
      <c r="AN18" s="227">
        <f t="shared" ref="AN18:AR18" si="10">C76</f>
        <v>105.24</v>
      </c>
      <c r="AO18" s="227">
        <f t="shared" si="10"/>
        <v>78.34</v>
      </c>
      <c r="AP18" s="227">
        <f t="shared" si="10"/>
        <v>78.34</v>
      </c>
      <c r="AQ18" s="227">
        <f t="shared" si="10"/>
        <v>89.04</v>
      </c>
      <c r="AR18" s="227">
        <f t="shared" si="10"/>
        <v>123.84</v>
      </c>
      <c r="AS18" s="227">
        <f>I76</f>
        <v>226.64</v>
      </c>
      <c r="AT18" s="227">
        <f>K76</f>
        <v>318.04000000000002</v>
      </c>
      <c r="AU18" s="227">
        <f t="shared" ref="AU18:BD18" si="11">M76</f>
        <v>330.84</v>
      </c>
      <c r="AV18" s="227">
        <f t="shared" si="11"/>
        <v>247.13999999999996</v>
      </c>
      <c r="AW18" s="227">
        <f t="shared" si="11"/>
        <v>238.93999999999997</v>
      </c>
      <c r="AX18" s="227">
        <f t="shared" si="11"/>
        <v>243.47999999999996</v>
      </c>
      <c r="AY18" s="227">
        <f t="shared" si="11"/>
        <v>256.73999999999995</v>
      </c>
      <c r="AZ18" s="227">
        <f t="shared" si="11"/>
        <v>219.13999999999996</v>
      </c>
      <c r="BA18" s="227">
        <f t="shared" si="11"/>
        <v>217.13999999999996</v>
      </c>
      <c r="BB18" s="227">
        <f t="shared" si="11"/>
        <v>196.23999999999998</v>
      </c>
      <c r="BC18" s="227">
        <f t="shared" si="11"/>
        <v>193.73999999999998</v>
      </c>
      <c r="BD18" s="227">
        <f t="shared" si="11"/>
        <v>190.14</v>
      </c>
      <c r="BE18" s="227">
        <f>X76</f>
        <v>158.43999999999997</v>
      </c>
      <c r="BF18" s="227">
        <f>Z76</f>
        <v>336.3</v>
      </c>
      <c r="BG18" s="227">
        <f>AB76</f>
        <v>216.23999999999995</v>
      </c>
      <c r="BH18" s="227">
        <f>AD76</f>
        <v>172.53999999999996</v>
      </c>
      <c r="BI18" s="227">
        <f>AE76</f>
        <v>127.54</v>
      </c>
      <c r="BJ18" s="227">
        <f>AF76</f>
        <v>114.53999999999999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621.70000000000005</v>
      </c>
      <c r="AN19" s="227">
        <f t="shared" ref="AN19:AR19" si="12">C92</f>
        <v>645.9</v>
      </c>
      <c r="AO19" s="227">
        <f t="shared" si="12"/>
        <v>632.1</v>
      </c>
      <c r="AP19" s="227">
        <f t="shared" si="12"/>
        <v>638.5</v>
      </c>
      <c r="AQ19" s="227">
        <f t="shared" si="12"/>
        <v>648.4</v>
      </c>
      <c r="AR19" s="227">
        <f t="shared" si="12"/>
        <v>635.6</v>
      </c>
      <c r="AS19" s="227">
        <f>I92</f>
        <v>523.79999999999995</v>
      </c>
      <c r="AT19" s="227">
        <f>K92</f>
        <v>346.20000000000005</v>
      </c>
      <c r="AU19" s="227">
        <f t="shared" ref="AU19:BD19" si="13">M92</f>
        <v>321.89999999999998</v>
      </c>
      <c r="AV19" s="227">
        <f t="shared" si="13"/>
        <v>470.4</v>
      </c>
      <c r="AW19" s="227">
        <f t="shared" si="13"/>
        <v>565.6</v>
      </c>
      <c r="AX19" s="227">
        <f t="shared" si="13"/>
        <v>707</v>
      </c>
      <c r="AY19" s="227">
        <f t="shared" si="13"/>
        <v>629.40000000000009</v>
      </c>
      <c r="AZ19" s="227">
        <f t="shared" si="13"/>
        <v>731</v>
      </c>
      <c r="BA19" s="227">
        <f t="shared" si="13"/>
        <v>780.50000000000011</v>
      </c>
      <c r="BB19" s="227">
        <f t="shared" si="13"/>
        <v>778.60000000000014</v>
      </c>
      <c r="BC19" s="227">
        <f t="shared" si="13"/>
        <v>748.8</v>
      </c>
      <c r="BD19" s="227">
        <f t="shared" si="13"/>
        <v>632.5</v>
      </c>
      <c r="BE19" s="227">
        <f>X92</f>
        <v>644.70000000000005</v>
      </c>
      <c r="BF19" s="227">
        <f>Z92</f>
        <v>368.6</v>
      </c>
      <c r="BG19" s="227">
        <f>AB92</f>
        <v>640.10000000000014</v>
      </c>
      <c r="BH19" s="227">
        <f>AD92</f>
        <v>677.30000000000007</v>
      </c>
      <c r="BI19" s="227">
        <f>AE92</f>
        <v>686.6</v>
      </c>
      <c r="BJ19" s="227">
        <f>AF92</f>
        <v>687.9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BD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27">
        <f t="shared" si="15"/>
        <v>0</v>
      </c>
      <c r="AZ20" s="227">
        <f t="shared" si="15"/>
        <v>0</v>
      </c>
      <c r="BA20" s="227">
        <f t="shared" si="15"/>
        <v>0</v>
      </c>
      <c r="BB20" s="227">
        <f t="shared" si="15"/>
        <v>0</v>
      </c>
      <c r="BC20" s="227">
        <f t="shared" si="15"/>
        <v>0</v>
      </c>
      <c r="BD20" s="227">
        <f t="shared" si="15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231">
        <v>13</v>
      </c>
      <c r="C21" s="231">
        <v>13</v>
      </c>
      <c r="D21" s="231">
        <v>13</v>
      </c>
      <c r="E21" s="231">
        <v>13</v>
      </c>
      <c r="F21" s="231">
        <v>13</v>
      </c>
      <c r="G21" s="231">
        <v>13</v>
      </c>
      <c r="H21" s="231">
        <v>13</v>
      </c>
      <c r="I21" s="231">
        <v>13</v>
      </c>
      <c r="J21" s="231">
        <v>13</v>
      </c>
      <c r="K21" s="231">
        <v>13</v>
      </c>
      <c r="L21" s="231">
        <v>13</v>
      </c>
      <c r="M21" s="231">
        <v>13</v>
      </c>
      <c r="N21" s="231">
        <v>13</v>
      </c>
      <c r="O21" s="231">
        <v>13</v>
      </c>
      <c r="P21" s="231">
        <v>13</v>
      </c>
      <c r="Q21" s="231">
        <v>13</v>
      </c>
      <c r="R21" s="231">
        <v>13</v>
      </c>
      <c r="S21" s="231">
        <v>13</v>
      </c>
      <c r="T21" s="231">
        <v>13</v>
      </c>
      <c r="U21" s="231">
        <v>13</v>
      </c>
      <c r="V21" s="231">
        <v>13</v>
      </c>
      <c r="W21" s="231">
        <v>13</v>
      </c>
      <c r="X21" s="231">
        <v>13</v>
      </c>
      <c r="Y21" s="231">
        <v>13</v>
      </c>
      <c r="Z21" s="231">
        <v>13</v>
      </c>
      <c r="AA21" s="231">
        <v>13</v>
      </c>
      <c r="AB21" s="231">
        <v>13</v>
      </c>
      <c r="AC21" s="231">
        <v>13</v>
      </c>
      <c r="AD21" s="231">
        <v>13</v>
      </c>
      <c r="AE21" s="231">
        <v>13</v>
      </c>
      <c r="AF21" s="231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100</v>
      </c>
      <c r="AU21" s="227">
        <f t="shared" ref="AU21:BD21" si="17">M98</f>
        <v>250</v>
      </c>
      <c r="AV21" s="227">
        <f t="shared" si="17"/>
        <v>200</v>
      </c>
      <c r="AW21" s="227">
        <f t="shared" si="17"/>
        <v>200</v>
      </c>
      <c r="AX21" s="227">
        <f t="shared" si="17"/>
        <v>0</v>
      </c>
      <c r="AY21" s="227">
        <f t="shared" si="17"/>
        <v>0</v>
      </c>
      <c r="AZ21" s="227">
        <f t="shared" si="17"/>
        <v>0</v>
      </c>
      <c r="BA21" s="227">
        <f t="shared" si="17"/>
        <v>0</v>
      </c>
      <c r="BB21" s="227">
        <f t="shared" si="17"/>
        <v>0</v>
      </c>
      <c r="BC21" s="227">
        <f t="shared" si="17"/>
        <v>0</v>
      </c>
      <c r="BD21" s="227">
        <f t="shared" si="17"/>
        <v>0</v>
      </c>
      <c r="BE21" s="227">
        <f>X98</f>
        <v>250</v>
      </c>
      <c r="BF21" s="227">
        <f>Z98</f>
        <v>250</v>
      </c>
      <c r="BG21" s="227">
        <f>AB98</f>
        <v>250</v>
      </c>
      <c r="BH21" s="227">
        <f>AD98</f>
        <v>200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</v>
      </c>
      <c r="C22" s="45">
        <v>6.9</v>
      </c>
      <c r="D22" s="45">
        <v>6.9</v>
      </c>
      <c r="E22" s="45">
        <v>6.9</v>
      </c>
      <c r="F22" s="45">
        <v>6.9</v>
      </c>
      <c r="G22" s="45">
        <v>6.9</v>
      </c>
      <c r="H22" s="45">
        <v>6.9</v>
      </c>
      <c r="I22" s="45">
        <v>6.9</v>
      </c>
      <c r="J22" s="45">
        <v>6.9</v>
      </c>
      <c r="K22" s="45">
        <v>6.9</v>
      </c>
      <c r="L22" s="45">
        <v>6.9</v>
      </c>
      <c r="M22" s="45">
        <v>6.9</v>
      </c>
      <c r="N22" s="45">
        <v>6.9</v>
      </c>
      <c r="O22" s="45">
        <v>6.9</v>
      </c>
      <c r="P22" s="45">
        <v>6.9</v>
      </c>
      <c r="Q22" s="45">
        <v>6.9</v>
      </c>
      <c r="R22" s="45">
        <v>6.9</v>
      </c>
      <c r="S22" s="45">
        <v>6.9</v>
      </c>
      <c r="T22" s="45">
        <v>6.9</v>
      </c>
      <c r="U22" s="45">
        <v>6.9</v>
      </c>
      <c r="V22" s="45">
        <v>6.9</v>
      </c>
      <c r="W22" s="45">
        <v>6.9</v>
      </c>
      <c r="X22" s="45">
        <v>6.9</v>
      </c>
      <c r="Y22" s="45">
        <v>6.9</v>
      </c>
      <c r="Z22" s="45">
        <v>6.9</v>
      </c>
      <c r="AA22" s="45">
        <v>6.9</v>
      </c>
      <c r="AB22" s="45">
        <v>6.9</v>
      </c>
      <c r="AC22" s="45">
        <v>6.9</v>
      </c>
      <c r="AD22" s="45">
        <v>6.9</v>
      </c>
      <c r="AE22" s="45">
        <v>7.8</v>
      </c>
      <c r="AF22" s="45">
        <v>7.8</v>
      </c>
      <c r="AG22" s="52">
        <v>30</v>
      </c>
      <c r="AH22" s="47">
        <f t="shared" si="8"/>
        <v>7.8</v>
      </c>
      <c r="AI22" s="48">
        <f t="shared" si="9"/>
        <v>6.9</v>
      </c>
      <c r="AK22" s="50"/>
      <c r="AL22" s="229" t="s">
        <v>597</v>
      </c>
      <c r="AM22" s="228">
        <f>SUM(AM16:AM21)</f>
        <v>1232.99</v>
      </c>
      <c r="AN22" s="228">
        <f t="shared" ref="AN22:BJ22" si="18">SUM(AN16:AN21)</f>
        <v>1255.29</v>
      </c>
      <c r="AO22" s="228">
        <f t="shared" si="18"/>
        <v>1214.9900000000002</v>
      </c>
      <c r="AP22" s="228">
        <f t="shared" si="18"/>
        <v>1221.3900000000001</v>
      </c>
      <c r="AQ22" s="228">
        <f t="shared" si="18"/>
        <v>1241.99</v>
      </c>
      <c r="AR22" s="228">
        <f t="shared" si="18"/>
        <v>1263.9900000000002</v>
      </c>
      <c r="AS22" s="228">
        <f t="shared" si="18"/>
        <v>1284.99</v>
      </c>
      <c r="AT22" s="228">
        <f t="shared" si="18"/>
        <v>1619.69</v>
      </c>
      <c r="AU22" s="228">
        <f t="shared" si="18"/>
        <v>1688.19</v>
      </c>
      <c r="AV22" s="228">
        <f t="shared" si="18"/>
        <v>1542.99</v>
      </c>
      <c r="AW22" s="228">
        <f t="shared" si="18"/>
        <v>1529.99</v>
      </c>
      <c r="AX22" s="228">
        <f t="shared" si="18"/>
        <v>1500.93</v>
      </c>
      <c r="AY22" s="228">
        <f t="shared" si="18"/>
        <v>1466.5900000000001</v>
      </c>
      <c r="AZ22" s="228">
        <f t="shared" si="18"/>
        <v>1505.69</v>
      </c>
      <c r="BA22" s="228">
        <f t="shared" si="18"/>
        <v>1518.19</v>
      </c>
      <c r="BB22" s="228">
        <f t="shared" si="18"/>
        <v>1530.3900000000003</v>
      </c>
      <c r="BC22" s="228">
        <f t="shared" si="18"/>
        <v>1524.0900000000001</v>
      </c>
      <c r="BD22" s="228">
        <f t="shared" si="18"/>
        <v>1404.19</v>
      </c>
      <c r="BE22" s="228">
        <f t="shared" si="18"/>
        <v>1668.69</v>
      </c>
      <c r="BF22" s="228">
        <f t="shared" si="18"/>
        <v>1770.4500000000003</v>
      </c>
      <c r="BG22" s="228">
        <f t="shared" si="18"/>
        <v>1666.0900000000001</v>
      </c>
      <c r="BH22" s="228">
        <f t="shared" si="18"/>
        <v>1607.19</v>
      </c>
      <c r="BI22" s="228">
        <f t="shared" si="18"/>
        <v>1393.49</v>
      </c>
      <c r="BJ22" s="228">
        <f t="shared" si="18"/>
        <v>1311.79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-1</v>
      </c>
      <c r="AU23" s="228">
        <f t="shared" ref="AU23:BD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28">
        <f t="shared" si="20"/>
        <v>0</v>
      </c>
      <c r="AZ23" s="228">
        <f t="shared" si="20"/>
        <v>0</v>
      </c>
      <c r="BA23" s="228">
        <f t="shared" si="20"/>
        <v>0</v>
      </c>
      <c r="BB23" s="228">
        <f t="shared" si="20"/>
        <v>0</v>
      </c>
      <c r="BC23" s="228">
        <f t="shared" si="20"/>
        <v>0</v>
      </c>
      <c r="BD23" s="228">
        <f t="shared" si="20"/>
        <v>0</v>
      </c>
      <c r="BE23" s="228">
        <f>X107*-1</f>
        <v>0</v>
      </c>
      <c r="BF23" s="228">
        <f>Z107*-1</f>
        <v>0</v>
      </c>
      <c r="BG23" s="228">
        <f>AB107*-1</f>
        <v>0</v>
      </c>
      <c r="BH23" s="228">
        <f>AD107*-1</f>
        <v>0</v>
      </c>
      <c r="BI23" s="228">
        <f>AE107*-1</f>
        <v>0</v>
      </c>
      <c r="BJ23" s="228">
        <f>AF107*-1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7.5</v>
      </c>
      <c r="C24" s="45">
        <v>7.4</v>
      </c>
      <c r="D24" s="45">
        <v>7.4</v>
      </c>
      <c r="E24" s="45">
        <v>7.4</v>
      </c>
      <c r="F24" s="45">
        <v>7.4</v>
      </c>
      <c r="G24" s="45">
        <v>7.4</v>
      </c>
      <c r="H24" s="45">
        <v>7.4</v>
      </c>
      <c r="I24" s="45">
        <v>7.4</v>
      </c>
      <c r="J24" s="45">
        <v>7.4</v>
      </c>
      <c r="K24" s="45">
        <v>7.4</v>
      </c>
      <c r="L24" s="45">
        <v>7.4</v>
      </c>
      <c r="M24" s="45">
        <v>7.4</v>
      </c>
      <c r="N24" s="45">
        <v>7.4</v>
      </c>
      <c r="O24" s="45">
        <v>7.4</v>
      </c>
      <c r="P24" s="45">
        <v>7.4</v>
      </c>
      <c r="Q24" s="45">
        <v>7.4</v>
      </c>
      <c r="R24" s="45">
        <v>7.4</v>
      </c>
      <c r="S24" s="45">
        <v>7.4</v>
      </c>
      <c r="T24" s="45">
        <v>7.4</v>
      </c>
      <c r="U24" s="45">
        <v>7.4</v>
      </c>
      <c r="V24" s="45">
        <v>7.4</v>
      </c>
      <c r="W24" s="45">
        <v>7.4</v>
      </c>
      <c r="X24" s="45">
        <v>7.4</v>
      </c>
      <c r="Y24" s="45">
        <v>7.4</v>
      </c>
      <c r="Z24" s="45">
        <v>7.4</v>
      </c>
      <c r="AA24" s="45">
        <v>7.4</v>
      </c>
      <c r="AB24" s="45">
        <v>7.4</v>
      </c>
      <c r="AC24" s="45">
        <v>7.4</v>
      </c>
      <c r="AD24" s="45">
        <v>7.4</v>
      </c>
      <c r="AE24" s="45">
        <v>5.8</v>
      </c>
      <c r="AF24" s="45">
        <v>5.8</v>
      </c>
      <c r="AG24" s="49">
        <v>28</v>
      </c>
      <c r="AH24" s="47">
        <f t="shared" si="8"/>
        <v>7.5</v>
      </c>
      <c r="AI24" s="48">
        <f t="shared" si="9"/>
        <v>5.8</v>
      </c>
      <c r="AK24" s="50"/>
      <c r="AL24" s="229" t="s">
        <v>598</v>
      </c>
      <c r="AM24" s="228">
        <f>AM22+AM23</f>
        <v>1232.99</v>
      </c>
      <c r="AN24" s="228">
        <f t="shared" ref="AN24:BJ24" si="21">AN22+AN23</f>
        <v>1255.29</v>
      </c>
      <c r="AO24" s="228">
        <f t="shared" si="21"/>
        <v>1214.9900000000002</v>
      </c>
      <c r="AP24" s="228">
        <f t="shared" si="21"/>
        <v>1221.3900000000001</v>
      </c>
      <c r="AQ24" s="228">
        <f t="shared" si="21"/>
        <v>1241.99</v>
      </c>
      <c r="AR24" s="228">
        <f t="shared" si="21"/>
        <v>1263.9900000000002</v>
      </c>
      <c r="AS24" s="228">
        <f t="shared" si="21"/>
        <v>1284.99</v>
      </c>
      <c r="AT24" s="228">
        <f t="shared" si="21"/>
        <v>1618.69</v>
      </c>
      <c r="AU24" s="228">
        <f t="shared" si="21"/>
        <v>1688.19</v>
      </c>
      <c r="AV24" s="228">
        <f t="shared" si="21"/>
        <v>1542.99</v>
      </c>
      <c r="AW24" s="228">
        <f t="shared" si="21"/>
        <v>1529.99</v>
      </c>
      <c r="AX24" s="228">
        <f t="shared" si="21"/>
        <v>1500.93</v>
      </c>
      <c r="AY24" s="228">
        <f t="shared" si="21"/>
        <v>1466.5900000000001</v>
      </c>
      <c r="AZ24" s="228">
        <f t="shared" si="21"/>
        <v>1505.69</v>
      </c>
      <c r="BA24" s="228">
        <f t="shared" si="21"/>
        <v>1518.19</v>
      </c>
      <c r="BB24" s="228">
        <f t="shared" si="21"/>
        <v>1530.3900000000003</v>
      </c>
      <c r="BC24" s="228">
        <f t="shared" si="21"/>
        <v>1524.0900000000001</v>
      </c>
      <c r="BD24" s="228">
        <f t="shared" si="21"/>
        <v>1404.19</v>
      </c>
      <c r="BE24" s="228">
        <f t="shared" si="21"/>
        <v>1668.69</v>
      </c>
      <c r="BF24" s="228">
        <f t="shared" si="21"/>
        <v>1770.4500000000003</v>
      </c>
      <c r="BG24" s="228">
        <f t="shared" si="21"/>
        <v>1666.0900000000001</v>
      </c>
      <c r="BH24" s="228">
        <f t="shared" si="21"/>
        <v>1607.19</v>
      </c>
      <c r="BI24" s="228">
        <f t="shared" si="21"/>
        <v>1393.49</v>
      </c>
      <c r="BJ24" s="228">
        <f t="shared" si="21"/>
        <v>1311.79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6.2</v>
      </c>
      <c r="C25" s="45">
        <v>5.7</v>
      </c>
      <c r="D25" s="45">
        <v>5.7</v>
      </c>
      <c r="E25" s="45">
        <v>5.7</v>
      </c>
      <c r="F25" s="45">
        <v>5.7</v>
      </c>
      <c r="G25" s="45">
        <v>5.7</v>
      </c>
      <c r="H25" s="45">
        <v>5.7</v>
      </c>
      <c r="I25" s="45">
        <v>5.7</v>
      </c>
      <c r="J25" s="45">
        <v>5.7</v>
      </c>
      <c r="K25" s="45">
        <v>5.7</v>
      </c>
      <c r="L25" s="45">
        <v>5.7</v>
      </c>
      <c r="M25" s="45">
        <v>5.7</v>
      </c>
      <c r="N25" s="45">
        <v>5.7</v>
      </c>
      <c r="O25" s="45">
        <v>5.7</v>
      </c>
      <c r="P25" s="45">
        <v>5.7</v>
      </c>
      <c r="Q25" s="45">
        <v>5.7</v>
      </c>
      <c r="R25" s="45">
        <v>5.7</v>
      </c>
      <c r="S25" s="45">
        <v>5.7</v>
      </c>
      <c r="T25" s="45">
        <v>5.7</v>
      </c>
      <c r="U25" s="45">
        <v>5.7</v>
      </c>
      <c r="V25" s="45">
        <v>5.7</v>
      </c>
      <c r="W25" s="45">
        <v>5.7</v>
      </c>
      <c r="X25" s="45">
        <v>5.7</v>
      </c>
      <c r="Y25" s="45">
        <v>5.7</v>
      </c>
      <c r="Z25" s="45">
        <v>5.7</v>
      </c>
      <c r="AA25" s="45">
        <v>5.7</v>
      </c>
      <c r="AB25" s="45">
        <v>5.7</v>
      </c>
      <c r="AC25" s="45">
        <v>5.7</v>
      </c>
      <c r="AD25" s="45">
        <v>5.7</v>
      </c>
      <c r="AE25" s="45">
        <v>6.5</v>
      </c>
      <c r="AF25" s="45">
        <v>6.5</v>
      </c>
      <c r="AG25" s="52">
        <v>30</v>
      </c>
      <c r="AH25" s="47">
        <f t="shared" si="8"/>
        <v>6.5</v>
      </c>
      <c r="AI25" s="48">
        <f t="shared" si="9"/>
        <v>5.7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9.1999999999999993</v>
      </c>
      <c r="C26" s="45">
        <v>8.1999999999999993</v>
      </c>
      <c r="D26" s="45">
        <v>8.1999999999999993</v>
      </c>
      <c r="E26" s="45">
        <v>8.1999999999999993</v>
      </c>
      <c r="F26" s="45">
        <v>8.1999999999999993</v>
      </c>
      <c r="G26" s="45">
        <v>8.1999999999999993</v>
      </c>
      <c r="H26" s="45">
        <v>8.1999999999999993</v>
      </c>
      <c r="I26" s="45">
        <v>8.1999999999999993</v>
      </c>
      <c r="J26" s="45">
        <v>8.1999999999999993</v>
      </c>
      <c r="K26" s="45">
        <v>8.1999999999999993</v>
      </c>
      <c r="L26" s="45">
        <v>8.1999999999999993</v>
      </c>
      <c r="M26" s="45">
        <v>8.1999999999999993</v>
      </c>
      <c r="N26" s="45">
        <v>8.1999999999999993</v>
      </c>
      <c r="O26" s="45">
        <v>8.1999999999999993</v>
      </c>
      <c r="P26" s="45">
        <v>8.1999999999999993</v>
      </c>
      <c r="Q26" s="45">
        <v>8.1999999999999993</v>
      </c>
      <c r="R26" s="45">
        <v>8.1999999999999993</v>
      </c>
      <c r="S26" s="45">
        <v>8.1999999999999993</v>
      </c>
      <c r="T26" s="45">
        <v>8.1999999999999993</v>
      </c>
      <c r="U26" s="45">
        <v>8.1999999999999993</v>
      </c>
      <c r="V26" s="45">
        <v>8.1999999999999993</v>
      </c>
      <c r="W26" s="45">
        <v>8.1999999999999993</v>
      </c>
      <c r="X26" s="45">
        <v>8.1999999999999993</v>
      </c>
      <c r="Y26" s="45">
        <v>8.1999999999999993</v>
      </c>
      <c r="Z26" s="45">
        <v>8.1999999999999993</v>
      </c>
      <c r="AA26" s="45">
        <v>8.1999999999999993</v>
      </c>
      <c r="AB26" s="45">
        <v>8.1999999999999993</v>
      </c>
      <c r="AC26" s="45">
        <v>8.1999999999999993</v>
      </c>
      <c r="AD26" s="45">
        <v>8.1999999999999993</v>
      </c>
      <c r="AE26" s="45">
        <v>9.1999999999999993</v>
      </c>
      <c r="AF26" s="45">
        <v>9.1999999999999993</v>
      </c>
      <c r="AG26" s="49">
        <v>25</v>
      </c>
      <c r="AH26" s="47">
        <f t="shared" si="8"/>
        <v>9.1999999999999993</v>
      </c>
      <c r="AI26" s="48">
        <f t="shared" si="9"/>
        <v>8.1999999999999993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6.9</v>
      </c>
      <c r="C29" s="45">
        <v>6.9</v>
      </c>
      <c r="D29" s="45">
        <v>6.9</v>
      </c>
      <c r="E29" s="45">
        <v>6.9</v>
      </c>
      <c r="F29" s="45">
        <v>6.9</v>
      </c>
      <c r="G29" s="45">
        <v>6.9</v>
      </c>
      <c r="H29" s="45">
        <v>6.9</v>
      </c>
      <c r="I29" s="45">
        <v>6.9</v>
      </c>
      <c r="J29" s="45">
        <v>6.9</v>
      </c>
      <c r="K29" s="45">
        <v>6.9</v>
      </c>
      <c r="L29" s="45">
        <v>6.9</v>
      </c>
      <c r="M29" s="45">
        <v>6.9</v>
      </c>
      <c r="N29" s="45">
        <v>6.9</v>
      </c>
      <c r="O29" s="45">
        <v>6.9</v>
      </c>
      <c r="P29" s="45">
        <v>6.9</v>
      </c>
      <c r="Q29" s="45">
        <v>6.9</v>
      </c>
      <c r="R29" s="45">
        <v>6.9</v>
      </c>
      <c r="S29" s="45">
        <v>6.9</v>
      </c>
      <c r="T29" s="45">
        <v>6.9</v>
      </c>
      <c r="U29" s="45">
        <v>6.9</v>
      </c>
      <c r="V29" s="45">
        <v>6.9</v>
      </c>
      <c r="W29" s="45">
        <v>6.9</v>
      </c>
      <c r="X29" s="45">
        <v>6.9</v>
      </c>
      <c r="Y29" s="45">
        <v>6.9</v>
      </c>
      <c r="Z29" s="45">
        <v>6.9</v>
      </c>
      <c r="AA29" s="45">
        <v>6.9</v>
      </c>
      <c r="AB29" s="45">
        <v>6.9</v>
      </c>
      <c r="AC29" s="45">
        <v>6.9</v>
      </c>
      <c r="AD29" s="45">
        <v>6.9</v>
      </c>
      <c r="AE29" s="45">
        <v>7.4</v>
      </c>
      <c r="AF29" s="45">
        <v>7.4</v>
      </c>
      <c r="AG29" s="49">
        <v>25</v>
      </c>
      <c r="AH29" s="47">
        <f t="shared" si="8"/>
        <v>7.4</v>
      </c>
      <c r="AI29" s="48">
        <f t="shared" si="9"/>
        <v>6.9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6.8</v>
      </c>
      <c r="C30" s="45">
        <v>6.8</v>
      </c>
      <c r="D30" s="45">
        <v>6.8</v>
      </c>
      <c r="E30" s="45">
        <v>6.8</v>
      </c>
      <c r="F30" s="45">
        <v>6.8</v>
      </c>
      <c r="G30" s="45">
        <v>6.8</v>
      </c>
      <c r="H30" s="45">
        <v>6.8</v>
      </c>
      <c r="I30" s="45">
        <v>6.8</v>
      </c>
      <c r="J30" s="45">
        <v>6.8</v>
      </c>
      <c r="K30" s="45">
        <v>6.8</v>
      </c>
      <c r="L30" s="45">
        <v>6.8</v>
      </c>
      <c r="M30" s="45">
        <v>6.8</v>
      </c>
      <c r="N30" s="45">
        <v>6.8</v>
      </c>
      <c r="O30" s="45">
        <v>6.8</v>
      </c>
      <c r="P30" s="45">
        <v>6.8</v>
      </c>
      <c r="Q30" s="45">
        <v>6.8</v>
      </c>
      <c r="R30" s="45">
        <v>6.8</v>
      </c>
      <c r="S30" s="45">
        <v>6.8</v>
      </c>
      <c r="T30" s="45">
        <v>6.8</v>
      </c>
      <c r="U30" s="45">
        <v>6.8</v>
      </c>
      <c r="V30" s="45">
        <v>6.8</v>
      </c>
      <c r="W30" s="45">
        <v>6.8</v>
      </c>
      <c r="X30" s="45">
        <v>6.8</v>
      </c>
      <c r="Y30" s="45">
        <v>6.8</v>
      </c>
      <c r="Z30" s="45">
        <v>6.8</v>
      </c>
      <c r="AA30" s="45">
        <v>6.8</v>
      </c>
      <c r="AB30" s="45">
        <v>6.8</v>
      </c>
      <c r="AC30" s="45">
        <v>6.8</v>
      </c>
      <c r="AD30" s="45">
        <v>6.8</v>
      </c>
      <c r="AE30" s="45">
        <v>6.7</v>
      </c>
      <c r="AF30" s="45">
        <v>6.7</v>
      </c>
      <c r="AG30" s="49">
        <v>23.5</v>
      </c>
      <c r="AH30" s="47">
        <f t="shared" si="8"/>
        <v>6.8</v>
      </c>
      <c r="AI30" s="48">
        <f t="shared" si="9"/>
        <v>6.7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9.9</v>
      </c>
      <c r="C34" s="45">
        <v>9.8000000000000007</v>
      </c>
      <c r="D34" s="45">
        <v>10.1</v>
      </c>
      <c r="E34" s="45">
        <v>10.1</v>
      </c>
      <c r="F34" s="45">
        <v>10.1</v>
      </c>
      <c r="G34" s="45">
        <v>10.1</v>
      </c>
      <c r="H34" s="45">
        <v>10.1</v>
      </c>
      <c r="I34" s="45">
        <v>10.1</v>
      </c>
      <c r="J34" s="45">
        <v>10.1</v>
      </c>
      <c r="K34" s="45">
        <v>10.1</v>
      </c>
      <c r="L34" s="45">
        <v>10.1</v>
      </c>
      <c r="M34" s="45">
        <v>10.1</v>
      </c>
      <c r="N34" s="45">
        <v>10.1</v>
      </c>
      <c r="O34" s="45">
        <v>10.1</v>
      </c>
      <c r="P34" s="45">
        <v>10.1</v>
      </c>
      <c r="Q34" s="45">
        <v>10.1</v>
      </c>
      <c r="R34" s="45">
        <v>10.1</v>
      </c>
      <c r="S34" s="45">
        <v>10.1</v>
      </c>
      <c r="T34" s="45">
        <v>10.1</v>
      </c>
      <c r="U34" s="45">
        <v>10.1</v>
      </c>
      <c r="V34" s="45">
        <v>10.1</v>
      </c>
      <c r="W34" s="45">
        <v>10.1</v>
      </c>
      <c r="X34" s="45">
        <v>10.1</v>
      </c>
      <c r="Y34" s="45">
        <v>10.1</v>
      </c>
      <c r="Z34" s="45">
        <v>10.1</v>
      </c>
      <c r="AA34" s="45">
        <v>10.1</v>
      </c>
      <c r="AB34" s="45">
        <v>10.1</v>
      </c>
      <c r="AC34" s="45">
        <v>10.1</v>
      </c>
      <c r="AD34" s="45">
        <v>10.1</v>
      </c>
      <c r="AE34" s="45">
        <v>10.6</v>
      </c>
      <c r="AF34" s="45">
        <v>10.6</v>
      </c>
      <c r="AG34" s="49">
        <v>22</v>
      </c>
      <c r="AH34" s="47">
        <f t="shared" si="8"/>
        <v>10.6</v>
      </c>
      <c r="AI34" s="48">
        <f t="shared" si="9"/>
        <v>9.8000000000000007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ref="AH50:AH81" si="22">MAX(B50:AF50)</f>
        <v>2.4500000000000002</v>
      </c>
      <c r="AI50" s="48">
        <f t="shared" ref="AI50:AI81" si="23">MIN(B50:AF50)</f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2"/>
        <v>3</v>
      </c>
      <c r="AI51" s="48">
        <f t="shared" si="2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2"/>
        <v>4</v>
      </c>
      <c r="AI52" s="48">
        <f t="shared" si="2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2"/>
        <v>4.5</v>
      </c>
      <c r="AI53" s="48">
        <f t="shared" si="2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2"/>
        <v>0</v>
      </c>
      <c r="AI54" s="48">
        <f t="shared" si="2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2"/>
        <v>0</v>
      </c>
      <c r="AI55" s="48">
        <f t="shared" si="2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2"/>
        <v>150</v>
      </c>
      <c r="AI56" s="48">
        <f t="shared" si="23"/>
        <v>150</v>
      </c>
      <c r="AK56" s="50"/>
    </row>
    <row r="57" spans="1:88" ht="15.75" thickBot="1" x14ac:dyDescent="0.3">
      <c r="A57" s="58" t="s">
        <v>57</v>
      </c>
      <c r="B57" s="57">
        <f>6.3+14.2</f>
        <v>20.5</v>
      </c>
      <c r="C57" s="57">
        <f>6.3+14.5</f>
        <v>20.8</v>
      </c>
      <c r="D57" s="57">
        <f t="shared" ref="D57:R57" si="24">6.4+14.6</f>
        <v>21</v>
      </c>
      <c r="E57" s="57">
        <f t="shared" si="24"/>
        <v>21</v>
      </c>
      <c r="F57" s="57">
        <f t="shared" si="24"/>
        <v>21</v>
      </c>
      <c r="G57" s="57">
        <f t="shared" si="24"/>
        <v>21</v>
      </c>
      <c r="H57" s="57">
        <f t="shared" si="24"/>
        <v>21</v>
      </c>
      <c r="I57" s="57">
        <f t="shared" si="24"/>
        <v>21</v>
      </c>
      <c r="J57" s="57">
        <f t="shared" si="24"/>
        <v>21</v>
      </c>
      <c r="K57" s="57">
        <f t="shared" si="24"/>
        <v>21</v>
      </c>
      <c r="L57" s="57">
        <f t="shared" si="24"/>
        <v>21</v>
      </c>
      <c r="M57" s="57">
        <f t="shared" si="24"/>
        <v>21</v>
      </c>
      <c r="N57" s="57">
        <f t="shared" si="24"/>
        <v>21</v>
      </c>
      <c r="O57" s="57">
        <f t="shared" si="24"/>
        <v>21</v>
      </c>
      <c r="P57" s="57">
        <f t="shared" si="24"/>
        <v>21</v>
      </c>
      <c r="Q57" s="57">
        <f t="shared" si="24"/>
        <v>21</v>
      </c>
      <c r="R57" s="57">
        <f t="shared" si="24"/>
        <v>21</v>
      </c>
      <c r="S57" s="57">
        <v>19.8</v>
      </c>
      <c r="T57" s="57">
        <v>19.8</v>
      </c>
      <c r="U57" s="57">
        <v>17.600000000000001</v>
      </c>
      <c r="V57" s="57">
        <v>17.600000000000001</v>
      </c>
      <c r="W57" s="57">
        <v>19.100000000000001</v>
      </c>
      <c r="X57" s="57">
        <v>16.7</v>
      </c>
      <c r="Y57" s="57">
        <v>15.6</v>
      </c>
      <c r="Z57" s="57">
        <v>15.6</v>
      </c>
      <c r="AA57" s="57">
        <v>15.6</v>
      </c>
      <c r="AB57" s="57">
        <f>12.7+4.9</f>
        <v>17.600000000000001</v>
      </c>
      <c r="AC57" s="57">
        <f>13.2+5.2</f>
        <v>18.399999999999999</v>
      </c>
      <c r="AD57" s="57">
        <f>5.5+13.9</f>
        <v>19.399999999999999</v>
      </c>
      <c r="AE57" s="57">
        <f>5.6+13.4</f>
        <v>19</v>
      </c>
      <c r="AF57" s="57">
        <f>5.8+13.9</f>
        <v>19.7</v>
      </c>
      <c r="AG57" s="55">
        <v>240</v>
      </c>
      <c r="AH57" s="47">
        <f t="shared" si="22"/>
        <v>21</v>
      </c>
      <c r="AI57" s="48">
        <f t="shared" si="23"/>
        <v>15.6</v>
      </c>
      <c r="AK57" s="50"/>
    </row>
    <row r="58" spans="1:88" ht="15.75" thickBot="1" x14ac:dyDescent="0.3">
      <c r="A58" s="59" t="s">
        <v>58</v>
      </c>
      <c r="B58" s="60">
        <f t="shared" ref="B58:C58" si="25">SUM(B11:B56)</f>
        <v>470.35</v>
      </c>
      <c r="C58" s="60">
        <f t="shared" si="25"/>
        <v>468.65000000000003</v>
      </c>
      <c r="D58" s="60">
        <f t="shared" ref="D58:E58" si="26">SUM(D11:D56)</f>
        <v>468.95000000000005</v>
      </c>
      <c r="E58" s="60">
        <f t="shared" si="26"/>
        <v>468.95000000000005</v>
      </c>
      <c r="F58" s="60">
        <f t="shared" ref="F58:G58" si="27">SUM(F11:F56)</f>
        <v>468.95000000000005</v>
      </c>
      <c r="G58" s="60">
        <f t="shared" si="27"/>
        <v>468.95000000000005</v>
      </c>
      <c r="H58" s="60">
        <f t="shared" ref="H58:I58" si="28">SUM(H11:H56)</f>
        <v>468.95000000000005</v>
      </c>
      <c r="I58" s="60">
        <f t="shared" si="28"/>
        <v>468.95000000000005</v>
      </c>
      <c r="J58" s="60">
        <f t="shared" ref="J58:K58" si="29">SUM(J11:J56)</f>
        <v>468.95000000000005</v>
      </c>
      <c r="K58" s="60">
        <f t="shared" si="29"/>
        <v>468.95000000000005</v>
      </c>
      <c r="L58" s="60">
        <f t="shared" ref="L58" si="30">SUM(L11:L56)</f>
        <v>468.95000000000005</v>
      </c>
      <c r="M58" s="60">
        <f t="shared" ref="M58:AD58" si="31">SUM(M11:M56)</f>
        <v>468.95000000000005</v>
      </c>
      <c r="N58" s="60">
        <f t="shared" si="31"/>
        <v>468.95000000000005</v>
      </c>
      <c r="O58" s="60">
        <f t="shared" si="31"/>
        <v>468.95000000000005</v>
      </c>
      <c r="P58" s="60">
        <f t="shared" si="31"/>
        <v>468.95000000000005</v>
      </c>
      <c r="Q58" s="60">
        <f t="shared" si="31"/>
        <v>468.95000000000005</v>
      </c>
      <c r="R58" s="60">
        <f t="shared" si="31"/>
        <v>468.95000000000005</v>
      </c>
      <c r="S58" s="60">
        <f t="shared" si="31"/>
        <v>468.95000000000005</v>
      </c>
      <c r="T58" s="60">
        <f t="shared" si="31"/>
        <v>468.95000000000005</v>
      </c>
      <c r="U58" s="60">
        <f t="shared" si="31"/>
        <v>468.95000000000005</v>
      </c>
      <c r="V58" s="60">
        <f t="shared" si="31"/>
        <v>468.95000000000005</v>
      </c>
      <c r="W58" s="60">
        <f t="shared" si="31"/>
        <v>468.95000000000005</v>
      </c>
      <c r="X58" s="60">
        <f t="shared" si="31"/>
        <v>468.95000000000005</v>
      </c>
      <c r="Y58" s="60">
        <f t="shared" si="31"/>
        <v>468.95000000000005</v>
      </c>
      <c r="Z58" s="60">
        <f t="shared" si="31"/>
        <v>468.95000000000005</v>
      </c>
      <c r="AA58" s="60">
        <f t="shared" si="31"/>
        <v>468.95000000000005</v>
      </c>
      <c r="AB58" s="60">
        <f t="shared" si="31"/>
        <v>468.65000000000003</v>
      </c>
      <c r="AC58" s="60">
        <f t="shared" si="31"/>
        <v>469.15000000000003</v>
      </c>
      <c r="AD58" s="60">
        <f t="shared" si="31"/>
        <v>471.75</v>
      </c>
      <c r="AE58" s="60">
        <f t="shared" ref="AE58:AF58" si="32">SUM(AE11:AE56)</f>
        <v>474.15000000000003</v>
      </c>
      <c r="AF58" s="60">
        <f t="shared" si="32"/>
        <v>474.15000000000003</v>
      </c>
      <c r="AG58" s="61">
        <f>SUM(AG14:AG56)</f>
        <v>1042.4000000000001</v>
      </c>
      <c r="AH58" s="47">
        <f t="shared" si="22"/>
        <v>474.15000000000003</v>
      </c>
      <c r="AI58" s="48">
        <f t="shared" si="23"/>
        <v>468.65000000000003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15</v>
      </c>
      <c r="I59" s="45">
        <v>30</v>
      </c>
      <c r="J59" s="45">
        <v>320</v>
      </c>
      <c r="K59" s="45">
        <v>350</v>
      </c>
      <c r="L59" s="45">
        <v>370</v>
      </c>
      <c r="M59" s="45">
        <v>280</v>
      </c>
      <c r="N59" s="63">
        <v>120</v>
      </c>
      <c r="O59" s="63">
        <v>20</v>
      </c>
      <c r="P59" s="63">
        <v>45</v>
      </c>
      <c r="Q59" s="63">
        <v>75</v>
      </c>
      <c r="R59" s="63">
        <v>50</v>
      </c>
      <c r="S59" s="63">
        <v>15</v>
      </c>
      <c r="T59" s="63">
        <v>50</v>
      </c>
      <c r="U59" s="63">
        <v>76</v>
      </c>
      <c r="V59" s="63">
        <v>76</v>
      </c>
      <c r="W59" s="63">
        <v>15</v>
      </c>
      <c r="X59" s="45">
        <v>110</v>
      </c>
      <c r="Y59" s="45">
        <v>160</v>
      </c>
      <c r="Z59" s="45">
        <v>310</v>
      </c>
      <c r="AA59" s="45">
        <v>290</v>
      </c>
      <c r="AB59" s="45">
        <v>50</v>
      </c>
      <c r="AC59" s="45">
        <v>50</v>
      </c>
      <c r="AD59" s="45">
        <v>50</v>
      </c>
      <c r="AE59" s="45">
        <v>70</v>
      </c>
      <c r="AF59" s="45">
        <v>0</v>
      </c>
      <c r="AG59" s="52">
        <v>456</v>
      </c>
      <c r="AH59" s="47">
        <f t="shared" si="22"/>
        <v>370</v>
      </c>
      <c r="AI59" s="48">
        <f t="shared" si="2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2"/>
        <v>27</v>
      </c>
      <c r="AI60" s="48">
        <f t="shared" si="23"/>
        <v>27</v>
      </c>
      <c r="AK60" s="50"/>
    </row>
    <row r="61" spans="1:88" ht="15.75" thickBot="1" x14ac:dyDescent="0.3">
      <c r="A61" s="66" t="s">
        <v>61</v>
      </c>
      <c r="B61" s="67">
        <v>8.4</v>
      </c>
      <c r="C61" s="67">
        <v>8.5</v>
      </c>
      <c r="D61" s="67">
        <v>8.6</v>
      </c>
      <c r="E61" s="67">
        <v>8.6</v>
      </c>
      <c r="F61" s="67">
        <v>8.6</v>
      </c>
      <c r="G61" s="67">
        <v>8.6</v>
      </c>
      <c r="H61" s="67">
        <v>8.6</v>
      </c>
      <c r="I61" s="67">
        <v>8.6</v>
      </c>
      <c r="J61" s="67">
        <v>8.6</v>
      </c>
      <c r="K61" s="67">
        <v>9.5</v>
      </c>
      <c r="L61" s="67">
        <v>9.5</v>
      </c>
      <c r="M61" s="67">
        <v>9.5</v>
      </c>
      <c r="N61" s="67">
        <v>9.5</v>
      </c>
      <c r="O61" s="67">
        <v>9.5</v>
      </c>
      <c r="P61" s="67">
        <v>9.5</v>
      </c>
      <c r="Q61" s="67">
        <v>9.5</v>
      </c>
      <c r="R61" s="67">
        <v>9.6</v>
      </c>
      <c r="S61" s="67">
        <v>9.6</v>
      </c>
      <c r="T61" s="67">
        <v>9.6</v>
      </c>
      <c r="U61" s="67">
        <v>9.6</v>
      </c>
      <c r="V61" s="67">
        <v>9.6</v>
      </c>
      <c r="W61" s="67">
        <v>9.6</v>
      </c>
      <c r="X61" s="67">
        <v>9.6</v>
      </c>
      <c r="Y61" s="67">
        <v>9.6</v>
      </c>
      <c r="Z61" s="67">
        <v>9.6</v>
      </c>
      <c r="AA61" s="67">
        <v>9.6</v>
      </c>
      <c r="AB61" s="67">
        <v>14.1</v>
      </c>
      <c r="AC61" s="67">
        <v>14.1</v>
      </c>
      <c r="AD61" s="67">
        <v>8.6</v>
      </c>
      <c r="AE61" s="67">
        <v>8.1999999999999993</v>
      </c>
      <c r="AF61" s="67">
        <v>8.1999999999999993</v>
      </c>
      <c r="AG61" s="68">
        <v>22.1</v>
      </c>
      <c r="AH61" s="47">
        <f t="shared" si="22"/>
        <v>14.1</v>
      </c>
      <c r="AI61" s="48">
        <f t="shared" si="23"/>
        <v>8.1999999999999993</v>
      </c>
      <c r="AK61" s="50"/>
    </row>
    <row r="62" spans="1:88" ht="15.75" thickBot="1" x14ac:dyDescent="0.3">
      <c r="A62" s="69" t="s">
        <v>62</v>
      </c>
      <c r="B62" s="60">
        <f t="shared" ref="B62:C62" si="33">SUM(B59:B61)</f>
        <v>35.4</v>
      </c>
      <c r="C62" s="60">
        <f t="shared" si="33"/>
        <v>35.5</v>
      </c>
      <c r="D62" s="60">
        <f t="shared" ref="D62:E62" si="34">SUM(D59:D61)</f>
        <v>35.6</v>
      </c>
      <c r="E62" s="60">
        <f t="shared" si="34"/>
        <v>35.6</v>
      </c>
      <c r="F62" s="60">
        <f t="shared" ref="F62:G62" si="35">SUM(F59:F61)</f>
        <v>35.6</v>
      </c>
      <c r="G62" s="60">
        <f t="shared" si="35"/>
        <v>35.6</v>
      </c>
      <c r="H62" s="60">
        <f t="shared" ref="H62:I62" si="36">SUM(H59:H61)</f>
        <v>50.6</v>
      </c>
      <c r="I62" s="60">
        <f t="shared" si="36"/>
        <v>65.599999999999994</v>
      </c>
      <c r="J62" s="60">
        <f t="shared" ref="J62:K62" si="37">SUM(J59:J61)</f>
        <v>355.6</v>
      </c>
      <c r="K62" s="60">
        <f t="shared" si="37"/>
        <v>386.5</v>
      </c>
      <c r="L62" s="60">
        <f t="shared" ref="L62" si="38">SUM(L59:L61)</f>
        <v>406.5</v>
      </c>
      <c r="M62" s="60">
        <f t="shared" ref="M62:AG62" si="39">SUM(M59:M61)</f>
        <v>316.5</v>
      </c>
      <c r="N62" s="60">
        <f t="shared" si="39"/>
        <v>156.5</v>
      </c>
      <c r="O62" s="60">
        <f t="shared" si="39"/>
        <v>56.5</v>
      </c>
      <c r="P62" s="60">
        <f t="shared" si="39"/>
        <v>81.5</v>
      </c>
      <c r="Q62" s="60">
        <f t="shared" si="39"/>
        <v>111.5</v>
      </c>
      <c r="R62" s="60">
        <f t="shared" si="39"/>
        <v>86.6</v>
      </c>
      <c r="S62" s="60">
        <f t="shared" si="39"/>
        <v>51.6</v>
      </c>
      <c r="T62" s="60">
        <f t="shared" si="39"/>
        <v>86.6</v>
      </c>
      <c r="U62" s="60">
        <f t="shared" si="39"/>
        <v>112.6</v>
      </c>
      <c r="V62" s="60">
        <f t="shared" si="39"/>
        <v>112.6</v>
      </c>
      <c r="W62" s="60">
        <f t="shared" si="39"/>
        <v>51.6</v>
      </c>
      <c r="X62" s="60">
        <f t="shared" si="39"/>
        <v>146.6</v>
      </c>
      <c r="Y62" s="60">
        <f t="shared" si="39"/>
        <v>196.6</v>
      </c>
      <c r="Z62" s="60">
        <f t="shared" si="39"/>
        <v>346.6</v>
      </c>
      <c r="AA62" s="60">
        <f t="shared" si="39"/>
        <v>326.60000000000002</v>
      </c>
      <c r="AB62" s="60">
        <f t="shared" si="39"/>
        <v>91.1</v>
      </c>
      <c r="AC62" s="60">
        <f t="shared" si="39"/>
        <v>91.1</v>
      </c>
      <c r="AD62" s="60">
        <f t="shared" si="39"/>
        <v>85.6</v>
      </c>
      <c r="AE62" s="60">
        <f t="shared" ref="AE62:AF62" si="40">SUM(AE59:AE61)</f>
        <v>105.2</v>
      </c>
      <c r="AF62" s="60">
        <f t="shared" si="40"/>
        <v>35.200000000000003</v>
      </c>
      <c r="AG62" s="61">
        <f t="shared" si="39"/>
        <v>538.1</v>
      </c>
      <c r="AH62" s="47">
        <f t="shared" si="22"/>
        <v>406.5</v>
      </c>
      <c r="AI62" s="48">
        <f t="shared" si="23"/>
        <v>35.200000000000003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31.4</v>
      </c>
      <c r="I63" s="45">
        <v>66.2</v>
      </c>
      <c r="J63" s="45">
        <v>131.5</v>
      </c>
      <c r="K63" s="45">
        <v>111.1</v>
      </c>
      <c r="L63" s="45">
        <v>111.1</v>
      </c>
      <c r="M63" s="45">
        <v>114.6</v>
      </c>
      <c r="N63" s="45">
        <v>61.5</v>
      </c>
      <c r="O63" s="45">
        <v>61.5</v>
      </c>
      <c r="P63" s="45">
        <v>61.3</v>
      </c>
      <c r="Q63" s="45">
        <v>61.3</v>
      </c>
      <c r="R63" s="45">
        <v>60.6</v>
      </c>
      <c r="S63" s="45">
        <v>60.6</v>
      </c>
      <c r="T63" s="45">
        <v>61.3</v>
      </c>
      <c r="U63" s="45">
        <v>61.3</v>
      </c>
      <c r="V63" s="45">
        <v>61.3</v>
      </c>
      <c r="W63" s="45">
        <v>30</v>
      </c>
      <c r="X63" s="45">
        <v>30</v>
      </c>
      <c r="Y63" s="45">
        <v>123</v>
      </c>
      <c r="Z63" s="45">
        <v>141</v>
      </c>
      <c r="AA63" s="45">
        <v>141</v>
      </c>
      <c r="AB63" s="45">
        <v>59.7</v>
      </c>
      <c r="AC63" s="45">
        <v>60.7</v>
      </c>
      <c r="AD63" s="45">
        <v>30.4</v>
      </c>
      <c r="AE63" s="45">
        <v>0</v>
      </c>
      <c r="AF63" s="45">
        <v>0</v>
      </c>
      <c r="AG63" s="52">
        <v>144</v>
      </c>
      <c r="AH63" s="47">
        <f t="shared" si="22"/>
        <v>141</v>
      </c>
      <c r="AI63" s="48">
        <f t="shared" si="23"/>
        <v>0</v>
      </c>
      <c r="AK63" s="50"/>
    </row>
    <row r="64" spans="1:88" x14ac:dyDescent="0.25">
      <c r="A64" s="54" t="s">
        <v>64</v>
      </c>
      <c r="B64" s="45">
        <v>26.6</v>
      </c>
      <c r="C64" s="45">
        <v>26.4</v>
      </c>
      <c r="D64" s="45">
        <v>0</v>
      </c>
      <c r="E64" s="45">
        <v>0</v>
      </c>
      <c r="F64" s="45">
        <v>0</v>
      </c>
      <c r="G64" s="45">
        <v>34.799999999999997</v>
      </c>
      <c r="H64" s="45">
        <v>34.799999999999997</v>
      </c>
      <c r="I64" s="45">
        <v>24.8</v>
      </c>
      <c r="J64" s="45">
        <v>34.799999999999997</v>
      </c>
      <c r="K64" s="45">
        <v>34.799999999999997</v>
      </c>
      <c r="L64" s="45">
        <v>34.799999999999997</v>
      </c>
      <c r="M64" s="65">
        <v>34.799999999999997</v>
      </c>
      <c r="N64" s="65">
        <v>34.9</v>
      </c>
      <c r="O64" s="65">
        <v>23.3</v>
      </c>
      <c r="P64" s="65">
        <v>23.3</v>
      </c>
      <c r="Q64" s="65">
        <v>23.5</v>
      </c>
      <c r="R64" s="65">
        <v>23.5</v>
      </c>
      <c r="S64" s="65">
        <v>23.5</v>
      </c>
      <c r="T64" s="65">
        <v>34.700000000000003</v>
      </c>
      <c r="U64" s="65">
        <v>34.700000000000003</v>
      </c>
      <c r="V64" s="65">
        <v>34.700000000000003</v>
      </c>
      <c r="W64" s="45">
        <v>24.8</v>
      </c>
      <c r="X64" s="45">
        <v>24.8</v>
      </c>
      <c r="Y64" s="45">
        <v>35</v>
      </c>
      <c r="Z64" s="45">
        <v>35</v>
      </c>
      <c r="AA64" s="45">
        <v>35</v>
      </c>
      <c r="AB64" s="45">
        <v>22.8</v>
      </c>
      <c r="AC64" s="45">
        <v>22.9</v>
      </c>
      <c r="AD64" s="45">
        <v>22.9</v>
      </c>
      <c r="AE64" s="45">
        <v>22.9</v>
      </c>
      <c r="AF64" s="45">
        <v>35</v>
      </c>
      <c r="AG64" s="55">
        <v>70</v>
      </c>
      <c r="AH64" s="47">
        <f t="shared" si="22"/>
        <v>35</v>
      </c>
      <c r="AI64" s="48">
        <f t="shared" si="23"/>
        <v>0</v>
      </c>
      <c r="AK64" s="50"/>
    </row>
    <row r="65" spans="1:41" x14ac:dyDescent="0.25">
      <c r="A65" s="54" t="s">
        <v>65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38.700000000000003</v>
      </c>
      <c r="I65" s="45">
        <v>34</v>
      </c>
      <c r="J65" s="45">
        <v>64.5</v>
      </c>
      <c r="K65" s="45">
        <v>64.2</v>
      </c>
      <c r="L65" s="45">
        <v>64.2</v>
      </c>
      <c r="M65" s="65">
        <v>66.900000000000006</v>
      </c>
      <c r="N65" s="65">
        <v>52.3</v>
      </c>
      <c r="O65" s="65">
        <v>52.2</v>
      </c>
      <c r="P65" s="65">
        <v>51.74</v>
      </c>
      <c r="Q65" s="65">
        <v>68.099999999999994</v>
      </c>
      <c r="R65" s="65">
        <v>40</v>
      </c>
      <c r="S65" s="65">
        <v>40</v>
      </c>
      <c r="T65" s="65">
        <v>16.899999999999999</v>
      </c>
      <c r="U65" s="65">
        <v>16.899999999999999</v>
      </c>
      <c r="V65" s="65">
        <v>16.899999999999999</v>
      </c>
      <c r="W65" s="45">
        <v>17</v>
      </c>
      <c r="X65" s="45">
        <v>17</v>
      </c>
      <c r="Y65" s="45">
        <v>49.7</v>
      </c>
      <c r="Z65" s="45">
        <v>54</v>
      </c>
      <c r="AA65" s="45">
        <v>54</v>
      </c>
      <c r="AB65" s="45">
        <v>34.700000000000003</v>
      </c>
      <c r="AC65" s="45">
        <v>34.700000000000003</v>
      </c>
      <c r="AD65" s="45">
        <v>34.799999999999997</v>
      </c>
      <c r="AE65" s="45">
        <v>16.8</v>
      </c>
      <c r="AF65" s="45">
        <v>0</v>
      </c>
      <c r="AG65" s="55">
        <v>69</v>
      </c>
      <c r="AH65" s="47">
        <f t="shared" si="22"/>
        <v>68.099999999999994</v>
      </c>
      <c r="AI65" s="48">
        <f t="shared" si="23"/>
        <v>0</v>
      </c>
      <c r="AK65" s="50"/>
    </row>
    <row r="66" spans="1:41" x14ac:dyDescent="0.25">
      <c r="A66" s="54" t="s">
        <v>66</v>
      </c>
      <c r="B66" s="45">
        <v>37.1</v>
      </c>
      <c r="C66" s="45">
        <v>36.299999999999997</v>
      </c>
      <c r="D66" s="45">
        <v>36</v>
      </c>
      <c r="E66" s="45">
        <v>36</v>
      </c>
      <c r="F66" s="45">
        <v>36</v>
      </c>
      <c r="G66" s="45">
        <v>36</v>
      </c>
      <c r="H66" s="45">
        <v>36</v>
      </c>
      <c r="I66" s="45">
        <v>36</v>
      </c>
      <c r="J66" s="45">
        <v>36</v>
      </c>
      <c r="K66" s="45">
        <v>36</v>
      </c>
      <c r="L66" s="45">
        <v>36</v>
      </c>
      <c r="M66" s="65">
        <v>38.799999999999997</v>
      </c>
      <c r="N66" s="65">
        <v>35</v>
      </c>
      <c r="O66" s="65">
        <v>35</v>
      </c>
      <c r="P66" s="65">
        <v>36.799999999999997</v>
      </c>
      <c r="Q66" s="65">
        <v>36.799999999999997</v>
      </c>
      <c r="R66" s="65">
        <v>36.299999999999997</v>
      </c>
      <c r="S66" s="65">
        <v>36.299999999999997</v>
      </c>
      <c r="T66" s="65">
        <v>35</v>
      </c>
      <c r="U66" s="65">
        <v>35</v>
      </c>
      <c r="V66" s="65">
        <v>35</v>
      </c>
      <c r="W66" s="45">
        <v>35</v>
      </c>
      <c r="X66" s="45">
        <v>35</v>
      </c>
      <c r="Y66" s="45">
        <v>35</v>
      </c>
      <c r="Z66" s="45">
        <v>35</v>
      </c>
      <c r="AA66" s="45">
        <v>35</v>
      </c>
      <c r="AB66" s="45">
        <v>35</v>
      </c>
      <c r="AC66" s="45">
        <v>33</v>
      </c>
      <c r="AD66" s="45">
        <v>33</v>
      </c>
      <c r="AE66" s="45">
        <v>37.299999999999997</v>
      </c>
      <c r="AF66" s="45">
        <v>39.1</v>
      </c>
      <c r="AG66" s="55">
        <v>60</v>
      </c>
      <c r="AH66" s="47">
        <f t="shared" si="22"/>
        <v>39.1</v>
      </c>
      <c r="AI66" s="48">
        <f t="shared" si="23"/>
        <v>33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10.7</v>
      </c>
      <c r="G67" s="45">
        <v>10.7</v>
      </c>
      <c r="H67" s="45">
        <v>14.8</v>
      </c>
      <c r="I67" s="45">
        <v>23.3</v>
      </c>
      <c r="J67" s="45">
        <v>23.3</v>
      </c>
      <c r="K67" s="45">
        <v>28.6</v>
      </c>
      <c r="L67" s="45">
        <v>28.6</v>
      </c>
      <c r="M67" s="65">
        <v>28.2</v>
      </c>
      <c r="N67" s="65">
        <v>10</v>
      </c>
      <c r="O67" s="65">
        <v>10</v>
      </c>
      <c r="P67" s="65">
        <v>10</v>
      </c>
      <c r="Q67" s="65">
        <v>10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45">
        <v>0</v>
      </c>
      <c r="X67" s="45">
        <v>10</v>
      </c>
      <c r="Y67" s="45">
        <v>15</v>
      </c>
      <c r="Z67" s="45">
        <v>28.4</v>
      </c>
      <c r="AA67" s="45">
        <v>23</v>
      </c>
      <c r="AB67" s="45">
        <v>23.1</v>
      </c>
      <c r="AC67" s="45">
        <v>14.5</v>
      </c>
      <c r="AD67" s="45">
        <v>10.5</v>
      </c>
      <c r="AE67" s="45">
        <v>10.7</v>
      </c>
      <c r="AF67" s="45">
        <v>0</v>
      </c>
      <c r="AG67" s="55">
        <v>30</v>
      </c>
      <c r="AH67" s="47">
        <f t="shared" si="22"/>
        <v>28.6</v>
      </c>
      <c r="AI67" s="48">
        <f t="shared" si="23"/>
        <v>0</v>
      </c>
      <c r="AK67" s="50"/>
    </row>
    <row r="68" spans="1:41" x14ac:dyDescent="0.25">
      <c r="A68" s="54" t="s">
        <v>68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2.2999999999999998</v>
      </c>
      <c r="M68" s="65">
        <v>5.2</v>
      </c>
      <c r="N68" s="65">
        <v>11.1</v>
      </c>
      <c r="O68" s="65">
        <v>14.6</v>
      </c>
      <c r="P68" s="65">
        <v>18</v>
      </c>
      <c r="Q68" s="65">
        <v>18.7</v>
      </c>
      <c r="R68" s="65">
        <v>18.399999999999999</v>
      </c>
      <c r="S68" s="65">
        <v>16.399999999999999</v>
      </c>
      <c r="T68" s="65">
        <v>8</v>
      </c>
      <c r="U68" s="65">
        <v>5.5</v>
      </c>
      <c r="V68" s="65">
        <v>1.9</v>
      </c>
      <c r="W68" s="45">
        <v>0.7</v>
      </c>
      <c r="X68" s="45">
        <v>0.7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2"/>
        <v>18.7</v>
      </c>
      <c r="AI68" s="48">
        <f t="shared" si="2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2"/>
        <v>15</v>
      </c>
      <c r="AI69" s="48">
        <f t="shared" si="23"/>
        <v>15</v>
      </c>
      <c r="AK69" s="50"/>
    </row>
    <row r="70" spans="1:41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>
        <v>4</v>
      </c>
      <c r="O70" s="65">
        <v>4</v>
      </c>
      <c r="P70" s="65">
        <v>4</v>
      </c>
      <c r="Q70" s="65">
        <v>0</v>
      </c>
      <c r="R70" s="65">
        <v>2</v>
      </c>
      <c r="S70" s="65">
        <v>2</v>
      </c>
      <c r="T70" s="65">
        <v>2</v>
      </c>
      <c r="U70" s="65">
        <v>2</v>
      </c>
      <c r="V70" s="65">
        <v>2</v>
      </c>
      <c r="W70" s="65">
        <v>2.6</v>
      </c>
      <c r="X70" s="65">
        <v>2.6</v>
      </c>
      <c r="Y70" s="65">
        <v>2.6</v>
      </c>
      <c r="Z70" s="65">
        <v>2.6</v>
      </c>
      <c r="AA70" s="65">
        <v>2.6</v>
      </c>
      <c r="AB70" s="65">
        <v>2.6</v>
      </c>
      <c r="AC70" s="65">
        <v>2.6</v>
      </c>
      <c r="AD70" s="65">
        <v>2.6</v>
      </c>
      <c r="AE70" s="65">
        <v>2.6</v>
      </c>
      <c r="AF70" s="65">
        <v>2.6</v>
      </c>
      <c r="AG70" s="55">
        <v>15</v>
      </c>
      <c r="AH70" s="47">
        <f t="shared" si="22"/>
        <v>4</v>
      </c>
      <c r="AI70" s="48">
        <f t="shared" si="23"/>
        <v>0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9.5</v>
      </c>
      <c r="C71" s="65">
        <v>10.3</v>
      </c>
      <c r="D71" s="65">
        <v>10.1</v>
      </c>
      <c r="E71" s="65">
        <v>10.1</v>
      </c>
      <c r="F71" s="65">
        <v>10.1</v>
      </c>
      <c r="G71" s="65">
        <v>10.1</v>
      </c>
      <c r="H71" s="65">
        <v>10.1</v>
      </c>
      <c r="I71" s="65">
        <v>10.1</v>
      </c>
      <c r="J71" s="65">
        <v>10.1</v>
      </c>
      <c r="K71" s="65">
        <v>10.1</v>
      </c>
      <c r="L71" s="65">
        <v>10.1</v>
      </c>
      <c r="M71" s="65">
        <v>10.1</v>
      </c>
      <c r="N71" s="65">
        <v>10.1</v>
      </c>
      <c r="O71" s="65">
        <v>10.1</v>
      </c>
      <c r="P71" s="65">
        <v>10.1</v>
      </c>
      <c r="Q71" s="65">
        <v>10.1</v>
      </c>
      <c r="R71" s="65">
        <v>10.1</v>
      </c>
      <c r="S71" s="65">
        <v>10.1</v>
      </c>
      <c r="T71" s="65">
        <v>10.1</v>
      </c>
      <c r="U71" s="65">
        <v>10.1</v>
      </c>
      <c r="V71" s="65">
        <v>10.1</v>
      </c>
      <c r="W71" s="65">
        <v>10.1</v>
      </c>
      <c r="X71" s="65">
        <v>10.1</v>
      </c>
      <c r="Y71" s="65">
        <v>10.1</v>
      </c>
      <c r="Z71" s="65">
        <v>10.1</v>
      </c>
      <c r="AA71" s="65">
        <v>10.1</v>
      </c>
      <c r="AB71" s="65">
        <v>10.1</v>
      </c>
      <c r="AC71" s="65">
        <v>10.1</v>
      </c>
      <c r="AD71" s="65">
        <v>10.1</v>
      </c>
      <c r="AE71" s="65">
        <v>9</v>
      </c>
      <c r="AF71" s="65">
        <v>9.5</v>
      </c>
      <c r="AG71" s="55">
        <v>14.1</v>
      </c>
      <c r="AH71" s="47">
        <f t="shared" si="22"/>
        <v>10.3</v>
      </c>
      <c r="AI71" s="48">
        <f t="shared" si="23"/>
        <v>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3.2</v>
      </c>
      <c r="D72" s="65">
        <v>3.2</v>
      </c>
      <c r="E72" s="65">
        <v>3.2</v>
      </c>
      <c r="F72" s="65">
        <v>3.2</v>
      </c>
      <c r="G72" s="65">
        <v>3.2</v>
      </c>
      <c r="H72" s="65">
        <v>3.2</v>
      </c>
      <c r="I72" s="65">
        <v>3.2</v>
      </c>
      <c r="J72" s="65">
        <v>3.2</v>
      </c>
      <c r="K72" s="65">
        <v>3.2</v>
      </c>
      <c r="L72" s="65">
        <v>3.2</v>
      </c>
      <c r="M72" s="65">
        <v>3.2</v>
      </c>
      <c r="N72" s="65">
        <v>3.2</v>
      </c>
      <c r="O72" s="65">
        <v>3.2</v>
      </c>
      <c r="P72" s="65">
        <v>3.2</v>
      </c>
      <c r="Q72" s="65">
        <v>3.2</v>
      </c>
      <c r="R72" s="65">
        <v>3.2</v>
      </c>
      <c r="S72" s="65">
        <v>3.2</v>
      </c>
      <c r="T72" s="65">
        <v>3.2</v>
      </c>
      <c r="U72" s="65">
        <v>3.2</v>
      </c>
      <c r="V72" s="65">
        <v>3.2</v>
      </c>
      <c r="W72" s="65">
        <v>3.2</v>
      </c>
      <c r="X72" s="65">
        <v>3.2</v>
      </c>
      <c r="Y72" s="65">
        <v>3.2</v>
      </c>
      <c r="Z72" s="65">
        <v>3.2</v>
      </c>
      <c r="AA72" s="65">
        <v>3.2</v>
      </c>
      <c r="AB72" s="65">
        <v>3.2</v>
      </c>
      <c r="AC72" s="65">
        <v>3.2</v>
      </c>
      <c r="AD72" s="65">
        <v>3.2</v>
      </c>
      <c r="AE72" s="65">
        <v>3.2</v>
      </c>
      <c r="AF72" s="65">
        <v>3.3</v>
      </c>
      <c r="AG72" s="55">
        <v>14</v>
      </c>
      <c r="AH72" s="47">
        <f t="shared" si="22"/>
        <v>3.3</v>
      </c>
      <c r="AI72" s="48">
        <f t="shared" si="23"/>
        <v>3.2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2"/>
        <v>4.5</v>
      </c>
      <c r="AI73" s="48">
        <f t="shared" si="2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2"/>
        <v>2</v>
      </c>
      <c r="AI74" s="48">
        <f t="shared" si="2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2"/>
        <v>5.5</v>
      </c>
      <c r="AI75" s="48">
        <f t="shared" si="23"/>
        <v>3.5</v>
      </c>
      <c r="AK75" s="50"/>
    </row>
    <row r="76" spans="1:41" ht="15.75" thickBot="1" x14ac:dyDescent="0.3">
      <c r="A76" s="74" t="s">
        <v>76</v>
      </c>
      <c r="B76" s="60">
        <f t="shared" ref="B76:C76" si="41">SUM(B63:B75)</f>
        <v>105.54</v>
      </c>
      <c r="C76" s="60">
        <f t="shared" si="41"/>
        <v>105.24</v>
      </c>
      <c r="D76" s="60">
        <f t="shared" ref="D76:E76" si="42">SUM(D63:D75)</f>
        <v>78.34</v>
      </c>
      <c r="E76" s="60">
        <f t="shared" si="42"/>
        <v>78.34</v>
      </c>
      <c r="F76" s="60">
        <f t="shared" ref="F76:G76" si="43">SUM(F63:F75)</f>
        <v>89.04</v>
      </c>
      <c r="G76" s="60">
        <f t="shared" si="43"/>
        <v>123.84</v>
      </c>
      <c r="H76" s="60">
        <f t="shared" ref="H76:I76" si="44">SUM(H63:H75)</f>
        <v>198.03999999999996</v>
      </c>
      <c r="I76" s="60">
        <f t="shared" si="44"/>
        <v>226.64</v>
      </c>
      <c r="J76" s="60">
        <f t="shared" ref="J76:K76" si="45">SUM(J63:J75)</f>
        <v>332.44000000000005</v>
      </c>
      <c r="K76" s="60">
        <f t="shared" si="45"/>
        <v>318.04000000000002</v>
      </c>
      <c r="L76" s="60">
        <f t="shared" ref="L76" si="46">SUM(L63:L75)</f>
        <v>319.34000000000003</v>
      </c>
      <c r="M76" s="60">
        <f t="shared" ref="M76:AG76" si="47">SUM(M63:M75)</f>
        <v>330.84</v>
      </c>
      <c r="N76" s="60">
        <f t="shared" si="47"/>
        <v>247.13999999999996</v>
      </c>
      <c r="O76" s="60">
        <f t="shared" si="47"/>
        <v>238.93999999999997</v>
      </c>
      <c r="P76" s="60">
        <f t="shared" si="47"/>
        <v>243.47999999999996</v>
      </c>
      <c r="Q76" s="60">
        <f t="shared" si="47"/>
        <v>256.73999999999995</v>
      </c>
      <c r="R76" s="60">
        <f t="shared" si="47"/>
        <v>219.13999999999996</v>
      </c>
      <c r="S76" s="60">
        <f t="shared" si="47"/>
        <v>217.13999999999996</v>
      </c>
      <c r="T76" s="60">
        <f t="shared" si="47"/>
        <v>196.23999999999998</v>
      </c>
      <c r="U76" s="60">
        <f t="shared" si="47"/>
        <v>193.73999999999998</v>
      </c>
      <c r="V76" s="60">
        <f t="shared" si="47"/>
        <v>190.14</v>
      </c>
      <c r="W76" s="60">
        <f t="shared" si="47"/>
        <v>148.43999999999997</v>
      </c>
      <c r="X76" s="60">
        <f t="shared" si="47"/>
        <v>158.43999999999997</v>
      </c>
      <c r="Y76" s="60">
        <f>SUM(Y63:Y75)</f>
        <v>298.60000000000002</v>
      </c>
      <c r="Z76" s="60">
        <f>SUM(Z63:Z75)</f>
        <v>336.3</v>
      </c>
      <c r="AA76" s="60">
        <f t="shared" si="47"/>
        <v>328.94000000000005</v>
      </c>
      <c r="AB76" s="60">
        <f t="shared" si="47"/>
        <v>216.23999999999995</v>
      </c>
      <c r="AC76" s="60">
        <f t="shared" si="47"/>
        <v>206.73999999999998</v>
      </c>
      <c r="AD76" s="60">
        <f t="shared" si="47"/>
        <v>172.53999999999996</v>
      </c>
      <c r="AE76" s="60">
        <f t="shared" ref="AE76:AF76" si="48">SUM(AE63:AE75)</f>
        <v>127.54</v>
      </c>
      <c r="AF76" s="60">
        <f t="shared" si="48"/>
        <v>114.53999999999999</v>
      </c>
      <c r="AG76" s="61">
        <f t="shared" si="47"/>
        <v>489.91</v>
      </c>
      <c r="AH76" s="47">
        <f t="shared" si="22"/>
        <v>336.3</v>
      </c>
      <c r="AI76" s="48">
        <f t="shared" si="23"/>
        <v>78.34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2"/>
        <v>0</v>
      </c>
      <c r="AI77" s="48">
        <f t="shared" si="2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2"/>
        <v>0</v>
      </c>
      <c r="AI78" s="48">
        <f t="shared" si="2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2"/>
        <v>0</v>
      </c>
      <c r="AI79" s="48">
        <f t="shared" si="23"/>
        <v>0</v>
      </c>
      <c r="AK79" s="50"/>
    </row>
    <row r="80" spans="1:41" ht="15.75" thickBot="1" x14ac:dyDescent="0.3">
      <c r="A80" s="74" t="s">
        <v>80</v>
      </c>
      <c r="B80" s="60">
        <f t="shared" ref="B80:C80" si="49">B77+B78+B79</f>
        <v>0</v>
      </c>
      <c r="C80" s="60">
        <f t="shared" si="49"/>
        <v>0</v>
      </c>
      <c r="D80" s="60">
        <f t="shared" ref="D80:E80" si="50">D77+D78+D79</f>
        <v>0</v>
      </c>
      <c r="E80" s="60">
        <f t="shared" si="50"/>
        <v>0</v>
      </c>
      <c r="F80" s="60">
        <f t="shared" ref="F80:G80" si="51">F77+F78+F79</f>
        <v>0</v>
      </c>
      <c r="G80" s="60">
        <f t="shared" si="51"/>
        <v>0</v>
      </c>
      <c r="H80" s="60">
        <f t="shared" ref="H80:I80" si="52">H77+H78+H79</f>
        <v>0</v>
      </c>
      <c r="I80" s="60">
        <f t="shared" si="52"/>
        <v>0</v>
      </c>
      <c r="J80" s="60">
        <f t="shared" ref="J80:K80" si="53">J77+J78+J79</f>
        <v>0</v>
      </c>
      <c r="K80" s="60">
        <f t="shared" si="53"/>
        <v>0</v>
      </c>
      <c r="L80" s="60">
        <f t="shared" ref="L80" si="54">L77+L78+L79</f>
        <v>0</v>
      </c>
      <c r="M80" s="60">
        <f t="shared" ref="M80:AD80" si="55">M77+M78+M79</f>
        <v>0</v>
      </c>
      <c r="N80" s="60">
        <f t="shared" si="55"/>
        <v>0</v>
      </c>
      <c r="O80" s="60">
        <f t="shared" si="55"/>
        <v>0</v>
      </c>
      <c r="P80" s="60">
        <f t="shared" si="55"/>
        <v>0</v>
      </c>
      <c r="Q80" s="60">
        <f t="shared" si="55"/>
        <v>0</v>
      </c>
      <c r="R80" s="60">
        <f t="shared" si="55"/>
        <v>0</v>
      </c>
      <c r="S80" s="60">
        <f t="shared" si="55"/>
        <v>0</v>
      </c>
      <c r="T80" s="60">
        <f t="shared" si="55"/>
        <v>0</v>
      </c>
      <c r="U80" s="60">
        <f t="shared" si="55"/>
        <v>0</v>
      </c>
      <c r="V80" s="60">
        <f t="shared" si="55"/>
        <v>0</v>
      </c>
      <c r="W80" s="60">
        <f t="shared" si="55"/>
        <v>0</v>
      </c>
      <c r="X80" s="60">
        <f t="shared" si="55"/>
        <v>0</v>
      </c>
      <c r="Y80" s="60">
        <f>Y77+Y78+Y79</f>
        <v>0</v>
      </c>
      <c r="Z80" s="60">
        <f>Z77+Z78+Z79</f>
        <v>0</v>
      </c>
      <c r="AA80" s="60">
        <f t="shared" si="55"/>
        <v>0</v>
      </c>
      <c r="AB80" s="60">
        <f t="shared" si="55"/>
        <v>0</v>
      </c>
      <c r="AC80" s="60">
        <f t="shared" si="55"/>
        <v>0</v>
      </c>
      <c r="AD80" s="60">
        <f t="shared" si="55"/>
        <v>0</v>
      </c>
      <c r="AE80" s="60">
        <f t="shared" ref="AE80:AF80" si="56">AE77+AE78+AE79</f>
        <v>0</v>
      </c>
      <c r="AF80" s="60">
        <f t="shared" si="56"/>
        <v>0</v>
      </c>
      <c r="AG80" s="61">
        <f>SUM(AG77:AG79)</f>
        <v>106</v>
      </c>
      <c r="AH80" s="47">
        <f t="shared" si="22"/>
        <v>0</v>
      </c>
      <c r="AI80" s="48">
        <f t="shared" si="23"/>
        <v>0</v>
      </c>
      <c r="AK80" s="50"/>
    </row>
    <row r="81" spans="1:40" x14ac:dyDescent="0.25">
      <c r="A81" s="44" t="s">
        <v>81</v>
      </c>
      <c r="B81" s="45">
        <v>58</v>
      </c>
      <c r="C81" s="45">
        <v>56.6</v>
      </c>
      <c r="D81" s="45">
        <v>58.3</v>
      </c>
      <c r="E81" s="45">
        <v>61.5</v>
      </c>
      <c r="F81" s="45">
        <v>60.8</v>
      </c>
      <c r="G81" s="45">
        <v>67.099999999999994</v>
      </c>
      <c r="H81" s="45">
        <v>63.7</v>
      </c>
      <c r="I81" s="45">
        <v>52.7</v>
      </c>
      <c r="J81" s="45">
        <v>59.2</v>
      </c>
      <c r="K81" s="45">
        <v>62.5</v>
      </c>
      <c r="L81" s="45">
        <v>62.4</v>
      </c>
      <c r="M81" s="45">
        <v>53.7</v>
      </c>
      <c r="N81" s="45">
        <v>60.3</v>
      </c>
      <c r="O81" s="45">
        <v>57.7</v>
      </c>
      <c r="P81" s="45">
        <v>70</v>
      </c>
      <c r="Q81" s="45">
        <v>57.7</v>
      </c>
      <c r="R81" s="45">
        <v>70</v>
      </c>
      <c r="S81" s="45">
        <v>71.2</v>
      </c>
      <c r="T81" s="45">
        <v>66.599999999999994</v>
      </c>
      <c r="U81" s="45">
        <v>68.3</v>
      </c>
      <c r="V81" s="45">
        <v>62</v>
      </c>
      <c r="W81" s="45">
        <v>67</v>
      </c>
      <c r="X81" s="45">
        <v>63.5</v>
      </c>
      <c r="Y81" s="45">
        <v>72</v>
      </c>
      <c r="Z81" s="45">
        <v>64.599999999999994</v>
      </c>
      <c r="AA81" s="45">
        <v>62.6</v>
      </c>
      <c r="AB81" s="45">
        <v>56.3</v>
      </c>
      <c r="AC81" s="45">
        <v>61.1</v>
      </c>
      <c r="AD81" s="45">
        <v>59</v>
      </c>
      <c r="AE81" s="45">
        <v>66.900000000000006</v>
      </c>
      <c r="AF81" s="45">
        <v>72.900000000000006</v>
      </c>
      <c r="AG81" s="52"/>
      <c r="AH81" s="47">
        <f t="shared" si="22"/>
        <v>72.900000000000006</v>
      </c>
      <c r="AI81" s="48">
        <f t="shared" si="23"/>
        <v>52.7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13" si="57">MAX(B82:AF82)</f>
        <v>0</v>
      </c>
      <c r="AI82" s="48">
        <f t="shared" ref="AI82:AI113" si="58">MIN(B82:AF82)</f>
        <v>0</v>
      </c>
      <c r="AK82" s="50"/>
    </row>
    <row r="83" spans="1:40" x14ac:dyDescent="0.25">
      <c r="A83" s="54" t="s">
        <v>83</v>
      </c>
      <c r="B83" s="65">
        <v>395</v>
      </c>
      <c r="C83" s="65">
        <v>388.9</v>
      </c>
      <c r="D83" s="65">
        <v>405.2</v>
      </c>
      <c r="E83" s="65">
        <v>407.9</v>
      </c>
      <c r="F83" s="65">
        <v>404.5</v>
      </c>
      <c r="G83" s="65">
        <v>397.6</v>
      </c>
      <c r="H83" s="65">
        <v>377</v>
      </c>
      <c r="I83" s="65">
        <v>373.8</v>
      </c>
      <c r="J83" s="65">
        <v>390.3</v>
      </c>
      <c r="K83" s="65">
        <v>171.3</v>
      </c>
      <c r="L83" s="65">
        <v>111.2</v>
      </c>
      <c r="M83" s="65">
        <v>158</v>
      </c>
      <c r="N83" s="65">
        <v>305</v>
      </c>
      <c r="O83" s="65">
        <v>389.4</v>
      </c>
      <c r="P83" s="65">
        <v>447</v>
      </c>
      <c r="Q83" s="65">
        <v>391</v>
      </c>
      <c r="R83" s="65">
        <v>440</v>
      </c>
      <c r="S83" s="65">
        <v>486.9</v>
      </c>
      <c r="T83" s="65">
        <v>493.1</v>
      </c>
      <c r="U83" s="65">
        <v>459</v>
      </c>
      <c r="V83" s="65">
        <v>399</v>
      </c>
      <c r="W83" s="65">
        <v>428</v>
      </c>
      <c r="X83" s="65">
        <v>446</v>
      </c>
      <c r="Y83" s="65">
        <v>350</v>
      </c>
      <c r="Z83" s="65">
        <v>160</v>
      </c>
      <c r="AA83" s="65">
        <v>155</v>
      </c>
      <c r="AB83" s="65">
        <v>406.5</v>
      </c>
      <c r="AC83" s="65">
        <v>389</v>
      </c>
      <c r="AD83" s="65">
        <v>410.2</v>
      </c>
      <c r="AE83" s="65">
        <v>405.6</v>
      </c>
      <c r="AF83" s="65">
        <v>410.9</v>
      </c>
      <c r="AG83" s="75"/>
      <c r="AH83" s="47">
        <f t="shared" si="57"/>
        <v>493.1</v>
      </c>
      <c r="AI83" s="48">
        <f t="shared" si="58"/>
        <v>111.2</v>
      </c>
      <c r="AK83" s="50"/>
    </row>
    <row r="84" spans="1:40" x14ac:dyDescent="0.25">
      <c r="A84" s="54" t="s">
        <v>84</v>
      </c>
      <c r="B84" s="76">
        <v>5</v>
      </c>
      <c r="C84" s="76">
        <v>5</v>
      </c>
      <c r="D84" s="76">
        <v>5</v>
      </c>
      <c r="E84" s="76">
        <v>5</v>
      </c>
      <c r="F84" s="76">
        <v>5</v>
      </c>
      <c r="G84" s="76">
        <v>5</v>
      </c>
      <c r="H84" s="76">
        <v>5</v>
      </c>
      <c r="I84" s="76">
        <v>30.3</v>
      </c>
      <c r="J84" s="76">
        <v>41.9</v>
      </c>
      <c r="K84" s="76">
        <v>33.1</v>
      </c>
      <c r="L84" s="76">
        <v>36.9</v>
      </c>
      <c r="M84" s="76">
        <v>30</v>
      </c>
      <c r="N84" s="76">
        <v>20.9</v>
      </c>
      <c r="O84" s="76">
        <v>26.8</v>
      </c>
      <c r="P84" s="76">
        <v>52</v>
      </c>
      <c r="Q84" s="76">
        <v>39</v>
      </c>
      <c r="R84" s="76">
        <v>40.4</v>
      </c>
      <c r="S84" s="76">
        <v>41.2</v>
      </c>
      <c r="T84" s="76">
        <v>32.6</v>
      </c>
      <c r="U84" s="76">
        <v>43.4</v>
      </c>
      <c r="V84" s="76">
        <v>29.1</v>
      </c>
      <c r="W84" s="76">
        <v>26</v>
      </c>
      <c r="X84" s="76">
        <v>30</v>
      </c>
      <c r="Y84" s="76">
        <v>36</v>
      </c>
      <c r="Z84" s="76">
        <v>36</v>
      </c>
      <c r="AA84" s="76">
        <v>32.1</v>
      </c>
      <c r="AB84" s="76">
        <v>34.1</v>
      </c>
      <c r="AC84" s="76">
        <v>34</v>
      </c>
      <c r="AD84" s="76">
        <v>38</v>
      </c>
      <c r="AE84" s="76">
        <v>32.200000000000003</v>
      </c>
      <c r="AF84" s="76">
        <v>37.200000000000003</v>
      </c>
      <c r="AG84" s="75"/>
      <c r="AH84" s="47">
        <f t="shared" si="57"/>
        <v>52</v>
      </c>
      <c r="AI84" s="48">
        <f t="shared" si="58"/>
        <v>5</v>
      </c>
      <c r="AK84" s="50"/>
    </row>
    <row r="85" spans="1:40" x14ac:dyDescent="0.25">
      <c r="A85" s="54" t="s">
        <v>85</v>
      </c>
      <c r="B85" s="45">
        <v>100</v>
      </c>
      <c r="C85" s="45">
        <v>130</v>
      </c>
      <c r="D85" s="45">
        <v>103</v>
      </c>
      <c r="E85" s="45">
        <v>106.2</v>
      </c>
      <c r="F85" s="45">
        <v>114</v>
      </c>
      <c r="G85" s="45">
        <v>106</v>
      </c>
      <c r="H85" s="45">
        <v>108.2</v>
      </c>
      <c r="I85" s="45">
        <v>0</v>
      </c>
      <c r="J85" s="45">
        <v>20.399999999999999</v>
      </c>
      <c r="K85" s="45">
        <v>22.6</v>
      </c>
      <c r="L85" s="45">
        <v>23</v>
      </c>
      <c r="M85" s="45">
        <v>27</v>
      </c>
      <c r="N85" s="45">
        <v>31</v>
      </c>
      <c r="O85" s="45">
        <v>32</v>
      </c>
      <c r="P85" s="45">
        <v>72</v>
      </c>
      <c r="Q85" s="45">
        <v>67</v>
      </c>
      <c r="R85" s="45">
        <v>108</v>
      </c>
      <c r="S85" s="45">
        <v>108</v>
      </c>
      <c r="T85" s="45">
        <v>108.2</v>
      </c>
      <c r="U85" s="45">
        <v>106</v>
      </c>
      <c r="V85" s="45">
        <v>73</v>
      </c>
      <c r="W85" s="45">
        <v>48</v>
      </c>
      <c r="X85" s="45">
        <v>46</v>
      </c>
      <c r="Y85" s="45">
        <v>42</v>
      </c>
      <c r="Z85" s="45">
        <v>42</v>
      </c>
      <c r="AA85" s="45">
        <v>64</v>
      </c>
      <c r="AB85" s="45">
        <v>80</v>
      </c>
      <c r="AC85" s="45">
        <v>76</v>
      </c>
      <c r="AD85" s="45">
        <v>106</v>
      </c>
      <c r="AE85" s="45">
        <v>114</v>
      </c>
      <c r="AF85" s="45">
        <v>100</v>
      </c>
      <c r="AG85" s="75"/>
      <c r="AH85" s="47">
        <f t="shared" si="57"/>
        <v>130</v>
      </c>
      <c r="AI85" s="48">
        <f t="shared" si="58"/>
        <v>0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7"/>
        <v>0</v>
      </c>
      <c r="AI86" s="48">
        <f t="shared" si="58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7"/>
        <v>0</v>
      </c>
      <c r="AI87" s="48">
        <f t="shared" si="58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7"/>
        <v>0</v>
      </c>
      <c r="AI88" s="48">
        <f t="shared" si="58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7"/>
        <v>0</v>
      </c>
      <c r="AI89" s="48">
        <f t="shared" si="58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7"/>
        <v>0</v>
      </c>
      <c r="AI90" s="48">
        <f t="shared" si="58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63.7</v>
      </c>
      <c r="C91" s="77">
        <v>65.400000000000006</v>
      </c>
      <c r="D91" s="77">
        <v>60.6</v>
      </c>
      <c r="E91" s="77">
        <v>57.9</v>
      </c>
      <c r="F91" s="77">
        <v>64.099999999999994</v>
      </c>
      <c r="G91" s="77">
        <v>59.9</v>
      </c>
      <c r="H91" s="77">
        <v>68.2</v>
      </c>
      <c r="I91" s="77">
        <v>67</v>
      </c>
      <c r="J91" s="77">
        <v>60.9</v>
      </c>
      <c r="K91" s="77">
        <v>56.7</v>
      </c>
      <c r="L91" s="77">
        <v>54.9</v>
      </c>
      <c r="M91" s="77">
        <v>53.2</v>
      </c>
      <c r="N91" s="77">
        <v>53.2</v>
      </c>
      <c r="O91" s="77">
        <v>59.7</v>
      </c>
      <c r="P91" s="77">
        <v>66</v>
      </c>
      <c r="Q91" s="77">
        <v>74.7</v>
      </c>
      <c r="R91" s="77">
        <v>72.599999999999994</v>
      </c>
      <c r="S91" s="77">
        <v>73.2</v>
      </c>
      <c r="T91" s="77">
        <v>78.099999999999994</v>
      </c>
      <c r="U91" s="77">
        <v>72.099999999999994</v>
      </c>
      <c r="V91" s="77">
        <v>69.400000000000006</v>
      </c>
      <c r="W91" s="77">
        <v>56</v>
      </c>
      <c r="X91" s="77">
        <v>59.2</v>
      </c>
      <c r="Y91" s="77">
        <v>66</v>
      </c>
      <c r="Z91" s="77">
        <v>66</v>
      </c>
      <c r="AA91" s="77">
        <v>62.4</v>
      </c>
      <c r="AB91" s="77">
        <v>63.2</v>
      </c>
      <c r="AC91" s="77">
        <v>63</v>
      </c>
      <c r="AD91" s="77">
        <v>64.099999999999994</v>
      </c>
      <c r="AE91" s="77">
        <v>67.900000000000006</v>
      </c>
      <c r="AF91" s="77">
        <v>66.900000000000006</v>
      </c>
      <c r="AG91" s="85"/>
      <c r="AH91" s="47">
        <f t="shared" si="57"/>
        <v>78.099999999999994</v>
      </c>
      <c r="AI91" s="48">
        <f t="shared" si="58"/>
        <v>53.2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C92" si="59">SUMIF(B81:B91,"&gt;0")</f>
        <v>621.70000000000005</v>
      </c>
      <c r="C92" s="60">
        <f t="shared" si="59"/>
        <v>645.9</v>
      </c>
      <c r="D92" s="60">
        <f t="shared" ref="D92:E92" si="60">SUMIF(D81:D91,"&gt;0")</f>
        <v>632.1</v>
      </c>
      <c r="E92" s="60">
        <f t="shared" si="60"/>
        <v>638.5</v>
      </c>
      <c r="F92" s="60">
        <f t="shared" ref="F92:G92" si="61">SUMIF(F81:F91,"&gt;0")</f>
        <v>648.4</v>
      </c>
      <c r="G92" s="60">
        <f t="shared" si="61"/>
        <v>635.6</v>
      </c>
      <c r="H92" s="60">
        <f t="shared" ref="H92:I92" si="62">SUMIF(H81:H91,"&gt;0")</f>
        <v>622.1</v>
      </c>
      <c r="I92" s="60">
        <f t="shared" si="62"/>
        <v>523.79999999999995</v>
      </c>
      <c r="J92" s="60">
        <f t="shared" ref="J92:K92" si="63">SUMIF(J81:J91,"&gt;0")</f>
        <v>572.69999999999993</v>
      </c>
      <c r="K92" s="60">
        <f t="shared" si="63"/>
        <v>346.20000000000005</v>
      </c>
      <c r="L92" s="60">
        <f t="shared" ref="L92" si="64">SUMIF(L81:L91,"&gt;0")</f>
        <v>288.39999999999998</v>
      </c>
      <c r="M92" s="60">
        <f t="shared" ref="M92:AD92" si="65">SUMIF(M81:M91,"&gt;0")</f>
        <v>321.89999999999998</v>
      </c>
      <c r="N92" s="60">
        <f t="shared" si="65"/>
        <v>470.4</v>
      </c>
      <c r="O92" s="60">
        <f t="shared" si="65"/>
        <v>565.6</v>
      </c>
      <c r="P92" s="60">
        <f t="shared" si="65"/>
        <v>707</v>
      </c>
      <c r="Q92" s="60">
        <f t="shared" si="65"/>
        <v>629.40000000000009</v>
      </c>
      <c r="R92" s="60">
        <f t="shared" si="65"/>
        <v>731</v>
      </c>
      <c r="S92" s="60">
        <f t="shared" si="65"/>
        <v>780.50000000000011</v>
      </c>
      <c r="T92" s="60">
        <f t="shared" si="65"/>
        <v>778.60000000000014</v>
      </c>
      <c r="U92" s="60">
        <f t="shared" si="65"/>
        <v>748.8</v>
      </c>
      <c r="V92" s="60">
        <f t="shared" si="65"/>
        <v>632.5</v>
      </c>
      <c r="W92" s="60">
        <f t="shared" si="65"/>
        <v>625</v>
      </c>
      <c r="X92" s="60">
        <f t="shared" si="65"/>
        <v>644.70000000000005</v>
      </c>
      <c r="Y92" s="60">
        <f>SUMIF(Y81:Y91,"&gt;0")</f>
        <v>566</v>
      </c>
      <c r="Z92" s="60">
        <f>SUMIF(Z81:Z91,"&gt;0")</f>
        <v>368.6</v>
      </c>
      <c r="AA92" s="60">
        <f t="shared" si="65"/>
        <v>376.09999999999997</v>
      </c>
      <c r="AB92" s="60">
        <f t="shared" si="65"/>
        <v>640.10000000000014</v>
      </c>
      <c r="AC92" s="60">
        <f t="shared" si="65"/>
        <v>623.1</v>
      </c>
      <c r="AD92" s="60">
        <f t="shared" si="65"/>
        <v>677.30000000000007</v>
      </c>
      <c r="AE92" s="60">
        <f t="shared" ref="AE92:AF92" si="66">SUMIF(AE81:AE91,"&gt;0")</f>
        <v>686.6</v>
      </c>
      <c r="AF92" s="60">
        <f t="shared" si="66"/>
        <v>687.9</v>
      </c>
      <c r="AG92" s="88">
        <f>SUM(AG81:AG91)</f>
        <v>0</v>
      </c>
      <c r="AH92" s="47">
        <f t="shared" si="57"/>
        <v>780.50000000000011</v>
      </c>
      <c r="AI92" s="48">
        <f t="shared" si="58"/>
        <v>288.39999999999998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7"/>
        <v>0</v>
      </c>
      <c r="AI93" s="48">
        <f t="shared" si="58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7"/>
        <v>0</v>
      </c>
      <c r="AI94" s="48">
        <f t="shared" si="58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7"/>
        <v>0</v>
      </c>
      <c r="AI95" s="48">
        <f t="shared" si="58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7"/>
        <v>0</v>
      </c>
      <c r="AI96" s="48">
        <f t="shared" si="58"/>
        <v>0</v>
      </c>
    </row>
    <row r="97" spans="1:37" ht="15.75" thickBot="1" x14ac:dyDescent="0.3">
      <c r="A97" s="74" t="s">
        <v>99</v>
      </c>
      <c r="B97" s="95">
        <f t="shared" ref="B97:C97" si="67">B58+B62+B80+B76+B92+B96</f>
        <v>1232.99</v>
      </c>
      <c r="C97" s="95">
        <f t="shared" si="67"/>
        <v>1255.29</v>
      </c>
      <c r="D97" s="95">
        <f t="shared" ref="D97:E97" si="68">D58+D62+D80+D76+D92+D96</f>
        <v>1214.9900000000002</v>
      </c>
      <c r="E97" s="95">
        <f t="shared" si="68"/>
        <v>1221.3900000000001</v>
      </c>
      <c r="F97" s="95">
        <f t="shared" ref="F97:G97" si="69">F58+F62+F80+F76+F92+F96</f>
        <v>1241.99</v>
      </c>
      <c r="G97" s="95">
        <f t="shared" si="69"/>
        <v>1263.9900000000002</v>
      </c>
      <c r="H97" s="95">
        <f t="shared" ref="H97:I97" si="70">H58+H62+H80+H76+H92+H96</f>
        <v>1339.69</v>
      </c>
      <c r="I97" s="95">
        <f t="shared" si="70"/>
        <v>1284.99</v>
      </c>
      <c r="J97" s="95">
        <f t="shared" ref="J97:K97" si="71">J58+J62+J80+J76+J92+J96</f>
        <v>1729.69</v>
      </c>
      <c r="K97" s="95">
        <f t="shared" si="71"/>
        <v>1519.69</v>
      </c>
      <c r="L97" s="95">
        <f t="shared" ref="L97" si="72">L58+L62+L80+L76+L92+L96</f>
        <v>1483.19</v>
      </c>
      <c r="M97" s="95">
        <f t="shared" ref="M97:AG97" si="73">M58+M62+M80+M76+M92+M96</f>
        <v>1438.19</v>
      </c>
      <c r="N97" s="95">
        <f t="shared" si="73"/>
        <v>1342.99</v>
      </c>
      <c r="O97" s="95">
        <f t="shared" si="73"/>
        <v>1329.99</v>
      </c>
      <c r="P97" s="95">
        <f t="shared" si="73"/>
        <v>1500.93</v>
      </c>
      <c r="Q97" s="95">
        <f t="shared" si="73"/>
        <v>1466.5900000000001</v>
      </c>
      <c r="R97" s="95">
        <f t="shared" si="73"/>
        <v>1505.69</v>
      </c>
      <c r="S97" s="95">
        <f t="shared" si="73"/>
        <v>1518.19</v>
      </c>
      <c r="T97" s="95">
        <f t="shared" si="73"/>
        <v>1530.3900000000003</v>
      </c>
      <c r="U97" s="95">
        <f t="shared" si="73"/>
        <v>1524.0900000000001</v>
      </c>
      <c r="V97" s="95">
        <f t="shared" si="73"/>
        <v>1404.19</v>
      </c>
      <c r="W97" s="95">
        <f t="shared" si="73"/>
        <v>1293.99</v>
      </c>
      <c r="X97" s="95">
        <f t="shared" si="73"/>
        <v>1418.69</v>
      </c>
      <c r="Y97" s="95">
        <f>Y58+Y62+Y80+Y76+Y92+Y96</f>
        <v>1530.15</v>
      </c>
      <c r="Z97" s="95">
        <f>Z58+Z62+Z80+Z76+Z92+Z96</f>
        <v>1520.4500000000003</v>
      </c>
      <c r="AA97" s="95">
        <f t="shared" si="73"/>
        <v>1500.5900000000001</v>
      </c>
      <c r="AB97" s="95">
        <f t="shared" si="73"/>
        <v>1416.0900000000001</v>
      </c>
      <c r="AC97" s="95">
        <f t="shared" si="73"/>
        <v>1390.0900000000001</v>
      </c>
      <c r="AD97" s="95">
        <f t="shared" si="73"/>
        <v>1407.19</v>
      </c>
      <c r="AE97" s="95">
        <f t="shared" ref="AE97:AF97" si="74">AE58+AE62+AE80+AE76+AE92+AE96</f>
        <v>1393.49</v>
      </c>
      <c r="AF97" s="95">
        <f t="shared" si="74"/>
        <v>1311.79</v>
      </c>
      <c r="AG97" s="61">
        <f t="shared" si="73"/>
        <v>2231.81</v>
      </c>
      <c r="AH97" s="47">
        <f t="shared" si="57"/>
        <v>1729.69</v>
      </c>
      <c r="AI97" s="48">
        <f t="shared" si="58"/>
        <v>1214.9900000000002</v>
      </c>
    </row>
    <row r="98" spans="1:37" ht="15.75" thickBot="1" x14ac:dyDescent="0.3">
      <c r="A98" s="96" t="s">
        <v>100</v>
      </c>
      <c r="B98" s="97">
        <v>0</v>
      </c>
      <c r="C98" s="97">
        <v>0</v>
      </c>
      <c r="D98" s="97">
        <v>0</v>
      </c>
      <c r="E98" s="97">
        <v>0</v>
      </c>
      <c r="F98" s="97">
        <v>0</v>
      </c>
      <c r="G98" s="97">
        <v>0</v>
      </c>
      <c r="H98" s="97">
        <v>0</v>
      </c>
      <c r="I98" s="97">
        <v>0</v>
      </c>
      <c r="J98" s="97">
        <v>0</v>
      </c>
      <c r="K98" s="97">
        <v>100</v>
      </c>
      <c r="L98" s="97">
        <v>250</v>
      </c>
      <c r="M98" s="97">
        <v>250</v>
      </c>
      <c r="N98" s="97">
        <v>200</v>
      </c>
      <c r="O98" s="97">
        <v>200</v>
      </c>
      <c r="P98" s="97">
        <v>0</v>
      </c>
      <c r="Q98" s="97"/>
      <c r="R98" s="97"/>
      <c r="S98" s="97"/>
      <c r="T98" s="97"/>
      <c r="U98" s="97"/>
      <c r="V98" s="97"/>
      <c r="W98" s="97">
        <v>250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250</v>
      </c>
      <c r="AD98" s="97">
        <v>200</v>
      </c>
      <c r="AE98" s="97"/>
      <c r="AF98" s="97"/>
      <c r="AG98" s="88"/>
      <c r="AH98" s="47">
        <f t="shared" si="57"/>
        <v>250</v>
      </c>
      <c r="AI98" s="48">
        <f t="shared" si="58"/>
        <v>0</v>
      </c>
    </row>
    <row r="99" spans="1:37" ht="15.75" thickBot="1" x14ac:dyDescent="0.3">
      <c r="A99" s="74" t="s">
        <v>101</v>
      </c>
      <c r="B99" s="95">
        <f t="shared" ref="B99:C99" si="75">B97+B98</f>
        <v>1232.99</v>
      </c>
      <c r="C99" s="95">
        <f t="shared" si="75"/>
        <v>1255.29</v>
      </c>
      <c r="D99" s="95">
        <f t="shared" ref="D99:E99" si="76">D97+D98</f>
        <v>1214.9900000000002</v>
      </c>
      <c r="E99" s="95">
        <f t="shared" si="76"/>
        <v>1221.3900000000001</v>
      </c>
      <c r="F99" s="95">
        <f t="shared" ref="F99:G99" si="77">F97+F98</f>
        <v>1241.99</v>
      </c>
      <c r="G99" s="95">
        <f t="shared" si="77"/>
        <v>1263.9900000000002</v>
      </c>
      <c r="H99" s="95">
        <f t="shared" ref="H99:I99" si="78">H97+H98</f>
        <v>1339.69</v>
      </c>
      <c r="I99" s="95">
        <f t="shared" si="78"/>
        <v>1284.99</v>
      </c>
      <c r="J99" s="95">
        <f t="shared" ref="J99:K99" si="79">J97+J98</f>
        <v>1729.69</v>
      </c>
      <c r="K99" s="95">
        <f t="shared" si="79"/>
        <v>1619.69</v>
      </c>
      <c r="L99" s="95">
        <f t="shared" ref="L99" si="80">L97+L98</f>
        <v>1733.19</v>
      </c>
      <c r="M99" s="95">
        <f t="shared" ref="M99:AD99" si="81">M97+M98</f>
        <v>1688.19</v>
      </c>
      <c r="N99" s="95">
        <f t="shared" si="81"/>
        <v>1542.99</v>
      </c>
      <c r="O99" s="95">
        <f t="shared" si="81"/>
        <v>1529.99</v>
      </c>
      <c r="P99" s="95">
        <f t="shared" si="81"/>
        <v>1500.93</v>
      </c>
      <c r="Q99" s="95">
        <f t="shared" si="81"/>
        <v>1466.5900000000001</v>
      </c>
      <c r="R99" s="95">
        <f t="shared" si="81"/>
        <v>1505.69</v>
      </c>
      <c r="S99" s="95">
        <f t="shared" si="81"/>
        <v>1518.19</v>
      </c>
      <c r="T99" s="95">
        <f t="shared" si="81"/>
        <v>1530.3900000000003</v>
      </c>
      <c r="U99" s="95">
        <f t="shared" si="81"/>
        <v>1524.0900000000001</v>
      </c>
      <c r="V99" s="95">
        <f t="shared" si="81"/>
        <v>1404.19</v>
      </c>
      <c r="W99" s="95">
        <f t="shared" si="81"/>
        <v>1543.99</v>
      </c>
      <c r="X99" s="95">
        <f t="shared" si="81"/>
        <v>1668.69</v>
      </c>
      <c r="Y99" s="95">
        <f>Y97+Y98</f>
        <v>1780.15</v>
      </c>
      <c r="Z99" s="95">
        <f>Z97+Z98</f>
        <v>1770.4500000000003</v>
      </c>
      <c r="AA99" s="95">
        <f t="shared" si="81"/>
        <v>1750.5900000000001</v>
      </c>
      <c r="AB99" s="95">
        <f t="shared" si="81"/>
        <v>1666.0900000000001</v>
      </c>
      <c r="AC99" s="95">
        <f t="shared" si="81"/>
        <v>1640.0900000000001</v>
      </c>
      <c r="AD99" s="95">
        <f t="shared" si="81"/>
        <v>1607.19</v>
      </c>
      <c r="AE99" s="95">
        <f t="shared" ref="AE99:AF99" si="82">AE97+AE98</f>
        <v>1393.49</v>
      </c>
      <c r="AF99" s="95">
        <f t="shared" si="82"/>
        <v>1311.79</v>
      </c>
      <c r="AG99" s="88">
        <f>AG96+AG92+AG80+AG76+AG58+AG98</f>
        <v>1693.71</v>
      </c>
      <c r="AH99" s="47">
        <f t="shared" si="57"/>
        <v>1780.15</v>
      </c>
      <c r="AI99" s="48">
        <f t="shared" si="58"/>
        <v>1214.9900000000002</v>
      </c>
    </row>
    <row r="100" spans="1:37" ht="15.75" thickBot="1" x14ac:dyDescent="0.3">
      <c r="A100" s="74" t="s">
        <v>102</v>
      </c>
      <c r="B100" s="95">
        <f t="shared" ref="B100:C100" si="83">B99-(B107)</f>
        <v>1232.99</v>
      </c>
      <c r="C100" s="95">
        <f t="shared" si="83"/>
        <v>1255.29</v>
      </c>
      <c r="D100" s="95">
        <f t="shared" ref="D100:E100" si="84">D99-(D107)</f>
        <v>1214.9900000000002</v>
      </c>
      <c r="E100" s="95">
        <f t="shared" si="84"/>
        <v>1221.3900000000001</v>
      </c>
      <c r="F100" s="95">
        <f t="shared" ref="F100:G100" si="85">F99-(F107)</f>
        <v>1241.99</v>
      </c>
      <c r="G100" s="95">
        <f t="shared" si="85"/>
        <v>1263.9900000000002</v>
      </c>
      <c r="H100" s="95">
        <f t="shared" ref="H100:I100" si="86">H99-(H107)</f>
        <v>1339.69</v>
      </c>
      <c r="I100" s="95">
        <f t="shared" si="86"/>
        <v>1284.99</v>
      </c>
      <c r="J100" s="95">
        <f t="shared" ref="J100:K100" si="87">J99-(J107)</f>
        <v>1729.69</v>
      </c>
      <c r="K100" s="95">
        <f t="shared" si="87"/>
        <v>1618.69</v>
      </c>
      <c r="L100" s="95">
        <f t="shared" ref="L100" si="88">L99-(L107)</f>
        <v>1731.19</v>
      </c>
      <c r="M100" s="95">
        <f t="shared" ref="M100" si="89">M99-(M107)</f>
        <v>1688.19</v>
      </c>
      <c r="N100" s="95">
        <f>N99-(N107)</f>
        <v>1542.99</v>
      </c>
      <c r="O100" s="95">
        <f t="shared" ref="O100:AD100" si="90">O99-(O107)</f>
        <v>1529.99</v>
      </c>
      <c r="P100" s="95">
        <f t="shared" si="90"/>
        <v>1500.93</v>
      </c>
      <c r="Q100" s="95">
        <f t="shared" si="90"/>
        <v>1466.5900000000001</v>
      </c>
      <c r="R100" s="95">
        <f t="shared" si="90"/>
        <v>1505.69</v>
      </c>
      <c r="S100" s="95">
        <f t="shared" si="90"/>
        <v>1518.19</v>
      </c>
      <c r="T100" s="95">
        <f t="shared" si="90"/>
        <v>1530.3900000000003</v>
      </c>
      <c r="U100" s="95">
        <f t="shared" si="90"/>
        <v>1524.0900000000001</v>
      </c>
      <c r="V100" s="95">
        <f t="shared" si="90"/>
        <v>1404.19</v>
      </c>
      <c r="W100" s="95">
        <f t="shared" si="90"/>
        <v>1543.99</v>
      </c>
      <c r="X100" s="95">
        <f t="shared" si="90"/>
        <v>1668.69</v>
      </c>
      <c r="Y100" s="95">
        <f t="shared" si="90"/>
        <v>1780.15</v>
      </c>
      <c r="Z100" s="95">
        <f t="shared" si="90"/>
        <v>1770.4500000000003</v>
      </c>
      <c r="AA100" s="95">
        <f t="shared" si="90"/>
        <v>1750.5900000000001</v>
      </c>
      <c r="AB100" s="95">
        <f t="shared" si="90"/>
        <v>1666.0900000000001</v>
      </c>
      <c r="AC100" s="95">
        <f t="shared" si="90"/>
        <v>1640.0900000000001</v>
      </c>
      <c r="AD100" s="95">
        <f t="shared" si="90"/>
        <v>1607.19</v>
      </c>
      <c r="AE100" s="95">
        <f t="shared" ref="AE100:AF100" si="91">AE99-(AE107)</f>
        <v>1393.49</v>
      </c>
      <c r="AF100" s="95">
        <f t="shared" si="91"/>
        <v>1311.79</v>
      </c>
      <c r="AG100" s="88"/>
      <c r="AH100" s="47">
        <f t="shared" si="57"/>
        <v>1780.15</v>
      </c>
      <c r="AI100" s="48">
        <f t="shared" si="58"/>
        <v>1214.9900000000002</v>
      </c>
    </row>
    <row r="101" spans="1:37" x14ac:dyDescent="0.25">
      <c r="A101" s="44" t="s">
        <v>84</v>
      </c>
      <c r="B101" s="76">
        <f t="shared" ref="B101:C101" si="92">IF(B84&lt;0,B84*-1,0)</f>
        <v>0</v>
      </c>
      <c r="C101" s="76">
        <f t="shared" si="92"/>
        <v>0</v>
      </c>
      <c r="D101" s="76">
        <f t="shared" ref="D101:E101" si="93">IF(D84&lt;0,D84*-1,0)</f>
        <v>0</v>
      </c>
      <c r="E101" s="76">
        <f t="shared" si="93"/>
        <v>0</v>
      </c>
      <c r="F101" s="76">
        <f t="shared" ref="F101:G101" si="94">IF(F84&lt;0,F84*-1,0)</f>
        <v>0</v>
      </c>
      <c r="G101" s="76">
        <f t="shared" si="94"/>
        <v>0</v>
      </c>
      <c r="H101" s="76">
        <f t="shared" ref="H101:I101" si="95">IF(H84&lt;0,H84*-1,0)</f>
        <v>0</v>
      </c>
      <c r="I101" s="76">
        <f t="shared" si="95"/>
        <v>0</v>
      </c>
      <c r="J101" s="76">
        <f t="shared" ref="J101:K101" si="96">IF(J84&lt;0,J84*-1,0)</f>
        <v>0</v>
      </c>
      <c r="K101" s="76">
        <f t="shared" si="96"/>
        <v>0</v>
      </c>
      <c r="L101" s="76">
        <f t="shared" ref="L101" si="97">IF(L84&lt;0,L84*-1,0)</f>
        <v>0</v>
      </c>
      <c r="M101" s="76">
        <f t="shared" ref="M101:AD101" si="98">IF(M84&lt;0,M84*-1,0)</f>
        <v>0</v>
      </c>
      <c r="N101" s="76">
        <f t="shared" si="98"/>
        <v>0</v>
      </c>
      <c r="O101" s="76">
        <f t="shared" si="98"/>
        <v>0</v>
      </c>
      <c r="P101" s="76">
        <f t="shared" si="98"/>
        <v>0</v>
      </c>
      <c r="Q101" s="76">
        <f t="shared" si="98"/>
        <v>0</v>
      </c>
      <c r="R101" s="76">
        <f t="shared" si="98"/>
        <v>0</v>
      </c>
      <c r="S101" s="76">
        <f t="shared" si="98"/>
        <v>0</v>
      </c>
      <c r="T101" s="76">
        <f t="shared" si="98"/>
        <v>0</v>
      </c>
      <c r="U101" s="76">
        <f t="shared" si="98"/>
        <v>0</v>
      </c>
      <c r="V101" s="76">
        <f t="shared" si="98"/>
        <v>0</v>
      </c>
      <c r="W101" s="76">
        <f t="shared" si="98"/>
        <v>0</v>
      </c>
      <c r="X101" s="76">
        <f t="shared" si="98"/>
        <v>0</v>
      </c>
      <c r="Y101" s="76">
        <f t="shared" si="98"/>
        <v>0</v>
      </c>
      <c r="Z101" s="76">
        <f t="shared" si="98"/>
        <v>0</v>
      </c>
      <c r="AA101" s="76">
        <f t="shared" si="98"/>
        <v>0</v>
      </c>
      <c r="AB101" s="76">
        <f t="shared" si="98"/>
        <v>0</v>
      </c>
      <c r="AC101" s="76">
        <f t="shared" si="98"/>
        <v>0</v>
      </c>
      <c r="AD101" s="76">
        <f t="shared" si="98"/>
        <v>0</v>
      </c>
      <c r="AE101" s="76">
        <f t="shared" ref="AE101:AF101" si="99">IF(AE84&lt;0,AE84*-1,0)</f>
        <v>0</v>
      </c>
      <c r="AF101" s="76">
        <f t="shared" si="99"/>
        <v>0</v>
      </c>
      <c r="AG101" s="52"/>
      <c r="AH101" s="47">
        <f t="shared" si="57"/>
        <v>0</v>
      </c>
      <c r="AI101" s="48">
        <f t="shared" si="58"/>
        <v>0</v>
      </c>
    </row>
    <row r="102" spans="1:37" x14ac:dyDescent="0.25">
      <c r="A102" s="54" t="s">
        <v>82</v>
      </c>
      <c r="B102" s="76">
        <f t="shared" ref="B102:C102" si="100">IF(B82&lt;0,B82*-1,0)</f>
        <v>0</v>
      </c>
      <c r="C102" s="76">
        <f t="shared" si="100"/>
        <v>0</v>
      </c>
      <c r="D102" s="76">
        <f t="shared" ref="D102:E102" si="101">IF(D82&lt;0,D82*-1,0)</f>
        <v>0</v>
      </c>
      <c r="E102" s="76">
        <f t="shared" si="101"/>
        <v>0</v>
      </c>
      <c r="F102" s="76">
        <f t="shared" ref="F102:G102" si="102">IF(F82&lt;0,F82*-1,0)</f>
        <v>0</v>
      </c>
      <c r="G102" s="76">
        <f t="shared" si="102"/>
        <v>0</v>
      </c>
      <c r="H102" s="76">
        <f t="shared" ref="H102:I102" si="103">IF(H82&lt;0,H82*-1,0)</f>
        <v>0</v>
      </c>
      <c r="I102" s="76">
        <f t="shared" si="103"/>
        <v>0</v>
      </c>
      <c r="J102" s="76">
        <f t="shared" ref="J102:K102" si="104">IF(J82&lt;0,J82*-1,0)</f>
        <v>0</v>
      </c>
      <c r="K102" s="76">
        <f t="shared" si="104"/>
        <v>0</v>
      </c>
      <c r="L102" s="76">
        <f t="shared" ref="L102" si="105">IF(L82&lt;0,L82*-1,0)</f>
        <v>0</v>
      </c>
      <c r="M102" s="76">
        <f t="shared" ref="M102:AD102" si="106">IF(M82&lt;0,M82*-1,0)</f>
        <v>0</v>
      </c>
      <c r="N102" s="76">
        <f t="shared" si="106"/>
        <v>0</v>
      </c>
      <c r="O102" s="76">
        <f t="shared" si="106"/>
        <v>0</v>
      </c>
      <c r="P102" s="76">
        <f t="shared" si="106"/>
        <v>0</v>
      </c>
      <c r="Q102" s="76">
        <f t="shared" si="106"/>
        <v>0</v>
      </c>
      <c r="R102" s="76">
        <f t="shared" si="106"/>
        <v>0</v>
      </c>
      <c r="S102" s="76">
        <f t="shared" si="106"/>
        <v>0</v>
      </c>
      <c r="T102" s="76">
        <f t="shared" si="106"/>
        <v>0</v>
      </c>
      <c r="U102" s="76">
        <f t="shared" si="106"/>
        <v>0</v>
      </c>
      <c r="V102" s="76">
        <f t="shared" si="106"/>
        <v>0</v>
      </c>
      <c r="W102" s="76">
        <f t="shared" si="106"/>
        <v>0</v>
      </c>
      <c r="X102" s="76">
        <f t="shared" si="106"/>
        <v>0</v>
      </c>
      <c r="Y102" s="76">
        <f t="shared" si="106"/>
        <v>0</v>
      </c>
      <c r="Z102" s="76">
        <f t="shared" si="106"/>
        <v>0</v>
      </c>
      <c r="AA102" s="76">
        <f t="shared" si="106"/>
        <v>0</v>
      </c>
      <c r="AB102" s="76">
        <f t="shared" si="106"/>
        <v>0</v>
      </c>
      <c r="AC102" s="76">
        <f t="shared" si="106"/>
        <v>0</v>
      </c>
      <c r="AD102" s="76">
        <f t="shared" si="106"/>
        <v>0</v>
      </c>
      <c r="AE102" s="76">
        <f t="shared" ref="AE102:AF102" si="107">IF(AE82&lt;0,AE82*-1,0)</f>
        <v>0</v>
      </c>
      <c r="AF102" s="76">
        <f t="shared" si="107"/>
        <v>0</v>
      </c>
      <c r="AG102" s="55"/>
      <c r="AH102" s="47">
        <f t="shared" si="57"/>
        <v>0</v>
      </c>
      <c r="AI102" s="48">
        <f t="shared" si="58"/>
        <v>0</v>
      </c>
    </row>
    <row r="103" spans="1:37" x14ac:dyDescent="0.25">
      <c r="A103" s="84" t="s">
        <v>103</v>
      </c>
      <c r="B103" s="76">
        <f t="shared" ref="B103:C103" si="108">IF(B85&lt;0,B85*-1,0)</f>
        <v>0</v>
      </c>
      <c r="C103" s="76">
        <f t="shared" si="108"/>
        <v>0</v>
      </c>
      <c r="D103" s="76">
        <f t="shared" ref="D103:E103" si="109">IF(D85&lt;0,D85*-1,0)</f>
        <v>0</v>
      </c>
      <c r="E103" s="76">
        <f t="shared" si="109"/>
        <v>0</v>
      </c>
      <c r="F103" s="76">
        <f t="shared" ref="F103:G103" si="110">IF(F85&lt;0,F85*-1,0)</f>
        <v>0</v>
      </c>
      <c r="G103" s="76">
        <f t="shared" si="110"/>
        <v>0</v>
      </c>
      <c r="H103" s="76">
        <f t="shared" ref="H103:I103" si="111">IF(H85&lt;0,H85*-1,0)</f>
        <v>0</v>
      </c>
      <c r="I103" s="76">
        <f t="shared" si="111"/>
        <v>0</v>
      </c>
      <c r="J103" s="76">
        <f t="shared" ref="J103:K103" si="112">IF(J85&lt;0,J85*-1,0)</f>
        <v>0</v>
      </c>
      <c r="K103" s="76">
        <f t="shared" si="112"/>
        <v>0</v>
      </c>
      <c r="L103" s="76">
        <f t="shared" ref="L103" si="113">IF(L85&lt;0,L85*-1,0)</f>
        <v>0</v>
      </c>
      <c r="M103" s="76">
        <f t="shared" ref="M103:AD103" si="114">IF(M85&lt;0,M85*-1,0)</f>
        <v>0</v>
      </c>
      <c r="N103" s="76">
        <f t="shared" si="114"/>
        <v>0</v>
      </c>
      <c r="O103" s="76">
        <f t="shared" si="114"/>
        <v>0</v>
      </c>
      <c r="P103" s="76">
        <f t="shared" si="114"/>
        <v>0</v>
      </c>
      <c r="Q103" s="76">
        <f t="shared" si="114"/>
        <v>0</v>
      </c>
      <c r="R103" s="76">
        <f t="shared" si="114"/>
        <v>0</v>
      </c>
      <c r="S103" s="76">
        <f t="shared" si="114"/>
        <v>0</v>
      </c>
      <c r="T103" s="76">
        <f t="shared" si="114"/>
        <v>0</v>
      </c>
      <c r="U103" s="76">
        <f t="shared" si="114"/>
        <v>0</v>
      </c>
      <c r="V103" s="76">
        <f t="shared" si="114"/>
        <v>0</v>
      </c>
      <c r="W103" s="76">
        <f t="shared" si="114"/>
        <v>0</v>
      </c>
      <c r="X103" s="76">
        <f t="shared" si="114"/>
        <v>0</v>
      </c>
      <c r="Y103" s="76">
        <f t="shared" si="114"/>
        <v>0</v>
      </c>
      <c r="Z103" s="76">
        <f t="shared" si="114"/>
        <v>0</v>
      </c>
      <c r="AA103" s="76">
        <f t="shared" si="114"/>
        <v>0</v>
      </c>
      <c r="AB103" s="76">
        <f t="shared" si="114"/>
        <v>0</v>
      </c>
      <c r="AC103" s="76">
        <f t="shared" si="114"/>
        <v>0</v>
      </c>
      <c r="AD103" s="76">
        <f t="shared" si="114"/>
        <v>0</v>
      </c>
      <c r="AE103" s="76">
        <f t="shared" ref="AE103:AF103" si="115">IF(AE85&lt;0,AE85*-1,0)</f>
        <v>0</v>
      </c>
      <c r="AF103" s="76">
        <f t="shared" si="115"/>
        <v>0</v>
      </c>
      <c r="AG103" s="98"/>
      <c r="AH103" s="47">
        <f t="shared" si="57"/>
        <v>0</v>
      </c>
      <c r="AI103" s="48">
        <f t="shared" si="58"/>
        <v>0</v>
      </c>
    </row>
    <row r="104" spans="1:37" x14ac:dyDescent="0.25">
      <c r="A104" s="84" t="s">
        <v>104</v>
      </c>
      <c r="B104" s="76">
        <f t="shared" ref="B104:C104" si="116">IF(B83&lt;0,B83*-1,0)</f>
        <v>0</v>
      </c>
      <c r="C104" s="76">
        <f t="shared" si="116"/>
        <v>0</v>
      </c>
      <c r="D104" s="76">
        <f t="shared" ref="D104:E104" si="117">IF(D83&lt;0,D83*-1,0)</f>
        <v>0</v>
      </c>
      <c r="E104" s="76">
        <f t="shared" si="117"/>
        <v>0</v>
      </c>
      <c r="F104" s="76">
        <f t="shared" ref="F104:G104" si="118">IF(F83&lt;0,F83*-1,0)</f>
        <v>0</v>
      </c>
      <c r="G104" s="76">
        <f t="shared" si="118"/>
        <v>0</v>
      </c>
      <c r="H104" s="76">
        <f t="shared" ref="H104:I104" si="119">IF(H83&lt;0,H83*-1,0)</f>
        <v>0</v>
      </c>
      <c r="I104" s="76">
        <f t="shared" si="119"/>
        <v>0</v>
      </c>
      <c r="J104" s="76">
        <f t="shared" ref="J104:K104" si="120">IF(J83&lt;0,J83*-1,0)</f>
        <v>0</v>
      </c>
      <c r="K104" s="76">
        <f t="shared" si="120"/>
        <v>0</v>
      </c>
      <c r="L104" s="76">
        <f t="shared" ref="L104" si="121">IF(L83&lt;0,L83*-1,0)</f>
        <v>0</v>
      </c>
      <c r="M104" s="76">
        <f t="shared" ref="M104:AD104" si="122">IF(M83&lt;0,M83*-1,0)</f>
        <v>0</v>
      </c>
      <c r="N104" s="76">
        <f t="shared" si="122"/>
        <v>0</v>
      </c>
      <c r="O104" s="76">
        <f t="shared" si="122"/>
        <v>0</v>
      </c>
      <c r="P104" s="76">
        <f t="shared" si="122"/>
        <v>0</v>
      </c>
      <c r="Q104" s="76">
        <f t="shared" si="122"/>
        <v>0</v>
      </c>
      <c r="R104" s="76">
        <f t="shared" si="122"/>
        <v>0</v>
      </c>
      <c r="S104" s="76">
        <f t="shared" si="122"/>
        <v>0</v>
      </c>
      <c r="T104" s="76">
        <f t="shared" si="122"/>
        <v>0</v>
      </c>
      <c r="U104" s="76">
        <f t="shared" si="122"/>
        <v>0</v>
      </c>
      <c r="V104" s="76">
        <f t="shared" si="122"/>
        <v>0</v>
      </c>
      <c r="W104" s="76">
        <f t="shared" si="122"/>
        <v>0</v>
      </c>
      <c r="X104" s="76">
        <f t="shared" si="122"/>
        <v>0</v>
      </c>
      <c r="Y104" s="76">
        <f t="shared" si="122"/>
        <v>0</v>
      </c>
      <c r="Z104" s="76">
        <f t="shared" si="122"/>
        <v>0</v>
      </c>
      <c r="AA104" s="76">
        <f t="shared" si="122"/>
        <v>0</v>
      </c>
      <c r="AB104" s="76">
        <f t="shared" si="122"/>
        <v>0</v>
      </c>
      <c r="AC104" s="76">
        <f t="shared" si="122"/>
        <v>0</v>
      </c>
      <c r="AD104" s="76">
        <f t="shared" si="122"/>
        <v>0</v>
      </c>
      <c r="AE104" s="76">
        <f t="shared" ref="AE104:AF104" si="123">IF(AE83&lt;0,AE83*-1,0)</f>
        <v>0</v>
      </c>
      <c r="AF104" s="76">
        <f t="shared" si="123"/>
        <v>0</v>
      </c>
      <c r="AG104" s="98"/>
      <c r="AH104" s="47">
        <f t="shared" si="57"/>
        <v>0</v>
      </c>
      <c r="AI104" s="48">
        <f t="shared" si="58"/>
        <v>0</v>
      </c>
    </row>
    <row r="105" spans="1:37" x14ac:dyDescent="0.25">
      <c r="A105" s="84" t="s">
        <v>81</v>
      </c>
      <c r="B105" s="76">
        <f t="shared" ref="B105:C105" si="124">IF(B81&lt;0,B81*-1,0)</f>
        <v>0</v>
      </c>
      <c r="C105" s="76">
        <f t="shared" si="124"/>
        <v>0</v>
      </c>
      <c r="D105" s="76">
        <f t="shared" ref="D105:E105" si="125">IF(D81&lt;0,D81*-1,0)</f>
        <v>0</v>
      </c>
      <c r="E105" s="76">
        <f t="shared" si="125"/>
        <v>0</v>
      </c>
      <c r="F105" s="76">
        <f t="shared" ref="F105:G105" si="126">IF(F81&lt;0,F81*-1,0)</f>
        <v>0</v>
      </c>
      <c r="G105" s="76">
        <f t="shared" si="126"/>
        <v>0</v>
      </c>
      <c r="H105" s="76">
        <f t="shared" ref="H105:I105" si="127">IF(H81&lt;0,H81*-1,0)</f>
        <v>0</v>
      </c>
      <c r="I105" s="76">
        <f t="shared" si="127"/>
        <v>0</v>
      </c>
      <c r="J105" s="76">
        <f t="shared" ref="J105:K105" si="128">IF(J81&lt;0,J81*-1,0)</f>
        <v>0</v>
      </c>
      <c r="K105" s="76">
        <f t="shared" si="128"/>
        <v>0</v>
      </c>
      <c r="L105" s="76">
        <f t="shared" ref="L105" si="129">IF(L81&lt;0,L81*-1,0)</f>
        <v>0</v>
      </c>
      <c r="M105" s="76">
        <f t="shared" ref="M105:AD105" si="130">IF(M81&lt;0,M81*-1,0)</f>
        <v>0</v>
      </c>
      <c r="N105" s="76">
        <f t="shared" si="130"/>
        <v>0</v>
      </c>
      <c r="O105" s="76">
        <f t="shared" si="130"/>
        <v>0</v>
      </c>
      <c r="P105" s="76">
        <f t="shared" si="130"/>
        <v>0</v>
      </c>
      <c r="Q105" s="76">
        <f t="shared" si="130"/>
        <v>0</v>
      </c>
      <c r="R105" s="76">
        <f t="shared" si="130"/>
        <v>0</v>
      </c>
      <c r="S105" s="76">
        <f t="shared" si="130"/>
        <v>0</v>
      </c>
      <c r="T105" s="76">
        <f t="shared" si="130"/>
        <v>0</v>
      </c>
      <c r="U105" s="76">
        <f t="shared" si="130"/>
        <v>0</v>
      </c>
      <c r="V105" s="76">
        <f t="shared" si="130"/>
        <v>0</v>
      </c>
      <c r="W105" s="76">
        <f t="shared" si="130"/>
        <v>0</v>
      </c>
      <c r="X105" s="76">
        <f t="shared" si="130"/>
        <v>0</v>
      </c>
      <c r="Y105" s="76">
        <f t="shared" si="130"/>
        <v>0</v>
      </c>
      <c r="Z105" s="76">
        <f t="shared" si="130"/>
        <v>0</v>
      </c>
      <c r="AA105" s="76">
        <f t="shared" si="130"/>
        <v>0</v>
      </c>
      <c r="AB105" s="76">
        <f t="shared" si="130"/>
        <v>0</v>
      </c>
      <c r="AC105" s="76">
        <f t="shared" si="130"/>
        <v>0</v>
      </c>
      <c r="AD105" s="76">
        <f t="shared" si="130"/>
        <v>0</v>
      </c>
      <c r="AE105" s="76">
        <f t="shared" ref="AE105:AF105" si="131">IF(AE81&lt;0,AE81*-1,0)</f>
        <v>0</v>
      </c>
      <c r="AF105" s="76">
        <f t="shared" si="131"/>
        <v>0</v>
      </c>
      <c r="AG105" s="98"/>
      <c r="AH105" s="47">
        <f t="shared" si="57"/>
        <v>0</v>
      </c>
      <c r="AI105" s="48">
        <f t="shared" si="58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1</v>
      </c>
      <c r="L106" s="94">
        <v>2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7"/>
        <v>2</v>
      </c>
      <c r="AI106" s="48">
        <f t="shared" si="58"/>
        <v>0</v>
      </c>
    </row>
    <row r="107" spans="1:37" ht="15.75" thickBot="1" x14ac:dyDescent="0.3">
      <c r="A107" s="99" t="s">
        <v>106</v>
      </c>
      <c r="B107" s="60">
        <f t="shared" ref="B107:C107" si="132">SUM(B101:B106)</f>
        <v>0</v>
      </c>
      <c r="C107" s="60">
        <f t="shared" si="132"/>
        <v>0</v>
      </c>
      <c r="D107" s="60">
        <f t="shared" ref="D107:E107" si="133">SUM(D101:D106)</f>
        <v>0</v>
      </c>
      <c r="E107" s="60">
        <f t="shared" si="133"/>
        <v>0</v>
      </c>
      <c r="F107" s="60">
        <f t="shared" ref="F107:G107" si="134">SUM(F101:F106)</f>
        <v>0</v>
      </c>
      <c r="G107" s="60">
        <f t="shared" si="134"/>
        <v>0</v>
      </c>
      <c r="H107" s="60">
        <f t="shared" ref="H107:I107" si="135">SUM(H101:H106)</f>
        <v>0</v>
      </c>
      <c r="I107" s="60">
        <f t="shared" si="135"/>
        <v>0</v>
      </c>
      <c r="J107" s="60">
        <f t="shared" ref="J107:K107" si="136">SUM(J101:J106)</f>
        <v>0</v>
      </c>
      <c r="K107" s="60">
        <f t="shared" si="136"/>
        <v>1</v>
      </c>
      <c r="L107" s="60">
        <f t="shared" ref="L107" si="137">SUM(L101:L106)</f>
        <v>2</v>
      </c>
      <c r="M107" s="60">
        <f t="shared" ref="M107:AD107" si="138">SUM(M101:M106)</f>
        <v>0</v>
      </c>
      <c r="N107" s="60">
        <f t="shared" si="138"/>
        <v>0</v>
      </c>
      <c r="O107" s="60">
        <f t="shared" si="138"/>
        <v>0</v>
      </c>
      <c r="P107" s="60">
        <f t="shared" si="138"/>
        <v>0</v>
      </c>
      <c r="Q107" s="60">
        <f t="shared" si="138"/>
        <v>0</v>
      </c>
      <c r="R107" s="60">
        <f t="shared" si="138"/>
        <v>0</v>
      </c>
      <c r="S107" s="60">
        <f t="shared" si="138"/>
        <v>0</v>
      </c>
      <c r="T107" s="60">
        <f t="shared" si="138"/>
        <v>0</v>
      </c>
      <c r="U107" s="60">
        <f t="shared" si="138"/>
        <v>0</v>
      </c>
      <c r="V107" s="60">
        <f t="shared" si="138"/>
        <v>0</v>
      </c>
      <c r="W107" s="60">
        <f t="shared" si="138"/>
        <v>0</v>
      </c>
      <c r="X107" s="60">
        <f t="shared" si="138"/>
        <v>0</v>
      </c>
      <c r="Y107" s="60">
        <f t="shared" si="138"/>
        <v>0</v>
      </c>
      <c r="Z107" s="60">
        <f t="shared" si="138"/>
        <v>0</v>
      </c>
      <c r="AA107" s="60">
        <f t="shared" si="138"/>
        <v>0</v>
      </c>
      <c r="AB107" s="60">
        <f t="shared" si="138"/>
        <v>0</v>
      </c>
      <c r="AC107" s="60">
        <f t="shared" si="138"/>
        <v>0</v>
      </c>
      <c r="AD107" s="60">
        <f t="shared" si="138"/>
        <v>0</v>
      </c>
      <c r="AE107" s="60">
        <f t="shared" ref="AE107:AF107" si="139">SUM(AE101:AE106)</f>
        <v>0</v>
      </c>
      <c r="AF107" s="60">
        <f t="shared" si="139"/>
        <v>0</v>
      </c>
      <c r="AG107" s="88"/>
      <c r="AH107" s="47">
        <f t="shared" si="57"/>
        <v>2</v>
      </c>
      <c r="AI107" s="48">
        <f t="shared" si="58"/>
        <v>0</v>
      </c>
      <c r="AK107" s="50"/>
    </row>
    <row r="108" spans="1:37" ht="15.75" thickBot="1" x14ac:dyDescent="0.3">
      <c r="A108" s="74" t="s">
        <v>107</v>
      </c>
      <c r="B108" s="60">
        <f t="shared" ref="B108:C108" si="140">B92-B107</f>
        <v>621.70000000000005</v>
      </c>
      <c r="C108" s="60">
        <f t="shared" si="140"/>
        <v>645.9</v>
      </c>
      <c r="D108" s="60">
        <f t="shared" ref="D108:E108" si="141">D92-D107</f>
        <v>632.1</v>
      </c>
      <c r="E108" s="60">
        <f t="shared" si="141"/>
        <v>638.5</v>
      </c>
      <c r="F108" s="60">
        <f t="shared" ref="F108:G108" si="142">F92-F107</f>
        <v>648.4</v>
      </c>
      <c r="G108" s="60">
        <f t="shared" si="142"/>
        <v>635.6</v>
      </c>
      <c r="H108" s="60">
        <f t="shared" ref="H108:I108" si="143">H92-H107</f>
        <v>622.1</v>
      </c>
      <c r="I108" s="60">
        <f t="shared" si="143"/>
        <v>523.79999999999995</v>
      </c>
      <c r="J108" s="60">
        <f t="shared" ref="J108:K108" si="144">J92-J107</f>
        <v>572.69999999999993</v>
      </c>
      <c r="K108" s="60">
        <f t="shared" si="144"/>
        <v>345.20000000000005</v>
      </c>
      <c r="L108" s="60">
        <f t="shared" ref="L108" si="145">L92-L107</f>
        <v>286.39999999999998</v>
      </c>
      <c r="M108" s="60">
        <f t="shared" ref="M108:AD108" si="146">M92-M107</f>
        <v>321.89999999999998</v>
      </c>
      <c r="N108" s="60">
        <f t="shared" si="146"/>
        <v>470.4</v>
      </c>
      <c r="O108" s="60">
        <f t="shared" si="146"/>
        <v>565.6</v>
      </c>
      <c r="P108" s="60">
        <f t="shared" si="146"/>
        <v>707</v>
      </c>
      <c r="Q108" s="60">
        <f t="shared" si="146"/>
        <v>629.40000000000009</v>
      </c>
      <c r="R108" s="60">
        <f t="shared" si="146"/>
        <v>731</v>
      </c>
      <c r="S108" s="60">
        <f t="shared" si="146"/>
        <v>780.50000000000011</v>
      </c>
      <c r="T108" s="60">
        <f t="shared" si="146"/>
        <v>778.60000000000014</v>
      </c>
      <c r="U108" s="60">
        <f t="shared" si="146"/>
        <v>748.8</v>
      </c>
      <c r="V108" s="60">
        <f t="shared" si="146"/>
        <v>632.5</v>
      </c>
      <c r="W108" s="60">
        <f t="shared" si="146"/>
        <v>625</v>
      </c>
      <c r="X108" s="60">
        <f t="shared" si="146"/>
        <v>644.70000000000005</v>
      </c>
      <c r="Y108" s="60">
        <f>Y92-Y107</f>
        <v>566</v>
      </c>
      <c r="Z108" s="60">
        <f>Z92-Z107</f>
        <v>368.6</v>
      </c>
      <c r="AA108" s="60">
        <f t="shared" si="146"/>
        <v>376.09999999999997</v>
      </c>
      <c r="AB108" s="60">
        <f t="shared" si="146"/>
        <v>640.10000000000014</v>
      </c>
      <c r="AC108" s="60">
        <f t="shared" si="146"/>
        <v>623.1</v>
      </c>
      <c r="AD108" s="60">
        <f t="shared" si="146"/>
        <v>677.30000000000007</v>
      </c>
      <c r="AE108" s="60">
        <f t="shared" ref="AE108:AF108" si="147">AE92-AE107</f>
        <v>686.6</v>
      </c>
      <c r="AF108" s="60">
        <f t="shared" si="147"/>
        <v>687.9</v>
      </c>
      <c r="AG108" s="88"/>
      <c r="AH108" s="47">
        <f t="shared" si="57"/>
        <v>780.50000000000011</v>
      </c>
      <c r="AI108" s="48">
        <f t="shared" si="58"/>
        <v>286.39999999999998</v>
      </c>
    </row>
    <row r="109" spans="1:37" x14ac:dyDescent="0.25">
      <c r="A109" s="100" t="s">
        <v>108</v>
      </c>
      <c r="B109" s="101">
        <v>49.92</v>
      </c>
      <c r="C109" s="101">
        <v>50.02</v>
      </c>
      <c r="D109" s="101">
        <v>50.04</v>
      </c>
      <c r="E109" s="101">
        <v>50</v>
      </c>
      <c r="F109" s="101">
        <v>49.94</v>
      </c>
      <c r="G109" s="101">
        <v>50.02</v>
      </c>
      <c r="H109" s="101">
        <v>50</v>
      </c>
      <c r="I109" s="101">
        <v>49.98</v>
      </c>
      <c r="J109" s="101">
        <v>50.13</v>
      </c>
      <c r="K109" s="101">
        <v>49.96</v>
      </c>
      <c r="L109" s="101">
        <v>50.04</v>
      </c>
      <c r="M109" s="101">
        <v>50.152999999999999</v>
      </c>
      <c r="N109" s="101">
        <v>50.027000000000001</v>
      </c>
      <c r="O109" s="101">
        <v>50.051000000000002</v>
      </c>
      <c r="P109" s="101">
        <v>50.04</v>
      </c>
      <c r="Q109" s="101">
        <v>49.991</v>
      </c>
      <c r="R109" s="101">
        <v>49.963000000000001</v>
      </c>
      <c r="S109" s="101">
        <v>50.054000000000002</v>
      </c>
      <c r="T109" s="101">
        <v>49.99</v>
      </c>
      <c r="U109" s="101">
        <v>50.081000000000003</v>
      </c>
      <c r="V109" s="101">
        <v>49.97</v>
      </c>
      <c r="W109" s="101">
        <v>50.024000000000001</v>
      </c>
      <c r="X109" s="101">
        <v>49.957000000000001</v>
      </c>
      <c r="Y109" s="101"/>
      <c r="Z109" s="101">
        <v>49.905999999999999</v>
      </c>
      <c r="AA109" s="101">
        <v>49.99</v>
      </c>
      <c r="AB109" s="101">
        <v>50.046999999999997</v>
      </c>
      <c r="AC109" s="101">
        <v>50.052999999999997</v>
      </c>
      <c r="AD109" s="101">
        <v>50.030999999999999</v>
      </c>
      <c r="AE109" s="101">
        <v>50.02</v>
      </c>
      <c r="AF109" s="101">
        <v>50.02</v>
      </c>
      <c r="AG109" s="102"/>
      <c r="AH109" s="47">
        <f t="shared" si="57"/>
        <v>50.152999999999999</v>
      </c>
      <c r="AI109" s="48">
        <f t="shared" si="58"/>
        <v>49.905999999999999</v>
      </c>
    </row>
    <row r="110" spans="1:37" x14ac:dyDescent="0.25">
      <c r="A110" s="103" t="s">
        <v>109</v>
      </c>
      <c r="B110" s="65">
        <v>127.6</v>
      </c>
      <c r="C110" s="65">
        <v>128.5</v>
      </c>
      <c r="D110" s="65">
        <v>127.6</v>
      </c>
      <c r="E110" s="65">
        <v>127.6</v>
      </c>
      <c r="F110" s="65">
        <v>128.80000000000001</v>
      </c>
      <c r="G110" s="65">
        <v>127.8</v>
      </c>
      <c r="H110" s="65">
        <v>128.19999999999999</v>
      </c>
      <c r="I110" s="65">
        <v>127.9</v>
      </c>
      <c r="J110" s="65">
        <v>124.2</v>
      </c>
      <c r="K110" s="65">
        <v>127.3</v>
      </c>
      <c r="L110" s="65">
        <v>127.1</v>
      </c>
      <c r="M110" s="65">
        <v>126.3</v>
      </c>
      <c r="N110" s="65">
        <v>127</v>
      </c>
      <c r="O110" s="65">
        <v>125.6</v>
      </c>
      <c r="P110" s="65">
        <v>124.3</v>
      </c>
      <c r="Q110" s="65">
        <v>125.4</v>
      </c>
      <c r="R110" s="65">
        <v>125.4</v>
      </c>
      <c r="S110" s="65">
        <v>124.6</v>
      </c>
      <c r="T110" s="65">
        <v>123.1</v>
      </c>
      <c r="U110" s="65">
        <v>123</v>
      </c>
      <c r="V110" s="65">
        <v>127.8</v>
      </c>
      <c r="W110" s="65">
        <v>125.9</v>
      </c>
      <c r="X110" s="65">
        <v>124.9</v>
      </c>
      <c r="Y110" s="65"/>
      <c r="Z110" s="65">
        <v>127.1</v>
      </c>
      <c r="AA110" s="65">
        <v>129</v>
      </c>
      <c r="AB110" s="65">
        <v>129</v>
      </c>
      <c r="AC110" s="65">
        <v>129.5</v>
      </c>
      <c r="AD110" s="65">
        <v>129.19999999999999</v>
      </c>
      <c r="AE110" s="65">
        <v>128.19999999999999</v>
      </c>
      <c r="AF110" s="65">
        <v>129.19999999999999</v>
      </c>
      <c r="AG110" s="104"/>
      <c r="AH110" s="47">
        <f t="shared" si="57"/>
        <v>129.5</v>
      </c>
      <c r="AI110" s="48">
        <f t="shared" si="58"/>
        <v>123</v>
      </c>
    </row>
    <row r="111" spans="1:37" x14ac:dyDescent="0.25">
      <c r="A111" s="103" t="s">
        <v>110</v>
      </c>
      <c r="B111" s="65">
        <v>132.1</v>
      </c>
      <c r="C111" s="65">
        <v>133</v>
      </c>
      <c r="D111" s="65">
        <v>132.1</v>
      </c>
      <c r="E111" s="65">
        <v>132.1</v>
      </c>
      <c r="F111" s="65">
        <v>133</v>
      </c>
      <c r="G111" s="65">
        <v>132</v>
      </c>
      <c r="H111" s="65">
        <v>132</v>
      </c>
      <c r="I111" s="65">
        <v>131.6</v>
      </c>
      <c r="J111" s="65">
        <v>127.8</v>
      </c>
      <c r="K111" s="65">
        <v>129</v>
      </c>
      <c r="L111" s="65">
        <v>128.1</v>
      </c>
      <c r="M111" s="65">
        <v>127.8</v>
      </c>
      <c r="N111" s="65">
        <v>128.69999999999999</v>
      </c>
      <c r="O111" s="65">
        <v>128</v>
      </c>
      <c r="P111" s="65">
        <v>127</v>
      </c>
      <c r="Q111" s="65">
        <v>128.4</v>
      </c>
      <c r="R111" s="65">
        <v>128.4</v>
      </c>
      <c r="S111" s="65">
        <v>127.7</v>
      </c>
      <c r="T111" s="65">
        <v>126.8</v>
      </c>
      <c r="U111" s="65">
        <v>127.2</v>
      </c>
      <c r="V111" s="65">
        <v>131</v>
      </c>
      <c r="W111" s="65">
        <v>128.6</v>
      </c>
      <c r="X111" s="65">
        <v>127.5</v>
      </c>
      <c r="Y111" s="65"/>
      <c r="Z111" s="65">
        <v>129</v>
      </c>
      <c r="AA111" s="65">
        <v>131</v>
      </c>
      <c r="AB111" s="65">
        <v>131.1</v>
      </c>
      <c r="AC111" s="65">
        <v>131.9</v>
      </c>
      <c r="AD111" s="65">
        <v>131.9</v>
      </c>
      <c r="AE111" s="65">
        <v>131.69999999999999</v>
      </c>
      <c r="AF111" s="65">
        <v>133</v>
      </c>
      <c r="AG111" s="104"/>
      <c r="AH111" s="47">
        <f t="shared" si="57"/>
        <v>133</v>
      </c>
      <c r="AI111" s="48">
        <f t="shared" si="58"/>
        <v>126.8</v>
      </c>
    </row>
    <row r="112" spans="1:37" x14ac:dyDescent="0.25">
      <c r="A112" s="103" t="s">
        <v>111</v>
      </c>
      <c r="B112" s="65">
        <v>128.69999999999999</v>
      </c>
      <c r="C112" s="65">
        <v>127.1</v>
      </c>
      <c r="D112" s="65">
        <v>130.5</v>
      </c>
      <c r="E112" s="65">
        <v>130.5</v>
      </c>
      <c r="F112" s="65">
        <v>129</v>
      </c>
      <c r="G112" s="65">
        <v>129.6</v>
      </c>
      <c r="H112" s="65">
        <v>129.6</v>
      </c>
      <c r="I112" s="65">
        <v>127.5</v>
      </c>
      <c r="J112" s="65">
        <v>121.4</v>
      </c>
      <c r="K112" s="65">
        <v>129.6</v>
      </c>
      <c r="L112" s="65">
        <v>128.5</v>
      </c>
      <c r="M112" s="65">
        <v>128.19999999999999</v>
      </c>
      <c r="N112" s="65">
        <v>127.5</v>
      </c>
      <c r="O112" s="65">
        <v>128</v>
      </c>
      <c r="P112" s="65">
        <v>126.6</v>
      </c>
      <c r="Q112" s="65">
        <v>127.1</v>
      </c>
      <c r="R112" s="65">
        <v>128.80000000000001</v>
      </c>
      <c r="S112" s="65">
        <v>127.1</v>
      </c>
      <c r="T112" s="65">
        <v>124.7</v>
      </c>
      <c r="U112" s="65">
        <v>125.9</v>
      </c>
      <c r="V112" s="65">
        <v>127.3</v>
      </c>
      <c r="W112" s="65">
        <v>127.9</v>
      </c>
      <c r="X112" s="65">
        <v>126.1</v>
      </c>
      <c r="Y112" s="65"/>
      <c r="Z112" s="65">
        <v>128.30000000000001</v>
      </c>
      <c r="AA112" s="65">
        <v>131</v>
      </c>
      <c r="AB112" s="65">
        <v>133</v>
      </c>
      <c r="AC112" s="65">
        <v>132.30000000000001</v>
      </c>
      <c r="AD112" s="65">
        <v>131.19999999999999</v>
      </c>
      <c r="AE112" s="65">
        <v>128.69999999999999</v>
      </c>
      <c r="AF112" s="65">
        <v>128.1</v>
      </c>
      <c r="AG112" s="104"/>
      <c r="AH112" s="47">
        <f t="shared" si="57"/>
        <v>133</v>
      </c>
      <c r="AI112" s="48">
        <f t="shared" si="58"/>
        <v>121.4</v>
      </c>
    </row>
    <row r="113" spans="1:35" x14ac:dyDescent="0.25">
      <c r="A113" s="105" t="s">
        <v>112</v>
      </c>
      <c r="B113" s="65">
        <v>131.5</v>
      </c>
      <c r="C113" s="65">
        <v>129.9</v>
      </c>
      <c r="D113" s="65">
        <v>132.69999999999999</v>
      </c>
      <c r="E113" s="65">
        <v>132.69999999999999</v>
      </c>
      <c r="F113" s="65">
        <v>131.19999999999999</v>
      </c>
      <c r="G113" s="65">
        <v>132.1</v>
      </c>
      <c r="H113" s="65">
        <v>132.1</v>
      </c>
      <c r="I113" s="65">
        <v>128.19999999999999</v>
      </c>
      <c r="J113" s="65">
        <v>123</v>
      </c>
      <c r="K113" s="65">
        <v>128.69999999999999</v>
      </c>
      <c r="L113" s="65">
        <v>127</v>
      </c>
      <c r="M113" s="65">
        <v>126.2</v>
      </c>
      <c r="N113" s="65">
        <v>125.5</v>
      </c>
      <c r="O113" s="65">
        <v>126.6</v>
      </c>
      <c r="P113" s="65">
        <v>125.8</v>
      </c>
      <c r="Q113" s="65">
        <v>127.4</v>
      </c>
      <c r="R113" s="65">
        <v>129</v>
      </c>
      <c r="S113" s="65">
        <v>127</v>
      </c>
      <c r="T113" s="65">
        <v>124.2</v>
      </c>
      <c r="U113" s="65">
        <v>124.3</v>
      </c>
      <c r="V113" s="65">
        <v>126.3</v>
      </c>
      <c r="W113" s="65">
        <v>126.5</v>
      </c>
      <c r="X113" s="65">
        <v>123.9</v>
      </c>
      <c r="Y113" s="65"/>
      <c r="Z113" s="65">
        <v>128.30000000000001</v>
      </c>
      <c r="AA113" s="65">
        <v>131</v>
      </c>
      <c r="AB113" s="65">
        <v>134</v>
      </c>
      <c r="AC113" s="65">
        <v>133.6</v>
      </c>
      <c r="AD113" s="65">
        <v>132.9</v>
      </c>
      <c r="AE113" s="65">
        <v>132</v>
      </c>
      <c r="AF113" s="65">
        <v>131.6</v>
      </c>
      <c r="AG113" s="104"/>
      <c r="AH113" s="47">
        <f t="shared" si="57"/>
        <v>134</v>
      </c>
      <c r="AI113" s="48">
        <f t="shared" si="58"/>
        <v>123</v>
      </c>
    </row>
    <row r="114" spans="1:35" x14ac:dyDescent="0.25">
      <c r="A114" s="105" t="s">
        <v>113</v>
      </c>
      <c r="B114" s="106">
        <v>131.1</v>
      </c>
      <c r="C114" s="106">
        <v>130.6</v>
      </c>
      <c r="D114" s="106">
        <v>130</v>
      </c>
      <c r="E114" s="106">
        <v>130</v>
      </c>
      <c r="F114" s="106">
        <v>131</v>
      </c>
      <c r="G114" s="106">
        <v>130.5</v>
      </c>
      <c r="H114" s="106">
        <v>130.5</v>
      </c>
      <c r="I114" s="106">
        <v>135.69999999999999</v>
      </c>
      <c r="J114" s="106">
        <v>132.5</v>
      </c>
      <c r="K114" s="106">
        <v>134.69999999999999</v>
      </c>
      <c r="L114" s="106">
        <v>134.5</v>
      </c>
      <c r="M114" s="106">
        <v>133.5</v>
      </c>
      <c r="N114" s="106">
        <v>133.6</v>
      </c>
      <c r="O114" s="106">
        <v>133</v>
      </c>
      <c r="P114" s="106">
        <v>130.5</v>
      </c>
      <c r="Q114" s="106">
        <v>134.6</v>
      </c>
      <c r="R114" s="106">
        <v>133.5</v>
      </c>
      <c r="S114" s="106">
        <v>130</v>
      </c>
      <c r="T114" s="106">
        <v>132.9</v>
      </c>
      <c r="U114" s="106">
        <v>131.4</v>
      </c>
      <c r="V114" s="106">
        <v>135.9</v>
      </c>
      <c r="W114" s="106">
        <v>133.30000000000001</v>
      </c>
      <c r="X114" s="106">
        <v>132.4</v>
      </c>
      <c r="Y114" s="106"/>
      <c r="Z114" s="106">
        <v>134.80000000000001</v>
      </c>
      <c r="AA114" s="106">
        <v>137</v>
      </c>
      <c r="AB114" s="106">
        <v>135.5</v>
      </c>
      <c r="AC114" s="106">
        <v>136.19999999999999</v>
      </c>
      <c r="AD114" s="106">
        <v>135.80000000000001</v>
      </c>
      <c r="AE114" s="106">
        <v>133.80000000000001</v>
      </c>
      <c r="AF114" s="106">
        <v>132.69999999999999</v>
      </c>
      <c r="AG114" s="107"/>
      <c r="AH114" s="47">
        <f t="shared" ref="AH114:AH123" si="148">MAX(B114:AF114)</f>
        <v>137</v>
      </c>
      <c r="AI114" s="48">
        <f t="shared" ref="AI114:AI123" si="149">MIN(B114:AF114)</f>
        <v>130</v>
      </c>
    </row>
    <row r="115" spans="1:35" x14ac:dyDescent="0.25">
      <c r="A115" s="103" t="s">
        <v>114</v>
      </c>
      <c r="B115" s="65">
        <v>133.4</v>
      </c>
      <c r="C115" s="65">
        <v>131.80000000000001</v>
      </c>
      <c r="D115" s="65">
        <v>133.1</v>
      </c>
      <c r="E115" s="65">
        <v>133.1</v>
      </c>
      <c r="F115" s="65">
        <v>132.69999999999999</v>
      </c>
      <c r="G115" s="65">
        <v>127</v>
      </c>
      <c r="H115" s="65">
        <v>127</v>
      </c>
      <c r="I115" s="65">
        <v>127.4</v>
      </c>
      <c r="J115" s="65">
        <v>128.6</v>
      </c>
      <c r="K115" s="65">
        <v>132.19999999999999</v>
      </c>
      <c r="L115" s="65">
        <v>128.1</v>
      </c>
      <c r="M115" s="65">
        <v>129</v>
      </c>
      <c r="N115" s="65">
        <v>135</v>
      </c>
      <c r="O115" s="65">
        <v>133.30000000000001</v>
      </c>
      <c r="P115" s="65">
        <v>126.8</v>
      </c>
      <c r="Q115" s="65">
        <v>130.6</v>
      </c>
      <c r="R115" s="65">
        <v>132.4</v>
      </c>
      <c r="S115" s="65">
        <v>134.80000000000001</v>
      </c>
      <c r="T115" s="65">
        <v>131.30000000000001</v>
      </c>
      <c r="U115" s="65">
        <v>134.4</v>
      </c>
      <c r="V115" s="65">
        <v>134.5</v>
      </c>
      <c r="W115" s="65">
        <v>134</v>
      </c>
      <c r="X115" s="65">
        <v>136.30000000000001</v>
      </c>
      <c r="Y115" s="65"/>
      <c r="Z115" s="65">
        <v>132.30000000000001</v>
      </c>
      <c r="AA115" s="65">
        <v>135</v>
      </c>
      <c r="AB115" s="65">
        <v>132.69999999999999</v>
      </c>
      <c r="AC115" s="65">
        <v>133.9</v>
      </c>
      <c r="AD115" s="65">
        <v>135.9</v>
      </c>
      <c r="AE115" s="65">
        <v>130.6</v>
      </c>
      <c r="AF115" s="65">
        <v>133.30000000000001</v>
      </c>
      <c r="AG115" s="104"/>
      <c r="AH115" s="47">
        <f t="shared" si="148"/>
        <v>136.30000000000001</v>
      </c>
      <c r="AI115" s="48">
        <f t="shared" si="149"/>
        <v>126.8</v>
      </c>
    </row>
    <row r="116" spans="1:35" ht="15.75" thickBot="1" x14ac:dyDescent="0.3">
      <c r="A116" s="103" t="s">
        <v>115</v>
      </c>
      <c r="B116" s="92">
        <v>66.5</v>
      </c>
      <c r="C116" s="92">
        <v>66.900000000000006</v>
      </c>
      <c r="D116" s="92">
        <v>66.599999999999994</v>
      </c>
      <c r="E116" s="92">
        <v>66.599999999999994</v>
      </c>
      <c r="F116" s="92">
        <v>67.099999999999994</v>
      </c>
      <c r="G116" s="92">
        <v>66.5</v>
      </c>
      <c r="H116" s="92">
        <v>66.5</v>
      </c>
      <c r="I116" s="92">
        <v>66.5</v>
      </c>
      <c r="J116" s="92">
        <v>64.3</v>
      </c>
      <c r="K116" s="92">
        <v>64.599999999999994</v>
      </c>
      <c r="L116" s="92">
        <v>64.2</v>
      </c>
      <c r="M116" s="92">
        <v>64.099999999999994</v>
      </c>
      <c r="N116" s="92">
        <v>64.599999999999994</v>
      </c>
      <c r="O116" s="92">
        <v>64.2</v>
      </c>
      <c r="P116" s="92">
        <v>63.6</v>
      </c>
      <c r="Q116" s="92">
        <v>64.400000000000006</v>
      </c>
      <c r="R116" s="92">
        <v>64.3</v>
      </c>
      <c r="S116" s="92">
        <v>63.9</v>
      </c>
      <c r="T116" s="92">
        <v>63.9</v>
      </c>
      <c r="U116" s="92">
        <v>64.2</v>
      </c>
      <c r="V116" s="92">
        <v>66</v>
      </c>
      <c r="W116" s="92">
        <v>64.599999999999994</v>
      </c>
      <c r="X116" s="92">
        <v>64</v>
      </c>
      <c r="Y116" s="92"/>
      <c r="Z116" s="92">
        <v>64.7</v>
      </c>
      <c r="AA116" s="92">
        <v>66</v>
      </c>
      <c r="AB116" s="92">
        <v>65.599999999999994</v>
      </c>
      <c r="AC116" s="92">
        <v>66</v>
      </c>
      <c r="AD116" s="92">
        <v>66.099999999999994</v>
      </c>
      <c r="AE116" s="92">
        <v>66.2</v>
      </c>
      <c r="AF116" s="92">
        <v>67.099999999999994</v>
      </c>
      <c r="AG116" s="108"/>
      <c r="AH116" s="47">
        <f t="shared" si="148"/>
        <v>67.099999999999994</v>
      </c>
      <c r="AI116" s="48">
        <f t="shared" si="149"/>
        <v>63.6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48"/>
        <v>0</v>
      </c>
      <c r="AI117" s="48">
        <f t="shared" si="149"/>
        <v>0</v>
      </c>
    </row>
    <row r="118" spans="1:35" ht="15.75" thickBot="1" x14ac:dyDescent="0.3">
      <c r="A118" s="110" t="s">
        <v>117</v>
      </c>
      <c r="B118" s="111">
        <f t="shared" ref="B118:C118" si="150">SUM(B22,B28,B31:B32,B66,B68:B69,B71,B73,B119:B123,B155,B161,B167,B176,B178,B190,B197,B200:B201,B208,B210,B212,B216:B218,B220:B222,B227,B233:B234,B236:B238,B246,B251)</f>
        <v>150.5</v>
      </c>
      <c r="C118" s="111">
        <f t="shared" si="150"/>
        <v>138.18</v>
      </c>
      <c r="D118" s="111">
        <f t="shared" ref="D118:E118" si="151">SUM(D22,D28,D31:D32,D66,D68:D69,D71,D73,D119:D123,D155,D161,D167,D176,D178,D190,D197,D200:D201,D208,D210,D212,D216:D218,D220:D222,D227,D233:D234,D236:D238,D246,D251)</f>
        <v>128.08000000000001</v>
      </c>
      <c r="E118" s="111">
        <f t="shared" si="151"/>
        <v>131.5</v>
      </c>
      <c r="F118" s="111">
        <f t="shared" ref="F118:G118" si="152">SUM(F22,F28,F31:F32,F66,F68:F69,F71,F73,F119:F123,F155,F161,F167,F176,F178,F190,F197,F200:F201,F208,F210,F212,F216:F218,F220:F222,F227,F233:F234,F236:F238,F246,F251)</f>
        <v>139.92000000000002</v>
      </c>
      <c r="G118" s="111">
        <f t="shared" si="152"/>
        <v>162</v>
      </c>
      <c r="H118" s="111">
        <f t="shared" ref="H118:I118" si="153">SUM(H22,H28,H31:H32,H66,H68:H69,H71,H73,H119:H123,H155,H161,H167,H176,H178,H190,H197,H200:H201,H208,H210,H212,H216:H218,H220:H222,H227,H233:H234,H236:H238,H246,H251)</f>
        <v>198.06</v>
      </c>
      <c r="I118" s="111">
        <f t="shared" si="153"/>
        <v>242.92</v>
      </c>
      <c r="J118" s="111">
        <f t="shared" ref="J118:K118" si="154">SUM(J22,J28,J31:J32,J66,J68:J69,J71,J73,J119:J123,J155,J161,J167,J176,J178,J190,J197,J200:J201,J208,J210,J212,J216:J218,J220:J222,J227,J233:J234,J236:J238,J246,J251)</f>
        <v>338.98</v>
      </c>
      <c r="K118" s="111">
        <f t="shared" si="154"/>
        <v>344.84</v>
      </c>
      <c r="L118" s="111">
        <f t="shared" ref="L118" si="155">SUM(L22,L28,L31:L32,L66,L68:L69,L71,L73,L119:L123,L155,L161,L167,L176,L178,L190,L197,L200:L201,L208,L210,L212,L216:L218,L220:L222,L227,L233:L234,L236:L238,L246,L251)</f>
        <v>372.64</v>
      </c>
      <c r="M118" s="111">
        <f t="shared" ref="M118:O118" si="156">SUM(M22,M28,M31:M32,M66,M68:M69,M71,M73,M119:M123,M155,M161,M167,M176,M178,M190,M197,M200:M201,M208,M210,M212,M216:M218,M220:M222,M227,M233:M234,M236:M238,M246,M251)</f>
        <v>376.09599999999995</v>
      </c>
      <c r="N118" s="111">
        <f t="shared" si="156"/>
        <v>346.27799999999996</v>
      </c>
      <c r="O118" s="111">
        <f t="shared" si="156"/>
        <v>336.04599999999999</v>
      </c>
      <c r="P118" s="111">
        <v>42</v>
      </c>
      <c r="Q118" s="111">
        <f t="shared" ref="Q118:AD118" si="157">SUM(Q22,Q28,Q31:Q32,Q66,Q68:Q69,Q71,Q73,Q119:Q123,Q155,Q161,Q167,Q176,Q178,Q190,Q197,Q200:Q201,Q208,Q210,Q212,Q216:Q218,Q220:Q222,Q227,Q233:Q234,Q236:Q238,Q246,Q251)</f>
        <v>304.69099999999997</v>
      </c>
      <c r="R118" s="111">
        <f t="shared" si="157"/>
        <v>296.64599999999996</v>
      </c>
      <c r="S118" s="111">
        <f t="shared" si="157"/>
        <v>289.44</v>
      </c>
      <c r="T118" s="111">
        <f t="shared" si="157"/>
        <v>289.74</v>
      </c>
      <c r="U118" s="111">
        <f t="shared" si="157"/>
        <v>270.88000000000005</v>
      </c>
      <c r="V118" s="111">
        <f t="shared" si="157"/>
        <v>275.83999999999997</v>
      </c>
      <c r="W118" s="111">
        <f t="shared" si="157"/>
        <v>305.14</v>
      </c>
      <c r="X118" s="111">
        <f t="shared" si="157"/>
        <v>347.19</v>
      </c>
      <c r="Y118" s="111">
        <f t="shared" ref="Y118:Z118" si="158">SUM(Y20,Y26,Y37:Y38,Y66,Y68:Y69,Y71,Y73,Y119:Y123,Y148,Y154,Y160,Y169,Y171,Y183,Y190,Y193:Y194,Y201,Y203,Y205,Y209:Y211,Y213:Y215,Y220,Y226:Y227,Y229:Y231,Y239,Y244)</f>
        <v>93.5</v>
      </c>
      <c r="Z118" s="111">
        <f t="shared" si="158"/>
        <v>420.1</v>
      </c>
      <c r="AA118" s="111">
        <f t="shared" si="157"/>
        <v>391.84</v>
      </c>
      <c r="AB118" s="111">
        <f t="shared" si="157"/>
        <v>354.37599999999998</v>
      </c>
      <c r="AC118" s="111">
        <f t="shared" si="157"/>
        <v>339.78399999999999</v>
      </c>
      <c r="AD118" s="111">
        <f t="shared" si="157"/>
        <v>321.40000000000003</v>
      </c>
      <c r="AE118" s="111">
        <f t="shared" ref="AE118:AF118" si="159">SUM(AE22,AE28,AE31:AE32,AE66,AE68:AE69,AE71,AE73,AE119:AE123,AE155,AE161,AE167,AE176,AE178,AE190,AE197,AE200:AE201,AE208,AE210,AE212,AE216:AE218,AE220:AE222,AE227,AE233:AE234,AE236:AE238,AE246,AE251)</f>
        <v>235.12</v>
      </c>
      <c r="AF118" s="111">
        <f t="shared" si="159"/>
        <v>186.84</v>
      </c>
      <c r="AG118" s="112"/>
      <c r="AH118" s="47">
        <f t="shared" si="148"/>
        <v>420.1</v>
      </c>
      <c r="AI118" s="48">
        <f t="shared" si="149"/>
        <v>42</v>
      </c>
    </row>
    <row r="119" spans="1:35" x14ac:dyDescent="0.25">
      <c r="A119" s="172" t="s">
        <v>118</v>
      </c>
      <c r="B119" s="113">
        <v>-6.9</v>
      </c>
      <c r="C119" s="113">
        <v>-10.6</v>
      </c>
      <c r="D119" s="113">
        <v>-18.100000000000001</v>
      </c>
      <c r="E119" s="113">
        <v>-15.9</v>
      </c>
      <c r="F119" s="113">
        <v>-14.9</v>
      </c>
      <c r="G119" s="113">
        <v>-7.6</v>
      </c>
      <c r="H119" s="113">
        <v>6</v>
      </c>
      <c r="I119" s="113">
        <v>18</v>
      </c>
      <c r="J119" s="113">
        <v>40</v>
      </c>
      <c r="K119" s="113">
        <v>38.9</v>
      </c>
      <c r="L119" s="113">
        <v>37.1</v>
      </c>
      <c r="M119" s="113">
        <v>40.4</v>
      </c>
      <c r="N119" s="113">
        <v>31.1</v>
      </c>
      <c r="O119" s="113">
        <v>26.9</v>
      </c>
      <c r="P119" s="113">
        <v>26</v>
      </c>
      <c r="Q119" s="113">
        <v>27.6</v>
      </c>
      <c r="R119" s="113">
        <v>16</v>
      </c>
      <c r="S119" s="113">
        <v>18.5</v>
      </c>
      <c r="T119" s="113">
        <v>13.2</v>
      </c>
      <c r="U119" s="113">
        <v>8.5</v>
      </c>
      <c r="V119" s="113">
        <v>16.399999999999999</v>
      </c>
      <c r="W119" s="113">
        <v>10.5</v>
      </c>
      <c r="X119" s="113">
        <v>10.3</v>
      </c>
      <c r="Y119" s="113"/>
      <c r="Z119" s="113">
        <v>40.799999999999997</v>
      </c>
      <c r="AA119" s="113">
        <v>46.1</v>
      </c>
      <c r="AB119" s="113">
        <v>24.5</v>
      </c>
      <c r="AC119" s="113">
        <v>24.2</v>
      </c>
      <c r="AD119" s="113">
        <v>19.600000000000001</v>
      </c>
      <c r="AE119" s="113">
        <v>4.8</v>
      </c>
      <c r="AF119" s="113">
        <v>1.3</v>
      </c>
      <c r="AG119" s="114">
        <v>75</v>
      </c>
      <c r="AH119" s="47">
        <f t="shared" si="148"/>
        <v>46.1</v>
      </c>
      <c r="AI119" s="48">
        <f t="shared" si="149"/>
        <v>-18.100000000000001</v>
      </c>
    </row>
    <row r="120" spans="1:35" x14ac:dyDescent="0.25">
      <c r="A120" s="173" t="s">
        <v>119</v>
      </c>
      <c r="B120" s="115">
        <v>-12.6</v>
      </c>
      <c r="C120" s="115">
        <v>-16.2</v>
      </c>
      <c r="D120" s="115">
        <v>-25.7</v>
      </c>
      <c r="E120" s="115">
        <v>-26.2</v>
      </c>
      <c r="F120" s="115">
        <v>-24.3</v>
      </c>
      <c r="G120" s="115">
        <v>-12.9</v>
      </c>
      <c r="H120" s="115">
        <v>2.9</v>
      </c>
      <c r="I120" s="115">
        <v>18.2</v>
      </c>
      <c r="J120" s="115">
        <v>52.9</v>
      </c>
      <c r="K120" s="115">
        <v>52</v>
      </c>
      <c r="L120" s="115">
        <v>49.3</v>
      </c>
      <c r="M120" s="115">
        <v>53.9</v>
      </c>
      <c r="N120" s="115">
        <v>42.9</v>
      </c>
      <c r="O120" s="115">
        <v>36.4</v>
      </c>
      <c r="P120" s="115">
        <v>29</v>
      </c>
      <c r="Q120" s="115">
        <v>30.4</v>
      </c>
      <c r="R120" s="115">
        <v>15.5</v>
      </c>
      <c r="S120" s="115">
        <v>18.7</v>
      </c>
      <c r="T120" s="115">
        <v>12.4</v>
      </c>
      <c r="U120" s="115">
        <v>6.9</v>
      </c>
      <c r="V120" s="115">
        <v>20.8</v>
      </c>
      <c r="W120" s="115">
        <v>15.2</v>
      </c>
      <c r="X120" s="115">
        <v>15.25</v>
      </c>
      <c r="Y120" s="115"/>
      <c r="Z120" s="115">
        <v>54.6</v>
      </c>
      <c r="AA120" s="115">
        <v>62.4</v>
      </c>
      <c r="AB120" s="115">
        <v>33.700000000000003</v>
      </c>
      <c r="AC120" s="115">
        <v>32.200000000000003</v>
      </c>
      <c r="AD120" s="115">
        <v>20.5</v>
      </c>
      <c r="AE120" s="115">
        <v>1.6</v>
      </c>
      <c r="AF120" s="115">
        <v>0.8</v>
      </c>
      <c r="AG120" s="114">
        <v>240</v>
      </c>
      <c r="AH120" s="47">
        <f t="shared" si="148"/>
        <v>62.4</v>
      </c>
      <c r="AI120" s="48">
        <f t="shared" si="149"/>
        <v>-26.2</v>
      </c>
    </row>
    <row r="121" spans="1:35" x14ac:dyDescent="0.25">
      <c r="A121" s="173" t="s">
        <v>120</v>
      </c>
      <c r="B121" s="115">
        <f>-4.5-4.8</f>
        <v>-9.3000000000000007</v>
      </c>
      <c r="C121" s="115">
        <f>-5.7-6.6</f>
        <v>-12.3</v>
      </c>
      <c r="D121" s="115">
        <f>-4.3-5</f>
        <v>-9.3000000000000007</v>
      </c>
      <c r="E121" s="115">
        <v>-9.5</v>
      </c>
      <c r="F121" s="115">
        <v>-6</v>
      </c>
      <c r="G121" s="115">
        <v>-4</v>
      </c>
      <c r="H121" s="115">
        <v>0</v>
      </c>
      <c r="I121" s="115">
        <v>14</v>
      </c>
      <c r="J121" s="115">
        <v>20</v>
      </c>
      <c r="K121" s="115">
        <v>19</v>
      </c>
      <c r="L121" s="115">
        <v>38</v>
      </c>
      <c r="M121" s="115">
        <v>35</v>
      </c>
      <c r="N121" s="115">
        <v>34</v>
      </c>
      <c r="O121" s="115">
        <v>31</v>
      </c>
      <c r="P121" s="115">
        <v>27</v>
      </c>
      <c r="Q121" s="115">
        <v>12</v>
      </c>
      <c r="R121" s="115">
        <v>18.7</v>
      </c>
      <c r="S121" s="115">
        <v>18</v>
      </c>
      <c r="T121" s="115">
        <v>21.8</v>
      </c>
      <c r="U121" s="115">
        <v>15</v>
      </c>
      <c r="V121" s="115">
        <v>22</v>
      </c>
      <c r="W121" s="115">
        <v>40</v>
      </c>
      <c r="X121" s="115">
        <v>51</v>
      </c>
      <c r="Y121" s="115"/>
      <c r="Z121" s="115">
        <v>61</v>
      </c>
      <c r="AA121" s="115">
        <v>49</v>
      </c>
      <c r="AB121" s="115">
        <f>26.4+29.2</f>
        <v>55.599999999999994</v>
      </c>
      <c r="AC121" s="115">
        <f>24.3+26.6</f>
        <v>50.900000000000006</v>
      </c>
      <c r="AD121" s="115">
        <f>21.4+23.5</f>
        <v>44.9</v>
      </c>
      <c r="AE121" s="115">
        <f>5.5+6.2</f>
        <v>11.7</v>
      </c>
      <c r="AF121" s="115">
        <f>-1.4-1.7</f>
        <v>-3.0999999999999996</v>
      </c>
      <c r="AG121" s="114">
        <v>240</v>
      </c>
      <c r="AH121" s="47">
        <f t="shared" si="148"/>
        <v>61</v>
      </c>
      <c r="AI121" s="48">
        <f t="shared" si="149"/>
        <v>-12.3</v>
      </c>
    </row>
    <row r="122" spans="1:35" ht="15.75" thickBot="1" x14ac:dyDescent="0.3">
      <c r="A122" s="173" t="s">
        <v>121</v>
      </c>
      <c r="B122" s="115">
        <v>-6.2</v>
      </c>
      <c r="C122" s="115">
        <v>-7.8</v>
      </c>
      <c r="D122" s="115">
        <v>-9.8000000000000007</v>
      </c>
      <c r="E122" s="115">
        <v>-8.1999999999999993</v>
      </c>
      <c r="F122" s="115">
        <v>-7.3</v>
      </c>
      <c r="G122" s="115">
        <v>-7.2</v>
      </c>
      <c r="H122" s="115">
        <v>-3.9</v>
      </c>
      <c r="I122" s="115">
        <v>1.9</v>
      </c>
      <c r="J122" s="115">
        <v>14.3</v>
      </c>
      <c r="K122" s="115">
        <v>18</v>
      </c>
      <c r="L122" s="115">
        <v>22</v>
      </c>
      <c r="M122" s="115">
        <v>22.6</v>
      </c>
      <c r="N122" s="115">
        <v>21</v>
      </c>
      <c r="O122" s="115">
        <v>20.3</v>
      </c>
      <c r="P122" s="115">
        <v>6.3</v>
      </c>
      <c r="Q122" s="115">
        <v>1.5</v>
      </c>
      <c r="R122" s="115">
        <v>3.2</v>
      </c>
      <c r="S122" s="115">
        <v>0</v>
      </c>
      <c r="T122" s="115">
        <v>2.4</v>
      </c>
      <c r="U122" s="115">
        <v>5</v>
      </c>
      <c r="V122" s="115">
        <v>12.6</v>
      </c>
      <c r="W122" s="115">
        <v>19</v>
      </c>
      <c r="X122" s="115">
        <v>23</v>
      </c>
      <c r="Y122" s="115"/>
      <c r="Z122" s="115">
        <v>31</v>
      </c>
      <c r="AA122" s="115">
        <v>29</v>
      </c>
      <c r="AB122" s="115">
        <v>26.7</v>
      </c>
      <c r="AC122" s="115">
        <v>25.2</v>
      </c>
      <c r="AD122" s="115">
        <v>17.8</v>
      </c>
      <c r="AE122" s="115">
        <v>2.7</v>
      </c>
      <c r="AF122" s="115">
        <v>-3.5</v>
      </c>
      <c r="AG122" s="114">
        <v>60</v>
      </c>
      <c r="AH122" s="47">
        <f t="shared" si="148"/>
        <v>31</v>
      </c>
      <c r="AI122" s="48">
        <f t="shared" si="149"/>
        <v>-9.8000000000000007</v>
      </c>
    </row>
    <row r="123" spans="1:35" x14ac:dyDescent="0.25">
      <c r="A123" s="172" t="s">
        <v>259</v>
      </c>
      <c r="B123" s="117">
        <f>60.6*1.6</f>
        <v>96.960000000000008</v>
      </c>
      <c r="C123" s="117">
        <f>60.4*1.6</f>
        <v>96.64</v>
      </c>
      <c r="D123" s="117">
        <f>64.4*1.6</f>
        <v>103.04000000000002</v>
      </c>
      <c r="E123" s="117">
        <f>64.6*1.6</f>
        <v>103.36</v>
      </c>
      <c r="F123" s="117">
        <f>65.3*1.6</f>
        <v>104.48</v>
      </c>
      <c r="G123" s="117">
        <f>66.1*1.6</f>
        <v>105.75999999999999</v>
      </c>
      <c r="H123" s="117">
        <f>65.7*1.6</f>
        <v>105.12</v>
      </c>
      <c r="I123" s="117">
        <f>64.3*1.6</f>
        <v>102.88</v>
      </c>
      <c r="J123" s="117">
        <f>77.4*1.6</f>
        <v>123.84000000000002</v>
      </c>
      <c r="K123" s="117">
        <f>80*1.6</f>
        <v>128</v>
      </c>
      <c r="L123" s="117">
        <f>85*1.6</f>
        <v>136</v>
      </c>
      <c r="M123" s="117">
        <f>76.8*1.67</f>
        <v>128.256</v>
      </c>
      <c r="N123" s="117">
        <f>71.4*1.67</f>
        <v>119.238</v>
      </c>
      <c r="O123" s="117">
        <f>71.8*1.67</f>
        <v>119.90599999999999</v>
      </c>
      <c r="P123" s="117">
        <v>115</v>
      </c>
      <c r="Q123" s="117">
        <f>75.3*1.67</f>
        <v>125.75099999999999</v>
      </c>
      <c r="R123" s="117">
        <f>81.8*1.67</f>
        <v>136.60599999999999</v>
      </c>
      <c r="S123" s="117">
        <f>81*1.6</f>
        <v>129.6</v>
      </c>
      <c r="T123" s="117">
        <v>145</v>
      </c>
      <c r="U123" s="117">
        <f>89.4*1.6</f>
        <v>143.04000000000002</v>
      </c>
      <c r="V123" s="117">
        <f>72*1.6</f>
        <v>115.2</v>
      </c>
      <c r="W123" s="117">
        <f>83*1.6</f>
        <v>132.80000000000001</v>
      </c>
      <c r="X123" s="117">
        <v>160</v>
      </c>
      <c r="Y123" s="117"/>
      <c r="Z123" s="117">
        <f>87*1.6</f>
        <v>139.20000000000002</v>
      </c>
      <c r="AA123" s="117">
        <f>74*1.6</f>
        <v>118.4</v>
      </c>
      <c r="AB123" s="117">
        <f>77.4*1.64</f>
        <v>126.93600000000001</v>
      </c>
      <c r="AC123" s="117">
        <f>74.6*1.64</f>
        <v>122.34399999999998</v>
      </c>
      <c r="AD123" s="117">
        <f>81.5*1.64</f>
        <v>133.66</v>
      </c>
      <c r="AE123" s="117">
        <f>78.3*1.6</f>
        <v>125.28</v>
      </c>
      <c r="AF123" s="117">
        <f>62.5*1.6</f>
        <v>100</v>
      </c>
      <c r="AG123" s="118">
        <v>120</v>
      </c>
      <c r="AH123" s="47">
        <f t="shared" si="148"/>
        <v>160</v>
      </c>
      <c r="AI123" s="48">
        <f t="shared" si="149"/>
        <v>96.64</v>
      </c>
    </row>
    <row r="124" spans="1:35" x14ac:dyDescent="0.25">
      <c r="A124" s="173" t="s">
        <v>258</v>
      </c>
      <c r="B124" s="117">
        <v>71.8</v>
      </c>
      <c r="C124" s="117">
        <v>72.400000000000006</v>
      </c>
      <c r="D124" s="117">
        <v>76.2</v>
      </c>
      <c r="E124" s="117">
        <v>74.5</v>
      </c>
      <c r="F124" s="117">
        <v>73.7</v>
      </c>
      <c r="G124" s="117">
        <v>76</v>
      </c>
      <c r="H124" s="117">
        <v>74.400000000000006</v>
      </c>
      <c r="I124" s="117">
        <v>72.8</v>
      </c>
      <c r="J124" s="117">
        <v>86.5</v>
      </c>
      <c r="K124" s="117">
        <v>85.8</v>
      </c>
      <c r="L124" s="117">
        <v>89.4</v>
      </c>
      <c r="M124" s="117">
        <v>84.8</v>
      </c>
      <c r="N124" s="117">
        <v>79.8</v>
      </c>
      <c r="O124" s="117">
        <v>80</v>
      </c>
      <c r="P124" s="117">
        <v>86</v>
      </c>
      <c r="Q124" s="117">
        <v>82.5</v>
      </c>
      <c r="R124" s="117">
        <v>87.7</v>
      </c>
      <c r="S124" s="117">
        <v>87</v>
      </c>
      <c r="T124" s="117">
        <v>92.5</v>
      </c>
      <c r="U124" s="117">
        <v>95</v>
      </c>
      <c r="V124" s="117">
        <v>80</v>
      </c>
      <c r="W124" s="117">
        <v>90</v>
      </c>
      <c r="X124" s="117">
        <v>104</v>
      </c>
      <c r="Y124" s="117"/>
      <c r="Z124" s="117">
        <v>92</v>
      </c>
      <c r="AA124" s="117">
        <v>81</v>
      </c>
      <c r="AB124" s="117">
        <v>83.3</v>
      </c>
      <c r="AC124" s="117">
        <v>82.2</v>
      </c>
      <c r="AD124" s="117">
        <v>89.1</v>
      </c>
      <c r="AE124" s="117">
        <v>87.5</v>
      </c>
      <c r="AF124" s="117">
        <v>73.3</v>
      </c>
      <c r="AG124" s="118"/>
      <c r="AH124" s="47"/>
      <c r="AI124" s="48"/>
    </row>
    <row r="125" spans="1:35" x14ac:dyDescent="0.25">
      <c r="A125" s="173" t="s">
        <v>255</v>
      </c>
      <c r="B125" s="117">
        <v>52</v>
      </c>
      <c r="C125" s="117">
        <v>57.7</v>
      </c>
      <c r="D125" s="117">
        <v>59.6</v>
      </c>
      <c r="E125" s="117">
        <v>91.6</v>
      </c>
      <c r="F125" s="117">
        <v>58.7</v>
      </c>
      <c r="G125" s="117">
        <v>46.6</v>
      </c>
      <c r="H125" s="117">
        <v>23.7</v>
      </c>
      <c r="I125" s="117">
        <v>6.6</v>
      </c>
      <c r="J125" s="117">
        <v>7.4</v>
      </c>
      <c r="K125" s="117">
        <v>-18.8</v>
      </c>
      <c r="L125" s="117">
        <v>-26.9</v>
      </c>
      <c r="M125" s="117">
        <v>-31.7</v>
      </c>
      <c r="N125" s="117">
        <v>-20.399999999999999</v>
      </c>
      <c r="O125" s="117">
        <v>-9.9</v>
      </c>
      <c r="P125" s="117">
        <v>7.4</v>
      </c>
      <c r="Q125" s="117">
        <v>8.6999999999999993</v>
      </c>
      <c r="R125" s="117">
        <v>24.1</v>
      </c>
      <c r="S125" s="117">
        <v>21.6</v>
      </c>
      <c r="T125" s="117">
        <v>32.4</v>
      </c>
      <c r="U125" s="117">
        <v>58.1</v>
      </c>
      <c r="V125" s="117">
        <v>28</v>
      </c>
      <c r="W125" s="117">
        <v>7</v>
      </c>
      <c r="X125" s="117">
        <v>6</v>
      </c>
      <c r="Y125" s="117"/>
      <c r="Z125" s="117">
        <v>-41</v>
      </c>
      <c r="AA125" s="117">
        <v>-46</v>
      </c>
      <c r="AB125" s="117">
        <v>-22.8</v>
      </c>
      <c r="AC125" s="117">
        <v>-18.7</v>
      </c>
      <c r="AD125" s="117">
        <v>2.2999999999999998</v>
      </c>
      <c r="AE125" s="117">
        <v>39.4</v>
      </c>
      <c r="AF125" s="117">
        <v>39.1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76.900000000000006</v>
      </c>
      <c r="C126" s="117">
        <v>77</v>
      </c>
      <c r="D126" s="117">
        <v>85.1</v>
      </c>
      <c r="E126" s="117">
        <v>85.1</v>
      </c>
      <c r="F126" s="117">
        <v>81</v>
      </c>
      <c r="G126" s="117">
        <v>80.099999999999994</v>
      </c>
      <c r="H126" s="117">
        <v>82.4</v>
      </c>
      <c r="I126" s="117">
        <v>64.8</v>
      </c>
      <c r="J126" s="117">
        <v>94.5</v>
      </c>
      <c r="K126" s="117">
        <v>79.599999999999994</v>
      </c>
      <c r="L126" s="117">
        <v>73.3</v>
      </c>
      <c r="M126" s="117">
        <v>68.5</v>
      </c>
      <c r="N126" s="117">
        <v>77.599999999999994</v>
      </c>
      <c r="O126" s="117">
        <v>80.5</v>
      </c>
      <c r="P126" s="117">
        <v>90</v>
      </c>
      <c r="Q126" s="117">
        <v>81</v>
      </c>
      <c r="R126" s="117">
        <v>90.9</v>
      </c>
      <c r="S126" s="117">
        <v>96.3</v>
      </c>
      <c r="T126" s="117">
        <v>98.6</v>
      </c>
      <c r="U126" s="117">
        <v>102</v>
      </c>
      <c r="V126" s="117">
        <v>74</v>
      </c>
      <c r="W126" s="117">
        <v>87</v>
      </c>
      <c r="X126" s="117">
        <v>96.4</v>
      </c>
      <c r="Y126" s="117"/>
      <c r="Z126" s="117">
        <v>66</v>
      </c>
      <c r="AA126" s="117">
        <v>53</v>
      </c>
      <c r="AB126" s="117">
        <v>74</v>
      </c>
      <c r="AC126" s="117">
        <v>75.7</v>
      </c>
      <c r="AD126" s="117">
        <v>83.9</v>
      </c>
      <c r="AE126" s="117">
        <v>89.5</v>
      </c>
      <c r="AF126" s="117">
        <v>74.7</v>
      </c>
      <c r="AG126" s="114"/>
      <c r="AH126" s="47">
        <f>MAX(B126:AF126)</f>
        <v>102</v>
      </c>
      <c r="AI126" s="48">
        <f>MIN(B126:AF126)</f>
        <v>53</v>
      </c>
    </row>
    <row r="127" spans="1:35" x14ac:dyDescent="0.25">
      <c r="A127" s="172" t="s">
        <v>587</v>
      </c>
      <c r="B127" s="117">
        <v>24.9</v>
      </c>
      <c r="C127" s="117">
        <v>29.4</v>
      </c>
      <c r="D127" s="117">
        <v>30.5</v>
      </c>
      <c r="E127" s="117">
        <v>30.9</v>
      </c>
      <c r="F127" s="117">
        <v>29.6</v>
      </c>
      <c r="G127" s="117">
        <v>28</v>
      </c>
      <c r="H127" s="117">
        <v>23.2</v>
      </c>
      <c r="I127" s="117">
        <v>-1.1000000000000001</v>
      </c>
      <c r="J127" s="117">
        <v>-6.52</v>
      </c>
      <c r="K127" s="117">
        <v>-10.5</v>
      </c>
      <c r="L127" s="117">
        <v>-10.199999999999999</v>
      </c>
      <c r="M127" s="117">
        <v>-11.2</v>
      </c>
      <c r="N127" s="117">
        <v>-2.8</v>
      </c>
      <c r="O127" s="117">
        <v>0</v>
      </c>
      <c r="P127" s="117">
        <v>-1.2</v>
      </c>
      <c r="Q127" s="117">
        <v>-1.5</v>
      </c>
      <c r="R127" s="117">
        <v>4.2</v>
      </c>
      <c r="S127" s="117">
        <v>0</v>
      </c>
      <c r="T127" s="117">
        <v>2.4</v>
      </c>
      <c r="U127" s="117">
        <v>5.4</v>
      </c>
      <c r="V127" s="117">
        <v>2.5</v>
      </c>
      <c r="W127" s="117">
        <v>8</v>
      </c>
      <c r="X127" s="117">
        <v>10</v>
      </c>
      <c r="Y127" s="117"/>
      <c r="Z127" s="117">
        <v>-12</v>
      </c>
      <c r="AA127" s="117">
        <v>-18</v>
      </c>
      <c r="AB127" s="117">
        <v>2.5</v>
      </c>
      <c r="AC127" s="117">
        <v>2.2000000000000002</v>
      </c>
      <c r="AD127" s="117">
        <v>12.3</v>
      </c>
      <c r="AE127" s="117">
        <v>18</v>
      </c>
      <c r="AF127" s="117">
        <v>19.399999999999999</v>
      </c>
      <c r="AG127" s="114"/>
      <c r="AH127" s="47">
        <f>MAX(B127:AF127)</f>
        <v>30.9</v>
      </c>
      <c r="AI127" s="48">
        <f>MIN(B127:AF127)</f>
        <v>-18</v>
      </c>
    </row>
    <row r="128" spans="1:35" x14ac:dyDescent="0.25">
      <c r="A128" s="173" t="s">
        <v>123</v>
      </c>
      <c r="B128" s="106">
        <v>-9.6</v>
      </c>
      <c r="C128" s="106">
        <v>-7.9</v>
      </c>
      <c r="D128" s="106">
        <v>-7.7</v>
      </c>
      <c r="E128" s="106">
        <v>-7.1</v>
      </c>
      <c r="F128" s="106">
        <v>-7.3</v>
      </c>
      <c r="G128" s="106">
        <v>-10.8</v>
      </c>
      <c r="H128" s="106">
        <v>-16.8</v>
      </c>
      <c r="I128" s="106">
        <v>-27.6</v>
      </c>
      <c r="J128" s="106">
        <v>-34.9</v>
      </c>
      <c r="K128" s="106">
        <v>-44.1</v>
      </c>
      <c r="L128" s="106">
        <v>-48.3</v>
      </c>
      <c r="M128" s="106">
        <v>-46.1</v>
      </c>
      <c r="N128" s="106">
        <v>-28.4</v>
      </c>
      <c r="O128" s="106">
        <v>-32.1</v>
      </c>
      <c r="P128" s="106">
        <v>-28</v>
      </c>
      <c r="Q128" s="106">
        <v>-24.7</v>
      </c>
      <c r="R128" s="106">
        <v>-23.1</v>
      </c>
      <c r="S128" s="106">
        <v>-25</v>
      </c>
      <c r="T128" s="106">
        <v>-28.8</v>
      </c>
      <c r="U128" s="106">
        <v>-37</v>
      </c>
      <c r="V128" s="106">
        <v>-40</v>
      </c>
      <c r="W128" s="106">
        <v>-44</v>
      </c>
      <c r="X128" s="106">
        <v>-52</v>
      </c>
      <c r="Y128" s="106"/>
      <c r="Z128" s="106">
        <v>-46.5</v>
      </c>
      <c r="AA128" s="106">
        <v>-42.1</v>
      </c>
      <c r="AB128" s="106">
        <v>-33.9</v>
      </c>
      <c r="AC128" s="106">
        <v>-31.5</v>
      </c>
      <c r="AD128" s="106">
        <v>-25.9</v>
      </c>
      <c r="AE128" s="106">
        <v>-18.5</v>
      </c>
      <c r="AF128" s="106">
        <v>-13.6</v>
      </c>
      <c r="AG128" s="114"/>
      <c r="AH128" s="47">
        <f>MAX(B128:AF128)</f>
        <v>-7.1</v>
      </c>
      <c r="AI128" s="48">
        <f>MIN(B128:AF128)</f>
        <v>-52</v>
      </c>
    </row>
    <row r="129" spans="1:37" x14ac:dyDescent="0.25">
      <c r="A129" s="173" t="s">
        <v>260</v>
      </c>
      <c r="B129" s="106">
        <v>-20.7</v>
      </c>
      <c r="C129" s="106">
        <v>-22.7</v>
      </c>
      <c r="D129" s="106">
        <v>-27.3</v>
      </c>
      <c r="E129" s="106">
        <v>-24.1</v>
      </c>
      <c r="F129" s="106">
        <v>-28.4</v>
      </c>
      <c r="G129" s="106">
        <v>-25.7</v>
      </c>
      <c r="H129" s="106">
        <v>-17.36</v>
      </c>
      <c r="I129" s="106">
        <v>-17.7</v>
      </c>
      <c r="J129" s="106">
        <v>0</v>
      </c>
      <c r="K129" s="106">
        <v>-9.8000000000000007</v>
      </c>
      <c r="L129" s="106">
        <v>-18.3</v>
      </c>
      <c r="M129" s="106">
        <v>-15.6</v>
      </c>
      <c r="N129" s="106">
        <v>-20.5</v>
      </c>
      <c r="O129" s="106">
        <v>-21.8</v>
      </c>
      <c r="P129" s="106">
        <v>-34</v>
      </c>
      <c r="Q129" s="106">
        <v>-17.5</v>
      </c>
      <c r="R129" s="106">
        <v>-27.1</v>
      </c>
      <c r="S129" s="106">
        <v>-27.2</v>
      </c>
      <c r="T129" s="106">
        <v>-34.299999999999997</v>
      </c>
      <c r="U129" s="106">
        <v>-31</v>
      </c>
      <c r="V129" s="106">
        <v>-32</v>
      </c>
      <c r="W129" s="106">
        <v>-41</v>
      </c>
      <c r="X129" s="106">
        <v>-50</v>
      </c>
      <c r="Y129" s="106"/>
      <c r="Z129" s="106">
        <v>-28</v>
      </c>
      <c r="AA129" s="106">
        <v>-20</v>
      </c>
      <c r="AB129" s="106">
        <v>-40.799999999999997</v>
      </c>
      <c r="AC129" s="106">
        <v>-40.700000000000003</v>
      </c>
      <c r="AD129" s="106">
        <v>-43.4</v>
      </c>
      <c r="AE129" s="106">
        <v>32.6</v>
      </c>
      <c r="AF129" s="106">
        <v>-22.2</v>
      </c>
      <c r="AG129" s="114"/>
      <c r="AH129" s="47">
        <f>MAX(B129:AF129)</f>
        <v>32.6</v>
      </c>
      <c r="AI129" s="48">
        <f>MIN(B129:AF129)</f>
        <v>-50</v>
      </c>
    </row>
    <row r="130" spans="1:37" ht="15.75" thickBot="1" x14ac:dyDescent="0.3">
      <c r="A130" s="173" t="s">
        <v>257</v>
      </c>
      <c r="B130" s="106">
        <v>92.2</v>
      </c>
      <c r="C130" s="106">
        <v>95.8</v>
      </c>
      <c r="D130" s="106">
        <v>90.4</v>
      </c>
      <c r="E130" s="106">
        <v>88.6</v>
      </c>
      <c r="F130" s="106">
        <v>92.2</v>
      </c>
      <c r="G130" s="106">
        <v>91.6</v>
      </c>
      <c r="H130" s="106">
        <v>93.3</v>
      </c>
      <c r="I130" s="106">
        <v>97.6</v>
      </c>
      <c r="J130" s="106">
        <v>106.5</v>
      </c>
      <c r="K130" s="106">
        <v>100.2</v>
      </c>
      <c r="L130" s="106">
        <v>99.6</v>
      </c>
      <c r="M130" s="106">
        <v>95.3</v>
      </c>
      <c r="N130" s="106">
        <v>96.6</v>
      </c>
      <c r="O130" s="106">
        <v>81.099999999999994</v>
      </c>
      <c r="P130" s="106">
        <v>110</v>
      </c>
      <c r="Q130" s="106">
        <v>106</v>
      </c>
      <c r="R130" s="106">
        <v>103.9</v>
      </c>
      <c r="S130" s="106">
        <v>106.5</v>
      </c>
      <c r="T130" s="106">
        <v>115.2</v>
      </c>
      <c r="U130" s="106">
        <v>113</v>
      </c>
      <c r="V130" s="106">
        <v>103.1</v>
      </c>
      <c r="W130" s="106">
        <v>100</v>
      </c>
      <c r="X130" s="106">
        <v>109</v>
      </c>
      <c r="Y130" s="106"/>
      <c r="Z130" s="106">
        <v>98</v>
      </c>
      <c r="AA130" s="106">
        <v>103</v>
      </c>
      <c r="AB130" s="106">
        <v>93.7</v>
      </c>
      <c r="AC130" s="106">
        <v>93.7</v>
      </c>
      <c r="AD130" s="106">
        <v>94.6</v>
      </c>
      <c r="AE130" s="106">
        <v>109.1</v>
      </c>
      <c r="AF130" s="106">
        <v>100.9</v>
      </c>
      <c r="AG130" s="114"/>
      <c r="AH130" s="47">
        <f>MAX(B130:AF130)</f>
        <v>115.2</v>
      </c>
      <c r="AI130" s="48">
        <f>MIN(B130:AF130)</f>
        <v>81.099999999999994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43"/>
      <c r="AH131" s="47"/>
      <c r="AI131" s="48"/>
    </row>
    <row r="132" spans="1:37" x14ac:dyDescent="0.25">
      <c r="A132" s="185" t="s">
        <v>367</v>
      </c>
      <c r="B132" s="147">
        <v>1983.89</v>
      </c>
      <c r="C132" s="147">
        <v>1984.15</v>
      </c>
      <c r="D132" s="147">
        <v>1984.4</v>
      </c>
      <c r="E132" s="147">
        <v>1984.58</v>
      </c>
      <c r="F132" s="147">
        <v>1984.8</v>
      </c>
      <c r="G132" s="147">
        <v>1985</v>
      </c>
      <c r="H132" s="147"/>
      <c r="I132" s="147">
        <v>1985.2</v>
      </c>
      <c r="J132" s="147"/>
      <c r="K132" s="147">
        <v>1985.1</v>
      </c>
      <c r="L132" s="147">
        <v>1984.72</v>
      </c>
      <c r="M132" s="147">
        <v>1984.3</v>
      </c>
      <c r="N132" s="147">
        <v>1983.7</v>
      </c>
      <c r="O132" s="147">
        <v>1983.8</v>
      </c>
      <c r="P132" s="147">
        <v>1983.9</v>
      </c>
      <c r="Q132" s="147">
        <v>1983.92</v>
      </c>
      <c r="R132" s="147">
        <v>1983.89</v>
      </c>
      <c r="S132" s="147">
        <v>1984.05</v>
      </c>
      <c r="T132" s="147">
        <v>1984.15</v>
      </c>
      <c r="U132" s="147">
        <v>1984.17</v>
      </c>
      <c r="V132" s="147">
        <v>1984.12</v>
      </c>
      <c r="W132" s="147"/>
      <c r="X132" s="147">
        <v>1984.2</v>
      </c>
      <c r="Y132" s="147"/>
      <c r="Z132" s="147">
        <v>1984.03</v>
      </c>
      <c r="AA132" s="147"/>
      <c r="AB132" s="147">
        <v>1983.3</v>
      </c>
      <c r="AC132" s="147"/>
      <c r="AD132" s="147">
        <v>1983.38</v>
      </c>
      <c r="AE132" s="147">
        <v>1983.41</v>
      </c>
      <c r="AF132" s="147">
        <v>1983.5</v>
      </c>
      <c r="AG132" s="149"/>
      <c r="AH132" s="47"/>
      <c r="AI132" s="48"/>
    </row>
    <row r="133" spans="1:37" x14ac:dyDescent="0.25">
      <c r="A133" s="185" t="s">
        <v>238</v>
      </c>
      <c r="B133" s="150">
        <v>520.24</v>
      </c>
      <c r="C133" s="150">
        <v>520.6</v>
      </c>
      <c r="D133" s="150">
        <v>520.91</v>
      </c>
      <c r="E133" s="150">
        <v>521.25</v>
      </c>
      <c r="F133" s="150">
        <v>521.6</v>
      </c>
      <c r="G133" s="150">
        <v>521.88</v>
      </c>
      <c r="H133" s="150"/>
      <c r="I133" s="150">
        <v>521.96</v>
      </c>
      <c r="J133" s="150"/>
      <c r="K133" s="150">
        <v>521.64</v>
      </c>
      <c r="L133" s="150">
        <v>521.4</v>
      </c>
      <c r="M133" s="150">
        <v>521.17999999999995</v>
      </c>
      <c r="N133" s="150">
        <v>520.91999999999996</v>
      </c>
      <c r="O133" s="150">
        <v>520.78</v>
      </c>
      <c r="P133" s="150">
        <v>520.72</v>
      </c>
      <c r="Q133" s="150">
        <v>520.64</v>
      </c>
      <c r="R133" s="150">
        <v>520.51</v>
      </c>
      <c r="S133" s="150">
        <v>520.44000000000005</v>
      </c>
      <c r="T133" s="150">
        <v>520.38</v>
      </c>
      <c r="U133" s="150">
        <v>520.30999999999995</v>
      </c>
      <c r="V133" s="150">
        <v>520.25</v>
      </c>
      <c r="W133" s="150"/>
      <c r="X133" s="150">
        <v>520.32000000000005</v>
      </c>
      <c r="Y133" s="150"/>
      <c r="Z133" s="150">
        <v>520</v>
      </c>
      <c r="AA133" s="150"/>
      <c r="AB133" s="150">
        <v>519.27</v>
      </c>
      <c r="AC133" s="150"/>
      <c r="AD133" s="150">
        <v>519.30999999999995</v>
      </c>
      <c r="AE133" s="150">
        <v>519.54999999999995</v>
      </c>
      <c r="AF133" s="150">
        <v>519.96</v>
      </c>
      <c r="AG133" s="149"/>
      <c r="AH133" s="47"/>
      <c r="AI133" s="48"/>
    </row>
    <row r="134" spans="1:37" x14ac:dyDescent="0.25">
      <c r="A134" s="185" t="s">
        <v>239</v>
      </c>
      <c r="B134" s="150"/>
      <c r="C134" s="150"/>
      <c r="D134" s="150">
        <v>622.25</v>
      </c>
      <c r="E134" s="150">
        <v>623.1</v>
      </c>
      <c r="F134" s="150">
        <v>623.26</v>
      </c>
      <c r="G134" s="150">
        <v>623.32000000000005</v>
      </c>
      <c r="H134" s="150"/>
      <c r="I134" s="150">
        <v>623.26</v>
      </c>
      <c r="J134" s="150"/>
      <c r="K134" s="150">
        <v>623.22</v>
      </c>
      <c r="L134" s="150">
        <v>623.16</v>
      </c>
      <c r="M134" s="150">
        <v>623.09</v>
      </c>
      <c r="N134" s="150">
        <v>623.03</v>
      </c>
      <c r="O134" s="150">
        <v>623.01</v>
      </c>
      <c r="P134" s="150">
        <v>623.29999999999995</v>
      </c>
      <c r="Q134" s="150">
        <v>623.11</v>
      </c>
      <c r="R134" s="150">
        <v>623.15</v>
      </c>
      <c r="S134" s="150">
        <v>623.15</v>
      </c>
      <c r="T134" s="150">
        <v>623.02</v>
      </c>
      <c r="U134" s="150">
        <v>622.9</v>
      </c>
      <c r="V134" s="150">
        <v>622.71</v>
      </c>
      <c r="W134" s="150"/>
      <c r="X134" s="150">
        <v>622.72</v>
      </c>
      <c r="Y134" s="150"/>
      <c r="Z134" s="150">
        <v>622.55999999999995</v>
      </c>
      <c r="AA134" s="150"/>
      <c r="AB134" s="150">
        <v>622.5</v>
      </c>
      <c r="AC134" s="150"/>
      <c r="AD134" s="150">
        <v>622.54999999999995</v>
      </c>
      <c r="AE134" s="150">
        <v>622.57000000000005</v>
      </c>
      <c r="AF134" s="150">
        <v>622.54999999999995</v>
      </c>
      <c r="AG134" s="149"/>
      <c r="AH134" s="47"/>
      <c r="AI134" s="48"/>
    </row>
    <row r="135" spans="1:37" x14ac:dyDescent="0.25">
      <c r="A135" s="185" t="s">
        <v>240</v>
      </c>
      <c r="B135" s="150">
        <v>334.79</v>
      </c>
      <c r="C135" s="150">
        <v>335.1</v>
      </c>
      <c r="D135" s="150">
        <v>335.5</v>
      </c>
      <c r="E135" s="150">
        <v>335.83</v>
      </c>
      <c r="F135" s="150">
        <v>336.16</v>
      </c>
      <c r="G135" s="150">
        <v>336.51</v>
      </c>
      <c r="H135" s="150"/>
      <c r="I135" s="150">
        <v>336.57</v>
      </c>
      <c r="J135" s="150"/>
      <c r="K135" s="150">
        <v>336.41</v>
      </c>
      <c r="L135" s="150">
        <v>336.22</v>
      </c>
      <c r="M135" s="150">
        <v>336.1</v>
      </c>
      <c r="N135" s="150">
        <v>335.71</v>
      </c>
      <c r="O135" s="150">
        <v>335.38</v>
      </c>
      <c r="P135" s="150">
        <v>335.99</v>
      </c>
      <c r="Q135" s="150">
        <v>334.59</v>
      </c>
      <c r="R135" s="150">
        <v>334.25</v>
      </c>
      <c r="S135" s="150">
        <v>334.2</v>
      </c>
      <c r="T135" s="150">
        <v>334.3</v>
      </c>
      <c r="U135" s="150">
        <v>334.53</v>
      </c>
      <c r="V135" s="150">
        <v>334.68</v>
      </c>
      <c r="W135" s="150"/>
      <c r="X135" s="150">
        <v>334.8</v>
      </c>
      <c r="Y135" s="150"/>
      <c r="Z135" s="150">
        <v>334.77</v>
      </c>
      <c r="AA135" s="150"/>
      <c r="AB135" s="150">
        <v>334.51</v>
      </c>
      <c r="AC135" s="150"/>
      <c r="AD135" s="150">
        <v>334.47</v>
      </c>
      <c r="AE135" s="150">
        <v>334.51</v>
      </c>
      <c r="AF135" s="150">
        <v>334.84</v>
      </c>
      <c r="AG135" s="149"/>
      <c r="AH135" s="47"/>
      <c r="AI135" s="48"/>
    </row>
    <row r="136" spans="1:37" x14ac:dyDescent="0.25">
      <c r="A136" s="185" t="s">
        <v>384</v>
      </c>
      <c r="B136" s="150"/>
      <c r="C136" s="150">
        <v>886.7</v>
      </c>
      <c r="D136" s="150">
        <v>887.2</v>
      </c>
      <c r="E136" s="150">
        <v>887.6</v>
      </c>
      <c r="F136" s="150">
        <v>887.8</v>
      </c>
      <c r="G136" s="150"/>
      <c r="H136" s="150"/>
      <c r="I136" s="150">
        <v>887.5</v>
      </c>
      <c r="J136" s="150"/>
      <c r="K136" s="150">
        <v>886.7</v>
      </c>
      <c r="L136" s="150">
        <v>886.1</v>
      </c>
      <c r="M136" s="150">
        <v>885.6</v>
      </c>
      <c r="N136" s="150">
        <v>884.4</v>
      </c>
      <c r="O136" s="150">
        <v>884.2</v>
      </c>
      <c r="P136" s="150">
        <v>884.2</v>
      </c>
      <c r="Q136" s="150">
        <v>884</v>
      </c>
      <c r="R136" s="150">
        <v>883.9</v>
      </c>
      <c r="S136" s="150">
        <v>884.6</v>
      </c>
      <c r="T136" s="150">
        <v>885.2</v>
      </c>
      <c r="U136" s="150">
        <v>885.6</v>
      </c>
      <c r="V136" s="150">
        <v>886.2</v>
      </c>
      <c r="W136" s="150"/>
      <c r="X136" s="150">
        <v>886.7</v>
      </c>
      <c r="Y136" s="150"/>
      <c r="Z136" s="150">
        <v>886.3</v>
      </c>
      <c r="AA136" s="150"/>
      <c r="AB136" s="150">
        <v>884.7</v>
      </c>
      <c r="AC136" s="150"/>
      <c r="AD136" s="150">
        <v>884.4</v>
      </c>
      <c r="AE136" s="150">
        <v>884.3</v>
      </c>
      <c r="AF136" s="150">
        <v>884.2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1519.55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1519.56</v>
      </c>
      <c r="N137" s="152"/>
      <c r="O137" s="152"/>
      <c r="P137" s="152"/>
      <c r="Q137" s="152"/>
      <c r="R137" s="152">
        <v>1519.57</v>
      </c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60">SUM(B139:B243)</f>
        <v>0</v>
      </c>
      <c r="C244" s="134">
        <f t="shared" si="160"/>
        <v>0</v>
      </c>
      <c r="D244" s="134">
        <f t="shared" si="160"/>
        <v>0</v>
      </c>
      <c r="E244" s="134">
        <f t="shared" si="160"/>
        <v>0</v>
      </c>
      <c r="F244" s="134">
        <f t="shared" si="160"/>
        <v>0</v>
      </c>
      <c r="G244" s="134">
        <f t="shared" si="160"/>
        <v>0</v>
      </c>
      <c r="H244" s="134">
        <f t="shared" si="160"/>
        <v>0</v>
      </c>
      <c r="I244" s="134">
        <f t="shared" si="160"/>
        <v>0</v>
      </c>
      <c r="J244" s="134">
        <f t="shared" si="160"/>
        <v>0</v>
      </c>
      <c r="K244" s="134">
        <f t="shared" si="160"/>
        <v>0</v>
      </c>
      <c r="L244" s="134">
        <f t="shared" si="160"/>
        <v>0</v>
      </c>
      <c r="M244" s="134">
        <f t="shared" si="160"/>
        <v>0</v>
      </c>
      <c r="N244" s="134">
        <f t="shared" si="160"/>
        <v>0</v>
      </c>
      <c r="O244" s="134">
        <f t="shared" si="160"/>
        <v>0</v>
      </c>
      <c r="P244" s="134">
        <f t="shared" si="160"/>
        <v>0</v>
      </c>
      <c r="Q244" s="134">
        <f t="shared" si="160"/>
        <v>0</v>
      </c>
      <c r="R244" s="134">
        <f t="shared" si="160"/>
        <v>0</v>
      </c>
      <c r="S244" s="134">
        <f t="shared" si="160"/>
        <v>0</v>
      </c>
      <c r="T244" s="134">
        <f t="shared" si="160"/>
        <v>0</v>
      </c>
      <c r="U244" s="134">
        <f t="shared" si="160"/>
        <v>0</v>
      </c>
      <c r="V244" s="134">
        <f t="shared" si="160"/>
        <v>0</v>
      </c>
      <c r="W244" s="134">
        <f t="shared" si="160"/>
        <v>0</v>
      </c>
      <c r="X244" s="134">
        <f t="shared" si="160"/>
        <v>0</v>
      </c>
      <c r="Y244" s="134">
        <f t="shared" si="160"/>
        <v>0</v>
      </c>
      <c r="Z244" s="134">
        <f t="shared" si="160"/>
        <v>0</v>
      </c>
      <c r="AA244" s="134">
        <f t="shared" si="160"/>
        <v>0</v>
      </c>
      <c r="AB244" s="134">
        <f t="shared" si="160"/>
        <v>0</v>
      </c>
      <c r="AC244" s="134">
        <f t="shared" si="160"/>
        <v>0</v>
      </c>
      <c r="AD244" s="134">
        <f t="shared" si="160"/>
        <v>0</v>
      </c>
      <c r="AE244" s="134">
        <f t="shared" si="160"/>
        <v>0</v>
      </c>
      <c r="AF244" s="135">
        <f t="shared" si="160"/>
        <v>0</v>
      </c>
      <c r="AG244" s="136">
        <f t="shared" si="16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61">AF246</f>
        <v>0.3</v>
      </c>
      <c r="C246" s="138">
        <v>0.3</v>
      </c>
      <c r="D246" s="138">
        <f t="shared" ref="D246:S251" si="162">C246</f>
        <v>0.3</v>
      </c>
      <c r="E246" s="138">
        <f t="shared" si="162"/>
        <v>0.3</v>
      </c>
      <c r="F246" s="138">
        <f t="shared" si="162"/>
        <v>0.3</v>
      </c>
      <c r="G246" s="138">
        <f t="shared" si="162"/>
        <v>0.3</v>
      </c>
      <c r="H246" s="138">
        <f t="shared" si="162"/>
        <v>0.3</v>
      </c>
      <c r="I246" s="138">
        <f t="shared" si="162"/>
        <v>0.3</v>
      </c>
      <c r="J246" s="138">
        <f t="shared" si="162"/>
        <v>0.3</v>
      </c>
      <c r="K246" s="138">
        <f t="shared" si="162"/>
        <v>0.3</v>
      </c>
      <c r="L246" s="138">
        <f t="shared" si="162"/>
        <v>0.3</v>
      </c>
      <c r="M246" s="138">
        <f t="shared" si="162"/>
        <v>0.3</v>
      </c>
      <c r="N246" s="138">
        <f t="shared" si="162"/>
        <v>0.3</v>
      </c>
      <c r="O246" s="138">
        <f t="shared" si="162"/>
        <v>0.3</v>
      </c>
      <c r="P246" s="138">
        <f t="shared" si="162"/>
        <v>0.3</v>
      </c>
      <c r="Q246" s="138">
        <f t="shared" si="162"/>
        <v>0.3</v>
      </c>
      <c r="R246" s="138">
        <f t="shared" si="162"/>
        <v>0.3</v>
      </c>
      <c r="S246" s="138">
        <f t="shared" si="162"/>
        <v>0.3</v>
      </c>
      <c r="T246" s="138">
        <f t="shared" ref="T246:AF251" si="163">S246</f>
        <v>0.3</v>
      </c>
      <c r="U246" s="138">
        <f t="shared" si="163"/>
        <v>0.3</v>
      </c>
      <c r="V246" s="138">
        <f t="shared" si="163"/>
        <v>0.3</v>
      </c>
      <c r="W246" s="138">
        <f t="shared" si="163"/>
        <v>0.3</v>
      </c>
      <c r="X246" s="138">
        <f t="shared" si="163"/>
        <v>0.3</v>
      </c>
      <c r="Y246" s="138">
        <f t="shared" si="163"/>
        <v>0.3</v>
      </c>
      <c r="Z246" s="138">
        <f t="shared" si="163"/>
        <v>0.3</v>
      </c>
      <c r="AA246" s="138">
        <f t="shared" si="163"/>
        <v>0.3</v>
      </c>
      <c r="AB246" s="138">
        <f t="shared" si="163"/>
        <v>0.3</v>
      </c>
      <c r="AC246" s="138">
        <f t="shared" si="163"/>
        <v>0.3</v>
      </c>
      <c r="AD246" s="138">
        <f t="shared" si="163"/>
        <v>0.3</v>
      </c>
      <c r="AE246" s="138">
        <f t="shared" si="163"/>
        <v>0.3</v>
      </c>
      <c r="AF246" s="138">
        <f t="shared" si="16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61"/>
        <v>0.4</v>
      </c>
      <c r="C247" s="126">
        <v>0.4</v>
      </c>
      <c r="D247" s="126">
        <f t="shared" si="162"/>
        <v>0.4</v>
      </c>
      <c r="E247" s="126">
        <f t="shared" si="162"/>
        <v>0.4</v>
      </c>
      <c r="F247" s="126">
        <f t="shared" si="162"/>
        <v>0.4</v>
      </c>
      <c r="G247" s="126">
        <f t="shared" si="162"/>
        <v>0.4</v>
      </c>
      <c r="H247" s="126">
        <f t="shared" si="162"/>
        <v>0.4</v>
      </c>
      <c r="I247" s="126">
        <f t="shared" si="162"/>
        <v>0.4</v>
      </c>
      <c r="J247" s="126">
        <f t="shared" si="162"/>
        <v>0.4</v>
      </c>
      <c r="K247" s="126">
        <f t="shared" si="162"/>
        <v>0.4</v>
      </c>
      <c r="L247" s="126">
        <f t="shared" si="162"/>
        <v>0.4</v>
      </c>
      <c r="M247" s="126">
        <f t="shared" si="162"/>
        <v>0.4</v>
      </c>
      <c r="N247" s="126">
        <f t="shared" si="162"/>
        <v>0.4</v>
      </c>
      <c r="O247" s="126">
        <f t="shared" si="162"/>
        <v>0.4</v>
      </c>
      <c r="P247" s="126">
        <f t="shared" si="162"/>
        <v>0.4</v>
      </c>
      <c r="Q247" s="126">
        <f t="shared" si="162"/>
        <v>0.4</v>
      </c>
      <c r="R247" s="126">
        <f t="shared" si="162"/>
        <v>0.4</v>
      </c>
      <c r="S247" s="126">
        <f t="shared" si="162"/>
        <v>0.4</v>
      </c>
      <c r="T247" s="126">
        <f t="shared" si="163"/>
        <v>0.4</v>
      </c>
      <c r="U247" s="126">
        <f t="shared" si="163"/>
        <v>0.4</v>
      </c>
      <c r="V247" s="126">
        <f t="shared" si="163"/>
        <v>0.4</v>
      </c>
      <c r="W247" s="126">
        <f t="shared" si="163"/>
        <v>0.4</v>
      </c>
      <c r="X247" s="126">
        <f t="shared" si="163"/>
        <v>0.4</v>
      </c>
      <c r="Y247" s="126">
        <f t="shared" si="163"/>
        <v>0.4</v>
      </c>
      <c r="Z247" s="126">
        <f t="shared" si="163"/>
        <v>0.4</v>
      </c>
      <c r="AA247" s="126">
        <f t="shared" si="163"/>
        <v>0.4</v>
      </c>
      <c r="AB247" s="126">
        <f t="shared" si="163"/>
        <v>0.4</v>
      </c>
      <c r="AC247" s="126">
        <f t="shared" si="163"/>
        <v>0.4</v>
      </c>
      <c r="AD247" s="126">
        <f t="shared" si="163"/>
        <v>0.4</v>
      </c>
      <c r="AE247" s="126">
        <f t="shared" si="163"/>
        <v>0.4</v>
      </c>
      <c r="AF247" s="126">
        <f t="shared" si="16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61"/>
        <v>1.5</v>
      </c>
      <c r="C248" s="126">
        <v>1.5</v>
      </c>
      <c r="D248" s="126">
        <f t="shared" si="162"/>
        <v>1.5</v>
      </c>
      <c r="E248" s="126">
        <f t="shared" si="162"/>
        <v>1.5</v>
      </c>
      <c r="F248" s="126">
        <f t="shared" si="162"/>
        <v>1.5</v>
      </c>
      <c r="G248" s="126">
        <f t="shared" si="162"/>
        <v>1.5</v>
      </c>
      <c r="H248" s="126">
        <f t="shared" si="162"/>
        <v>1.5</v>
      </c>
      <c r="I248" s="126">
        <f t="shared" si="162"/>
        <v>1.5</v>
      </c>
      <c r="J248" s="126">
        <f t="shared" si="162"/>
        <v>1.5</v>
      </c>
      <c r="K248" s="126">
        <f t="shared" si="162"/>
        <v>1.5</v>
      </c>
      <c r="L248" s="126">
        <f t="shared" si="162"/>
        <v>1.5</v>
      </c>
      <c r="M248" s="126">
        <f t="shared" si="162"/>
        <v>1.5</v>
      </c>
      <c r="N248" s="126">
        <f t="shared" si="162"/>
        <v>1.5</v>
      </c>
      <c r="O248" s="126">
        <f t="shared" si="162"/>
        <v>1.5</v>
      </c>
      <c r="P248" s="126">
        <f t="shared" si="162"/>
        <v>1.5</v>
      </c>
      <c r="Q248" s="126">
        <f t="shared" si="162"/>
        <v>1.5</v>
      </c>
      <c r="R248" s="126">
        <f t="shared" si="162"/>
        <v>1.5</v>
      </c>
      <c r="S248" s="126">
        <f t="shared" si="162"/>
        <v>1.5</v>
      </c>
      <c r="T248" s="126">
        <f t="shared" si="163"/>
        <v>1.5</v>
      </c>
      <c r="U248" s="126">
        <f t="shared" si="163"/>
        <v>1.5</v>
      </c>
      <c r="V248" s="126">
        <f t="shared" si="163"/>
        <v>1.5</v>
      </c>
      <c r="W248" s="126">
        <f t="shared" si="163"/>
        <v>1.5</v>
      </c>
      <c r="X248" s="126">
        <f t="shared" si="163"/>
        <v>1.5</v>
      </c>
      <c r="Y248" s="126">
        <f t="shared" si="163"/>
        <v>1.5</v>
      </c>
      <c r="Z248" s="126">
        <f t="shared" si="163"/>
        <v>1.5</v>
      </c>
      <c r="AA248" s="126">
        <f t="shared" si="163"/>
        <v>1.5</v>
      </c>
      <c r="AB248" s="126">
        <f t="shared" si="163"/>
        <v>1.5</v>
      </c>
      <c r="AC248" s="126">
        <f t="shared" si="163"/>
        <v>1.5</v>
      </c>
      <c r="AD248" s="126">
        <f t="shared" si="163"/>
        <v>1.5</v>
      </c>
      <c r="AE248" s="126">
        <f t="shared" si="163"/>
        <v>1.5</v>
      </c>
      <c r="AF248" s="126">
        <f t="shared" si="16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61"/>
        <v>0.3</v>
      </c>
      <c r="C249" s="126">
        <v>0.3</v>
      </c>
      <c r="D249" s="126">
        <f t="shared" si="162"/>
        <v>0.3</v>
      </c>
      <c r="E249" s="126">
        <f t="shared" si="162"/>
        <v>0.3</v>
      </c>
      <c r="F249" s="126">
        <f t="shared" si="162"/>
        <v>0.3</v>
      </c>
      <c r="G249" s="126">
        <f t="shared" si="162"/>
        <v>0.3</v>
      </c>
      <c r="H249" s="126">
        <f t="shared" si="162"/>
        <v>0.3</v>
      </c>
      <c r="I249" s="126">
        <f t="shared" si="162"/>
        <v>0.3</v>
      </c>
      <c r="J249" s="126">
        <f t="shared" si="162"/>
        <v>0.3</v>
      </c>
      <c r="K249" s="126">
        <f t="shared" si="162"/>
        <v>0.3</v>
      </c>
      <c r="L249" s="126">
        <f t="shared" si="162"/>
        <v>0.3</v>
      </c>
      <c r="M249" s="126">
        <f t="shared" si="162"/>
        <v>0.3</v>
      </c>
      <c r="N249" s="126">
        <f t="shared" si="162"/>
        <v>0.3</v>
      </c>
      <c r="O249" s="126">
        <f t="shared" si="162"/>
        <v>0.3</v>
      </c>
      <c r="P249" s="126">
        <f t="shared" si="162"/>
        <v>0.3</v>
      </c>
      <c r="Q249" s="126">
        <f t="shared" si="162"/>
        <v>0.3</v>
      </c>
      <c r="R249" s="126">
        <f t="shared" si="162"/>
        <v>0.3</v>
      </c>
      <c r="S249" s="126">
        <f t="shared" si="162"/>
        <v>0.3</v>
      </c>
      <c r="T249" s="126">
        <f t="shared" si="163"/>
        <v>0.3</v>
      </c>
      <c r="U249" s="126">
        <f t="shared" si="163"/>
        <v>0.3</v>
      </c>
      <c r="V249" s="126">
        <f t="shared" si="163"/>
        <v>0.3</v>
      </c>
      <c r="W249" s="126">
        <f t="shared" si="163"/>
        <v>0.3</v>
      </c>
      <c r="X249" s="126">
        <f t="shared" si="163"/>
        <v>0.3</v>
      </c>
      <c r="Y249" s="126">
        <f t="shared" si="163"/>
        <v>0.3</v>
      </c>
      <c r="Z249" s="126">
        <f t="shared" si="163"/>
        <v>0.3</v>
      </c>
      <c r="AA249" s="126">
        <f t="shared" si="163"/>
        <v>0.3</v>
      </c>
      <c r="AB249" s="126">
        <f t="shared" si="163"/>
        <v>0.3</v>
      </c>
      <c r="AC249" s="126">
        <f t="shared" si="163"/>
        <v>0.3</v>
      </c>
      <c r="AD249" s="126">
        <f t="shared" si="163"/>
        <v>0.3</v>
      </c>
      <c r="AE249" s="126">
        <f t="shared" si="163"/>
        <v>0.3</v>
      </c>
      <c r="AF249" s="126">
        <f t="shared" si="16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61"/>
        <v>0.4</v>
      </c>
      <c r="C250" s="126">
        <v>0.4</v>
      </c>
      <c r="D250" s="126">
        <f t="shared" si="162"/>
        <v>0.4</v>
      </c>
      <c r="E250" s="126">
        <f t="shared" si="162"/>
        <v>0.4</v>
      </c>
      <c r="F250" s="126">
        <f t="shared" si="162"/>
        <v>0.4</v>
      </c>
      <c r="G250" s="126">
        <f t="shared" si="162"/>
        <v>0.4</v>
      </c>
      <c r="H250" s="126">
        <f t="shared" si="162"/>
        <v>0.4</v>
      </c>
      <c r="I250" s="126">
        <f t="shared" si="162"/>
        <v>0.4</v>
      </c>
      <c r="J250" s="126">
        <f t="shared" si="162"/>
        <v>0.4</v>
      </c>
      <c r="K250" s="126">
        <f t="shared" si="162"/>
        <v>0.4</v>
      </c>
      <c r="L250" s="126">
        <f t="shared" si="162"/>
        <v>0.4</v>
      </c>
      <c r="M250" s="126">
        <f t="shared" si="162"/>
        <v>0.4</v>
      </c>
      <c r="N250" s="126">
        <f t="shared" si="162"/>
        <v>0.4</v>
      </c>
      <c r="O250" s="126">
        <f t="shared" si="162"/>
        <v>0.4</v>
      </c>
      <c r="P250" s="126">
        <f t="shared" si="162"/>
        <v>0.4</v>
      </c>
      <c r="Q250" s="126">
        <f t="shared" si="162"/>
        <v>0.4</v>
      </c>
      <c r="R250" s="126">
        <f t="shared" si="162"/>
        <v>0.4</v>
      </c>
      <c r="S250" s="126">
        <f t="shared" si="162"/>
        <v>0.4</v>
      </c>
      <c r="T250" s="126">
        <f t="shared" si="163"/>
        <v>0.4</v>
      </c>
      <c r="U250" s="126">
        <f t="shared" si="163"/>
        <v>0.4</v>
      </c>
      <c r="V250" s="126">
        <f t="shared" si="163"/>
        <v>0.4</v>
      </c>
      <c r="W250" s="126">
        <f t="shared" si="163"/>
        <v>0.4</v>
      </c>
      <c r="X250" s="126">
        <f t="shared" si="163"/>
        <v>0.4</v>
      </c>
      <c r="Y250" s="126">
        <f t="shared" si="163"/>
        <v>0.4</v>
      </c>
      <c r="Z250" s="126">
        <f t="shared" si="163"/>
        <v>0.4</v>
      </c>
      <c r="AA250" s="126">
        <f t="shared" si="163"/>
        <v>0.4</v>
      </c>
      <c r="AB250" s="126">
        <f t="shared" si="163"/>
        <v>0.4</v>
      </c>
      <c r="AC250" s="126">
        <f t="shared" si="163"/>
        <v>0.4</v>
      </c>
      <c r="AD250" s="126">
        <f t="shared" si="163"/>
        <v>0.4</v>
      </c>
      <c r="AE250" s="126">
        <f t="shared" si="163"/>
        <v>0.4</v>
      </c>
      <c r="AF250" s="126">
        <f t="shared" si="16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61"/>
        <v>0.64</v>
      </c>
      <c r="C251" s="130">
        <v>0.64</v>
      </c>
      <c r="D251" s="130">
        <f t="shared" si="162"/>
        <v>0.64</v>
      </c>
      <c r="E251" s="130">
        <f t="shared" si="162"/>
        <v>0.64</v>
      </c>
      <c r="F251" s="130">
        <f t="shared" si="162"/>
        <v>0.64</v>
      </c>
      <c r="G251" s="130">
        <f t="shared" si="162"/>
        <v>0.64</v>
      </c>
      <c r="H251" s="130">
        <f t="shared" si="162"/>
        <v>0.64</v>
      </c>
      <c r="I251" s="130">
        <f t="shared" si="162"/>
        <v>0.64</v>
      </c>
      <c r="J251" s="130">
        <f t="shared" si="162"/>
        <v>0.64</v>
      </c>
      <c r="K251" s="130">
        <f t="shared" si="162"/>
        <v>0.64</v>
      </c>
      <c r="L251" s="130">
        <f t="shared" si="162"/>
        <v>0.64</v>
      </c>
      <c r="M251" s="130">
        <f t="shared" si="162"/>
        <v>0.64</v>
      </c>
      <c r="N251" s="130">
        <f t="shared" si="162"/>
        <v>0.64</v>
      </c>
      <c r="O251" s="130">
        <f t="shared" si="162"/>
        <v>0.64</v>
      </c>
      <c r="P251" s="130">
        <f t="shared" si="162"/>
        <v>0.64</v>
      </c>
      <c r="Q251" s="130">
        <f t="shared" si="162"/>
        <v>0.64</v>
      </c>
      <c r="R251" s="130">
        <f t="shared" si="162"/>
        <v>0.64</v>
      </c>
      <c r="S251" s="130">
        <f t="shared" si="162"/>
        <v>0.64</v>
      </c>
      <c r="T251" s="130">
        <f t="shared" si="163"/>
        <v>0.64</v>
      </c>
      <c r="U251" s="130">
        <f t="shared" si="163"/>
        <v>0.64</v>
      </c>
      <c r="V251" s="130">
        <f t="shared" si="163"/>
        <v>0.64</v>
      </c>
      <c r="W251" s="130">
        <f t="shared" si="163"/>
        <v>0.64</v>
      </c>
      <c r="X251" s="130">
        <f t="shared" si="163"/>
        <v>0.64</v>
      </c>
      <c r="Y251" s="130">
        <f t="shared" si="163"/>
        <v>0.64</v>
      </c>
      <c r="Z251" s="130">
        <f t="shared" si="163"/>
        <v>0.64</v>
      </c>
      <c r="AA251" s="130">
        <f t="shared" si="163"/>
        <v>0.64</v>
      </c>
      <c r="AB251" s="130">
        <f t="shared" si="163"/>
        <v>0.64</v>
      </c>
      <c r="AC251" s="130">
        <f t="shared" si="163"/>
        <v>0.64</v>
      </c>
      <c r="AD251" s="130">
        <f t="shared" si="163"/>
        <v>0.64</v>
      </c>
      <c r="AE251" s="130">
        <f t="shared" si="163"/>
        <v>0.64</v>
      </c>
      <c r="AF251" s="130">
        <f t="shared" si="16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64">SUM(B246:B251)</f>
        <v>3.54</v>
      </c>
      <c r="C252" s="134">
        <f t="shared" si="164"/>
        <v>3.54</v>
      </c>
      <c r="D252" s="134">
        <f t="shared" si="164"/>
        <v>3.54</v>
      </c>
      <c r="E252" s="134">
        <f t="shared" si="164"/>
        <v>3.54</v>
      </c>
      <c r="F252" s="134">
        <f t="shared" si="164"/>
        <v>3.54</v>
      </c>
      <c r="G252" s="134">
        <f t="shared" si="164"/>
        <v>3.54</v>
      </c>
      <c r="H252" s="134">
        <f t="shared" si="164"/>
        <v>3.54</v>
      </c>
      <c r="I252" s="134">
        <f t="shared" si="164"/>
        <v>3.54</v>
      </c>
      <c r="J252" s="134">
        <f t="shared" si="164"/>
        <v>3.54</v>
      </c>
      <c r="K252" s="134">
        <f t="shared" si="164"/>
        <v>3.54</v>
      </c>
      <c r="L252" s="134">
        <f t="shared" si="164"/>
        <v>3.54</v>
      </c>
      <c r="M252" s="134">
        <f t="shared" si="164"/>
        <v>3.54</v>
      </c>
      <c r="N252" s="134">
        <f t="shared" si="164"/>
        <v>3.54</v>
      </c>
      <c r="O252" s="134">
        <f t="shared" si="164"/>
        <v>3.54</v>
      </c>
      <c r="P252" s="134">
        <f t="shared" si="164"/>
        <v>3.54</v>
      </c>
      <c r="Q252" s="134">
        <f t="shared" si="164"/>
        <v>3.54</v>
      </c>
      <c r="R252" s="134">
        <f t="shared" si="164"/>
        <v>3.54</v>
      </c>
      <c r="S252" s="134">
        <f t="shared" si="164"/>
        <v>3.54</v>
      </c>
      <c r="T252" s="134">
        <f t="shared" si="164"/>
        <v>3.54</v>
      </c>
      <c r="U252" s="134">
        <f t="shared" si="164"/>
        <v>3.54</v>
      </c>
      <c r="V252" s="134">
        <f t="shared" si="164"/>
        <v>3.54</v>
      </c>
      <c r="W252" s="134">
        <f t="shared" si="164"/>
        <v>3.54</v>
      </c>
      <c r="X252" s="134">
        <f t="shared" si="164"/>
        <v>3.54</v>
      </c>
      <c r="Y252" s="134">
        <f t="shared" si="164"/>
        <v>3.54</v>
      </c>
      <c r="Z252" s="134">
        <f t="shared" si="164"/>
        <v>3.54</v>
      </c>
      <c r="AA252" s="134">
        <f t="shared" si="164"/>
        <v>3.54</v>
      </c>
      <c r="AB252" s="134">
        <f t="shared" si="164"/>
        <v>3.54</v>
      </c>
      <c r="AC252" s="134">
        <f t="shared" si="164"/>
        <v>3.54</v>
      </c>
      <c r="AD252" s="134">
        <f t="shared" si="164"/>
        <v>3.54</v>
      </c>
      <c r="AE252" s="134">
        <f t="shared" si="164"/>
        <v>3.54</v>
      </c>
      <c r="AF252" s="134">
        <f t="shared" si="164"/>
        <v>3.54</v>
      </c>
      <c r="AG252" s="143">
        <f t="shared" si="16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1733.19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2080/10/17)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3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3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3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3:34" x14ac:dyDescent="0.25">
      <c r="M292" s="232">
        <f>M83+M59</f>
        <v>438</v>
      </c>
      <c r="N292" s="232">
        <f t="shared" ref="N292:AF292" si="165">N83+N59</f>
        <v>425</v>
      </c>
      <c r="O292" s="232">
        <f t="shared" si="165"/>
        <v>409.4</v>
      </c>
      <c r="P292" s="232">
        <f t="shared" si="165"/>
        <v>492</v>
      </c>
      <c r="Q292" s="232">
        <f t="shared" si="165"/>
        <v>466</v>
      </c>
      <c r="R292" s="232">
        <f t="shared" si="165"/>
        <v>490</v>
      </c>
      <c r="S292" s="232">
        <f t="shared" si="165"/>
        <v>501.9</v>
      </c>
      <c r="T292" s="232">
        <f t="shared" si="165"/>
        <v>543.1</v>
      </c>
      <c r="U292" s="232">
        <f t="shared" si="165"/>
        <v>535</v>
      </c>
      <c r="V292" s="232">
        <f t="shared" si="165"/>
        <v>475</v>
      </c>
      <c r="W292" s="232">
        <f t="shared" si="165"/>
        <v>443</v>
      </c>
      <c r="X292" s="232">
        <f t="shared" si="165"/>
        <v>556</v>
      </c>
      <c r="Y292" s="232">
        <f t="shared" si="165"/>
        <v>510</v>
      </c>
      <c r="Z292" s="232">
        <f t="shared" si="165"/>
        <v>470</v>
      </c>
      <c r="AA292" s="232">
        <f t="shared" si="165"/>
        <v>445</v>
      </c>
      <c r="AB292" s="232">
        <f t="shared" si="165"/>
        <v>456.5</v>
      </c>
      <c r="AC292" s="232">
        <f t="shared" si="165"/>
        <v>439</v>
      </c>
      <c r="AD292" s="232">
        <f t="shared" si="165"/>
        <v>460.2</v>
      </c>
      <c r="AE292" s="232">
        <f t="shared" si="165"/>
        <v>475.6</v>
      </c>
      <c r="AF292" s="232">
        <f t="shared" si="165"/>
        <v>410.9</v>
      </c>
      <c r="AG292" s="43"/>
      <c r="AH292" s="43"/>
    </row>
    <row r="293" spans="13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3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248" priority="152">
      <formula>$AH11=0</formula>
    </cfRule>
  </conditionalFormatting>
  <conditionalFormatting sqref="A132:A253">
    <cfRule type="expression" dxfId="2247" priority="153">
      <formula>$AH132=0</formula>
    </cfRule>
  </conditionalFormatting>
  <conditionalFormatting sqref="B8">
    <cfRule type="expression" dxfId="2246" priority="212">
      <formula>AND(C$9&gt;=8/24,C$9&lt;14/24)</formula>
    </cfRule>
    <cfRule type="expression" dxfId="2245" priority="211">
      <formula>AND(C$9&gt;=14/24,C$9&lt;20/24)</formula>
    </cfRule>
    <cfRule type="expression" dxfId="2244" priority="213">
      <formula>C$9&lt;8/24</formula>
    </cfRule>
    <cfRule type="expression" dxfId="2243" priority="214">
      <formula>C$9&gt;=20/24</formula>
    </cfRule>
  </conditionalFormatting>
  <conditionalFormatting sqref="B68:L68">
    <cfRule type="expression" dxfId="2242" priority="33">
      <formula>AND(B$9&gt;=8/24,B$9&lt;14/24)</formula>
    </cfRule>
    <cfRule type="expression" dxfId="2241" priority="32">
      <formula>AND(B$9&gt;=14/24,B$9&lt;20/24)</formula>
    </cfRule>
    <cfRule type="expression" dxfId="2240" priority="34">
      <formula>B$9&lt;8/24</formula>
    </cfRule>
    <cfRule type="expression" dxfId="2239" priority="31">
      <formula>B$9&gt;=20/24</formula>
    </cfRule>
  </conditionalFormatting>
  <conditionalFormatting sqref="B12:AB52 AC13:AF52 B59:L74 M70:AF74 B77:AF99 B101:AF117 B119:AF137">
    <cfRule type="expression" dxfId="2238" priority="5">
      <formula>B$9&gt;=20/24</formula>
    </cfRule>
    <cfRule type="expression" dxfId="2237" priority="6">
      <formula>AND(B$9&gt;=14/24,B$9&lt;20/24)</formula>
    </cfRule>
    <cfRule type="expression" dxfId="2236" priority="7">
      <formula>AND(B$9&gt;=8/24,B$9&lt;14/24)</formula>
    </cfRule>
    <cfRule type="expression" dxfId="2235" priority="8">
      <formula>B$9&lt;8/24</formula>
    </cfRule>
  </conditionalFormatting>
  <conditionalFormatting sqref="B12:AB55 AC13:AF55 B58:L80 M70:AF80">
    <cfRule type="expression" dxfId="2234" priority="4">
      <formula>B12&gt;$AG12</formula>
    </cfRule>
  </conditionalFormatting>
  <conditionalFormatting sqref="B11:AD11">
    <cfRule type="expression" dxfId="2233" priority="13">
      <formula>B11&gt;$AG11</formula>
    </cfRule>
    <cfRule type="expression" dxfId="2232" priority="14">
      <formula>B$9&gt;=20/24</formula>
    </cfRule>
    <cfRule type="expression" dxfId="2231" priority="15">
      <formula>AND(B$9&gt;=14/24,B$9&lt;20/24)</formula>
    </cfRule>
    <cfRule type="expression" dxfId="2230" priority="16">
      <formula>AND(B$9&gt;=8/24,B$9&lt;14/24)</formula>
    </cfRule>
    <cfRule type="expression" dxfId="2229" priority="17">
      <formula>B$9&lt;8/24</formula>
    </cfRule>
  </conditionalFormatting>
  <conditionalFormatting sqref="B9:AF10 M69:AF69 B244:AF244 B246:B252">
    <cfRule type="expression" dxfId="2228" priority="105">
      <formula>AND(B$9&gt;=8/24,B$9&lt;14/24)</formula>
    </cfRule>
    <cfRule type="expression" dxfId="2227" priority="106">
      <formula>B$9&lt;8/24</formula>
    </cfRule>
    <cfRule type="expression" dxfId="2226" priority="104">
      <formula>AND(B$9&gt;=14/24,B$9&lt;20/24)</formula>
    </cfRule>
  </conditionalFormatting>
  <conditionalFormatting sqref="B53:AF54">
    <cfRule type="expression" dxfId="2225" priority="2">
      <formula>AND(B$9&gt;=14/24,B$9&lt;20/24)</formula>
    </cfRule>
    <cfRule type="expression" dxfId="2224" priority="3">
      <formula>AND(B$9&gt;=8/24,B$9&lt;14/24)</formula>
    </cfRule>
    <cfRule type="expression" dxfId="2223" priority="1">
      <formula>B$9&gt;=20/24</formula>
    </cfRule>
  </conditionalFormatting>
  <conditionalFormatting sqref="B53:AF55">
    <cfRule type="expression" dxfId="2222" priority="12">
      <formula>B$9&lt;8/24</formula>
    </cfRule>
  </conditionalFormatting>
  <conditionalFormatting sqref="B55:AF55">
    <cfRule type="expression" dxfId="2221" priority="9">
      <formula>B$9&gt;=20/24</formula>
    </cfRule>
    <cfRule type="expression" dxfId="2220" priority="10">
      <formula>AND(B$9&gt;=14/24,B$9&lt;20/24)</formula>
    </cfRule>
    <cfRule type="expression" dxfId="2219" priority="11">
      <formula>AND(B$9&gt;=8/24,B$9&lt;14/24)</formula>
    </cfRule>
  </conditionalFormatting>
  <conditionalFormatting sqref="D246:AF252">
    <cfRule type="expression" dxfId="2218" priority="199">
      <formula>D$9&lt;8/24</formula>
    </cfRule>
    <cfRule type="expression" dxfId="2217" priority="198">
      <formula>AND(D$9&gt;=8/24,D$9&lt;14/24)</formula>
    </cfRule>
    <cfRule type="expression" dxfId="2216" priority="197">
      <formula>AND(D$9&gt;=14/24,D$9&lt;20/24)</formula>
    </cfRule>
    <cfRule type="expression" dxfId="2215" priority="196">
      <formula>D$9&gt;=20/24</formula>
    </cfRule>
  </conditionalFormatting>
  <conditionalFormatting sqref="M8 S8 AB8">
    <cfRule type="expression" dxfId="2214" priority="205">
      <formula>N$9&lt;8/24</formula>
    </cfRule>
    <cfRule type="expression" dxfId="2213" priority="204">
      <formula>AND(N$9&gt;=8/24,N$9&lt;14/24)</formula>
    </cfRule>
    <cfRule type="expression" dxfId="2212" priority="203">
      <formula>AND(N$9&gt;=14/24,N$9&lt;20/24)</formula>
    </cfRule>
  </conditionalFormatting>
  <conditionalFormatting sqref="M63:V68">
    <cfRule type="expression" dxfId="2211" priority="140">
      <formula>M$9&gt;=20/24</formula>
    </cfRule>
    <cfRule type="expression" dxfId="2210" priority="141">
      <formula>AND(M$9&gt;=14/24,M$9&lt;20/24)</formula>
    </cfRule>
    <cfRule type="expression" dxfId="2209" priority="142">
      <formula>AND(M$9&gt;=8/24,M$9&lt;14/24)</formula>
    </cfRule>
    <cfRule type="expression" dxfId="2208" priority="143">
      <formula>M$9&lt;8/24</formula>
    </cfRule>
  </conditionalFormatting>
  <conditionalFormatting sqref="M59:AF62">
    <cfRule type="expression" dxfId="2207" priority="131">
      <formula>AND(M$9&gt;=14/24,M$9&lt;20/24)</formula>
    </cfRule>
    <cfRule type="expression" dxfId="2206" priority="130">
      <formula>M$9&gt;=20/24</formula>
    </cfRule>
    <cfRule type="expression" dxfId="2205" priority="132">
      <formula>AND(M$9&gt;=8/24,M$9&lt;14/24)</formula>
    </cfRule>
    <cfRule type="expression" dxfId="2204" priority="133">
      <formula>M$9&lt;8/24</formula>
    </cfRule>
  </conditionalFormatting>
  <conditionalFormatting sqref="M69:AF69 B9:AF10 B244:AF244 B246:B252">
    <cfRule type="expression" dxfId="2203" priority="103">
      <formula>B$9&gt;=20/24</formula>
    </cfRule>
  </conditionalFormatting>
  <conditionalFormatting sqref="O3:P3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02" priority="202">
      <formula>N$9&gt;=20/24</formula>
    </cfRule>
  </conditionalFormatting>
  <conditionalFormatting sqref="S8">
    <cfRule type="expression" dxfId="2201" priority="190">
      <formula>AND(U$9&gt;=14/24,U$9&lt;20/24)</formula>
    </cfRule>
    <cfRule type="expression" dxfId="2200" priority="189">
      <formula>U$9&gt;=20/24</formula>
    </cfRule>
    <cfRule type="expression" dxfId="2199" priority="192">
      <formula>U$9&lt;8/24</formula>
    </cfRule>
    <cfRule type="expression" dxfId="2198" priority="191">
      <formula>AND(U$9&gt;=8/24,U$9&lt;14/24)</formula>
    </cfRule>
  </conditionalFormatting>
  <conditionalFormatting sqref="T63:AD67 AE63:AF68 W68:AD68">
    <cfRule type="expression" dxfId="2197" priority="136">
      <formula>AND(T$9&gt;=8/24,T$9&lt;14/24)</formula>
    </cfRule>
    <cfRule type="expression" dxfId="2196" priority="134">
      <formula>T$9&gt;=20/24</formula>
    </cfRule>
    <cfRule type="expression" dxfId="2195" priority="137">
      <formula>T$9&lt;8/24</formula>
    </cfRule>
    <cfRule type="expression" dxfId="2194" priority="135">
      <formula>AND(T$9&gt;=14/24,T$9&lt;20/24)</formula>
    </cfRule>
  </conditionalFormatting>
  <conditionalFormatting sqref="V3 AB3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193" priority="187">
      <formula>AND(AD$9&gt;=8/24,AD$9&lt;14/24)</formula>
    </cfRule>
    <cfRule type="expression" dxfId="2192" priority="188">
      <formula>AD$9&lt;8/24</formula>
    </cfRule>
    <cfRule type="expression" dxfId="2191" priority="185">
      <formula>AD$9&gt;=20/24</formula>
    </cfRule>
    <cfRule type="expression" dxfId="2190" priority="186">
      <formula>AND(AD$9&gt;=14/24,AD$9&lt;20/24)</formula>
    </cfRule>
  </conditionalFormatting>
  <conditionalFormatting sqref="AB57:AD57 AE57:AF69 M58:AD69 AG62 AG80">
    <cfRule type="expression" dxfId="2189" priority="102">
      <formula>M57&gt;$AG57</formula>
    </cfRule>
  </conditionalFormatting>
  <conditionalFormatting sqref="AB56:AF56 B56:AA57">
    <cfRule type="expression" dxfId="2188" priority="18">
      <formula>B56&gt;$AG56</formula>
    </cfRule>
    <cfRule type="expression" dxfId="2187" priority="19">
      <formula>B$9&gt;=20/24</formula>
    </cfRule>
    <cfRule type="expression" dxfId="2186" priority="20">
      <formula>AND(B$9&gt;=14/24,B$9&lt;20/24)</formula>
    </cfRule>
    <cfRule type="expression" dxfId="2185" priority="30">
      <formula>B$9&lt;8/24</formula>
    </cfRule>
    <cfRule type="expression" dxfId="2184" priority="21">
      <formula>AND(B$9&gt;=8/24,B$9&lt;14/24)</formula>
    </cfRule>
  </conditionalFormatting>
  <conditionalFormatting sqref="AB57:AF57">
    <cfRule type="expression" dxfId="2183" priority="127">
      <formula>AND(AB$9&gt;=14/24,AB$9&lt;20/24)</formula>
    </cfRule>
    <cfRule type="expression" dxfId="2182" priority="126">
      <formula>AB$9&gt;=20/24</formula>
    </cfRule>
    <cfRule type="expression" dxfId="2181" priority="138">
      <formula>AB$9&lt;8/24</formula>
    </cfRule>
    <cfRule type="expression" dxfId="2180" priority="128">
      <formula>AND(AB$9&gt;=8/24,AB$9&lt;14/24)</formula>
    </cfRule>
  </conditionalFormatting>
  <conditionalFormatting sqref="AE11:AF12 AC12:AD12">
    <cfRule type="expression" dxfId="2179" priority="124">
      <formula>AC$9&lt;8/24</formula>
    </cfRule>
    <cfRule type="expression" dxfId="2178" priority="122">
      <formula>AND(AC$9&gt;=14/24,AC$9&lt;20/24)</formula>
    </cfRule>
    <cfRule type="expression" dxfId="2177" priority="121">
      <formula>AC$9&gt;=20/24</formula>
    </cfRule>
    <cfRule type="expression" dxfId="2176" priority="120">
      <formula>AC11&gt;$AG11</formula>
    </cfRule>
    <cfRule type="expression" dxfId="2175" priority="123">
      <formula>AND(AC$9&gt;=8/24,AC$9&lt;14/24)</formula>
    </cfRule>
  </conditionalFormatting>
  <conditionalFormatting sqref="AG58">
    <cfRule type="expression" dxfId="2174" priority="180">
      <formula>AG58&gt;$AG58</formula>
    </cfRule>
  </conditionalFormatting>
  <conditionalFormatting sqref="AG62">
    <cfRule type="expression" dxfId="2173" priority="166">
      <formula>AG$9&lt;8/24</formula>
    </cfRule>
    <cfRule type="expression" dxfId="2172" priority="165">
      <formula>AND(AG$9&gt;=8/24,AG$9&lt;14/24)</formula>
    </cfRule>
    <cfRule type="expression" dxfId="2171" priority="164">
      <formula>AND(AG$9&gt;=14/24,AG$9&lt;20/24)</formula>
    </cfRule>
    <cfRule type="expression" dxfId="2170" priority="163">
      <formula>AG$9&gt;=20/24</formula>
    </cfRule>
  </conditionalFormatting>
  <conditionalFormatting sqref="AG75:AG76">
    <cfRule type="expression" dxfId="2169" priority="158">
      <formula>AG75&gt;$AG75</formula>
    </cfRule>
  </conditionalFormatting>
  <conditionalFormatting sqref="AG80">
    <cfRule type="expression" dxfId="2168" priority="159">
      <formula>AG$9&gt;=20/24</formula>
    </cfRule>
    <cfRule type="expression" dxfId="2167" priority="161">
      <formula>AND(AG$9&gt;=8/24,AG$9&lt;14/24)</formula>
    </cfRule>
    <cfRule type="expression" dxfId="2166" priority="162">
      <formula>AG$9&lt;8/24</formula>
    </cfRule>
    <cfRule type="expression" dxfId="2165" priority="160">
      <formula>AND(AG$9&gt;=14/24,AG$9&lt;20/24)</formula>
    </cfRule>
  </conditionalFormatting>
  <conditionalFormatting sqref="AG97">
    <cfRule type="expression" dxfId="2164" priority="181">
      <formula>AG$9&gt;=20/24</formula>
    </cfRule>
    <cfRule type="expression" dxfId="2163" priority="182">
      <formula>AND(AG$9&gt;=14/24,AG$9&lt;20/24)</formula>
    </cfRule>
    <cfRule type="expression" dxfId="2162" priority="183">
      <formula>AND(AG$9&gt;=8/24,AG$9&lt;14/24)</formula>
    </cfRule>
    <cfRule type="expression" dxfId="2161" priority="184">
      <formula>AG$9&lt;8/24</formula>
    </cfRule>
  </conditionalFormatting>
  <conditionalFormatting sqref="AL4:AL6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160" priority="209">
      <formula>AJ$9&lt;8/24</formula>
    </cfRule>
    <cfRule type="expression" dxfId="2159" priority="208">
      <formula>AND(AJ$9&gt;=8/24,AJ$9&lt;14/24)</formula>
    </cfRule>
    <cfRule type="expression" dxfId="2158" priority="207">
      <formula>AND(AJ$9&gt;=14/24,AJ$9&lt;20/24)</formula>
    </cfRule>
    <cfRule type="expression" dxfId="2157" priority="206">
      <formula>AJ$9&gt;=20/24</formula>
    </cfRule>
  </conditionalFormatting>
  <conditionalFormatting sqref="AL88:AN88 AL94:AN94">
    <cfRule type="expression" dxfId="2156" priority="173">
      <formula>AL$9&gt;=20/24</formula>
    </cfRule>
    <cfRule type="expression" dxfId="2155" priority="174">
      <formula>AND(AL$9&gt;=14/24,AL$9&lt;20/24)</formula>
    </cfRule>
    <cfRule type="expression" dxfId="2154" priority="175">
      <formula>AND(AL$9&gt;=8/24,AL$9&lt;14/24)</formula>
    </cfRule>
    <cfRule type="expression" dxfId="2153" priority="176">
      <formula>AL$9&lt;8/24</formula>
    </cfRule>
  </conditionalFormatting>
  <conditionalFormatting sqref="AM15:AM21 AN16:AR21">
    <cfRule type="expression" dxfId="2152" priority="50">
      <formula>AX$9&lt;8/24</formula>
    </cfRule>
    <cfRule type="expression" dxfId="2151" priority="47">
      <formula>AX$9&gt;=20/24</formula>
    </cfRule>
    <cfRule type="expression" dxfId="2150" priority="48">
      <formula>AND(AX$9&gt;=14/24,AX$9&lt;20/24)</formula>
    </cfRule>
    <cfRule type="expression" dxfId="2149" priority="49">
      <formula>AND(AX$9&gt;=8/24,AX$9&lt;14/24)</formula>
    </cfRule>
  </conditionalFormatting>
  <conditionalFormatting sqref="AN89:AN92">
    <cfRule type="expression" dxfId="2148" priority="171">
      <formula>AND(AN$9&gt;=8/24,AN$9&lt;14/24)</formula>
    </cfRule>
    <cfRule type="expression" dxfId="2147" priority="172">
      <formula>AN$9&lt;8/24</formula>
    </cfRule>
    <cfRule type="expression" dxfId="2146" priority="169">
      <formula>AN$9&gt;=20/24</formula>
    </cfRule>
    <cfRule type="expression" dxfId="2145" priority="170">
      <formula>AND(AN$9&gt;=14/24,AN$9&lt;20/24)</formula>
    </cfRule>
  </conditionalFormatting>
  <conditionalFormatting sqref="AN15:AR15">
    <cfRule type="expression" dxfId="2144" priority="35">
      <formula>U$9&gt;=20/24</formula>
    </cfRule>
    <cfRule type="expression" dxfId="2143" priority="38">
      <formula>U$9&lt;8/24</formula>
    </cfRule>
    <cfRule type="expression" dxfId="2142" priority="37">
      <formula>AND(U$9&gt;=8/24,U$9&lt;14/24)</formula>
    </cfRule>
    <cfRule type="expression" dxfId="2141" priority="36">
      <formula>AND(U$9&gt;=14/24,U$9&lt;20/24)</formula>
    </cfRule>
  </conditionalFormatting>
  <conditionalFormatting sqref="AS15">
    <cfRule type="expression" dxfId="2140" priority="43">
      <formula>AA$9&gt;=20/24</formula>
    </cfRule>
    <cfRule type="expression" dxfId="2139" priority="44">
      <formula>AND(AA$9&gt;=14/24,AA$9&lt;20/24)</formula>
    </cfRule>
    <cfRule type="expression" dxfId="2138" priority="45">
      <formula>AND(AA$9&gt;=8/24,AA$9&lt;14/24)</formula>
    </cfRule>
    <cfRule type="expression" dxfId="2137" priority="46">
      <formula>AA$9&lt;8/24</formula>
    </cfRule>
  </conditionalFormatting>
  <conditionalFormatting sqref="AS16:AS21">
    <cfRule type="expression" dxfId="2136" priority="54">
      <formula>BE$9&lt;8/24</formula>
    </cfRule>
    <cfRule type="expression" dxfId="2135" priority="53">
      <formula>AND(BE$9&gt;=8/24,BE$9&lt;14/24)</formula>
    </cfRule>
    <cfRule type="expression" dxfId="2134" priority="52">
      <formula>AND(BE$9&gt;=14/24,BE$9&lt;20/24)</formula>
    </cfRule>
    <cfRule type="expression" dxfId="2133" priority="51">
      <formula>BE$9&gt;=20/24</formula>
    </cfRule>
  </conditionalFormatting>
  <conditionalFormatting sqref="AT15 AX15:BD15">
    <cfRule type="expression" dxfId="2132" priority="55">
      <formula>AC$9&gt;=20/24</formula>
    </cfRule>
    <cfRule type="expression" dxfId="2131" priority="56">
      <formula>AND(AC$9&gt;=14/24,AC$9&lt;20/24)</formula>
    </cfRule>
    <cfRule type="expression" dxfId="2130" priority="58">
      <formula>AC$9&lt;8/24</formula>
    </cfRule>
    <cfRule type="expression" dxfId="2129" priority="57">
      <formula>AND(AC$9&gt;=8/24,AC$9&lt;14/24)</formula>
    </cfRule>
  </conditionalFormatting>
  <conditionalFormatting sqref="AT16:AT21">
    <cfRule type="expression" dxfId="2128" priority="61">
      <formula>AND(BG$9&gt;=8/24,BG$9&lt;14/24)</formula>
    </cfRule>
    <cfRule type="expression" dxfId="2127" priority="59">
      <formula>BG$9&gt;=20/24</formula>
    </cfRule>
    <cfRule type="expression" dxfId="2126" priority="60">
      <formula>AND(BG$9&gt;=14/24,BG$9&lt;20/24)</formula>
    </cfRule>
    <cfRule type="expression" dxfId="2125" priority="62">
      <formula>BG$9&lt;8/24</formula>
    </cfRule>
  </conditionalFormatting>
  <conditionalFormatting sqref="AU15:AV15 BE15">
    <cfRule type="expression" dxfId="2124" priority="63">
      <formula>AE$9&gt;=20/24</formula>
    </cfRule>
    <cfRule type="expression" dxfId="2123" priority="66">
      <formula>AE$9&lt;8/24</formula>
    </cfRule>
    <cfRule type="expression" dxfId="2122" priority="64">
      <formula>AND(AE$9&gt;=14/24,AE$9&lt;20/24)</formula>
    </cfRule>
    <cfRule type="expression" dxfId="2121" priority="65">
      <formula>AND(AE$9&gt;=8/24,AE$9&lt;14/24)</formula>
    </cfRule>
  </conditionalFormatting>
  <conditionalFormatting sqref="AU16:BD21">
    <cfRule type="expression" dxfId="2120" priority="69">
      <formula>AND(BI$9&gt;=8/24,BI$9&lt;14/24)</formula>
    </cfRule>
    <cfRule type="expression" dxfId="2119" priority="70">
      <formula>BI$9&lt;8/24</formula>
    </cfRule>
    <cfRule type="expression" dxfId="2118" priority="68">
      <formula>AND(BI$9&gt;=14/24,BI$9&lt;20/24)</formula>
    </cfRule>
    <cfRule type="expression" dxfId="2117" priority="67">
      <formula>BI$9&gt;=20/24</formula>
    </cfRule>
  </conditionalFormatting>
  <conditionalFormatting sqref="AW15">
    <cfRule type="expression" dxfId="2116" priority="39">
      <formula>B$9&gt;=20/24</formula>
    </cfRule>
    <cfRule type="expression" dxfId="2115" priority="40">
      <formula>AND(B$9&gt;=14/24,B$9&lt;20/24)</formula>
    </cfRule>
    <cfRule type="expression" dxfId="2114" priority="41">
      <formula>AND(B$9&gt;=8/24,B$9&lt;14/24)</formula>
    </cfRule>
    <cfRule type="expression" dxfId="2113" priority="42">
      <formula>B$9&lt;8/24</formula>
    </cfRule>
  </conditionalFormatting>
  <conditionalFormatting sqref="BE16:BE21">
    <cfRule type="expression" dxfId="2112" priority="72">
      <formula>AND(BT$9&gt;=14/24,BT$9&lt;20/24)</formula>
    </cfRule>
    <cfRule type="expression" dxfId="2111" priority="74">
      <formula>BT$9&lt;8/24</formula>
    </cfRule>
    <cfRule type="expression" dxfId="2110" priority="73">
      <formula>AND(BT$9&gt;=8/24,BT$9&lt;14/24)</formula>
    </cfRule>
    <cfRule type="expression" dxfId="2109" priority="71">
      <formula>BT$9&gt;=20/24</formula>
    </cfRule>
  </conditionalFormatting>
  <conditionalFormatting sqref="BF15">
    <cfRule type="expression" dxfId="2108" priority="77">
      <formula>AND(AQ$9&gt;=8/24,AQ$9&lt;14/24)</formula>
    </cfRule>
    <cfRule type="expression" dxfId="2107" priority="75">
      <formula>AQ$9&gt;=20/24</formula>
    </cfRule>
    <cfRule type="expression" dxfId="2106" priority="78">
      <formula>AQ$9&lt;8/24</formula>
    </cfRule>
    <cfRule type="expression" dxfId="2105" priority="76">
      <formula>AND(AQ$9&gt;=14/24,AQ$9&lt;20/24)</formula>
    </cfRule>
  </conditionalFormatting>
  <conditionalFormatting sqref="BF16:BF21">
    <cfRule type="expression" dxfId="2104" priority="79">
      <formula>BV$9&gt;=20/24</formula>
    </cfRule>
    <cfRule type="expression" dxfId="2103" priority="81">
      <formula>AND(BV$9&gt;=8/24,BV$9&lt;14/24)</formula>
    </cfRule>
    <cfRule type="expression" dxfId="2102" priority="82">
      <formula>BV$9&lt;8/24</formula>
    </cfRule>
    <cfRule type="expression" dxfId="2101" priority="80">
      <formula>AND(BV$9&gt;=14/24,BV$9&lt;20/24)</formula>
    </cfRule>
  </conditionalFormatting>
  <conditionalFormatting sqref="BG15">
    <cfRule type="expression" dxfId="2100" priority="83">
      <formula>AS$9&gt;=20/24</formula>
    </cfRule>
    <cfRule type="expression" dxfId="2099" priority="84">
      <formula>AND(AS$9&gt;=14/24,AS$9&lt;20/24)</formula>
    </cfRule>
    <cfRule type="expression" dxfId="2098" priority="85">
      <formula>AND(AS$9&gt;=8/24,AS$9&lt;14/24)</formula>
    </cfRule>
    <cfRule type="expression" dxfId="2097" priority="86">
      <formula>AS$9&lt;8/24</formula>
    </cfRule>
  </conditionalFormatting>
  <conditionalFormatting sqref="BG16:BG21">
    <cfRule type="expression" dxfId="2096" priority="87">
      <formula>BX$9&gt;=20/24</formula>
    </cfRule>
    <cfRule type="expression" dxfId="2095" priority="90">
      <formula>BX$9&lt;8/24</formula>
    </cfRule>
    <cfRule type="expression" dxfId="2094" priority="89">
      <formula>AND(BX$9&gt;=8/24,BX$9&lt;14/24)</formula>
    </cfRule>
    <cfRule type="expression" dxfId="2093" priority="88">
      <formula>AND(BX$9&gt;=14/24,BX$9&lt;20/24)</formula>
    </cfRule>
  </conditionalFormatting>
  <conditionalFormatting sqref="BH15:BJ15">
    <cfRule type="expression" dxfId="2092" priority="94">
      <formula>AU$9&lt;8/24</formula>
    </cfRule>
    <cfRule type="expression" dxfId="2091" priority="93">
      <formula>AND(AU$9&gt;=8/24,AU$9&lt;14/24)</formula>
    </cfRule>
    <cfRule type="expression" dxfId="2090" priority="92">
      <formula>AND(AU$9&gt;=14/24,AU$9&lt;20/24)</formula>
    </cfRule>
    <cfRule type="expression" dxfId="2089" priority="91">
      <formula>AU$9&gt;=20/24</formula>
    </cfRule>
  </conditionalFormatting>
  <conditionalFormatting sqref="BH16:BJ21">
    <cfRule type="expression" dxfId="2088" priority="96">
      <formula>AND(BZ$9&gt;=14/24,BZ$9&lt;20/24)</formula>
    </cfRule>
    <cfRule type="expression" dxfId="2087" priority="98">
      <formula>BZ$9&lt;8/24</formula>
    </cfRule>
    <cfRule type="expression" dxfId="2086" priority="95">
      <formula>BZ$9&gt;=20/24</formula>
    </cfRule>
    <cfRule type="expression" dxfId="2085" priority="97">
      <formula>AND(BZ$9&gt;=8/24,BZ$9&lt;14/24)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9896-630C-4636-8C61-BAC80B994B63}">
  <dimension ref="A1:CJ294"/>
  <sheetViews>
    <sheetView zoomScale="90" zoomScaleNormal="90" workbookViewId="0">
      <pane xSplit="1" ySplit="10" topLeftCell="B61" activePane="bottomRight" state="frozen"/>
      <selection activeCell="Z63" sqref="Z63"/>
      <selection pane="topRight" activeCell="Z63" sqref="Z63"/>
      <selection pane="bottomLeft" activeCell="Z63" sqref="Z63"/>
      <selection pane="bottomRight" activeCell="F127" sqref="F12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7" width="7.42578125" style="1" bestFit="1" customWidth="1"/>
    <col min="58" max="58" width="6.28515625" style="1" bestFit="1" customWidth="1"/>
    <col min="59" max="62" width="7.42578125" style="1" bestFit="1" customWidth="1"/>
    <col min="63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2080/10/18</v>
      </c>
      <c r="C4" s="272"/>
      <c r="D4" s="272"/>
      <c r="E4" s="273" t="str">
        <f ca="1">"2080/"&amp;"10/"&amp;INT(MID(CELL("filename",G6),FIND("]",CELL("filename",G6))+1,200))</f>
        <v>2080/10/18</v>
      </c>
      <c r="F4" s="273"/>
      <c r="G4" s="273"/>
      <c r="H4" s="273" t="str">
        <f ca="1">TEXT(E4,"dddd")</f>
        <v>Friday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634.1</v>
      </c>
      <c r="C5" s="30">
        <f t="shared" ref="C5:AE5" si="0">D92</f>
        <v>599.9</v>
      </c>
      <c r="D5" s="30">
        <f t="shared" si="0"/>
        <v>591</v>
      </c>
      <c r="E5" s="30">
        <f t="shared" si="0"/>
        <v>590</v>
      </c>
      <c r="F5" s="30">
        <f t="shared" si="0"/>
        <v>609</v>
      </c>
      <c r="G5" s="30">
        <f t="shared" si="0"/>
        <v>629.6</v>
      </c>
      <c r="H5" s="30">
        <f t="shared" si="0"/>
        <v>471</v>
      </c>
      <c r="I5" s="30">
        <f t="shared" si="0"/>
        <v>616</v>
      </c>
      <c r="J5" s="30">
        <f t="shared" si="0"/>
        <v>340.5</v>
      </c>
      <c r="K5" s="30">
        <f t="shared" si="0"/>
        <v>242.7</v>
      </c>
      <c r="L5" s="30">
        <f t="shared" si="0"/>
        <v>236.8</v>
      </c>
      <c r="M5" s="30">
        <f t="shared" si="0"/>
        <v>309</v>
      </c>
      <c r="N5" s="30">
        <f t="shared" si="0"/>
        <v>520.70000000000005</v>
      </c>
      <c r="O5" s="30">
        <f t="shared" si="0"/>
        <v>655.9</v>
      </c>
      <c r="P5" s="30">
        <f t="shared" si="0"/>
        <v>689.30000000000007</v>
      </c>
      <c r="Q5" s="30">
        <f t="shared" si="0"/>
        <v>784.4</v>
      </c>
      <c r="R5" s="30">
        <f t="shared" si="0"/>
        <v>778.3</v>
      </c>
      <c r="S5" s="30">
        <f t="shared" si="0"/>
        <v>837.80000000000007</v>
      </c>
      <c r="T5" s="30">
        <f t="shared" si="0"/>
        <v>848.6</v>
      </c>
      <c r="U5" s="30">
        <f t="shared" si="0"/>
        <v>583.90000000000009</v>
      </c>
      <c r="V5" s="30">
        <f t="shared" si="0"/>
        <v>614.70000000000005</v>
      </c>
      <c r="W5" s="30">
        <f t="shared" si="0"/>
        <v>595.5</v>
      </c>
      <c r="X5" s="30">
        <f t="shared" si="0"/>
        <v>630.5</v>
      </c>
      <c r="Y5" s="30">
        <f t="shared" si="0"/>
        <v>585.59999999999991</v>
      </c>
      <c r="Z5" s="30">
        <f t="shared" si="0"/>
        <v>591.6</v>
      </c>
      <c r="AA5" s="30">
        <f t="shared" si="0"/>
        <v>608.44000000000005</v>
      </c>
      <c r="AB5" s="30">
        <f t="shared" si="0"/>
        <v>624.44000000000005</v>
      </c>
      <c r="AC5" s="30">
        <f t="shared" si="0"/>
        <v>676</v>
      </c>
      <c r="AD5" s="30">
        <f t="shared" si="0"/>
        <v>687.5</v>
      </c>
      <c r="AE5" s="30">
        <f t="shared" si="0"/>
        <v>683</v>
      </c>
      <c r="AF5" s="30">
        <f>B92</f>
        <v>649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Load=1210</v>
      </c>
      <c r="B7" s="35">
        <f>B100</f>
        <v>1260.29</v>
      </c>
      <c r="C7" s="35">
        <f t="shared" ref="C7:AF7" si="1">C100</f>
        <v>1257.5900000000001</v>
      </c>
      <c r="D7" s="35">
        <f t="shared" si="1"/>
        <v>1220.99</v>
      </c>
      <c r="E7" s="35">
        <f t="shared" si="1"/>
        <v>1211.0900000000001</v>
      </c>
      <c r="F7" s="35">
        <f t="shared" si="1"/>
        <v>1210.0900000000001</v>
      </c>
      <c r="G7" s="35">
        <f t="shared" si="1"/>
        <v>1249.99</v>
      </c>
      <c r="H7" s="35">
        <f t="shared" si="1"/>
        <v>1339.19</v>
      </c>
      <c r="I7" s="35">
        <f t="shared" si="1"/>
        <v>1249.69</v>
      </c>
      <c r="J7" s="35">
        <f t="shared" si="1"/>
        <v>1468.89</v>
      </c>
      <c r="K7" s="35">
        <f t="shared" si="1"/>
        <v>1615.49</v>
      </c>
      <c r="L7" s="35">
        <f t="shared" si="1"/>
        <v>1669.49</v>
      </c>
      <c r="M7" s="35">
        <f t="shared" si="1"/>
        <v>1682.99</v>
      </c>
      <c r="N7" s="35">
        <f t="shared" si="1"/>
        <v>1591.99</v>
      </c>
      <c r="O7" s="35">
        <f t="shared" si="1"/>
        <v>1503.0900000000001</v>
      </c>
      <c r="P7" s="35">
        <f t="shared" si="1"/>
        <v>1460.5900000000001</v>
      </c>
      <c r="Q7" s="35">
        <f t="shared" si="1"/>
        <v>1514.0900000000001</v>
      </c>
      <c r="R7" s="35">
        <f t="shared" si="1"/>
        <v>1609.19</v>
      </c>
      <c r="S7" s="35">
        <f t="shared" si="1"/>
        <v>1495.9899999999998</v>
      </c>
      <c r="T7" s="35">
        <f t="shared" si="1"/>
        <v>1528.9900000000002</v>
      </c>
      <c r="U7" s="35">
        <f t="shared" si="1"/>
        <v>1543.69</v>
      </c>
      <c r="V7" s="35">
        <f t="shared" si="1"/>
        <v>1496.79</v>
      </c>
      <c r="W7" s="35">
        <f t="shared" si="1"/>
        <v>1583.3899999999999</v>
      </c>
      <c r="X7" s="35">
        <f t="shared" si="1"/>
        <v>1686.79</v>
      </c>
      <c r="Y7" s="35">
        <f t="shared" si="1"/>
        <v>1834.15</v>
      </c>
      <c r="Z7" s="35">
        <f t="shared" si="1"/>
        <v>1817.05</v>
      </c>
      <c r="AA7" s="35">
        <f t="shared" si="1"/>
        <v>1723.29</v>
      </c>
      <c r="AB7" s="35">
        <f t="shared" si="1"/>
        <v>1635.63</v>
      </c>
      <c r="AC7" s="35">
        <f t="shared" si="1"/>
        <v>1556.83</v>
      </c>
      <c r="AD7" s="35">
        <f t="shared" si="1"/>
        <v>1609.3899999999999</v>
      </c>
      <c r="AE7" s="35">
        <f t="shared" si="1"/>
        <v>1342.3899999999999</v>
      </c>
      <c r="AF7" s="35">
        <f t="shared" si="1"/>
        <v>1303.8899999999999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1817.05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1817.05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26.7</v>
      </c>
      <c r="C11" s="45">
        <v>26.7</v>
      </c>
      <c r="D11" s="45">
        <v>26.7</v>
      </c>
      <c r="E11" s="45">
        <v>25.7</v>
      </c>
      <c r="F11" s="45">
        <v>25.7</v>
      </c>
      <c r="G11" s="45">
        <v>25.7</v>
      </c>
      <c r="H11" s="45">
        <v>25.7</v>
      </c>
      <c r="I11" s="45">
        <v>25.7</v>
      </c>
      <c r="J11" s="45">
        <v>25.7</v>
      </c>
      <c r="K11" s="45">
        <v>25.7</v>
      </c>
      <c r="L11" s="45">
        <v>25.7</v>
      </c>
      <c r="M11" s="45">
        <v>25.7</v>
      </c>
      <c r="N11" s="45">
        <v>25.7</v>
      </c>
      <c r="O11" s="45">
        <v>25.7</v>
      </c>
      <c r="P11" s="45">
        <v>25.7</v>
      </c>
      <c r="Q11" s="45">
        <v>25.7</v>
      </c>
      <c r="R11" s="45">
        <v>25.7</v>
      </c>
      <c r="S11" s="45">
        <v>25.7</v>
      </c>
      <c r="T11" s="45">
        <v>25.7</v>
      </c>
      <c r="U11" s="45">
        <v>25.7</v>
      </c>
      <c r="V11" s="45">
        <v>25.7</v>
      </c>
      <c r="W11" s="45">
        <v>25.7</v>
      </c>
      <c r="X11" s="45">
        <v>25.7</v>
      </c>
      <c r="Y11" s="45">
        <v>25.7</v>
      </c>
      <c r="Z11" s="45">
        <v>25.7</v>
      </c>
      <c r="AA11" s="45">
        <v>25.7</v>
      </c>
      <c r="AB11" s="45">
        <v>25.7</v>
      </c>
      <c r="AC11" s="45">
        <v>25.7</v>
      </c>
      <c r="AD11" s="45">
        <v>25.7</v>
      </c>
      <c r="AE11" s="45">
        <v>25.7</v>
      </c>
      <c r="AF11" s="45">
        <v>25.7</v>
      </c>
      <c r="AG11" s="46">
        <v>86</v>
      </c>
      <c r="AH11" s="47">
        <f t="shared" ref="AH11:AH16" si="2">MAX(B11:AF11)</f>
        <v>26.7</v>
      </c>
      <c r="AI11" s="48">
        <f t="shared" ref="AI11:AI16" si="3">MIN(B11:AF11)</f>
        <v>25.7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18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10.5</v>
      </c>
      <c r="C13" s="45">
        <v>10.5</v>
      </c>
      <c r="D13" s="45">
        <v>10.5</v>
      </c>
      <c r="E13" s="45">
        <v>10.5</v>
      </c>
      <c r="F13" s="45">
        <v>10.5</v>
      </c>
      <c r="G13" s="45">
        <v>10.5</v>
      </c>
      <c r="H13" s="45">
        <v>10.5</v>
      </c>
      <c r="I13" s="45">
        <v>10.5</v>
      </c>
      <c r="J13" s="45">
        <v>10.5</v>
      </c>
      <c r="K13" s="45">
        <v>10.5</v>
      </c>
      <c r="L13" s="45">
        <v>10.5</v>
      </c>
      <c r="M13" s="45">
        <v>10.5</v>
      </c>
      <c r="N13" s="45">
        <v>10.5</v>
      </c>
      <c r="O13" s="45">
        <v>10.5</v>
      </c>
      <c r="P13" s="45">
        <v>10.5</v>
      </c>
      <c r="Q13" s="45">
        <v>10.5</v>
      </c>
      <c r="R13" s="45">
        <v>10.5</v>
      </c>
      <c r="S13" s="45">
        <v>10.5</v>
      </c>
      <c r="T13" s="45">
        <v>10.5</v>
      </c>
      <c r="U13" s="45">
        <v>0</v>
      </c>
      <c r="V13" s="45">
        <v>10.5</v>
      </c>
      <c r="W13" s="45">
        <v>10.5</v>
      </c>
      <c r="X13" s="45">
        <v>10.5</v>
      </c>
      <c r="Y13" s="45">
        <v>10.5</v>
      </c>
      <c r="Z13" s="45">
        <v>10.5</v>
      </c>
      <c r="AA13" s="45">
        <v>10.5</v>
      </c>
      <c r="AB13" s="45">
        <v>10.5</v>
      </c>
      <c r="AC13" s="45">
        <v>10.5</v>
      </c>
      <c r="AD13" s="45">
        <v>10.5</v>
      </c>
      <c r="AE13" s="45">
        <v>10.5</v>
      </c>
      <c r="AF13" s="45">
        <v>10.5</v>
      </c>
      <c r="AG13" s="49">
        <v>54</v>
      </c>
      <c r="AH13" s="47">
        <f t="shared" si="2"/>
        <v>10.5</v>
      </c>
      <c r="AI13" s="48">
        <f t="shared" si="3"/>
        <v>0</v>
      </c>
      <c r="AK13" s="50"/>
      <c r="AL13" s="157" t="str">
        <f ca="1">"Daily Load Curve(Excluding of Export) of Nepal ("&amp;A4&amp;" "&amp;B4&amp;")"</f>
        <v>Daily Load Curve(Excluding of Export) of Nepal (Nepali Date: 2080/10/18)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14.5</v>
      </c>
      <c r="C14" s="45">
        <v>14.5</v>
      </c>
      <c r="D14" s="45">
        <v>14.5</v>
      </c>
      <c r="E14" s="45">
        <v>14.5</v>
      </c>
      <c r="F14" s="45">
        <v>14.5</v>
      </c>
      <c r="G14" s="45">
        <v>14.5</v>
      </c>
      <c r="H14" s="45">
        <v>14.5</v>
      </c>
      <c r="I14" s="45">
        <v>14.5</v>
      </c>
      <c r="J14" s="45">
        <v>14.5</v>
      </c>
      <c r="K14" s="45">
        <v>14.5</v>
      </c>
      <c r="L14" s="45">
        <v>14.5</v>
      </c>
      <c r="M14" s="45">
        <v>14.5</v>
      </c>
      <c r="N14" s="45">
        <v>14.5</v>
      </c>
      <c r="O14" s="45">
        <v>14.5</v>
      </c>
      <c r="P14" s="45">
        <v>14.5</v>
      </c>
      <c r="Q14" s="45">
        <v>14.5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14.5</v>
      </c>
      <c r="W14" s="45">
        <v>14.5</v>
      </c>
      <c r="X14" s="45">
        <v>14.5</v>
      </c>
      <c r="Y14" s="45">
        <v>14.5</v>
      </c>
      <c r="Z14" s="45">
        <v>14.5</v>
      </c>
      <c r="AA14" s="45">
        <v>14.5</v>
      </c>
      <c r="AB14" s="45">
        <v>14.5</v>
      </c>
      <c r="AC14" s="45">
        <v>14.5</v>
      </c>
      <c r="AD14" s="45">
        <v>14.5</v>
      </c>
      <c r="AE14" s="45">
        <v>14.5</v>
      </c>
      <c r="AF14" s="45">
        <v>14.5</v>
      </c>
      <c r="AG14" s="46">
        <v>52.4</v>
      </c>
      <c r="AH14" s="47">
        <f t="shared" si="2"/>
        <v>14.5</v>
      </c>
      <c r="AI14" s="48">
        <f t="shared" si="3"/>
        <v>14.5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28.7</v>
      </c>
      <c r="C15" s="45">
        <v>28.7</v>
      </c>
      <c r="D15" s="45">
        <v>28.7</v>
      </c>
      <c r="E15" s="45">
        <v>28.7</v>
      </c>
      <c r="F15" s="45">
        <v>28.7</v>
      </c>
      <c r="G15" s="45">
        <v>28.7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28.7</v>
      </c>
      <c r="R15" s="45">
        <v>28.7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45">
        <v>28.7</v>
      </c>
      <c r="AA15" s="45">
        <v>28.7</v>
      </c>
      <c r="AB15" s="45">
        <v>28.7</v>
      </c>
      <c r="AC15" s="45">
        <v>28.7</v>
      </c>
      <c r="AD15" s="45">
        <v>28.7</v>
      </c>
      <c r="AE15" s="45">
        <v>28.7</v>
      </c>
      <c r="AF15" s="45">
        <v>28.7</v>
      </c>
      <c r="AG15" s="49">
        <v>50</v>
      </c>
      <c r="AH15" s="47">
        <f t="shared" si="2"/>
        <v>28.7</v>
      </c>
      <c r="AI15" s="48">
        <f t="shared" si="3"/>
        <v>28.7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0.5</v>
      </c>
      <c r="AZ15" s="164">
        <v>0.54166666666666696</v>
      </c>
      <c r="BA15" s="164">
        <v>0.58333333333333304</v>
      </c>
      <c r="BB15" s="164">
        <v>0.625</v>
      </c>
      <c r="BC15" s="164">
        <v>0.66666666666666696</v>
      </c>
      <c r="BD15" s="164">
        <v>0.70833333333333304</v>
      </c>
      <c r="BE15" s="164">
        <v>0.75</v>
      </c>
      <c r="BF15" s="164">
        <v>0.79166666666666663</v>
      </c>
      <c r="BG15" s="163">
        <v>0.83333333333333337</v>
      </c>
      <c r="BH15" s="163">
        <v>0.875</v>
      </c>
      <c r="BI15" s="163">
        <v>0.91666666666666696</v>
      </c>
      <c r="BJ15" s="163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15.9</v>
      </c>
      <c r="C16" s="45">
        <v>15.9</v>
      </c>
      <c r="D16" s="45">
        <v>15.9</v>
      </c>
      <c r="E16" s="45">
        <v>15.9</v>
      </c>
      <c r="F16" s="45">
        <v>15.9</v>
      </c>
      <c r="G16" s="45">
        <v>15.9</v>
      </c>
      <c r="H16" s="45">
        <v>15.9</v>
      </c>
      <c r="I16" s="45">
        <v>15.9</v>
      </c>
      <c r="J16" s="45">
        <v>15.9</v>
      </c>
      <c r="K16" s="45">
        <v>15.9</v>
      </c>
      <c r="L16" s="45">
        <v>15.9</v>
      </c>
      <c r="M16" s="45">
        <v>15.9</v>
      </c>
      <c r="N16" s="45">
        <v>15.9</v>
      </c>
      <c r="O16" s="45">
        <v>15.9</v>
      </c>
      <c r="P16" s="45">
        <v>15.9</v>
      </c>
      <c r="Q16" s="45">
        <v>15.9</v>
      </c>
      <c r="R16" s="45">
        <v>15.9</v>
      </c>
      <c r="S16" s="45">
        <v>15.9</v>
      </c>
      <c r="T16" s="45">
        <v>15.9</v>
      </c>
      <c r="U16" s="45">
        <v>15.9</v>
      </c>
      <c r="V16" s="45">
        <v>15.9</v>
      </c>
      <c r="W16" s="45">
        <v>15.9</v>
      </c>
      <c r="X16" s="45">
        <v>15.9</v>
      </c>
      <c r="Y16" s="45">
        <v>15.9</v>
      </c>
      <c r="Z16" s="45">
        <v>15.9</v>
      </c>
      <c r="AA16" s="45">
        <v>15.9</v>
      </c>
      <c r="AB16" s="45">
        <v>15.9</v>
      </c>
      <c r="AC16" s="45">
        <v>15.9</v>
      </c>
      <c r="AD16" s="45">
        <v>15.9</v>
      </c>
      <c r="AE16" s="45">
        <v>15.9</v>
      </c>
      <c r="AF16" s="45">
        <v>15.9</v>
      </c>
      <c r="AG16" s="49">
        <v>45</v>
      </c>
      <c r="AH16" s="47">
        <f t="shared" si="2"/>
        <v>15.9</v>
      </c>
      <c r="AI16" s="48">
        <f t="shared" si="3"/>
        <v>15.9</v>
      </c>
      <c r="AK16" s="50"/>
      <c r="AL16" s="160" t="s">
        <v>7</v>
      </c>
      <c r="AM16" s="227">
        <f>B58</f>
        <v>473.75</v>
      </c>
      <c r="AN16" s="227">
        <f t="shared" ref="AN16:AR16" si="4">C58</f>
        <v>473.75</v>
      </c>
      <c r="AO16" s="227">
        <f t="shared" si="4"/>
        <v>473.75</v>
      </c>
      <c r="AP16" s="227">
        <f t="shared" si="4"/>
        <v>472.75</v>
      </c>
      <c r="AQ16" s="227">
        <f t="shared" si="4"/>
        <v>472.75</v>
      </c>
      <c r="AR16" s="227">
        <f t="shared" si="4"/>
        <v>472.75</v>
      </c>
      <c r="AS16" s="227">
        <f>I58</f>
        <v>472.75</v>
      </c>
      <c r="AT16" s="227">
        <f>K58</f>
        <v>472.75</v>
      </c>
      <c r="AU16" s="227">
        <f t="shared" ref="AU16:BD16" si="5">M58</f>
        <v>472.75</v>
      </c>
      <c r="AV16" s="227">
        <f t="shared" si="5"/>
        <v>472.75</v>
      </c>
      <c r="AW16" s="227">
        <f t="shared" si="5"/>
        <v>472.75</v>
      </c>
      <c r="AX16" s="227">
        <f t="shared" si="5"/>
        <v>472.75</v>
      </c>
      <c r="AY16" s="227">
        <f t="shared" si="5"/>
        <v>472.75</v>
      </c>
      <c r="AZ16" s="227">
        <f t="shared" si="5"/>
        <v>472.75</v>
      </c>
      <c r="BA16" s="227">
        <f t="shared" si="5"/>
        <v>472.75</v>
      </c>
      <c r="BB16" s="227">
        <f t="shared" si="5"/>
        <v>472.75</v>
      </c>
      <c r="BC16" s="227">
        <f t="shared" si="5"/>
        <v>430.55</v>
      </c>
      <c r="BD16" s="227">
        <f t="shared" si="5"/>
        <v>472.75</v>
      </c>
      <c r="BE16" s="227">
        <f>X58</f>
        <v>472.75</v>
      </c>
      <c r="BF16" s="227">
        <f>Z58</f>
        <v>472.75</v>
      </c>
      <c r="BG16" s="227">
        <f>AB58</f>
        <v>472.75</v>
      </c>
      <c r="BH16" s="227">
        <f>AD58</f>
        <v>472.75</v>
      </c>
      <c r="BI16" s="227">
        <f>AE58</f>
        <v>472.75</v>
      </c>
      <c r="BJ16" s="227">
        <f>AF58</f>
        <v>472.75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35.200000000000003</v>
      </c>
      <c r="AN17" s="227">
        <f t="shared" ref="AN17:AR17" si="6">C62</f>
        <v>35.200000000000003</v>
      </c>
      <c r="AO17" s="227">
        <f t="shared" si="6"/>
        <v>36.200000000000003</v>
      </c>
      <c r="AP17" s="227">
        <f t="shared" si="6"/>
        <v>36.200000000000003</v>
      </c>
      <c r="AQ17" s="227">
        <f t="shared" si="6"/>
        <v>36.200000000000003</v>
      </c>
      <c r="AR17" s="227">
        <f t="shared" si="6"/>
        <v>36.200000000000003</v>
      </c>
      <c r="AS17" s="227">
        <f>I62</f>
        <v>36.200000000000003</v>
      </c>
      <c r="AT17" s="227">
        <f>K62</f>
        <v>276.2</v>
      </c>
      <c r="AU17" s="227">
        <f t="shared" ref="AU17:BD17" si="7">M62</f>
        <v>441.2</v>
      </c>
      <c r="AV17" s="227">
        <f t="shared" si="7"/>
        <v>301.2</v>
      </c>
      <c r="AW17" s="227">
        <f t="shared" si="7"/>
        <v>51.2</v>
      </c>
      <c r="AX17" s="227">
        <f t="shared" si="7"/>
        <v>106.2</v>
      </c>
      <c r="AY17" s="227">
        <f t="shared" si="7"/>
        <v>112.2</v>
      </c>
      <c r="AZ17" s="227">
        <f t="shared" si="7"/>
        <v>112.2</v>
      </c>
      <c r="BA17" s="227">
        <f t="shared" si="7"/>
        <v>36.299999999999997</v>
      </c>
      <c r="BB17" s="227">
        <f t="shared" si="7"/>
        <v>36.200000000000003</v>
      </c>
      <c r="BC17" s="227">
        <f t="shared" si="7"/>
        <v>85.3</v>
      </c>
      <c r="BD17" s="227">
        <f t="shared" si="7"/>
        <v>95.3</v>
      </c>
      <c r="BE17" s="227">
        <f>X62</f>
        <v>135.30000000000001</v>
      </c>
      <c r="BF17" s="227">
        <f>Z62</f>
        <v>188.2</v>
      </c>
      <c r="BG17" s="227">
        <f>AB62</f>
        <v>93.1</v>
      </c>
      <c r="BH17" s="227">
        <f>AD62</f>
        <v>63.1</v>
      </c>
      <c r="BI17" s="227">
        <f>AE62</f>
        <v>43.1</v>
      </c>
      <c r="BJ17" s="227">
        <f>AF62</f>
        <v>43.1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ref="AH18:AH49" si="8">MAX(B18:AF18)</f>
        <v>7.5</v>
      </c>
      <c r="AI18" s="48">
        <f t="shared" ref="AI18:AI49" si="9">MIN(B18:AF18)</f>
        <v>7.5</v>
      </c>
      <c r="AK18" s="50"/>
      <c r="AL18" s="160" t="s">
        <v>593</v>
      </c>
      <c r="AM18" s="227">
        <f>B76</f>
        <v>102.34</v>
      </c>
      <c r="AN18" s="227">
        <f t="shared" ref="AN18:AR18" si="10">C76</f>
        <v>114.53999999999999</v>
      </c>
      <c r="AO18" s="227">
        <f t="shared" si="10"/>
        <v>111.14</v>
      </c>
      <c r="AP18" s="227">
        <f t="shared" si="10"/>
        <v>111.14</v>
      </c>
      <c r="AQ18" s="227">
        <f t="shared" si="10"/>
        <v>111.14</v>
      </c>
      <c r="AR18" s="227">
        <f t="shared" si="10"/>
        <v>132.04</v>
      </c>
      <c r="AS18" s="227">
        <f>I76</f>
        <v>269.74</v>
      </c>
      <c r="AT18" s="227">
        <f>K76</f>
        <v>326.04000000000002</v>
      </c>
      <c r="AU18" s="227">
        <f t="shared" ref="AU18:BD18" si="11">M76</f>
        <v>282.24</v>
      </c>
      <c r="AV18" s="227">
        <f t="shared" si="11"/>
        <v>259.04000000000002</v>
      </c>
      <c r="AW18" s="227">
        <f t="shared" si="11"/>
        <v>228.44</v>
      </c>
      <c r="AX18" s="227">
        <f t="shared" si="11"/>
        <v>225.74</v>
      </c>
      <c r="AY18" s="227">
        <f t="shared" si="11"/>
        <v>239.84</v>
      </c>
      <c r="AZ18" s="227">
        <f t="shared" si="11"/>
        <v>239.84</v>
      </c>
      <c r="BA18" s="227">
        <f t="shared" si="11"/>
        <v>208.63999999999996</v>
      </c>
      <c r="BB18" s="227">
        <f t="shared" si="11"/>
        <v>182.24</v>
      </c>
      <c r="BC18" s="227">
        <f t="shared" si="11"/>
        <v>179.24</v>
      </c>
      <c r="BD18" s="227">
        <f t="shared" si="11"/>
        <v>144.84</v>
      </c>
      <c r="BE18" s="227">
        <f>X76</f>
        <v>203.24</v>
      </c>
      <c r="BF18" s="227">
        <f>Z76</f>
        <v>280.5</v>
      </c>
      <c r="BG18" s="227">
        <f>AB76</f>
        <v>211.34</v>
      </c>
      <c r="BH18" s="227">
        <f>AD76</f>
        <v>176.54</v>
      </c>
      <c r="BI18" s="227">
        <f>AE76</f>
        <v>139.04</v>
      </c>
      <c r="BJ18" s="227">
        <f>AF76</f>
        <v>106.04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649</v>
      </c>
      <c r="AN19" s="227">
        <f t="shared" ref="AN19:AR19" si="12">C92</f>
        <v>634.1</v>
      </c>
      <c r="AO19" s="227">
        <f t="shared" si="12"/>
        <v>599.9</v>
      </c>
      <c r="AP19" s="227">
        <f t="shared" si="12"/>
        <v>591</v>
      </c>
      <c r="AQ19" s="227">
        <f t="shared" si="12"/>
        <v>590</v>
      </c>
      <c r="AR19" s="227">
        <f t="shared" si="12"/>
        <v>609</v>
      </c>
      <c r="AS19" s="227">
        <f>I92</f>
        <v>471</v>
      </c>
      <c r="AT19" s="227">
        <f>K92</f>
        <v>340.5</v>
      </c>
      <c r="AU19" s="227">
        <f t="shared" ref="AU19:BD19" si="13">M92</f>
        <v>236.8</v>
      </c>
      <c r="AV19" s="227">
        <f t="shared" si="13"/>
        <v>309</v>
      </c>
      <c r="AW19" s="227">
        <f t="shared" si="13"/>
        <v>520.70000000000005</v>
      </c>
      <c r="AX19" s="227">
        <f t="shared" si="13"/>
        <v>655.9</v>
      </c>
      <c r="AY19" s="227">
        <f t="shared" si="13"/>
        <v>689.30000000000007</v>
      </c>
      <c r="AZ19" s="227">
        <f t="shared" si="13"/>
        <v>784.4</v>
      </c>
      <c r="BA19" s="227">
        <f t="shared" si="13"/>
        <v>778.3</v>
      </c>
      <c r="BB19" s="227">
        <f t="shared" si="13"/>
        <v>837.80000000000007</v>
      </c>
      <c r="BC19" s="227">
        <f t="shared" si="13"/>
        <v>848.6</v>
      </c>
      <c r="BD19" s="227">
        <f t="shared" si="13"/>
        <v>583.90000000000009</v>
      </c>
      <c r="BE19" s="227">
        <f>X92</f>
        <v>595.5</v>
      </c>
      <c r="BF19" s="227">
        <f>Z92</f>
        <v>585.59999999999991</v>
      </c>
      <c r="BG19" s="227">
        <f>AB92</f>
        <v>608.44000000000005</v>
      </c>
      <c r="BH19" s="227">
        <f>AD92</f>
        <v>676</v>
      </c>
      <c r="BI19" s="227">
        <f>AE92</f>
        <v>687.5</v>
      </c>
      <c r="BJ19" s="227">
        <f>AF92</f>
        <v>683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BD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27">
        <f t="shared" si="15"/>
        <v>0</v>
      </c>
      <c r="AZ20" s="227">
        <f t="shared" si="15"/>
        <v>0</v>
      </c>
      <c r="BA20" s="227">
        <f t="shared" si="15"/>
        <v>0</v>
      </c>
      <c r="BB20" s="227">
        <f t="shared" si="15"/>
        <v>0</v>
      </c>
      <c r="BC20" s="227">
        <f t="shared" si="15"/>
        <v>0</v>
      </c>
      <c r="BD20" s="227">
        <f t="shared" si="15"/>
        <v>0</v>
      </c>
      <c r="BE20" s="227">
        <f>X80</f>
        <v>0</v>
      </c>
      <c r="BF20" s="227">
        <f>Z80</f>
        <v>0</v>
      </c>
      <c r="BG20" s="227">
        <f>AB80</f>
        <v>0</v>
      </c>
      <c r="BH20" s="227">
        <f>AD80</f>
        <v>0</v>
      </c>
      <c r="BI20" s="227">
        <f>AE80</f>
        <v>0</v>
      </c>
      <c r="BJ20" s="227">
        <f>AF80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231">
        <v>13</v>
      </c>
      <c r="C21" s="231">
        <v>13</v>
      </c>
      <c r="D21" s="231">
        <v>13</v>
      </c>
      <c r="E21" s="231">
        <v>13</v>
      </c>
      <c r="F21" s="231">
        <v>13</v>
      </c>
      <c r="G21" s="231">
        <v>13</v>
      </c>
      <c r="H21" s="231">
        <v>13</v>
      </c>
      <c r="I21" s="231">
        <v>13</v>
      </c>
      <c r="J21" s="231">
        <v>13</v>
      </c>
      <c r="K21" s="231">
        <v>13</v>
      </c>
      <c r="L21" s="231">
        <v>13</v>
      </c>
      <c r="M21" s="231">
        <v>13</v>
      </c>
      <c r="N21" s="231">
        <v>13</v>
      </c>
      <c r="O21" s="231">
        <v>13</v>
      </c>
      <c r="P21" s="231">
        <v>13</v>
      </c>
      <c r="Q21" s="231">
        <v>13</v>
      </c>
      <c r="R21" s="231">
        <v>13</v>
      </c>
      <c r="S21" s="231">
        <v>13</v>
      </c>
      <c r="T21" s="231">
        <v>13</v>
      </c>
      <c r="U21" s="231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200</v>
      </c>
      <c r="AU21" s="227">
        <f t="shared" ref="AU21:BD21" si="17">M98</f>
        <v>250</v>
      </c>
      <c r="AV21" s="227">
        <f t="shared" si="17"/>
        <v>250</v>
      </c>
      <c r="AW21" s="227">
        <f t="shared" si="17"/>
        <v>230</v>
      </c>
      <c r="AX21" s="227">
        <f t="shared" si="17"/>
        <v>0</v>
      </c>
      <c r="AY21" s="227">
        <f t="shared" si="17"/>
        <v>0</v>
      </c>
      <c r="AZ21" s="227">
        <f t="shared" si="17"/>
        <v>0</v>
      </c>
      <c r="BA21" s="227">
        <f t="shared" si="17"/>
        <v>0</v>
      </c>
      <c r="BB21" s="227">
        <f t="shared" si="17"/>
        <v>0</v>
      </c>
      <c r="BC21" s="227">
        <f t="shared" si="17"/>
        <v>0</v>
      </c>
      <c r="BD21" s="227">
        <f t="shared" si="17"/>
        <v>200</v>
      </c>
      <c r="BE21" s="227">
        <f>X98</f>
        <v>280</v>
      </c>
      <c r="BF21" s="227">
        <f>Z98</f>
        <v>290</v>
      </c>
      <c r="BG21" s="227">
        <f>AB98</f>
        <v>250</v>
      </c>
      <c r="BH21" s="227">
        <f>AD98</f>
        <v>221</v>
      </c>
      <c r="BI21" s="227">
        <f>AE98</f>
        <v>0</v>
      </c>
      <c r="BJ21" s="227">
        <f>AF98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0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8"/>
        <v>7.8</v>
      </c>
      <c r="AI22" s="48">
        <f t="shared" si="9"/>
        <v>0</v>
      </c>
      <c r="AK22" s="50"/>
      <c r="AL22" s="229" t="s">
        <v>597</v>
      </c>
      <c r="AM22" s="228">
        <f>SUM(AM16:AM21)</f>
        <v>1260.29</v>
      </c>
      <c r="AN22" s="228">
        <f t="shared" ref="AN22:BJ22" si="18">SUM(AN16:AN21)</f>
        <v>1257.5900000000001</v>
      </c>
      <c r="AO22" s="228">
        <f t="shared" si="18"/>
        <v>1220.99</v>
      </c>
      <c r="AP22" s="228">
        <f t="shared" si="18"/>
        <v>1211.0900000000001</v>
      </c>
      <c r="AQ22" s="228">
        <f t="shared" si="18"/>
        <v>1210.0900000000001</v>
      </c>
      <c r="AR22" s="228">
        <f t="shared" si="18"/>
        <v>1249.99</v>
      </c>
      <c r="AS22" s="228">
        <f t="shared" si="18"/>
        <v>1249.69</v>
      </c>
      <c r="AT22" s="228">
        <f t="shared" si="18"/>
        <v>1615.49</v>
      </c>
      <c r="AU22" s="228">
        <f t="shared" si="18"/>
        <v>1682.99</v>
      </c>
      <c r="AV22" s="228">
        <f t="shared" si="18"/>
        <v>1591.99</v>
      </c>
      <c r="AW22" s="228">
        <f t="shared" si="18"/>
        <v>1503.0900000000001</v>
      </c>
      <c r="AX22" s="228">
        <f t="shared" si="18"/>
        <v>1460.5900000000001</v>
      </c>
      <c r="AY22" s="228">
        <f t="shared" si="18"/>
        <v>1514.0900000000001</v>
      </c>
      <c r="AZ22" s="228">
        <f t="shared" si="18"/>
        <v>1609.19</v>
      </c>
      <c r="BA22" s="228">
        <f t="shared" si="18"/>
        <v>1495.9899999999998</v>
      </c>
      <c r="BB22" s="228">
        <f t="shared" si="18"/>
        <v>1528.9900000000002</v>
      </c>
      <c r="BC22" s="228">
        <f t="shared" si="18"/>
        <v>1543.69</v>
      </c>
      <c r="BD22" s="228">
        <f t="shared" si="18"/>
        <v>1496.79</v>
      </c>
      <c r="BE22" s="228">
        <f t="shared" si="18"/>
        <v>1686.79</v>
      </c>
      <c r="BF22" s="228">
        <f t="shared" si="18"/>
        <v>1817.05</v>
      </c>
      <c r="BG22" s="228">
        <f t="shared" si="18"/>
        <v>1635.63</v>
      </c>
      <c r="BH22" s="228">
        <f t="shared" si="18"/>
        <v>1609.3899999999999</v>
      </c>
      <c r="BI22" s="228">
        <f t="shared" si="18"/>
        <v>1342.3899999999999</v>
      </c>
      <c r="BJ22" s="228">
        <f t="shared" si="18"/>
        <v>1304.8899999999999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BD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28">
        <f t="shared" si="20"/>
        <v>0</v>
      </c>
      <c r="AZ23" s="228">
        <f t="shared" si="20"/>
        <v>0</v>
      </c>
      <c r="BA23" s="228">
        <f t="shared" si="20"/>
        <v>0</v>
      </c>
      <c r="BB23" s="228">
        <f t="shared" si="20"/>
        <v>0</v>
      </c>
      <c r="BC23" s="228">
        <f t="shared" si="20"/>
        <v>0</v>
      </c>
      <c r="BD23" s="228">
        <f t="shared" si="20"/>
        <v>0</v>
      </c>
      <c r="BE23" s="228">
        <f>X107*-1</f>
        <v>0</v>
      </c>
      <c r="BF23" s="228">
        <f>Z107*-1</f>
        <v>0</v>
      </c>
      <c r="BG23" s="228">
        <f>AB107*-1</f>
        <v>0</v>
      </c>
      <c r="BH23" s="228">
        <f>AD107*-1</f>
        <v>0</v>
      </c>
      <c r="BI23" s="228">
        <f>AE107*-1</f>
        <v>0</v>
      </c>
      <c r="BJ23" s="228">
        <f>AF107*-1</f>
        <v>-1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8"/>
        <v>7.2</v>
      </c>
      <c r="AI24" s="48">
        <f t="shared" si="9"/>
        <v>7.2</v>
      </c>
      <c r="AK24" s="50"/>
      <c r="AL24" s="229" t="s">
        <v>598</v>
      </c>
      <c r="AM24" s="228">
        <f>AM22+AM23</f>
        <v>1260.29</v>
      </c>
      <c r="AN24" s="228">
        <f t="shared" ref="AN24:BJ24" si="21">AN22+AN23</f>
        <v>1257.5900000000001</v>
      </c>
      <c r="AO24" s="228">
        <f t="shared" si="21"/>
        <v>1220.99</v>
      </c>
      <c r="AP24" s="228">
        <f t="shared" si="21"/>
        <v>1211.0900000000001</v>
      </c>
      <c r="AQ24" s="228">
        <f t="shared" si="21"/>
        <v>1210.0900000000001</v>
      </c>
      <c r="AR24" s="228">
        <f t="shared" si="21"/>
        <v>1249.99</v>
      </c>
      <c r="AS24" s="228">
        <f t="shared" si="21"/>
        <v>1249.69</v>
      </c>
      <c r="AT24" s="228">
        <f t="shared" si="21"/>
        <v>1615.49</v>
      </c>
      <c r="AU24" s="228">
        <f t="shared" si="21"/>
        <v>1682.99</v>
      </c>
      <c r="AV24" s="228">
        <f t="shared" si="21"/>
        <v>1591.99</v>
      </c>
      <c r="AW24" s="228">
        <f t="shared" si="21"/>
        <v>1503.0900000000001</v>
      </c>
      <c r="AX24" s="228">
        <f t="shared" si="21"/>
        <v>1460.5900000000001</v>
      </c>
      <c r="AY24" s="228">
        <f t="shared" si="21"/>
        <v>1514.0900000000001</v>
      </c>
      <c r="AZ24" s="228">
        <f t="shared" si="21"/>
        <v>1609.19</v>
      </c>
      <c r="BA24" s="228">
        <f t="shared" si="21"/>
        <v>1495.9899999999998</v>
      </c>
      <c r="BB24" s="228">
        <f t="shared" si="21"/>
        <v>1528.9900000000002</v>
      </c>
      <c r="BC24" s="228">
        <f t="shared" si="21"/>
        <v>1543.69</v>
      </c>
      <c r="BD24" s="228">
        <f t="shared" si="21"/>
        <v>1496.79</v>
      </c>
      <c r="BE24" s="228">
        <f t="shared" si="21"/>
        <v>1686.79</v>
      </c>
      <c r="BF24" s="228">
        <f t="shared" si="21"/>
        <v>1817.05</v>
      </c>
      <c r="BG24" s="228">
        <f t="shared" si="21"/>
        <v>1635.63</v>
      </c>
      <c r="BH24" s="228">
        <f t="shared" si="21"/>
        <v>1609.3899999999999</v>
      </c>
      <c r="BI24" s="228">
        <f t="shared" si="21"/>
        <v>1342.3899999999999</v>
      </c>
      <c r="BJ24" s="228">
        <f t="shared" si="21"/>
        <v>1303.8899999999999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6.5</v>
      </c>
      <c r="C25" s="45">
        <v>6.5</v>
      </c>
      <c r="D25" s="45">
        <v>6.5</v>
      </c>
      <c r="E25" s="45">
        <v>6.5</v>
      </c>
      <c r="F25" s="45">
        <v>6.5</v>
      </c>
      <c r="G25" s="45">
        <v>6.5</v>
      </c>
      <c r="H25" s="45">
        <v>6.5</v>
      </c>
      <c r="I25" s="45">
        <v>6.5</v>
      </c>
      <c r="J25" s="45">
        <v>6.5</v>
      </c>
      <c r="K25" s="45">
        <v>6.5</v>
      </c>
      <c r="L25" s="45">
        <v>6.5</v>
      </c>
      <c r="M25" s="45">
        <v>6.5</v>
      </c>
      <c r="N25" s="45">
        <v>6.5</v>
      </c>
      <c r="O25" s="45">
        <v>6.5</v>
      </c>
      <c r="P25" s="45">
        <v>6.5</v>
      </c>
      <c r="Q25" s="45">
        <v>6.5</v>
      </c>
      <c r="R25" s="45">
        <v>6.5</v>
      </c>
      <c r="S25" s="45">
        <v>6.5</v>
      </c>
      <c r="T25" s="45">
        <v>6.5</v>
      </c>
      <c r="U25" s="45">
        <v>0</v>
      </c>
      <c r="V25" s="45">
        <v>6.5</v>
      </c>
      <c r="W25" s="45">
        <v>6.5</v>
      </c>
      <c r="X25" s="45">
        <v>6.5</v>
      </c>
      <c r="Y25" s="45">
        <v>6.5</v>
      </c>
      <c r="Z25" s="45">
        <v>6.5</v>
      </c>
      <c r="AA25" s="45">
        <v>6.5</v>
      </c>
      <c r="AB25" s="45">
        <v>6.5</v>
      </c>
      <c r="AC25" s="45">
        <v>6.5</v>
      </c>
      <c r="AD25" s="45">
        <v>6.5</v>
      </c>
      <c r="AE25" s="45">
        <v>6.5</v>
      </c>
      <c r="AF25" s="45">
        <v>6.5</v>
      </c>
      <c r="AG25" s="52">
        <v>30</v>
      </c>
      <c r="AH25" s="47">
        <f t="shared" si="8"/>
        <v>6.5</v>
      </c>
      <c r="AI25" s="48">
        <f t="shared" si="9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9.1999999999999993</v>
      </c>
      <c r="C26" s="45">
        <v>9.1999999999999993</v>
      </c>
      <c r="D26" s="45">
        <v>9.1999999999999993</v>
      </c>
      <c r="E26" s="45">
        <v>9.1999999999999993</v>
      </c>
      <c r="F26" s="45">
        <v>9.1999999999999993</v>
      </c>
      <c r="G26" s="45">
        <v>9.1999999999999993</v>
      </c>
      <c r="H26" s="45">
        <v>9.1999999999999993</v>
      </c>
      <c r="I26" s="45">
        <v>9.1999999999999993</v>
      </c>
      <c r="J26" s="45">
        <v>9.1999999999999993</v>
      </c>
      <c r="K26" s="45">
        <v>9.1999999999999993</v>
      </c>
      <c r="L26" s="45">
        <v>9.1999999999999993</v>
      </c>
      <c r="M26" s="45">
        <v>9.1999999999999993</v>
      </c>
      <c r="N26" s="45">
        <v>9.1999999999999993</v>
      </c>
      <c r="O26" s="45">
        <v>9.1999999999999993</v>
      </c>
      <c r="P26" s="45">
        <v>9.1999999999999993</v>
      </c>
      <c r="Q26" s="45">
        <v>9.1999999999999993</v>
      </c>
      <c r="R26" s="45">
        <v>9.1999999999999993</v>
      </c>
      <c r="S26" s="45">
        <v>9.1999999999999993</v>
      </c>
      <c r="T26" s="45">
        <v>9.1999999999999993</v>
      </c>
      <c r="U26" s="45">
        <v>9.1999999999999993</v>
      </c>
      <c r="V26" s="45">
        <v>9.1999999999999993</v>
      </c>
      <c r="W26" s="45">
        <v>9.1999999999999993</v>
      </c>
      <c r="X26" s="45">
        <v>9.1999999999999993</v>
      </c>
      <c r="Y26" s="45">
        <v>9.1999999999999993</v>
      </c>
      <c r="Z26" s="45">
        <v>9.1999999999999993</v>
      </c>
      <c r="AA26" s="45">
        <v>9.1999999999999993</v>
      </c>
      <c r="AB26" s="45">
        <v>9.1999999999999993</v>
      </c>
      <c r="AC26" s="45">
        <v>9.1999999999999993</v>
      </c>
      <c r="AD26" s="45">
        <v>9.1999999999999993</v>
      </c>
      <c r="AE26" s="45">
        <v>9.1999999999999993</v>
      </c>
      <c r="AF26" s="45">
        <v>9.1999999999999993</v>
      </c>
      <c r="AG26" s="49">
        <v>25</v>
      </c>
      <c r="AH26" s="47">
        <f t="shared" si="8"/>
        <v>9.1999999999999993</v>
      </c>
      <c r="AI26" s="48">
        <f t="shared" si="9"/>
        <v>9.1999999999999993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0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7.4</v>
      </c>
      <c r="P29" s="45">
        <v>7.4</v>
      </c>
      <c r="Q29" s="45">
        <v>7.4</v>
      </c>
      <c r="R29" s="45">
        <v>7.4</v>
      </c>
      <c r="S29" s="45">
        <v>7.4</v>
      </c>
      <c r="T29" s="45">
        <v>7.4</v>
      </c>
      <c r="U29" s="45">
        <v>0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7.4</v>
      </c>
      <c r="AF29" s="45">
        <v>7.4</v>
      </c>
      <c r="AG29" s="49">
        <v>25</v>
      </c>
      <c r="AH29" s="47">
        <f t="shared" si="8"/>
        <v>7.4</v>
      </c>
      <c r="AI29" s="48">
        <f t="shared" si="9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6.7</v>
      </c>
      <c r="C30" s="45">
        <v>6.7</v>
      </c>
      <c r="D30" s="45">
        <v>6.7</v>
      </c>
      <c r="E30" s="45">
        <v>6.7</v>
      </c>
      <c r="F30" s="45">
        <v>6.7</v>
      </c>
      <c r="G30" s="45">
        <v>6.7</v>
      </c>
      <c r="H30" s="45">
        <v>6.7</v>
      </c>
      <c r="I30" s="45">
        <v>6.7</v>
      </c>
      <c r="J30" s="45">
        <v>6.7</v>
      </c>
      <c r="K30" s="45">
        <v>6.7</v>
      </c>
      <c r="L30" s="45">
        <v>6.7</v>
      </c>
      <c r="M30" s="45">
        <v>6.7</v>
      </c>
      <c r="N30" s="45">
        <v>6.7</v>
      </c>
      <c r="O30" s="45">
        <v>6.7</v>
      </c>
      <c r="P30" s="45">
        <v>6.7</v>
      </c>
      <c r="Q30" s="45">
        <v>6.7</v>
      </c>
      <c r="R30" s="45">
        <v>6.7</v>
      </c>
      <c r="S30" s="45">
        <v>6.7</v>
      </c>
      <c r="T30" s="45">
        <v>6.7</v>
      </c>
      <c r="U30" s="45">
        <v>6.7</v>
      </c>
      <c r="V30" s="45">
        <v>6.7</v>
      </c>
      <c r="W30" s="45">
        <v>6.7</v>
      </c>
      <c r="X30" s="45">
        <v>6.7</v>
      </c>
      <c r="Y30" s="45">
        <v>6.7</v>
      </c>
      <c r="Z30" s="45">
        <v>6.7</v>
      </c>
      <c r="AA30" s="45">
        <v>6.7</v>
      </c>
      <c r="AB30" s="45">
        <v>6.7</v>
      </c>
      <c r="AC30" s="45">
        <v>6.7</v>
      </c>
      <c r="AD30" s="45">
        <v>6.7</v>
      </c>
      <c r="AE30" s="45">
        <v>6.7</v>
      </c>
      <c r="AF30" s="45">
        <v>6.7</v>
      </c>
      <c r="AG30" s="49">
        <v>23.5</v>
      </c>
      <c r="AH30" s="47">
        <f t="shared" si="8"/>
        <v>6.7</v>
      </c>
      <c r="AI30" s="48">
        <f t="shared" si="9"/>
        <v>6.7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10.6</v>
      </c>
      <c r="C34" s="45">
        <v>10.6</v>
      </c>
      <c r="D34" s="45">
        <v>10.6</v>
      </c>
      <c r="E34" s="45">
        <v>10.6</v>
      </c>
      <c r="F34" s="45">
        <v>10.6</v>
      </c>
      <c r="G34" s="45">
        <v>10.6</v>
      </c>
      <c r="H34" s="45">
        <v>10.6</v>
      </c>
      <c r="I34" s="45">
        <v>10.6</v>
      </c>
      <c r="J34" s="45">
        <v>10.6</v>
      </c>
      <c r="K34" s="45">
        <v>10.6</v>
      </c>
      <c r="L34" s="45">
        <v>10.6</v>
      </c>
      <c r="M34" s="45">
        <v>10.6</v>
      </c>
      <c r="N34" s="45">
        <v>10.6</v>
      </c>
      <c r="O34" s="45">
        <v>10.6</v>
      </c>
      <c r="P34" s="45">
        <v>10.6</v>
      </c>
      <c r="Q34" s="45">
        <v>10.6</v>
      </c>
      <c r="R34" s="45">
        <v>10.6</v>
      </c>
      <c r="S34" s="45">
        <v>10.6</v>
      </c>
      <c r="T34" s="45">
        <v>10.6</v>
      </c>
      <c r="U34" s="45">
        <v>10.6</v>
      </c>
      <c r="V34" s="45">
        <v>10.6</v>
      </c>
      <c r="W34" s="45">
        <v>10.6</v>
      </c>
      <c r="X34" s="45">
        <v>10.6</v>
      </c>
      <c r="Y34" s="45">
        <v>10.6</v>
      </c>
      <c r="Z34" s="45">
        <v>10.6</v>
      </c>
      <c r="AA34" s="45">
        <v>10.6</v>
      </c>
      <c r="AB34" s="45">
        <v>10.6</v>
      </c>
      <c r="AC34" s="45">
        <v>10.6</v>
      </c>
      <c r="AD34" s="45">
        <v>10.6</v>
      </c>
      <c r="AE34" s="45">
        <v>10.6</v>
      </c>
      <c r="AF34" s="45">
        <v>10.6</v>
      </c>
      <c r="AG34" s="49">
        <v>22</v>
      </c>
      <c r="AH34" s="47">
        <f t="shared" si="8"/>
        <v>10.6</v>
      </c>
      <c r="AI34" s="48">
        <f t="shared" si="9"/>
        <v>10.6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0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0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ref="AH50:AH81" si="22">MAX(B50:AF50)</f>
        <v>2.4500000000000002</v>
      </c>
      <c r="AI50" s="48">
        <f t="shared" ref="AI50:AI81" si="23">MIN(B50:AF50)</f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2"/>
        <v>3</v>
      </c>
      <c r="AI51" s="48">
        <f t="shared" si="2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2"/>
        <v>4</v>
      </c>
      <c r="AI52" s="48">
        <f t="shared" si="2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2"/>
        <v>4.5</v>
      </c>
      <c r="AI53" s="48">
        <f t="shared" si="2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2"/>
        <v>0</v>
      </c>
      <c r="AI54" s="48">
        <f t="shared" si="2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2"/>
        <v>0</v>
      </c>
      <c r="AI55" s="48">
        <f t="shared" si="2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2"/>
        <v>150</v>
      </c>
      <c r="AI56" s="48">
        <f t="shared" si="23"/>
        <v>150</v>
      </c>
      <c r="AK56" s="50"/>
    </row>
    <row r="57" spans="1:88" ht="15.75" thickBot="1" x14ac:dyDescent="0.3">
      <c r="A57" s="58" t="s">
        <v>57</v>
      </c>
      <c r="B57" s="57">
        <f>6.4+14.6</f>
        <v>21</v>
      </c>
      <c r="C57" s="57">
        <f>6.4+14.8</f>
        <v>21.200000000000003</v>
      </c>
      <c r="D57" s="57">
        <f>6.5+14.7</f>
        <v>21.2</v>
      </c>
      <c r="E57" s="57">
        <v>19.8</v>
      </c>
      <c r="F57" s="57">
        <v>19.8</v>
      </c>
      <c r="G57" s="57">
        <f>14.6+6.2</f>
        <v>20.8</v>
      </c>
      <c r="H57" s="57">
        <f>20.8</f>
        <v>20.8</v>
      </c>
      <c r="I57" s="57">
        <v>19.2</v>
      </c>
      <c r="J57" s="57">
        <v>20</v>
      </c>
      <c r="K57" s="57">
        <v>20</v>
      </c>
      <c r="L57" s="57">
        <v>20.100000000000001</v>
      </c>
      <c r="M57" s="51">
        <f>5.4+13.2</f>
        <v>18.600000000000001</v>
      </c>
      <c r="N57" s="51">
        <f>5.4+13.2</f>
        <v>18.600000000000001</v>
      </c>
      <c r="O57" s="51">
        <f>5.4+13.2</f>
        <v>18.600000000000001</v>
      </c>
      <c r="P57" s="51">
        <f>5.4+13.2</f>
        <v>18.600000000000001</v>
      </c>
      <c r="Q57" s="51">
        <f>6.6+15.3</f>
        <v>21.9</v>
      </c>
      <c r="R57" s="51">
        <f>6.6+15.3</f>
        <v>21.9</v>
      </c>
      <c r="S57" s="51">
        <f>6.6+15.3</f>
        <v>21.9</v>
      </c>
      <c r="T57" s="51">
        <f>6.6+15.3</f>
        <v>21.9</v>
      </c>
      <c r="U57" s="51">
        <f>6.6+15.3</f>
        <v>21.9</v>
      </c>
      <c r="V57" s="51">
        <v>21.9</v>
      </c>
      <c r="W57" s="51">
        <v>21.9</v>
      </c>
      <c r="X57" s="51">
        <v>21.9</v>
      </c>
      <c r="Y57" s="51">
        <v>21.9</v>
      </c>
      <c r="Z57" s="51">
        <v>21.9</v>
      </c>
      <c r="AA57" s="51">
        <v>21.9</v>
      </c>
      <c r="AB57" s="51">
        <v>21.9</v>
      </c>
      <c r="AC57" s="51">
        <v>21.9</v>
      </c>
      <c r="AD57" s="51">
        <v>21.9</v>
      </c>
      <c r="AE57" s="51">
        <v>21.9</v>
      </c>
      <c r="AF57" s="51">
        <v>21.9</v>
      </c>
      <c r="AG57" s="55">
        <v>240</v>
      </c>
      <c r="AH57" s="47">
        <f t="shared" si="22"/>
        <v>21.9</v>
      </c>
      <c r="AI57" s="48">
        <f t="shared" si="23"/>
        <v>18.600000000000001</v>
      </c>
      <c r="AK57" s="50"/>
    </row>
    <row r="58" spans="1:88" ht="15.75" thickBot="1" x14ac:dyDescent="0.3">
      <c r="A58" s="59" t="s">
        <v>58</v>
      </c>
      <c r="B58" s="60">
        <f t="shared" ref="B58:D58" si="24">SUM(B11:B56)</f>
        <v>473.75</v>
      </c>
      <c r="C58" s="60">
        <f t="shared" si="24"/>
        <v>473.75</v>
      </c>
      <c r="D58" s="60">
        <f t="shared" si="24"/>
        <v>473.75</v>
      </c>
      <c r="E58" s="60">
        <f t="shared" ref="E58:AA58" si="25">SUM(E11:E56)</f>
        <v>472.75</v>
      </c>
      <c r="F58" s="60">
        <f t="shared" si="25"/>
        <v>472.75</v>
      </c>
      <c r="G58" s="60">
        <f t="shared" si="25"/>
        <v>472.75</v>
      </c>
      <c r="H58" s="60">
        <f t="shared" si="25"/>
        <v>472.75</v>
      </c>
      <c r="I58" s="60">
        <f t="shared" si="25"/>
        <v>472.75</v>
      </c>
      <c r="J58" s="60">
        <f t="shared" si="25"/>
        <v>472.75</v>
      </c>
      <c r="K58" s="60">
        <f t="shared" si="25"/>
        <v>472.75</v>
      </c>
      <c r="L58" s="60">
        <f t="shared" si="25"/>
        <v>472.75</v>
      </c>
      <c r="M58" s="60">
        <f t="shared" si="25"/>
        <v>472.75</v>
      </c>
      <c r="N58" s="60">
        <f t="shared" si="25"/>
        <v>472.75</v>
      </c>
      <c r="O58" s="60">
        <f t="shared" si="25"/>
        <v>472.75</v>
      </c>
      <c r="P58" s="60">
        <f t="shared" si="25"/>
        <v>472.75</v>
      </c>
      <c r="Q58" s="60">
        <f t="shared" si="25"/>
        <v>472.75</v>
      </c>
      <c r="R58" s="60">
        <f t="shared" ref="R58" si="26">SUM(R11:R56)</f>
        <v>472.75</v>
      </c>
      <c r="S58" s="60">
        <f t="shared" si="25"/>
        <v>472.75</v>
      </c>
      <c r="T58" s="60">
        <f t="shared" si="25"/>
        <v>472.75</v>
      </c>
      <c r="U58" s="60">
        <f t="shared" si="25"/>
        <v>430.55</v>
      </c>
      <c r="V58" s="60">
        <f t="shared" si="25"/>
        <v>472.75</v>
      </c>
      <c r="W58" s="60">
        <f t="shared" si="25"/>
        <v>472.75</v>
      </c>
      <c r="X58" s="60">
        <f t="shared" si="25"/>
        <v>472.75</v>
      </c>
      <c r="Y58" s="60">
        <f t="shared" si="25"/>
        <v>472.75</v>
      </c>
      <c r="Z58" s="60">
        <f t="shared" si="25"/>
        <v>472.75</v>
      </c>
      <c r="AA58" s="60">
        <f t="shared" si="25"/>
        <v>472.75</v>
      </c>
      <c r="AB58" s="60">
        <f t="shared" ref="AB58:AC58" si="27">SUM(AB11:AB56)</f>
        <v>472.75</v>
      </c>
      <c r="AC58" s="60">
        <f t="shared" si="27"/>
        <v>472.75</v>
      </c>
      <c r="AD58" s="60">
        <f t="shared" ref="AD58:AE58" si="28">SUM(AD11:AD56)</f>
        <v>472.75</v>
      </c>
      <c r="AE58" s="60">
        <f t="shared" si="28"/>
        <v>472.75</v>
      </c>
      <c r="AF58" s="60">
        <f t="shared" ref="AF58" si="29">SUM(AF11:AF56)</f>
        <v>472.75</v>
      </c>
      <c r="AG58" s="61">
        <f>SUM(AG14:AG56)</f>
        <v>1042.4000000000001</v>
      </c>
      <c r="AH58" s="47">
        <f t="shared" si="22"/>
        <v>473.75</v>
      </c>
      <c r="AI58" s="48">
        <f t="shared" si="23"/>
        <v>430.55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30</v>
      </c>
      <c r="K59" s="45">
        <v>240</v>
      </c>
      <c r="L59" s="45">
        <v>340</v>
      </c>
      <c r="M59" s="45">
        <v>405</v>
      </c>
      <c r="N59" s="63">
        <v>265</v>
      </c>
      <c r="O59" s="63">
        <v>15</v>
      </c>
      <c r="P59" s="63">
        <v>70</v>
      </c>
      <c r="Q59" s="63">
        <v>76</v>
      </c>
      <c r="R59" s="63">
        <v>76</v>
      </c>
      <c r="S59" s="63">
        <v>0</v>
      </c>
      <c r="T59" s="63">
        <v>0</v>
      </c>
      <c r="U59" s="63">
        <v>50</v>
      </c>
      <c r="V59" s="63">
        <v>60</v>
      </c>
      <c r="W59" s="45">
        <v>80</v>
      </c>
      <c r="X59" s="45">
        <v>100</v>
      </c>
      <c r="Y59" s="45">
        <v>140</v>
      </c>
      <c r="Z59" s="45">
        <v>145</v>
      </c>
      <c r="AA59" s="45">
        <v>90</v>
      </c>
      <c r="AB59" s="45">
        <v>50</v>
      </c>
      <c r="AC59" s="45">
        <v>20</v>
      </c>
      <c r="AD59" s="45">
        <v>20</v>
      </c>
      <c r="AE59" s="45">
        <v>0</v>
      </c>
      <c r="AF59" s="45">
        <v>0</v>
      </c>
      <c r="AG59" s="52">
        <v>456</v>
      </c>
      <c r="AH59" s="47">
        <f t="shared" si="22"/>
        <v>405</v>
      </c>
      <c r="AI59" s="48">
        <f t="shared" si="2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2"/>
        <v>27</v>
      </c>
      <c r="AI60" s="48">
        <f t="shared" si="23"/>
        <v>27</v>
      </c>
      <c r="AK60" s="50"/>
    </row>
    <row r="61" spans="1:88" ht="15.75" thickBot="1" x14ac:dyDescent="0.3">
      <c r="A61" s="66" t="s">
        <v>61</v>
      </c>
      <c r="B61" s="67">
        <v>8.1999999999999993</v>
      </c>
      <c r="C61" s="67">
        <v>8.1999999999999993</v>
      </c>
      <c r="D61" s="67">
        <v>9.1999999999999993</v>
      </c>
      <c r="E61" s="67">
        <v>9.1999999999999993</v>
      </c>
      <c r="F61" s="67">
        <v>9.1999999999999993</v>
      </c>
      <c r="G61" s="67">
        <v>9.1999999999999993</v>
      </c>
      <c r="H61" s="67">
        <v>9.1999999999999993</v>
      </c>
      <c r="I61" s="67">
        <v>9.1999999999999993</v>
      </c>
      <c r="J61" s="67">
        <v>9.1999999999999993</v>
      </c>
      <c r="K61" s="67">
        <v>9.1999999999999993</v>
      </c>
      <c r="L61" s="67">
        <v>9.1999999999999993</v>
      </c>
      <c r="M61" s="67">
        <v>9.1999999999999993</v>
      </c>
      <c r="N61" s="67">
        <v>9.1999999999999993</v>
      </c>
      <c r="O61" s="67">
        <v>9.1999999999999993</v>
      </c>
      <c r="P61" s="67">
        <v>9.1999999999999993</v>
      </c>
      <c r="Q61" s="67">
        <v>9.1999999999999993</v>
      </c>
      <c r="R61" s="67">
        <v>9.1999999999999993</v>
      </c>
      <c r="S61" s="67">
        <v>9.3000000000000007</v>
      </c>
      <c r="T61" s="67">
        <v>9.1999999999999993</v>
      </c>
      <c r="U61" s="67">
        <v>8.3000000000000007</v>
      </c>
      <c r="V61" s="67">
        <v>8.3000000000000007</v>
      </c>
      <c r="W61" s="67">
        <v>8.3000000000000007</v>
      </c>
      <c r="X61" s="67">
        <v>8.3000000000000007</v>
      </c>
      <c r="Y61" s="67">
        <v>16.100000000000001</v>
      </c>
      <c r="Z61" s="67">
        <v>16.2</v>
      </c>
      <c r="AA61" s="67">
        <v>16.100000000000001</v>
      </c>
      <c r="AB61" s="67">
        <v>16.100000000000001</v>
      </c>
      <c r="AC61" s="67">
        <v>16.100000000000001</v>
      </c>
      <c r="AD61" s="67">
        <v>16.100000000000001</v>
      </c>
      <c r="AE61" s="67">
        <v>16.100000000000001</v>
      </c>
      <c r="AF61" s="67">
        <v>16.100000000000001</v>
      </c>
      <c r="AG61" s="68">
        <v>22.1</v>
      </c>
      <c r="AH61" s="47">
        <f t="shared" si="22"/>
        <v>16.2</v>
      </c>
      <c r="AI61" s="48">
        <f t="shared" si="23"/>
        <v>8.1999999999999993</v>
      </c>
      <c r="AK61" s="50"/>
    </row>
    <row r="62" spans="1:88" ht="15.75" thickBot="1" x14ac:dyDescent="0.3">
      <c r="A62" s="69" t="s">
        <v>62</v>
      </c>
      <c r="B62" s="60">
        <f t="shared" ref="B62:D62" si="30">SUM(B59:B61)</f>
        <v>35.200000000000003</v>
      </c>
      <c r="C62" s="60">
        <f t="shared" si="30"/>
        <v>35.200000000000003</v>
      </c>
      <c r="D62" s="60">
        <f t="shared" si="30"/>
        <v>36.200000000000003</v>
      </c>
      <c r="E62" s="60">
        <f t="shared" ref="E62:AG62" si="31">SUM(E59:E61)</f>
        <v>36.200000000000003</v>
      </c>
      <c r="F62" s="60">
        <f t="shared" si="31"/>
        <v>36.200000000000003</v>
      </c>
      <c r="G62" s="60">
        <f t="shared" si="31"/>
        <v>36.200000000000003</v>
      </c>
      <c r="H62" s="60">
        <f t="shared" si="31"/>
        <v>36.200000000000003</v>
      </c>
      <c r="I62" s="60">
        <f t="shared" si="31"/>
        <v>36.200000000000003</v>
      </c>
      <c r="J62" s="60">
        <f t="shared" si="31"/>
        <v>66.2</v>
      </c>
      <c r="K62" s="60">
        <f t="shared" si="31"/>
        <v>276.2</v>
      </c>
      <c r="L62" s="60">
        <f t="shared" si="31"/>
        <v>376.2</v>
      </c>
      <c r="M62" s="60">
        <f t="shared" si="31"/>
        <v>441.2</v>
      </c>
      <c r="N62" s="60">
        <f t="shared" si="31"/>
        <v>301.2</v>
      </c>
      <c r="O62" s="60">
        <f t="shared" si="31"/>
        <v>51.2</v>
      </c>
      <c r="P62" s="60">
        <f t="shared" si="31"/>
        <v>106.2</v>
      </c>
      <c r="Q62" s="60">
        <f t="shared" si="31"/>
        <v>112.2</v>
      </c>
      <c r="R62" s="60">
        <f t="shared" ref="R62" si="32">SUM(R59:R61)</f>
        <v>112.2</v>
      </c>
      <c r="S62" s="60">
        <f t="shared" si="31"/>
        <v>36.299999999999997</v>
      </c>
      <c r="T62" s="60">
        <f t="shared" si="31"/>
        <v>36.200000000000003</v>
      </c>
      <c r="U62" s="60">
        <f t="shared" si="31"/>
        <v>85.3</v>
      </c>
      <c r="V62" s="60">
        <f t="shared" si="31"/>
        <v>95.3</v>
      </c>
      <c r="W62" s="60">
        <f t="shared" si="31"/>
        <v>115.3</v>
      </c>
      <c r="X62" s="60">
        <f t="shared" si="31"/>
        <v>135.30000000000001</v>
      </c>
      <c r="Y62" s="60">
        <f t="shared" si="31"/>
        <v>183.1</v>
      </c>
      <c r="Z62" s="60">
        <f t="shared" si="31"/>
        <v>188.2</v>
      </c>
      <c r="AA62" s="60">
        <f t="shared" si="31"/>
        <v>133.1</v>
      </c>
      <c r="AB62" s="60">
        <f t="shared" ref="AB62:AC62" si="33">SUM(AB59:AB61)</f>
        <v>93.1</v>
      </c>
      <c r="AC62" s="60">
        <f t="shared" si="33"/>
        <v>63.1</v>
      </c>
      <c r="AD62" s="60">
        <f t="shared" ref="AD62:AE62" si="34">SUM(AD59:AD61)</f>
        <v>63.1</v>
      </c>
      <c r="AE62" s="60">
        <f t="shared" si="34"/>
        <v>43.1</v>
      </c>
      <c r="AF62" s="60">
        <f t="shared" ref="AF62" si="35">SUM(AF59:AF61)</f>
        <v>43.1</v>
      </c>
      <c r="AG62" s="61">
        <f t="shared" si="31"/>
        <v>538.1</v>
      </c>
      <c r="AH62" s="47">
        <f t="shared" si="22"/>
        <v>441.2</v>
      </c>
      <c r="AI62" s="48">
        <f t="shared" si="23"/>
        <v>35.200000000000003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49.1</v>
      </c>
      <c r="I63" s="45">
        <v>90</v>
      </c>
      <c r="J63" s="45">
        <v>120</v>
      </c>
      <c r="K63" s="45">
        <v>132.69999999999999</v>
      </c>
      <c r="L63" s="45">
        <v>121.7</v>
      </c>
      <c r="M63" s="45">
        <v>101.7</v>
      </c>
      <c r="N63" s="45">
        <v>91</v>
      </c>
      <c r="O63" s="45">
        <v>60</v>
      </c>
      <c r="P63" s="45">
        <v>70</v>
      </c>
      <c r="Q63" s="45">
        <v>61</v>
      </c>
      <c r="R63" s="45">
        <v>61</v>
      </c>
      <c r="S63" s="45">
        <v>40.799999999999997</v>
      </c>
      <c r="T63" s="45">
        <v>41</v>
      </c>
      <c r="U63" s="45">
        <v>40.9</v>
      </c>
      <c r="V63" s="45">
        <v>30</v>
      </c>
      <c r="W63" s="45">
        <v>30.9</v>
      </c>
      <c r="X63" s="45">
        <v>62.7</v>
      </c>
      <c r="Y63" s="45">
        <v>101.1</v>
      </c>
      <c r="Z63" s="45">
        <v>101.4</v>
      </c>
      <c r="AA63" s="45">
        <v>92.4</v>
      </c>
      <c r="AB63" s="45">
        <v>92.4</v>
      </c>
      <c r="AC63" s="45">
        <v>60</v>
      </c>
      <c r="AD63" s="45">
        <v>60</v>
      </c>
      <c r="AE63" s="45">
        <v>0</v>
      </c>
      <c r="AF63" s="45">
        <v>0</v>
      </c>
      <c r="AG63" s="52">
        <v>144</v>
      </c>
      <c r="AH63" s="47">
        <f t="shared" si="22"/>
        <v>132.69999999999999</v>
      </c>
      <c r="AI63" s="48">
        <f t="shared" si="23"/>
        <v>0</v>
      </c>
      <c r="AK63" s="50"/>
    </row>
    <row r="64" spans="1:88" x14ac:dyDescent="0.25">
      <c r="A64" s="54" t="s">
        <v>64</v>
      </c>
      <c r="B64" s="45">
        <v>22.8</v>
      </c>
      <c r="C64" s="45">
        <v>35</v>
      </c>
      <c r="D64" s="45">
        <v>35</v>
      </c>
      <c r="E64" s="65">
        <v>35</v>
      </c>
      <c r="F64" s="65">
        <v>35</v>
      </c>
      <c r="G64" s="65">
        <v>34.9</v>
      </c>
      <c r="H64" s="65">
        <v>34.9</v>
      </c>
      <c r="I64" s="65">
        <v>34.9</v>
      </c>
      <c r="J64" s="65">
        <v>34.9</v>
      </c>
      <c r="K64" s="65">
        <v>34.9</v>
      </c>
      <c r="L64" s="65">
        <v>34.9</v>
      </c>
      <c r="M64" s="65">
        <v>25.1</v>
      </c>
      <c r="N64" s="65">
        <v>25</v>
      </c>
      <c r="O64" s="65">
        <v>24.8</v>
      </c>
      <c r="P64" s="65">
        <v>40</v>
      </c>
      <c r="Q64" s="65">
        <v>25</v>
      </c>
      <c r="R64" s="65">
        <v>25</v>
      </c>
      <c r="S64" s="65">
        <v>22.8</v>
      </c>
      <c r="T64" s="65">
        <v>24.7</v>
      </c>
      <c r="U64" s="65">
        <v>24.9</v>
      </c>
      <c r="V64" s="65">
        <v>22</v>
      </c>
      <c r="W64" s="45">
        <v>23.9</v>
      </c>
      <c r="X64" s="45">
        <v>23.8</v>
      </c>
      <c r="Y64" s="45">
        <v>34.799999999999997</v>
      </c>
      <c r="Z64" s="45">
        <v>34.700000000000003</v>
      </c>
      <c r="AA64" s="45">
        <v>21.9</v>
      </c>
      <c r="AB64" s="45">
        <v>0</v>
      </c>
      <c r="AC64" s="45">
        <v>0</v>
      </c>
      <c r="AD64" s="45">
        <v>0</v>
      </c>
      <c r="AE64" s="45">
        <v>22.5</v>
      </c>
      <c r="AF64" s="45">
        <v>22.5</v>
      </c>
      <c r="AG64" s="55">
        <v>70</v>
      </c>
      <c r="AH64" s="47">
        <f t="shared" si="22"/>
        <v>40</v>
      </c>
      <c r="AI64" s="48">
        <f t="shared" si="23"/>
        <v>0</v>
      </c>
      <c r="AK64" s="50"/>
    </row>
    <row r="65" spans="1:41" x14ac:dyDescent="0.25">
      <c r="A65" s="54" t="s">
        <v>65</v>
      </c>
      <c r="B65" s="45">
        <v>0</v>
      </c>
      <c r="C65" s="45">
        <v>0</v>
      </c>
      <c r="D65" s="45">
        <v>0</v>
      </c>
      <c r="E65" s="65">
        <v>0</v>
      </c>
      <c r="F65" s="65">
        <v>0</v>
      </c>
      <c r="G65" s="65">
        <v>22</v>
      </c>
      <c r="H65" s="65">
        <v>41.8</v>
      </c>
      <c r="I65" s="65">
        <v>60</v>
      </c>
      <c r="J65" s="65">
        <v>69.2</v>
      </c>
      <c r="K65" s="65">
        <v>68.599999999999994</v>
      </c>
      <c r="L65" s="65">
        <v>69.3</v>
      </c>
      <c r="M65" s="65">
        <v>51.4</v>
      </c>
      <c r="N65" s="65">
        <v>52</v>
      </c>
      <c r="O65" s="65">
        <v>52.9</v>
      </c>
      <c r="P65" s="65">
        <v>25</v>
      </c>
      <c r="Q65" s="65">
        <v>45.7</v>
      </c>
      <c r="R65" s="65">
        <v>45.7</v>
      </c>
      <c r="S65" s="65">
        <v>32.799999999999997</v>
      </c>
      <c r="T65" s="65">
        <v>31.8</v>
      </c>
      <c r="U65" s="65">
        <v>32.299999999999997</v>
      </c>
      <c r="V65" s="65">
        <v>15.8</v>
      </c>
      <c r="W65" s="45">
        <v>0</v>
      </c>
      <c r="X65" s="45">
        <v>32.799999999999997</v>
      </c>
      <c r="Y65" s="45">
        <v>44.3</v>
      </c>
      <c r="Z65" s="45">
        <v>44.2</v>
      </c>
      <c r="AA65" s="45">
        <v>35.4</v>
      </c>
      <c r="AB65" s="45">
        <v>35.4</v>
      </c>
      <c r="AC65" s="45">
        <v>33</v>
      </c>
      <c r="AD65" s="45">
        <v>33</v>
      </c>
      <c r="AE65" s="45">
        <v>33</v>
      </c>
      <c r="AF65" s="45">
        <v>0</v>
      </c>
      <c r="AG65" s="55">
        <v>69</v>
      </c>
      <c r="AH65" s="47">
        <f t="shared" si="22"/>
        <v>69.3</v>
      </c>
      <c r="AI65" s="48">
        <f t="shared" si="23"/>
        <v>0</v>
      </c>
      <c r="AK65" s="50"/>
    </row>
    <row r="66" spans="1:41" x14ac:dyDescent="0.25">
      <c r="A66" s="54" t="s">
        <v>66</v>
      </c>
      <c r="B66" s="45">
        <v>39.1</v>
      </c>
      <c r="C66" s="45">
        <v>39.1</v>
      </c>
      <c r="D66" s="45">
        <v>36.299999999999997</v>
      </c>
      <c r="E66" s="45">
        <v>36.299999999999997</v>
      </c>
      <c r="F66" s="45">
        <v>36.299999999999997</v>
      </c>
      <c r="G66" s="65">
        <v>35.299999999999997</v>
      </c>
      <c r="H66" s="65">
        <v>35</v>
      </c>
      <c r="I66" s="65">
        <v>35</v>
      </c>
      <c r="J66" s="65">
        <v>35</v>
      </c>
      <c r="K66" s="65">
        <v>35</v>
      </c>
      <c r="L66" s="57">
        <v>37.1</v>
      </c>
      <c r="M66" s="65">
        <v>36.799999999999997</v>
      </c>
      <c r="N66" s="65">
        <v>36.799999999999997</v>
      </c>
      <c r="O66" s="65">
        <v>36.299999999999997</v>
      </c>
      <c r="P66" s="65">
        <v>36.299999999999997</v>
      </c>
      <c r="Q66" s="65">
        <v>36.299999999999997</v>
      </c>
      <c r="R66" s="65">
        <v>36.299999999999997</v>
      </c>
      <c r="S66" s="65">
        <v>36</v>
      </c>
      <c r="T66" s="65">
        <v>35.799999999999997</v>
      </c>
      <c r="U66" s="65">
        <v>36</v>
      </c>
      <c r="V66" s="65">
        <v>35.799999999999997</v>
      </c>
      <c r="W66" s="45">
        <v>35.5</v>
      </c>
      <c r="X66" s="45">
        <v>33.700000000000003</v>
      </c>
      <c r="Y66" s="45">
        <v>33.700000000000003</v>
      </c>
      <c r="Z66" s="45">
        <v>33.700000000000003</v>
      </c>
      <c r="AA66" s="45">
        <v>33.700000000000003</v>
      </c>
      <c r="AB66" s="45">
        <v>33.700000000000003</v>
      </c>
      <c r="AC66" s="45">
        <v>33.700000000000003</v>
      </c>
      <c r="AD66" s="45">
        <v>33.700000000000003</v>
      </c>
      <c r="AE66" s="45">
        <v>33.700000000000003</v>
      </c>
      <c r="AF66" s="45">
        <v>33.700000000000003</v>
      </c>
      <c r="AG66" s="55">
        <v>60</v>
      </c>
      <c r="AH66" s="47">
        <f t="shared" si="22"/>
        <v>39.1</v>
      </c>
      <c r="AI66" s="48">
        <f t="shared" si="23"/>
        <v>33.700000000000003</v>
      </c>
      <c r="AK66" s="50"/>
    </row>
    <row r="67" spans="1:41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65">
        <v>0</v>
      </c>
      <c r="I67" s="65">
        <v>10</v>
      </c>
      <c r="J67" s="65">
        <v>15</v>
      </c>
      <c r="K67" s="65">
        <v>15</v>
      </c>
      <c r="L67" s="57">
        <v>23</v>
      </c>
      <c r="M67" s="65">
        <v>23</v>
      </c>
      <c r="N67" s="65">
        <v>10</v>
      </c>
      <c r="O67" s="65">
        <v>10.199999999999999</v>
      </c>
      <c r="P67" s="65">
        <v>10.199999999999999</v>
      </c>
      <c r="Q67" s="65">
        <v>15</v>
      </c>
      <c r="R67" s="65">
        <v>15</v>
      </c>
      <c r="S67" s="65">
        <v>22.7</v>
      </c>
      <c r="T67" s="65">
        <v>0</v>
      </c>
      <c r="U67" s="65">
        <v>0</v>
      </c>
      <c r="V67" s="65">
        <v>0</v>
      </c>
      <c r="W67" s="45">
        <v>0</v>
      </c>
      <c r="X67" s="45">
        <v>10.4</v>
      </c>
      <c r="Y67" s="45">
        <v>14.1</v>
      </c>
      <c r="Z67" s="45">
        <v>24.7</v>
      </c>
      <c r="AA67" s="45">
        <v>22.6</v>
      </c>
      <c r="AB67" s="45">
        <v>10</v>
      </c>
      <c r="AC67" s="45">
        <v>10</v>
      </c>
      <c r="AD67" s="45">
        <v>10</v>
      </c>
      <c r="AE67" s="45">
        <v>10</v>
      </c>
      <c r="AF67" s="45">
        <v>10</v>
      </c>
      <c r="AG67" s="55">
        <v>30</v>
      </c>
      <c r="AH67" s="47">
        <f t="shared" si="22"/>
        <v>24.7</v>
      </c>
      <c r="AI67" s="48">
        <f t="shared" si="23"/>
        <v>0</v>
      </c>
      <c r="AK67" s="50"/>
    </row>
    <row r="68" spans="1:41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2</v>
      </c>
      <c r="M68" s="65">
        <v>4.4000000000000004</v>
      </c>
      <c r="N68" s="65">
        <v>4.4000000000000004</v>
      </c>
      <c r="O68" s="65">
        <v>4.4000000000000004</v>
      </c>
      <c r="P68" s="65">
        <v>4.4000000000000004</v>
      </c>
      <c r="Q68" s="65">
        <v>17</v>
      </c>
      <c r="R68" s="65">
        <v>17</v>
      </c>
      <c r="S68" s="65">
        <v>13.7</v>
      </c>
      <c r="T68" s="65">
        <v>9.1</v>
      </c>
      <c r="U68" s="65">
        <v>5.3</v>
      </c>
      <c r="V68" s="65">
        <v>1.4</v>
      </c>
      <c r="W68" s="45">
        <v>0.5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22"/>
        <v>17</v>
      </c>
      <c r="AI68" s="48">
        <f t="shared" si="23"/>
        <v>0</v>
      </c>
      <c r="AK68" s="50"/>
    </row>
    <row r="69" spans="1:41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2"/>
        <v>15</v>
      </c>
      <c r="AI69" s="48">
        <f t="shared" si="23"/>
        <v>15</v>
      </c>
      <c r="AK69" s="50"/>
    </row>
    <row r="70" spans="1:41" x14ac:dyDescent="0.25">
      <c r="A70" s="54" t="s">
        <v>70</v>
      </c>
      <c r="B70" s="65">
        <v>2.6</v>
      </c>
      <c r="C70" s="65">
        <v>2.6</v>
      </c>
      <c r="D70" s="65">
        <v>2.6</v>
      </c>
      <c r="E70" s="65">
        <v>2.6</v>
      </c>
      <c r="F70" s="65">
        <v>2.6</v>
      </c>
      <c r="G70" s="65">
        <v>2.6</v>
      </c>
      <c r="H70" s="65">
        <v>2.6</v>
      </c>
      <c r="I70" s="65">
        <v>2.6</v>
      </c>
      <c r="J70" s="65">
        <v>2.6</v>
      </c>
      <c r="K70" s="65">
        <v>2.6</v>
      </c>
      <c r="L70" s="65">
        <v>2.6</v>
      </c>
      <c r="M70" s="65">
        <v>2.6</v>
      </c>
      <c r="N70" s="65">
        <v>2.6</v>
      </c>
      <c r="O70" s="65">
        <v>2.6</v>
      </c>
      <c r="P70" s="65">
        <v>2.6</v>
      </c>
      <c r="Q70" s="65">
        <v>2.6</v>
      </c>
      <c r="R70" s="65">
        <v>2.6</v>
      </c>
      <c r="S70" s="65">
        <v>2.6</v>
      </c>
      <c r="T70" s="65">
        <v>2.6</v>
      </c>
      <c r="U70" s="65">
        <v>2.6</v>
      </c>
      <c r="V70" s="65">
        <v>2.6</v>
      </c>
      <c r="W70" s="65">
        <v>2.6</v>
      </c>
      <c r="X70" s="65">
        <v>2.6</v>
      </c>
      <c r="Y70" s="65">
        <v>2.6</v>
      </c>
      <c r="Z70" s="65">
        <v>2.6</v>
      </c>
      <c r="AA70" s="65">
        <v>2.6</v>
      </c>
      <c r="AB70" s="65">
        <v>2.6</v>
      </c>
      <c r="AC70" s="65">
        <v>2.6</v>
      </c>
      <c r="AD70" s="65">
        <v>2.6</v>
      </c>
      <c r="AE70" s="65">
        <v>2.6</v>
      </c>
      <c r="AF70" s="65">
        <v>2.6</v>
      </c>
      <c r="AG70" s="55">
        <v>15</v>
      </c>
      <c r="AH70" s="47">
        <f t="shared" si="22"/>
        <v>2.6</v>
      </c>
      <c r="AI70" s="48">
        <f t="shared" si="23"/>
        <v>2.6</v>
      </c>
      <c r="AK70" s="50"/>
      <c r="AL70" s="70"/>
      <c r="AO70" s="70"/>
    </row>
    <row r="71" spans="1:41" s="70" customFormat="1" x14ac:dyDescent="0.25">
      <c r="A71" s="54" t="s">
        <v>71</v>
      </c>
      <c r="B71" s="65">
        <v>9.5</v>
      </c>
      <c r="C71" s="65">
        <v>9.5</v>
      </c>
      <c r="D71" s="65">
        <v>8.9</v>
      </c>
      <c r="E71" s="65">
        <v>8.9</v>
      </c>
      <c r="F71" s="65">
        <v>8.9</v>
      </c>
      <c r="G71" s="65">
        <v>8.9</v>
      </c>
      <c r="H71" s="65">
        <v>8.9</v>
      </c>
      <c r="I71" s="65">
        <v>8.9</v>
      </c>
      <c r="J71" s="65">
        <v>8.9</v>
      </c>
      <c r="K71" s="65">
        <v>8.9</v>
      </c>
      <c r="L71" s="65">
        <v>8.9</v>
      </c>
      <c r="M71" s="65">
        <v>8.9</v>
      </c>
      <c r="N71" s="65">
        <v>8.9</v>
      </c>
      <c r="O71" s="65">
        <v>8.9</v>
      </c>
      <c r="P71" s="65">
        <v>8.9</v>
      </c>
      <c r="Q71" s="65">
        <v>8.9</v>
      </c>
      <c r="R71" s="65">
        <v>8.9</v>
      </c>
      <c r="S71" s="65">
        <v>8.9</v>
      </c>
      <c r="T71" s="65">
        <v>8.9</v>
      </c>
      <c r="U71" s="65">
        <v>8.9</v>
      </c>
      <c r="V71" s="65">
        <v>8.9</v>
      </c>
      <c r="W71" s="65">
        <v>8.9</v>
      </c>
      <c r="X71" s="65">
        <v>8.9</v>
      </c>
      <c r="Y71" s="65">
        <v>8.9</v>
      </c>
      <c r="Z71" s="65">
        <v>8.9</v>
      </c>
      <c r="AA71" s="65">
        <v>8.9</v>
      </c>
      <c r="AB71" s="65">
        <v>8.9</v>
      </c>
      <c r="AC71" s="65">
        <v>8.9</v>
      </c>
      <c r="AD71" s="65">
        <v>8.9</v>
      </c>
      <c r="AE71" s="65">
        <v>8.9</v>
      </c>
      <c r="AF71" s="65">
        <v>8.9</v>
      </c>
      <c r="AG71" s="55">
        <v>14.1</v>
      </c>
      <c r="AH71" s="47">
        <f t="shared" si="22"/>
        <v>9.5</v>
      </c>
      <c r="AI71" s="48">
        <f t="shared" si="23"/>
        <v>8.9</v>
      </c>
      <c r="AJ71" s="1"/>
      <c r="AK71" s="50"/>
      <c r="AL71" s="1"/>
      <c r="AM71" s="1"/>
      <c r="AN71" s="1"/>
      <c r="AO71" s="1"/>
    </row>
    <row r="72" spans="1:41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2"/>
        <v>3.3</v>
      </c>
      <c r="AI72" s="48">
        <f t="shared" si="23"/>
        <v>3.3</v>
      </c>
      <c r="AK72" s="50"/>
    </row>
    <row r="73" spans="1:41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2"/>
        <v>4.5</v>
      </c>
      <c r="AI73" s="48">
        <f t="shared" si="23"/>
        <v>4.5</v>
      </c>
      <c r="AK73" s="50"/>
    </row>
    <row r="74" spans="1:41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2"/>
        <v>2</v>
      </c>
      <c r="AI74" s="48">
        <f t="shared" si="23"/>
        <v>2</v>
      </c>
      <c r="AK74" s="50"/>
    </row>
    <row r="75" spans="1:41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2"/>
        <v>5.5</v>
      </c>
      <c r="AI75" s="48">
        <f t="shared" si="23"/>
        <v>3.5</v>
      </c>
      <c r="AK75" s="50"/>
    </row>
    <row r="76" spans="1:41" ht="15.75" thickBot="1" x14ac:dyDescent="0.3">
      <c r="A76" s="74" t="s">
        <v>76</v>
      </c>
      <c r="B76" s="60">
        <f t="shared" ref="B76:D76" si="36">SUM(B63:B75)</f>
        <v>102.34</v>
      </c>
      <c r="C76" s="60">
        <f t="shared" si="36"/>
        <v>114.53999999999999</v>
      </c>
      <c r="D76" s="60">
        <f t="shared" si="36"/>
        <v>111.14</v>
      </c>
      <c r="E76" s="60">
        <f t="shared" ref="E76:AG76" si="37">SUM(E63:E75)</f>
        <v>111.14</v>
      </c>
      <c r="F76" s="60">
        <f t="shared" si="37"/>
        <v>111.14</v>
      </c>
      <c r="G76" s="60">
        <f t="shared" si="37"/>
        <v>132.04</v>
      </c>
      <c r="H76" s="60">
        <f t="shared" si="37"/>
        <v>200.64000000000001</v>
      </c>
      <c r="I76" s="60">
        <f t="shared" si="37"/>
        <v>269.74</v>
      </c>
      <c r="J76" s="60">
        <f t="shared" si="37"/>
        <v>313.94000000000005</v>
      </c>
      <c r="K76" s="60">
        <f t="shared" si="37"/>
        <v>326.04000000000002</v>
      </c>
      <c r="L76" s="60">
        <f t="shared" si="37"/>
        <v>327.84000000000003</v>
      </c>
      <c r="M76" s="60">
        <f t="shared" si="37"/>
        <v>282.24</v>
      </c>
      <c r="N76" s="60">
        <f t="shared" si="37"/>
        <v>259.04000000000002</v>
      </c>
      <c r="O76" s="60">
        <f t="shared" si="37"/>
        <v>228.44</v>
      </c>
      <c r="P76" s="60">
        <f t="shared" si="37"/>
        <v>225.74</v>
      </c>
      <c r="Q76" s="60">
        <f t="shared" si="37"/>
        <v>239.84</v>
      </c>
      <c r="R76" s="60">
        <f t="shared" si="37"/>
        <v>239.84</v>
      </c>
      <c r="S76" s="60">
        <f t="shared" si="37"/>
        <v>208.63999999999996</v>
      </c>
      <c r="T76" s="60">
        <f t="shared" si="37"/>
        <v>182.24</v>
      </c>
      <c r="U76" s="60">
        <f t="shared" si="37"/>
        <v>179.24</v>
      </c>
      <c r="V76" s="60">
        <f t="shared" si="37"/>
        <v>144.84</v>
      </c>
      <c r="W76" s="60">
        <f t="shared" si="37"/>
        <v>130.63999999999999</v>
      </c>
      <c r="X76" s="60">
        <f t="shared" si="37"/>
        <v>203.24</v>
      </c>
      <c r="Y76" s="60">
        <f>SUM(Y63:Y75)</f>
        <v>267.79999999999995</v>
      </c>
      <c r="Z76" s="60">
        <f>SUM(Z63:Z75)</f>
        <v>280.5</v>
      </c>
      <c r="AA76" s="60">
        <f t="shared" si="37"/>
        <v>245.84000000000003</v>
      </c>
      <c r="AB76" s="60">
        <f t="shared" ref="AB76:AC76" si="38">SUM(AB63:AB75)</f>
        <v>211.34</v>
      </c>
      <c r="AC76" s="60">
        <f t="shared" si="38"/>
        <v>176.54</v>
      </c>
      <c r="AD76" s="60">
        <f t="shared" ref="AD76:AE76" si="39">SUM(AD63:AD75)</f>
        <v>176.54</v>
      </c>
      <c r="AE76" s="60">
        <f t="shared" si="39"/>
        <v>139.04</v>
      </c>
      <c r="AF76" s="60">
        <f t="shared" ref="AF76" si="40">SUM(AF63:AF75)</f>
        <v>106.04</v>
      </c>
      <c r="AG76" s="61">
        <f t="shared" si="37"/>
        <v>489.91</v>
      </c>
      <c r="AH76" s="47">
        <f t="shared" si="22"/>
        <v>327.84000000000003</v>
      </c>
      <c r="AI76" s="48">
        <f t="shared" si="23"/>
        <v>102.34</v>
      </c>
      <c r="AK76" s="50"/>
    </row>
    <row r="77" spans="1:41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2"/>
        <v>0</v>
      </c>
      <c r="AI77" s="48">
        <f t="shared" si="23"/>
        <v>0</v>
      </c>
      <c r="AK77" s="50"/>
    </row>
    <row r="78" spans="1:41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2"/>
        <v>0</v>
      </c>
      <c r="AI78" s="48">
        <f t="shared" si="23"/>
        <v>0</v>
      </c>
      <c r="AK78" s="50"/>
    </row>
    <row r="79" spans="1:41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2"/>
        <v>0</v>
      </c>
      <c r="AI79" s="48">
        <f t="shared" si="23"/>
        <v>0</v>
      </c>
      <c r="AK79" s="50"/>
    </row>
    <row r="80" spans="1:41" ht="15.75" thickBot="1" x14ac:dyDescent="0.3">
      <c r="A80" s="74" t="s">
        <v>80</v>
      </c>
      <c r="B80" s="60">
        <f t="shared" ref="B80:D80" si="41">B77+B78+B79</f>
        <v>0</v>
      </c>
      <c r="C80" s="60">
        <f t="shared" si="41"/>
        <v>0</v>
      </c>
      <c r="D80" s="60">
        <f t="shared" si="41"/>
        <v>0</v>
      </c>
      <c r="E80" s="60">
        <f t="shared" ref="E80:AA80" si="42">E77+E78+E79</f>
        <v>0</v>
      </c>
      <c r="F80" s="60">
        <f t="shared" si="42"/>
        <v>0</v>
      </c>
      <c r="G80" s="60">
        <f t="shared" si="42"/>
        <v>0</v>
      </c>
      <c r="H80" s="60">
        <f t="shared" si="42"/>
        <v>0</v>
      </c>
      <c r="I80" s="60">
        <f t="shared" si="42"/>
        <v>0</v>
      </c>
      <c r="J80" s="60">
        <f t="shared" si="42"/>
        <v>0</v>
      </c>
      <c r="K80" s="60">
        <f t="shared" si="42"/>
        <v>0</v>
      </c>
      <c r="L80" s="60">
        <f t="shared" si="42"/>
        <v>0</v>
      </c>
      <c r="M80" s="60">
        <f t="shared" si="42"/>
        <v>0</v>
      </c>
      <c r="N80" s="60">
        <f t="shared" si="42"/>
        <v>0</v>
      </c>
      <c r="O80" s="60">
        <f t="shared" si="42"/>
        <v>0</v>
      </c>
      <c r="P80" s="60">
        <f t="shared" si="42"/>
        <v>0</v>
      </c>
      <c r="Q80" s="60">
        <f t="shared" si="42"/>
        <v>0</v>
      </c>
      <c r="R80" s="60">
        <f t="shared" si="42"/>
        <v>0</v>
      </c>
      <c r="S80" s="60">
        <f t="shared" si="42"/>
        <v>0</v>
      </c>
      <c r="T80" s="60">
        <f t="shared" si="42"/>
        <v>0</v>
      </c>
      <c r="U80" s="60">
        <f t="shared" si="42"/>
        <v>0</v>
      </c>
      <c r="V80" s="60">
        <f t="shared" si="42"/>
        <v>0</v>
      </c>
      <c r="W80" s="60">
        <f t="shared" si="42"/>
        <v>0</v>
      </c>
      <c r="X80" s="60">
        <f t="shared" si="42"/>
        <v>0</v>
      </c>
      <c r="Y80" s="60">
        <f>Y77+Y78+Y79</f>
        <v>0</v>
      </c>
      <c r="Z80" s="60">
        <f>Z77+Z78+Z79</f>
        <v>0</v>
      </c>
      <c r="AA80" s="60">
        <f t="shared" si="42"/>
        <v>0</v>
      </c>
      <c r="AB80" s="60">
        <f t="shared" ref="AB80:AC80" si="43">AB77+AB78+AB79</f>
        <v>0</v>
      </c>
      <c r="AC80" s="60">
        <f t="shared" si="43"/>
        <v>0</v>
      </c>
      <c r="AD80" s="60">
        <f t="shared" ref="AD80:AE80" si="44">AD77+AD78+AD79</f>
        <v>0</v>
      </c>
      <c r="AE80" s="60">
        <f t="shared" si="44"/>
        <v>0</v>
      </c>
      <c r="AF80" s="60">
        <f t="shared" ref="AF80" si="45">AF77+AF78+AF79</f>
        <v>0</v>
      </c>
      <c r="AG80" s="61">
        <f>SUM(AG77:AG79)</f>
        <v>106</v>
      </c>
      <c r="AH80" s="47">
        <f t="shared" si="22"/>
        <v>0</v>
      </c>
      <c r="AI80" s="48">
        <f t="shared" si="23"/>
        <v>0</v>
      </c>
      <c r="AK80" s="50"/>
    </row>
    <row r="81" spans="1:40" x14ac:dyDescent="0.25">
      <c r="A81" s="44" t="s">
        <v>81</v>
      </c>
      <c r="B81" s="45">
        <v>63.5</v>
      </c>
      <c r="C81" s="45">
        <v>68.900000000000006</v>
      </c>
      <c r="D81" s="45">
        <v>73.2</v>
      </c>
      <c r="E81" s="45">
        <v>71</v>
      </c>
      <c r="F81" s="45">
        <v>62</v>
      </c>
      <c r="G81" s="45">
        <v>67</v>
      </c>
      <c r="H81" s="45">
        <v>67.599999999999994</v>
      </c>
      <c r="I81" s="45">
        <v>70</v>
      </c>
      <c r="J81" s="45">
        <v>59</v>
      </c>
      <c r="K81" s="45">
        <v>54.7</v>
      </c>
      <c r="L81" s="45">
        <v>51.7</v>
      </c>
      <c r="M81" s="45">
        <v>46.4</v>
      </c>
      <c r="N81" s="45">
        <v>48</v>
      </c>
      <c r="O81" s="45">
        <v>53.4</v>
      </c>
      <c r="P81" s="45">
        <v>55.9</v>
      </c>
      <c r="Q81" s="45">
        <v>59.8</v>
      </c>
      <c r="R81" s="45">
        <v>63</v>
      </c>
      <c r="S81" s="45">
        <v>54.3</v>
      </c>
      <c r="T81" s="45">
        <v>61.7</v>
      </c>
      <c r="U81" s="45">
        <v>72.7</v>
      </c>
      <c r="V81" s="45">
        <v>59.6</v>
      </c>
      <c r="W81" s="45">
        <v>67.3</v>
      </c>
      <c r="X81" s="45">
        <v>58.7</v>
      </c>
      <c r="Y81" s="45">
        <v>73.3</v>
      </c>
      <c r="Z81" s="45">
        <v>66.7</v>
      </c>
      <c r="AA81" s="45">
        <v>63</v>
      </c>
      <c r="AB81" s="45">
        <v>68</v>
      </c>
      <c r="AC81" s="45">
        <v>66</v>
      </c>
      <c r="AD81" s="45">
        <v>67</v>
      </c>
      <c r="AE81" s="45">
        <v>66</v>
      </c>
      <c r="AF81" s="45">
        <v>65</v>
      </c>
      <c r="AG81" s="52"/>
      <c r="AH81" s="47">
        <f t="shared" si="22"/>
        <v>73.3</v>
      </c>
      <c r="AI81" s="48">
        <f t="shared" si="23"/>
        <v>46.4</v>
      </c>
      <c r="AK81" s="50"/>
    </row>
    <row r="82" spans="1:40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13" si="46">MAX(B82:AF82)</f>
        <v>0</v>
      </c>
      <c r="AI82" s="48">
        <f t="shared" ref="AI82:AI113" si="47">MIN(B82:AF82)</f>
        <v>0</v>
      </c>
      <c r="AK82" s="50"/>
    </row>
    <row r="83" spans="1:40" x14ac:dyDescent="0.25">
      <c r="A83" s="54" t="s">
        <v>83</v>
      </c>
      <c r="B83" s="65">
        <v>390.5</v>
      </c>
      <c r="C83" s="65">
        <v>380.2</v>
      </c>
      <c r="D83" s="65">
        <v>418</v>
      </c>
      <c r="E83" s="65">
        <v>410</v>
      </c>
      <c r="F83" s="65">
        <v>420</v>
      </c>
      <c r="G83" s="65">
        <v>430</v>
      </c>
      <c r="H83" s="65">
        <v>446</v>
      </c>
      <c r="I83" s="65">
        <v>401</v>
      </c>
      <c r="J83" s="65">
        <v>410</v>
      </c>
      <c r="K83" s="65">
        <v>170</v>
      </c>
      <c r="L83" s="65">
        <v>84</v>
      </c>
      <c r="M83" s="65">
        <v>88</v>
      </c>
      <c r="N83" s="65">
        <v>150</v>
      </c>
      <c r="O83" s="65">
        <v>365</v>
      </c>
      <c r="P83" s="65">
        <v>405</v>
      </c>
      <c r="Q83" s="65">
        <v>411.7</v>
      </c>
      <c r="R83" s="65">
        <v>510</v>
      </c>
      <c r="S83" s="65">
        <v>508.9</v>
      </c>
      <c r="T83" s="65">
        <v>550</v>
      </c>
      <c r="U83" s="65">
        <v>541</v>
      </c>
      <c r="V83" s="65">
        <v>381.2</v>
      </c>
      <c r="W83" s="65">
        <v>403</v>
      </c>
      <c r="X83" s="65">
        <v>390.1</v>
      </c>
      <c r="Y83" s="65">
        <v>402</v>
      </c>
      <c r="Z83" s="65">
        <v>369.6</v>
      </c>
      <c r="AA83" s="65">
        <v>380.4</v>
      </c>
      <c r="AB83" s="65">
        <v>386</v>
      </c>
      <c r="AC83" s="65">
        <v>400</v>
      </c>
      <c r="AD83" s="65">
        <v>408</v>
      </c>
      <c r="AE83" s="65">
        <v>390</v>
      </c>
      <c r="AF83" s="65">
        <v>382</v>
      </c>
      <c r="AG83" s="75"/>
      <c r="AH83" s="47">
        <f t="shared" si="46"/>
        <v>550</v>
      </c>
      <c r="AI83" s="48">
        <f t="shared" si="47"/>
        <v>84</v>
      </c>
      <c r="AK83" s="50"/>
    </row>
    <row r="84" spans="1:40" x14ac:dyDescent="0.25">
      <c r="A84" s="54" t="s">
        <v>84</v>
      </c>
      <c r="B84" s="76">
        <v>2.7</v>
      </c>
      <c r="C84" s="76">
        <v>3</v>
      </c>
      <c r="D84" s="76">
        <v>2.7</v>
      </c>
      <c r="E84" s="76">
        <v>2</v>
      </c>
      <c r="F84" s="76">
        <v>2</v>
      </c>
      <c r="G84" s="76">
        <v>2</v>
      </c>
      <c r="H84" s="76">
        <v>2</v>
      </c>
      <c r="I84" s="76"/>
      <c r="J84" s="76"/>
      <c r="K84" s="76"/>
      <c r="L84" s="76">
        <v>2</v>
      </c>
      <c r="M84" s="76">
        <v>2</v>
      </c>
      <c r="N84" s="76">
        <v>4</v>
      </c>
      <c r="O84" s="76">
        <v>1.3</v>
      </c>
      <c r="P84" s="76">
        <v>34</v>
      </c>
      <c r="Q84" s="76">
        <v>37</v>
      </c>
      <c r="R84" s="76">
        <v>49.4</v>
      </c>
      <c r="S84" s="76">
        <v>41.6</v>
      </c>
      <c r="T84" s="76">
        <v>48</v>
      </c>
      <c r="U84" s="76">
        <v>57</v>
      </c>
      <c r="V84" s="76">
        <v>33.1</v>
      </c>
      <c r="W84" s="76">
        <v>32.9</v>
      </c>
      <c r="X84" s="76">
        <v>30.7</v>
      </c>
      <c r="Y84" s="76">
        <v>34.4</v>
      </c>
      <c r="Z84" s="76">
        <v>36</v>
      </c>
      <c r="AA84" s="76">
        <v>35.6</v>
      </c>
      <c r="AB84" s="76">
        <v>34</v>
      </c>
      <c r="AC84" s="76">
        <v>34</v>
      </c>
      <c r="AD84" s="76">
        <v>34</v>
      </c>
      <c r="AE84" s="76">
        <v>58</v>
      </c>
      <c r="AF84" s="76">
        <v>52</v>
      </c>
      <c r="AG84" s="75"/>
      <c r="AH84" s="47">
        <f t="shared" si="46"/>
        <v>58</v>
      </c>
      <c r="AI84" s="48">
        <f t="shared" si="47"/>
        <v>1.3</v>
      </c>
      <c r="AK84" s="50"/>
    </row>
    <row r="85" spans="1:40" x14ac:dyDescent="0.25">
      <c r="A85" s="54" t="s">
        <v>85</v>
      </c>
      <c r="B85" s="45">
        <v>120</v>
      </c>
      <c r="C85" s="45">
        <v>128</v>
      </c>
      <c r="D85" s="45">
        <v>106</v>
      </c>
      <c r="E85" s="45">
        <v>108</v>
      </c>
      <c r="F85" s="45">
        <v>106</v>
      </c>
      <c r="G85" s="45">
        <v>110</v>
      </c>
      <c r="H85" s="45">
        <v>114</v>
      </c>
      <c r="I85" s="45"/>
      <c r="J85" s="45">
        <v>80</v>
      </c>
      <c r="K85" s="45">
        <v>50</v>
      </c>
      <c r="L85" s="45">
        <v>36</v>
      </c>
      <c r="M85" s="45">
        <v>36.4</v>
      </c>
      <c r="N85" s="45">
        <v>34</v>
      </c>
      <c r="O85" s="45">
        <v>32</v>
      </c>
      <c r="P85" s="45">
        <v>90</v>
      </c>
      <c r="Q85" s="45">
        <v>107.6</v>
      </c>
      <c r="R85" s="45">
        <v>92</v>
      </c>
      <c r="S85" s="45">
        <v>102</v>
      </c>
      <c r="T85" s="45">
        <v>108</v>
      </c>
      <c r="U85" s="45">
        <v>102</v>
      </c>
      <c r="V85" s="45">
        <v>52</v>
      </c>
      <c r="W85" s="45">
        <v>50</v>
      </c>
      <c r="X85" s="45">
        <v>50</v>
      </c>
      <c r="Y85" s="45">
        <v>51</v>
      </c>
      <c r="Z85" s="45">
        <v>41</v>
      </c>
      <c r="AA85" s="45">
        <v>46</v>
      </c>
      <c r="AB85" s="45">
        <v>58</v>
      </c>
      <c r="AC85" s="45">
        <v>62</v>
      </c>
      <c r="AD85" s="45">
        <v>100</v>
      </c>
      <c r="AE85" s="45">
        <v>104</v>
      </c>
      <c r="AF85" s="45">
        <v>115</v>
      </c>
      <c r="AG85" s="75"/>
      <c r="AH85" s="47">
        <f t="shared" si="46"/>
        <v>128</v>
      </c>
      <c r="AI85" s="48">
        <f t="shared" si="47"/>
        <v>32</v>
      </c>
      <c r="AK85" s="50"/>
    </row>
    <row r="86" spans="1:40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6"/>
        <v>0</v>
      </c>
      <c r="AI86" s="48">
        <f t="shared" si="47"/>
        <v>0</v>
      </c>
      <c r="AK86" s="50"/>
    </row>
    <row r="87" spans="1:40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6"/>
        <v>0</v>
      </c>
      <c r="AI87" s="48">
        <f t="shared" si="47"/>
        <v>0</v>
      </c>
      <c r="AK87" s="50"/>
      <c r="AL87" s="78" t="s">
        <v>88</v>
      </c>
      <c r="AM87" s="78"/>
    </row>
    <row r="88" spans="1:40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6"/>
        <v>0</v>
      </c>
      <c r="AI88" s="48">
        <f t="shared" si="47"/>
        <v>0</v>
      </c>
      <c r="AK88" s="79"/>
      <c r="AL88" s="80"/>
      <c r="AM88" s="80"/>
      <c r="AN88" s="81"/>
    </row>
    <row r="89" spans="1:40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6"/>
        <v>0</v>
      </c>
      <c r="AI89" s="48">
        <f t="shared" si="47"/>
        <v>0</v>
      </c>
      <c r="AK89" s="82" t="s">
        <v>91</v>
      </c>
      <c r="AL89" s="65"/>
      <c r="AM89" s="76"/>
      <c r="AN89" s="83"/>
    </row>
    <row r="90" spans="1:40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6"/>
        <v>0</v>
      </c>
      <c r="AI90" s="48">
        <f t="shared" si="47"/>
        <v>0</v>
      </c>
      <c r="AK90" s="82" t="s">
        <v>93</v>
      </c>
      <c r="AL90" s="76"/>
      <c r="AM90" s="76"/>
      <c r="AN90" s="83"/>
    </row>
    <row r="91" spans="1:40" ht="15.75" thickBot="1" x14ac:dyDescent="0.3">
      <c r="A91" s="84" t="s">
        <v>394</v>
      </c>
      <c r="B91" s="77">
        <v>72.3</v>
      </c>
      <c r="C91" s="77">
        <v>54</v>
      </c>
      <c r="D91" s="77">
        <v>0</v>
      </c>
      <c r="E91" s="77"/>
      <c r="F91" s="77"/>
      <c r="G91" s="77"/>
      <c r="H91" s="77"/>
      <c r="I91" s="77"/>
      <c r="J91" s="77">
        <v>67</v>
      </c>
      <c r="K91" s="77">
        <v>65.8</v>
      </c>
      <c r="L91" s="77">
        <v>69</v>
      </c>
      <c r="M91" s="77">
        <v>64</v>
      </c>
      <c r="N91" s="77">
        <v>73</v>
      </c>
      <c r="O91" s="77">
        <v>69</v>
      </c>
      <c r="P91" s="77">
        <v>71</v>
      </c>
      <c r="Q91" s="77">
        <v>73.2</v>
      </c>
      <c r="R91" s="77">
        <v>70</v>
      </c>
      <c r="S91" s="77">
        <v>71.5</v>
      </c>
      <c r="T91" s="77">
        <v>70.099999999999994</v>
      </c>
      <c r="U91" s="77">
        <v>75.900000000000006</v>
      </c>
      <c r="V91" s="77">
        <v>58</v>
      </c>
      <c r="W91" s="77">
        <v>61.5</v>
      </c>
      <c r="X91" s="77">
        <v>66</v>
      </c>
      <c r="Y91" s="77">
        <v>69.8</v>
      </c>
      <c r="Z91" s="77">
        <v>72.3</v>
      </c>
      <c r="AA91" s="77">
        <v>66.599999999999994</v>
      </c>
      <c r="AB91" s="77">
        <v>62.44</v>
      </c>
      <c r="AC91" s="77">
        <v>62.44</v>
      </c>
      <c r="AD91" s="77">
        <v>67</v>
      </c>
      <c r="AE91" s="77">
        <v>69.5</v>
      </c>
      <c r="AF91" s="77">
        <v>69</v>
      </c>
      <c r="AG91" s="85"/>
      <c r="AH91" s="47">
        <f t="shared" si="46"/>
        <v>75.900000000000006</v>
      </c>
      <c r="AI91" s="48">
        <f t="shared" si="47"/>
        <v>0</v>
      </c>
      <c r="AK91" s="86"/>
      <c r="AL91" s="45"/>
      <c r="AM91" s="45"/>
      <c r="AN91" s="87"/>
    </row>
    <row r="92" spans="1:40" ht="15.75" thickBot="1" x14ac:dyDescent="0.3">
      <c r="A92" s="74" t="s">
        <v>94</v>
      </c>
      <c r="B92" s="60">
        <f t="shared" ref="B92:D92" si="48">SUMIF(B81:B91,"&gt;0")</f>
        <v>649</v>
      </c>
      <c r="C92" s="60">
        <f t="shared" si="48"/>
        <v>634.1</v>
      </c>
      <c r="D92" s="60">
        <f t="shared" si="48"/>
        <v>599.9</v>
      </c>
      <c r="E92" s="60">
        <f t="shared" ref="E92:AA92" si="49">SUMIF(E81:E91,"&gt;0")</f>
        <v>591</v>
      </c>
      <c r="F92" s="60">
        <f t="shared" si="49"/>
        <v>590</v>
      </c>
      <c r="G92" s="60">
        <f t="shared" si="49"/>
        <v>609</v>
      </c>
      <c r="H92" s="60">
        <f t="shared" si="49"/>
        <v>629.6</v>
      </c>
      <c r="I92" s="60">
        <f t="shared" si="49"/>
        <v>471</v>
      </c>
      <c r="J92" s="60">
        <f t="shared" si="49"/>
        <v>616</v>
      </c>
      <c r="K92" s="60">
        <f t="shared" si="49"/>
        <v>340.5</v>
      </c>
      <c r="L92" s="60">
        <f t="shared" si="49"/>
        <v>242.7</v>
      </c>
      <c r="M92" s="60">
        <f t="shared" si="49"/>
        <v>236.8</v>
      </c>
      <c r="N92" s="60">
        <f t="shared" si="49"/>
        <v>309</v>
      </c>
      <c r="O92" s="60">
        <f t="shared" si="49"/>
        <v>520.70000000000005</v>
      </c>
      <c r="P92" s="60">
        <f t="shared" si="49"/>
        <v>655.9</v>
      </c>
      <c r="Q92" s="60">
        <f t="shared" si="49"/>
        <v>689.30000000000007</v>
      </c>
      <c r="R92" s="60">
        <f t="shared" si="49"/>
        <v>784.4</v>
      </c>
      <c r="S92" s="60">
        <f t="shared" si="49"/>
        <v>778.3</v>
      </c>
      <c r="T92" s="60">
        <f t="shared" si="49"/>
        <v>837.80000000000007</v>
      </c>
      <c r="U92" s="60">
        <f t="shared" si="49"/>
        <v>848.6</v>
      </c>
      <c r="V92" s="60">
        <f t="shared" si="49"/>
        <v>583.90000000000009</v>
      </c>
      <c r="W92" s="60">
        <f t="shared" si="49"/>
        <v>614.70000000000005</v>
      </c>
      <c r="X92" s="60">
        <f t="shared" si="49"/>
        <v>595.5</v>
      </c>
      <c r="Y92" s="60">
        <f>SUMIF(Y81:Y91,"&gt;0")</f>
        <v>630.5</v>
      </c>
      <c r="Z92" s="60">
        <f>SUMIF(Z81:Z91,"&gt;0")</f>
        <v>585.59999999999991</v>
      </c>
      <c r="AA92" s="60">
        <f t="shared" si="49"/>
        <v>591.6</v>
      </c>
      <c r="AB92" s="60">
        <f t="shared" ref="AB92:AC92" si="50">SUMIF(AB81:AB91,"&gt;0")</f>
        <v>608.44000000000005</v>
      </c>
      <c r="AC92" s="60">
        <f t="shared" si="50"/>
        <v>624.44000000000005</v>
      </c>
      <c r="AD92" s="60">
        <f t="shared" ref="AD92:AE92" si="51">SUMIF(AD81:AD91,"&gt;0")</f>
        <v>676</v>
      </c>
      <c r="AE92" s="60">
        <f t="shared" si="51"/>
        <v>687.5</v>
      </c>
      <c r="AF92" s="60">
        <f t="shared" ref="AF92" si="52">SUMIF(AF81:AF91,"&gt;0")</f>
        <v>683</v>
      </c>
      <c r="AG92" s="88">
        <f>SUM(AG81:AG91)</f>
        <v>0</v>
      </c>
      <c r="AH92" s="47">
        <f t="shared" si="46"/>
        <v>848.6</v>
      </c>
      <c r="AI92" s="48">
        <f t="shared" si="47"/>
        <v>236.8</v>
      </c>
      <c r="AK92" s="86"/>
      <c r="AL92" s="77"/>
      <c r="AM92" s="89"/>
      <c r="AN92" s="257"/>
    </row>
    <row r="93" spans="1:40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6"/>
        <v>0</v>
      </c>
      <c r="AI93" s="48">
        <f t="shared" si="47"/>
        <v>0</v>
      </c>
      <c r="AK93" s="86"/>
      <c r="AL93" s="77"/>
      <c r="AM93" s="77"/>
      <c r="AN93" s="258"/>
    </row>
    <row r="94" spans="1:40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6"/>
        <v>0</v>
      </c>
      <c r="AI94" s="48">
        <f t="shared" si="47"/>
        <v>0</v>
      </c>
      <c r="AK94" s="91"/>
      <c r="AL94" s="92"/>
      <c r="AM94" s="92"/>
      <c r="AN94" s="93"/>
    </row>
    <row r="95" spans="1:40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6"/>
        <v>0</v>
      </c>
      <c r="AI95" s="48">
        <f t="shared" si="47"/>
        <v>0</v>
      </c>
    </row>
    <row r="96" spans="1:40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6"/>
        <v>0</v>
      </c>
      <c r="AI96" s="48">
        <f t="shared" si="47"/>
        <v>0</v>
      </c>
    </row>
    <row r="97" spans="1:37" ht="15.75" thickBot="1" x14ac:dyDescent="0.3">
      <c r="A97" s="74" t="s">
        <v>99</v>
      </c>
      <c r="B97" s="95">
        <f t="shared" ref="B97:D97" si="53">B58+B62+B80+B76+B92+B96</f>
        <v>1260.29</v>
      </c>
      <c r="C97" s="95">
        <f t="shared" si="53"/>
        <v>1257.5900000000001</v>
      </c>
      <c r="D97" s="95">
        <f t="shared" si="53"/>
        <v>1220.99</v>
      </c>
      <c r="E97" s="95">
        <f t="shared" ref="E97:AG97" si="54">E58+E62+E80+E76+E92+E96</f>
        <v>1211.0900000000001</v>
      </c>
      <c r="F97" s="95">
        <f t="shared" si="54"/>
        <v>1210.0900000000001</v>
      </c>
      <c r="G97" s="95">
        <f t="shared" si="54"/>
        <v>1249.99</v>
      </c>
      <c r="H97" s="95">
        <f t="shared" si="54"/>
        <v>1339.19</v>
      </c>
      <c r="I97" s="95">
        <f t="shared" si="54"/>
        <v>1249.69</v>
      </c>
      <c r="J97" s="95">
        <f t="shared" si="54"/>
        <v>1468.89</v>
      </c>
      <c r="K97" s="95">
        <f t="shared" si="54"/>
        <v>1415.49</v>
      </c>
      <c r="L97" s="95">
        <f t="shared" si="54"/>
        <v>1419.49</v>
      </c>
      <c r="M97" s="95">
        <f t="shared" si="54"/>
        <v>1432.99</v>
      </c>
      <c r="N97" s="95">
        <f t="shared" si="54"/>
        <v>1341.99</v>
      </c>
      <c r="O97" s="95">
        <f t="shared" si="54"/>
        <v>1273.0900000000001</v>
      </c>
      <c r="P97" s="95">
        <f t="shared" si="54"/>
        <v>1460.5900000000001</v>
      </c>
      <c r="Q97" s="95">
        <f t="shared" si="54"/>
        <v>1514.0900000000001</v>
      </c>
      <c r="R97" s="95">
        <f t="shared" si="54"/>
        <v>1609.19</v>
      </c>
      <c r="S97" s="95">
        <f t="shared" si="54"/>
        <v>1495.9899999999998</v>
      </c>
      <c r="T97" s="95">
        <f t="shared" si="54"/>
        <v>1528.9900000000002</v>
      </c>
      <c r="U97" s="95">
        <f t="shared" si="54"/>
        <v>1543.69</v>
      </c>
      <c r="V97" s="95">
        <f t="shared" si="54"/>
        <v>1296.79</v>
      </c>
      <c r="W97" s="95">
        <f t="shared" si="54"/>
        <v>1333.3899999999999</v>
      </c>
      <c r="X97" s="95">
        <f t="shared" si="54"/>
        <v>1406.79</v>
      </c>
      <c r="Y97" s="95">
        <f>Y58+Y62+Y80+Y76+Y92+Y96</f>
        <v>1554.15</v>
      </c>
      <c r="Z97" s="95">
        <f>Z58+Z62+Z80+Z76+Z92+Z96</f>
        <v>1527.05</v>
      </c>
      <c r="AA97" s="95">
        <f t="shared" si="54"/>
        <v>1443.29</v>
      </c>
      <c r="AB97" s="95">
        <f t="shared" ref="AB97:AC97" si="55">AB58+AB62+AB80+AB76+AB92+AB96</f>
        <v>1385.63</v>
      </c>
      <c r="AC97" s="95">
        <f t="shared" si="55"/>
        <v>1336.83</v>
      </c>
      <c r="AD97" s="95">
        <f t="shared" ref="AD97:AE97" si="56">AD58+AD62+AD80+AD76+AD92+AD96</f>
        <v>1388.3899999999999</v>
      </c>
      <c r="AE97" s="95">
        <f t="shared" si="56"/>
        <v>1342.3899999999999</v>
      </c>
      <c r="AF97" s="95">
        <f t="shared" ref="AF97" si="57">AF58+AF62+AF80+AF76+AF92+AF96</f>
        <v>1304.8899999999999</v>
      </c>
      <c r="AG97" s="61">
        <f t="shared" si="54"/>
        <v>2231.81</v>
      </c>
      <c r="AH97" s="47">
        <f t="shared" si="46"/>
        <v>1609.19</v>
      </c>
      <c r="AI97" s="48">
        <f t="shared" si="47"/>
        <v>1210.0900000000001</v>
      </c>
    </row>
    <row r="98" spans="1:37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200</v>
      </c>
      <c r="L98" s="97">
        <v>250</v>
      </c>
      <c r="M98" s="97">
        <v>250</v>
      </c>
      <c r="N98" s="97">
        <v>250</v>
      </c>
      <c r="O98" s="97">
        <v>230</v>
      </c>
      <c r="P98" s="97"/>
      <c r="Q98" s="97"/>
      <c r="R98" s="97"/>
      <c r="S98" s="97"/>
      <c r="T98" s="97"/>
      <c r="U98" s="97"/>
      <c r="V98" s="97">
        <v>200</v>
      </c>
      <c r="W98" s="97">
        <v>250</v>
      </c>
      <c r="X98" s="97">
        <v>280</v>
      </c>
      <c r="Y98" s="97">
        <v>280</v>
      </c>
      <c r="Z98" s="97">
        <v>290</v>
      </c>
      <c r="AA98" s="97">
        <v>280</v>
      </c>
      <c r="AB98" s="97">
        <v>250</v>
      </c>
      <c r="AC98" s="97">
        <v>220</v>
      </c>
      <c r="AD98" s="97">
        <v>221</v>
      </c>
      <c r="AE98" s="97">
        <v>0</v>
      </c>
      <c r="AF98" s="97">
        <v>0</v>
      </c>
      <c r="AG98" s="88"/>
      <c r="AH98" s="47">
        <f t="shared" si="46"/>
        <v>290</v>
      </c>
      <c r="AI98" s="48">
        <f t="shared" si="47"/>
        <v>0</v>
      </c>
    </row>
    <row r="99" spans="1:37" ht="15.75" thickBot="1" x14ac:dyDescent="0.3">
      <c r="A99" s="74" t="s">
        <v>101</v>
      </c>
      <c r="B99" s="95">
        <f t="shared" ref="B99:D99" si="58">B97+B98</f>
        <v>1260.29</v>
      </c>
      <c r="C99" s="95">
        <f t="shared" si="58"/>
        <v>1257.5900000000001</v>
      </c>
      <c r="D99" s="95">
        <f t="shared" si="58"/>
        <v>1220.99</v>
      </c>
      <c r="E99" s="95">
        <f t="shared" ref="E99:AA99" si="59">E97+E98</f>
        <v>1211.0900000000001</v>
      </c>
      <c r="F99" s="95">
        <f t="shared" si="59"/>
        <v>1210.0900000000001</v>
      </c>
      <c r="G99" s="95">
        <f t="shared" si="59"/>
        <v>1249.99</v>
      </c>
      <c r="H99" s="95">
        <f t="shared" si="59"/>
        <v>1339.19</v>
      </c>
      <c r="I99" s="95">
        <f t="shared" si="59"/>
        <v>1249.69</v>
      </c>
      <c r="J99" s="95">
        <f t="shared" si="59"/>
        <v>1468.89</v>
      </c>
      <c r="K99" s="95">
        <f t="shared" si="59"/>
        <v>1615.49</v>
      </c>
      <c r="L99" s="95">
        <f t="shared" si="59"/>
        <v>1669.49</v>
      </c>
      <c r="M99" s="95">
        <f t="shared" si="59"/>
        <v>1682.99</v>
      </c>
      <c r="N99" s="95">
        <f t="shared" si="59"/>
        <v>1591.99</v>
      </c>
      <c r="O99" s="95">
        <f t="shared" si="59"/>
        <v>1503.0900000000001</v>
      </c>
      <c r="P99" s="95">
        <f t="shared" si="59"/>
        <v>1460.5900000000001</v>
      </c>
      <c r="Q99" s="95">
        <f t="shared" si="59"/>
        <v>1514.0900000000001</v>
      </c>
      <c r="R99" s="95">
        <f t="shared" si="59"/>
        <v>1609.19</v>
      </c>
      <c r="S99" s="95">
        <f t="shared" si="59"/>
        <v>1495.9899999999998</v>
      </c>
      <c r="T99" s="95">
        <f t="shared" si="59"/>
        <v>1528.9900000000002</v>
      </c>
      <c r="U99" s="95">
        <f t="shared" si="59"/>
        <v>1543.69</v>
      </c>
      <c r="V99" s="95">
        <f t="shared" si="59"/>
        <v>1496.79</v>
      </c>
      <c r="W99" s="95">
        <f t="shared" si="59"/>
        <v>1583.3899999999999</v>
      </c>
      <c r="X99" s="95">
        <f t="shared" si="59"/>
        <v>1686.79</v>
      </c>
      <c r="Y99" s="95">
        <f>Y97+Y98</f>
        <v>1834.15</v>
      </c>
      <c r="Z99" s="95">
        <f>Z97+Z98</f>
        <v>1817.05</v>
      </c>
      <c r="AA99" s="95">
        <f t="shared" si="59"/>
        <v>1723.29</v>
      </c>
      <c r="AB99" s="95">
        <f t="shared" ref="AB99:AC99" si="60">AB97+AB98</f>
        <v>1635.63</v>
      </c>
      <c r="AC99" s="95">
        <f t="shared" si="60"/>
        <v>1556.83</v>
      </c>
      <c r="AD99" s="95">
        <f t="shared" ref="AD99:AE99" si="61">AD97+AD98</f>
        <v>1609.3899999999999</v>
      </c>
      <c r="AE99" s="95">
        <f t="shared" si="61"/>
        <v>1342.3899999999999</v>
      </c>
      <c r="AF99" s="95">
        <f t="shared" ref="AF99" si="62">AF97+AF98</f>
        <v>1304.8899999999999</v>
      </c>
      <c r="AG99" s="88">
        <f>AG96+AG92+AG80+AG76+AG58+AG98</f>
        <v>1693.71</v>
      </c>
      <c r="AH99" s="47">
        <f t="shared" si="46"/>
        <v>1834.15</v>
      </c>
      <c r="AI99" s="48">
        <f t="shared" si="47"/>
        <v>1210.0900000000001</v>
      </c>
    </row>
    <row r="100" spans="1:37" ht="15.75" thickBot="1" x14ac:dyDescent="0.3">
      <c r="A100" s="74" t="s">
        <v>102</v>
      </c>
      <c r="B100" s="95">
        <f t="shared" ref="B100:D100" si="63">B99-(B107)</f>
        <v>1260.29</v>
      </c>
      <c r="C100" s="95">
        <f t="shared" si="63"/>
        <v>1257.5900000000001</v>
      </c>
      <c r="D100" s="95">
        <f t="shared" si="63"/>
        <v>1220.99</v>
      </c>
      <c r="E100" s="95">
        <f t="shared" ref="E100:M100" si="64">E99-(E107)</f>
        <v>1211.0900000000001</v>
      </c>
      <c r="F100" s="95">
        <f t="shared" si="64"/>
        <v>1210.0900000000001</v>
      </c>
      <c r="G100" s="95">
        <f t="shared" si="64"/>
        <v>1249.99</v>
      </c>
      <c r="H100" s="95">
        <f t="shared" si="64"/>
        <v>1339.19</v>
      </c>
      <c r="I100" s="95">
        <f t="shared" si="64"/>
        <v>1249.69</v>
      </c>
      <c r="J100" s="95">
        <f t="shared" si="64"/>
        <v>1468.89</v>
      </c>
      <c r="K100" s="95">
        <f t="shared" si="64"/>
        <v>1615.49</v>
      </c>
      <c r="L100" s="95">
        <f t="shared" si="64"/>
        <v>1669.49</v>
      </c>
      <c r="M100" s="95">
        <f t="shared" si="64"/>
        <v>1682.99</v>
      </c>
      <c r="N100" s="95">
        <f>N99-(N107)</f>
        <v>1591.99</v>
      </c>
      <c r="O100" s="95">
        <f t="shared" ref="O100:AA100" si="65">O99-(O107)</f>
        <v>1503.0900000000001</v>
      </c>
      <c r="P100" s="95">
        <f t="shared" si="65"/>
        <v>1460.5900000000001</v>
      </c>
      <c r="Q100" s="95">
        <f t="shared" si="65"/>
        <v>1514.0900000000001</v>
      </c>
      <c r="R100" s="95">
        <f t="shared" si="65"/>
        <v>1609.19</v>
      </c>
      <c r="S100" s="95">
        <f t="shared" si="65"/>
        <v>1495.9899999999998</v>
      </c>
      <c r="T100" s="95">
        <f t="shared" si="65"/>
        <v>1528.9900000000002</v>
      </c>
      <c r="U100" s="95">
        <f t="shared" si="65"/>
        <v>1543.69</v>
      </c>
      <c r="V100" s="95">
        <f t="shared" si="65"/>
        <v>1496.79</v>
      </c>
      <c r="W100" s="95">
        <f t="shared" si="65"/>
        <v>1583.3899999999999</v>
      </c>
      <c r="X100" s="95">
        <f t="shared" si="65"/>
        <v>1686.79</v>
      </c>
      <c r="Y100" s="95">
        <f t="shared" si="65"/>
        <v>1834.15</v>
      </c>
      <c r="Z100" s="95">
        <f t="shared" si="65"/>
        <v>1817.05</v>
      </c>
      <c r="AA100" s="95">
        <f t="shared" si="65"/>
        <v>1723.29</v>
      </c>
      <c r="AB100" s="95">
        <f t="shared" ref="AB100:AC100" si="66">AB99-(AB107)</f>
        <v>1635.63</v>
      </c>
      <c r="AC100" s="95">
        <f t="shared" si="66"/>
        <v>1556.83</v>
      </c>
      <c r="AD100" s="95">
        <f t="shared" ref="AD100:AE100" si="67">AD99-(AD107)</f>
        <v>1609.3899999999999</v>
      </c>
      <c r="AE100" s="95">
        <f t="shared" si="67"/>
        <v>1342.3899999999999</v>
      </c>
      <c r="AF100" s="95">
        <f t="shared" ref="AF100" si="68">AF99-(AF107)</f>
        <v>1303.8899999999999</v>
      </c>
      <c r="AG100" s="88"/>
      <c r="AH100" s="47">
        <f t="shared" si="46"/>
        <v>1834.15</v>
      </c>
      <c r="AI100" s="48">
        <f t="shared" si="47"/>
        <v>1210.0900000000001</v>
      </c>
    </row>
    <row r="101" spans="1:37" x14ac:dyDescent="0.25">
      <c r="A101" s="44" t="s">
        <v>84</v>
      </c>
      <c r="B101" s="76">
        <f t="shared" ref="B101:D101" si="69">IF(B84&lt;0,B84*-1,0)</f>
        <v>0</v>
      </c>
      <c r="C101" s="76">
        <f t="shared" si="69"/>
        <v>0</v>
      </c>
      <c r="D101" s="76">
        <f t="shared" si="69"/>
        <v>0</v>
      </c>
      <c r="E101" s="76">
        <f t="shared" ref="E101:AA101" si="70">IF(E84&lt;0,E84*-1,0)</f>
        <v>0</v>
      </c>
      <c r="F101" s="76">
        <f t="shared" si="70"/>
        <v>0</v>
      </c>
      <c r="G101" s="76">
        <f t="shared" si="70"/>
        <v>0</v>
      </c>
      <c r="H101" s="76">
        <f t="shared" si="70"/>
        <v>0</v>
      </c>
      <c r="I101" s="76">
        <f t="shared" si="70"/>
        <v>0</v>
      </c>
      <c r="J101" s="76">
        <f t="shared" si="70"/>
        <v>0</v>
      </c>
      <c r="K101" s="76">
        <f t="shared" si="70"/>
        <v>0</v>
      </c>
      <c r="L101" s="76">
        <f t="shared" si="70"/>
        <v>0</v>
      </c>
      <c r="M101" s="76">
        <f t="shared" si="70"/>
        <v>0</v>
      </c>
      <c r="N101" s="76">
        <f t="shared" si="70"/>
        <v>0</v>
      </c>
      <c r="O101" s="76">
        <f t="shared" si="70"/>
        <v>0</v>
      </c>
      <c r="P101" s="76">
        <f t="shared" si="70"/>
        <v>0</v>
      </c>
      <c r="Q101" s="76">
        <f t="shared" si="70"/>
        <v>0</v>
      </c>
      <c r="R101" s="76">
        <f t="shared" si="70"/>
        <v>0</v>
      </c>
      <c r="S101" s="76">
        <f t="shared" si="70"/>
        <v>0</v>
      </c>
      <c r="T101" s="76">
        <f t="shared" si="70"/>
        <v>0</v>
      </c>
      <c r="U101" s="76">
        <f t="shared" si="70"/>
        <v>0</v>
      </c>
      <c r="V101" s="76">
        <f t="shared" si="70"/>
        <v>0</v>
      </c>
      <c r="W101" s="76">
        <f t="shared" si="70"/>
        <v>0</v>
      </c>
      <c r="X101" s="76">
        <f t="shared" si="70"/>
        <v>0</v>
      </c>
      <c r="Y101" s="76">
        <f t="shared" si="70"/>
        <v>0</v>
      </c>
      <c r="Z101" s="76">
        <f t="shared" si="70"/>
        <v>0</v>
      </c>
      <c r="AA101" s="76">
        <f t="shared" si="70"/>
        <v>0</v>
      </c>
      <c r="AB101" s="76">
        <f t="shared" ref="AB101:AC101" si="71">IF(AB84&lt;0,AB84*-1,0)</f>
        <v>0</v>
      </c>
      <c r="AC101" s="76">
        <f t="shared" si="71"/>
        <v>0</v>
      </c>
      <c r="AD101" s="76">
        <f t="shared" ref="AD101:AE101" si="72">IF(AD84&lt;0,AD84*-1,0)</f>
        <v>0</v>
      </c>
      <c r="AE101" s="76">
        <f t="shared" si="72"/>
        <v>0</v>
      </c>
      <c r="AF101" s="76">
        <f t="shared" ref="AF101" si="73">IF(AF84&lt;0,AF84*-1,0)</f>
        <v>0</v>
      </c>
      <c r="AG101" s="52"/>
      <c r="AH101" s="47">
        <f t="shared" si="46"/>
        <v>0</v>
      </c>
      <c r="AI101" s="48">
        <f t="shared" si="47"/>
        <v>0</v>
      </c>
    </row>
    <row r="102" spans="1:37" x14ac:dyDescent="0.25">
      <c r="A102" s="54" t="s">
        <v>82</v>
      </c>
      <c r="B102" s="76">
        <f t="shared" ref="B102:D102" si="74">IF(B82&lt;0,B82*-1,0)</f>
        <v>0</v>
      </c>
      <c r="C102" s="76">
        <f t="shared" si="74"/>
        <v>0</v>
      </c>
      <c r="D102" s="76">
        <f t="shared" si="74"/>
        <v>0</v>
      </c>
      <c r="E102" s="76">
        <f t="shared" ref="E102:AA102" si="75">IF(E82&lt;0,E82*-1,0)</f>
        <v>0</v>
      </c>
      <c r="F102" s="76">
        <f t="shared" si="75"/>
        <v>0</v>
      </c>
      <c r="G102" s="76">
        <f t="shared" si="75"/>
        <v>0</v>
      </c>
      <c r="H102" s="76">
        <f t="shared" si="75"/>
        <v>0</v>
      </c>
      <c r="I102" s="76">
        <f t="shared" si="75"/>
        <v>0</v>
      </c>
      <c r="J102" s="76">
        <f t="shared" si="75"/>
        <v>0</v>
      </c>
      <c r="K102" s="76">
        <f t="shared" si="75"/>
        <v>0</v>
      </c>
      <c r="L102" s="76">
        <f t="shared" si="75"/>
        <v>0</v>
      </c>
      <c r="M102" s="76">
        <f t="shared" si="75"/>
        <v>0</v>
      </c>
      <c r="N102" s="76">
        <f t="shared" si="75"/>
        <v>0</v>
      </c>
      <c r="O102" s="76">
        <f t="shared" si="75"/>
        <v>0</v>
      </c>
      <c r="P102" s="76">
        <f t="shared" si="75"/>
        <v>0</v>
      </c>
      <c r="Q102" s="76">
        <f t="shared" si="75"/>
        <v>0</v>
      </c>
      <c r="R102" s="76">
        <f t="shared" si="75"/>
        <v>0</v>
      </c>
      <c r="S102" s="76">
        <f t="shared" si="75"/>
        <v>0</v>
      </c>
      <c r="T102" s="76">
        <f t="shared" si="75"/>
        <v>0</v>
      </c>
      <c r="U102" s="76">
        <f t="shared" si="75"/>
        <v>0</v>
      </c>
      <c r="V102" s="76">
        <f t="shared" si="75"/>
        <v>0</v>
      </c>
      <c r="W102" s="76">
        <f t="shared" si="75"/>
        <v>0</v>
      </c>
      <c r="X102" s="76">
        <f t="shared" si="75"/>
        <v>0</v>
      </c>
      <c r="Y102" s="76">
        <f t="shared" si="75"/>
        <v>0</v>
      </c>
      <c r="Z102" s="76">
        <f t="shared" si="75"/>
        <v>0</v>
      </c>
      <c r="AA102" s="76">
        <f t="shared" si="75"/>
        <v>0</v>
      </c>
      <c r="AB102" s="76">
        <f t="shared" ref="AB102:AC102" si="76">IF(AB82&lt;0,AB82*-1,0)</f>
        <v>0</v>
      </c>
      <c r="AC102" s="76">
        <f t="shared" si="76"/>
        <v>0</v>
      </c>
      <c r="AD102" s="76">
        <f t="shared" ref="AD102:AE102" si="77">IF(AD82&lt;0,AD82*-1,0)</f>
        <v>0</v>
      </c>
      <c r="AE102" s="76">
        <f t="shared" si="77"/>
        <v>0</v>
      </c>
      <c r="AF102" s="76">
        <f t="shared" ref="AF102" si="78">IF(AF82&lt;0,AF82*-1,0)</f>
        <v>0</v>
      </c>
      <c r="AG102" s="55"/>
      <c r="AH102" s="47">
        <f t="shared" si="46"/>
        <v>0</v>
      </c>
      <c r="AI102" s="48">
        <f t="shared" si="47"/>
        <v>0</v>
      </c>
    </row>
    <row r="103" spans="1:37" x14ac:dyDescent="0.25">
      <c r="A103" s="84" t="s">
        <v>103</v>
      </c>
      <c r="B103" s="76">
        <f t="shared" ref="B103:D103" si="79">IF(B85&lt;0,B85*-1,0)</f>
        <v>0</v>
      </c>
      <c r="C103" s="76">
        <f t="shared" si="79"/>
        <v>0</v>
      </c>
      <c r="D103" s="76">
        <f t="shared" si="79"/>
        <v>0</v>
      </c>
      <c r="E103" s="76">
        <f t="shared" ref="E103:AA103" si="80">IF(E85&lt;0,E85*-1,0)</f>
        <v>0</v>
      </c>
      <c r="F103" s="76">
        <f t="shared" si="80"/>
        <v>0</v>
      </c>
      <c r="G103" s="76">
        <f t="shared" si="80"/>
        <v>0</v>
      </c>
      <c r="H103" s="76">
        <f t="shared" si="80"/>
        <v>0</v>
      </c>
      <c r="I103" s="76">
        <f t="shared" si="80"/>
        <v>0</v>
      </c>
      <c r="J103" s="76">
        <f t="shared" si="80"/>
        <v>0</v>
      </c>
      <c r="K103" s="76">
        <f t="shared" si="80"/>
        <v>0</v>
      </c>
      <c r="L103" s="76">
        <f t="shared" si="80"/>
        <v>0</v>
      </c>
      <c r="M103" s="76">
        <f t="shared" si="80"/>
        <v>0</v>
      </c>
      <c r="N103" s="76">
        <f t="shared" si="80"/>
        <v>0</v>
      </c>
      <c r="O103" s="76">
        <f t="shared" si="80"/>
        <v>0</v>
      </c>
      <c r="P103" s="76">
        <f t="shared" si="80"/>
        <v>0</v>
      </c>
      <c r="Q103" s="76">
        <f t="shared" si="80"/>
        <v>0</v>
      </c>
      <c r="R103" s="76">
        <f t="shared" si="80"/>
        <v>0</v>
      </c>
      <c r="S103" s="76">
        <f t="shared" si="80"/>
        <v>0</v>
      </c>
      <c r="T103" s="76">
        <f t="shared" si="80"/>
        <v>0</v>
      </c>
      <c r="U103" s="76">
        <f t="shared" si="80"/>
        <v>0</v>
      </c>
      <c r="V103" s="76">
        <f t="shared" si="80"/>
        <v>0</v>
      </c>
      <c r="W103" s="76">
        <f t="shared" si="80"/>
        <v>0</v>
      </c>
      <c r="X103" s="76">
        <f t="shared" si="80"/>
        <v>0</v>
      </c>
      <c r="Y103" s="76">
        <f t="shared" si="80"/>
        <v>0</v>
      </c>
      <c r="Z103" s="76">
        <f t="shared" si="80"/>
        <v>0</v>
      </c>
      <c r="AA103" s="76">
        <f t="shared" si="80"/>
        <v>0</v>
      </c>
      <c r="AB103" s="76">
        <f t="shared" ref="AB103:AC103" si="81">IF(AB85&lt;0,AB85*-1,0)</f>
        <v>0</v>
      </c>
      <c r="AC103" s="76">
        <f t="shared" si="81"/>
        <v>0</v>
      </c>
      <c r="AD103" s="76">
        <f t="shared" ref="AD103:AE103" si="82">IF(AD85&lt;0,AD85*-1,0)</f>
        <v>0</v>
      </c>
      <c r="AE103" s="76">
        <f t="shared" si="82"/>
        <v>0</v>
      </c>
      <c r="AF103" s="76">
        <f t="shared" ref="AF103" si="83">IF(AF85&lt;0,AF85*-1,0)</f>
        <v>0</v>
      </c>
      <c r="AG103" s="98"/>
      <c r="AH103" s="47">
        <f t="shared" si="46"/>
        <v>0</v>
      </c>
      <c r="AI103" s="48">
        <f t="shared" si="47"/>
        <v>0</v>
      </c>
    </row>
    <row r="104" spans="1:37" x14ac:dyDescent="0.25">
      <c r="A104" s="84" t="s">
        <v>104</v>
      </c>
      <c r="B104" s="76">
        <f t="shared" ref="B104:D104" si="84">IF(B83&lt;0,B83*-1,0)</f>
        <v>0</v>
      </c>
      <c r="C104" s="76">
        <f t="shared" si="84"/>
        <v>0</v>
      </c>
      <c r="D104" s="76">
        <f t="shared" si="84"/>
        <v>0</v>
      </c>
      <c r="E104" s="76">
        <f t="shared" ref="E104:AA104" si="85">IF(E83&lt;0,E83*-1,0)</f>
        <v>0</v>
      </c>
      <c r="F104" s="76">
        <f t="shared" si="85"/>
        <v>0</v>
      </c>
      <c r="G104" s="76">
        <f t="shared" si="85"/>
        <v>0</v>
      </c>
      <c r="H104" s="76">
        <f t="shared" si="85"/>
        <v>0</v>
      </c>
      <c r="I104" s="76">
        <f t="shared" si="85"/>
        <v>0</v>
      </c>
      <c r="J104" s="76">
        <f t="shared" si="85"/>
        <v>0</v>
      </c>
      <c r="K104" s="76">
        <f t="shared" si="85"/>
        <v>0</v>
      </c>
      <c r="L104" s="76">
        <f t="shared" si="85"/>
        <v>0</v>
      </c>
      <c r="M104" s="76">
        <f t="shared" si="85"/>
        <v>0</v>
      </c>
      <c r="N104" s="76">
        <f t="shared" si="85"/>
        <v>0</v>
      </c>
      <c r="O104" s="76">
        <f t="shared" si="85"/>
        <v>0</v>
      </c>
      <c r="P104" s="76">
        <f t="shared" si="85"/>
        <v>0</v>
      </c>
      <c r="Q104" s="76">
        <f t="shared" si="85"/>
        <v>0</v>
      </c>
      <c r="R104" s="76">
        <f t="shared" si="85"/>
        <v>0</v>
      </c>
      <c r="S104" s="76">
        <f t="shared" si="85"/>
        <v>0</v>
      </c>
      <c r="T104" s="76">
        <f t="shared" si="85"/>
        <v>0</v>
      </c>
      <c r="U104" s="76">
        <f t="shared" si="85"/>
        <v>0</v>
      </c>
      <c r="V104" s="76">
        <f t="shared" si="85"/>
        <v>0</v>
      </c>
      <c r="W104" s="76">
        <f t="shared" si="85"/>
        <v>0</v>
      </c>
      <c r="X104" s="76">
        <f t="shared" si="85"/>
        <v>0</v>
      </c>
      <c r="Y104" s="76">
        <f t="shared" si="85"/>
        <v>0</v>
      </c>
      <c r="Z104" s="76">
        <f t="shared" si="85"/>
        <v>0</v>
      </c>
      <c r="AA104" s="76">
        <f t="shared" si="85"/>
        <v>0</v>
      </c>
      <c r="AB104" s="76">
        <f t="shared" ref="AB104:AC104" si="86">IF(AB83&lt;0,AB83*-1,0)</f>
        <v>0</v>
      </c>
      <c r="AC104" s="76">
        <f t="shared" si="86"/>
        <v>0</v>
      </c>
      <c r="AD104" s="76">
        <f t="shared" ref="AD104:AE104" si="87">IF(AD83&lt;0,AD83*-1,0)</f>
        <v>0</v>
      </c>
      <c r="AE104" s="76">
        <f t="shared" si="87"/>
        <v>0</v>
      </c>
      <c r="AF104" s="76">
        <f t="shared" ref="AF104" si="88">IF(AF83&lt;0,AF83*-1,0)</f>
        <v>0</v>
      </c>
      <c r="AG104" s="98"/>
      <c r="AH104" s="47">
        <f t="shared" si="46"/>
        <v>0</v>
      </c>
      <c r="AI104" s="48">
        <f t="shared" si="47"/>
        <v>0</v>
      </c>
    </row>
    <row r="105" spans="1:37" x14ac:dyDescent="0.25">
      <c r="A105" s="84" t="s">
        <v>81</v>
      </c>
      <c r="B105" s="76">
        <f t="shared" ref="B105:D105" si="89">IF(B81&lt;0,B81*-1,0)</f>
        <v>0</v>
      </c>
      <c r="C105" s="76">
        <f t="shared" si="89"/>
        <v>0</v>
      </c>
      <c r="D105" s="76">
        <f t="shared" si="89"/>
        <v>0</v>
      </c>
      <c r="E105" s="76">
        <f t="shared" ref="E105:AA105" si="90">IF(E81&lt;0,E81*-1,0)</f>
        <v>0</v>
      </c>
      <c r="F105" s="76">
        <f t="shared" si="90"/>
        <v>0</v>
      </c>
      <c r="G105" s="76">
        <f t="shared" si="90"/>
        <v>0</v>
      </c>
      <c r="H105" s="76">
        <f t="shared" si="90"/>
        <v>0</v>
      </c>
      <c r="I105" s="76">
        <f t="shared" si="90"/>
        <v>0</v>
      </c>
      <c r="J105" s="76">
        <f t="shared" si="90"/>
        <v>0</v>
      </c>
      <c r="K105" s="76">
        <f t="shared" si="90"/>
        <v>0</v>
      </c>
      <c r="L105" s="76">
        <f t="shared" si="90"/>
        <v>0</v>
      </c>
      <c r="M105" s="76">
        <f t="shared" si="90"/>
        <v>0</v>
      </c>
      <c r="N105" s="76">
        <f t="shared" si="90"/>
        <v>0</v>
      </c>
      <c r="O105" s="76">
        <f t="shared" si="90"/>
        <v>0</v>
      </c>
      <c r="P105" s="76">
        <f t="shared" si="90"/>
        <v>0</v>
      </c>
      <c r="Q105" s="76">
        <f t="shared" si="90"/>
        <v>0</v>
      </c>
      <c r="R105" s="76">
        <f t="shared" si="90"/>
        <v>0</v>
      </c>
      <c r="S105" s="76">
        <f t="shared" si="90"/>
        <v>0</v>
      </c>
      <c r="T105" s="76">
        <f t="shared" si="90"/>
        <v>0</v>
      </c>
      <c r="U105" s="76">
        <f t="shared" si="90"/>
        <v>0</v>
      </c>
      <c r="V105" s="76">
        <f t="shared" si="90"/>
        <v>0</v>
      </c>
      <c r="W105" s="76">
        <f t="shared" si="90"/>
        <v>0</v>
      </c>
      <c r="X105" s="76">
        <f t="shared" si="90"/>
        <v>0</v>
      </c>
      <c r="Y105" s="76">
        <f t="shared" si="90"/>
        <v>0</v>
      </c>
      <c r="Z105" s="76">
        <f t="shared" si="90"/>
        <v>0</v>
      </c>
      <c r="AA105" s="76">
        <f t="shared" si="90"/>
        <v>0</v>
      </c>
      <c r="AB105" s="76">
        <f t="shared" ref="AB105:AC105" si="91">IF(AB81&lt;0,AB81*-1,0)</f>
        <v>0</v>
      </c>
      <c r="AC105" s="76">
        <f t="shared" si="91"/>
        <v>0</v>
      </c>
      <c r="AD105" s="76">
        <f t="shared" ref="AD105:AE105" si="92">IF(AD81&lt;0,AD81*-1,0)</f>
        <v>0</v>
      </c>
      <c r="AE105" s="76">
        <f t="shared" si="92"/>
        <v>0</v>
      </c>
      <c r="AF105" s="76">
        <f t="shared" ref="AF105" si="93">IF(AF81&lt;0,AF81*-1,0)</f>
        <v>0</v>
      </c>
      <c r="AG105" s="98"/>
      <c r="AH105" s="47">
        <f t="shared" si="46"/>
        <v>0</v>
      </c>
      <c r="AI105" s="48">
        <f t="shared" si="47"/>
        <v>0</v>
      </c>
    </row>
    <row r="106" spans="1:37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1</v>
      </c>
      <c r="AG106" s="85"/>
      <c r="AH106" s="47">
        <f t="shared" si="46"/>
        <v>1</v>
      </c>
      <c r="AI106" s="48">
        <f t="shared" si="47"/>
        <v>0</v>
      </c>
    </row>
    <row r="107" spans="1:37" ht="15.75" thickBot="1" x14ac:dyDescent="0.3">
      <c r="A107" s="99" t="s">
        <v>106</v>
      </c>
      <c r="B107" s="60">
        <f t="shared" ref="B107:D107" si="94">SUM(B101:B106)</f>
        <v>0</v>
      </c>
      <c r="C107" s="60">
        <f t="shared" si="94"/>
        <v>0</v>
      </c>
      <c r="D107" s="60">
        <f t="shared" si="94"/>
        <v>0</v>
      </c>
      <c r="E107" s="60">
        <f t="shared" ref="E107:AA107" si="95">SUM(E101:E106)</f>
        <v>0</v>
      </c>
      <c r="F107" s="60">
        <f t="shared" si="95"/>
        <v>0</v>
      </c>
      <c r="G107" s="60">
        <f t="shared" si="95"/>
        <v>0</v>
      </c>
      <c r="H107" s="60">
        <f t="shared" si="95"/>
        <v>0</v>
      </c>
      <c r="I107" s="60">
        <f t="shared" si="95"/>
        <v>0</v>
      </c>
      <c r="J107" s="60">
        <f t="shared" si="95"/>
        <v>0</v>
      </c>
      <c r="K107" s="60">
        <f t="shared" si="95"/>
        <v>0</v>
      </c>
      <c r="L107" s="60">
        <f t="shared" si="95"/>
        <v>0</v>
      </c>
      <c r="M107" s="60">
        <f t="shared" si="95"/>
        <v>0</v>
      </c>
      <c r="N107" s="60">
        <f t="shared" si="95"/>
        <v>0</v>
      </c>
      <c r="O107" s="60">
        <f t="shared" si="95"/>
        <v>0</v>
      </c>
      <c r="P107" s="60">
        <f t="shared" si="95"/>
        <v>0</v>
      </c>
      <c r="Q107" s="60">
        <f t="shared" si="95"/>
        <v>0</v>
      </c>
      <c r="R107" s="60">
        <f t="shared" si="95"/>
        <v>0</v>
      </c>
      <c r="S107" s="60">
        <f t="shared" si="95"/>
        <v>0</v>
      </c>
      <c r="T107" s="60">
        <f t="shared" si="95"/>
        <v>0</v>
      </c>
      <c r="U107" s="60">
        <f t="shared" si="95"/>
        <v>0</v>
      </c>
      <c r="V107" s="60">
        <f t="shared" si="95"/>
        <v>0</v>
      </c>
      <c r="W107" s="60">
        <f t="shared" si="95"/>
        <v>0</v>
      </c>
      <c r="X107" s="60">
        <f t="shared" si="95"/>
        <v>0</v>
      </c>
      <c r="Y107" s="60">
        <f t="shared" si="95"/>
        <v>0</v>
      </c>
      <c r="Z107" s="60">
        <f t="shared" si="95"/>
        <v>0</v>
      </c>
      <c r="AA107" s="60">
        <f t="shared" si="95"/>
        <v>0</v>
      </c>
      <c r="AB107" s="60">
        <f t="shared" ref="AB107:AC107" si="96">SUM(AB101:AB106)</f>
        <v>0</v>
      </c>
      <c r="AC107" s="60">
        <f t="shared" si="96"/>
        <v>0</v>
      </c>
      <c r="AD107" s="60">
        <f t="shared" ref="AD107:AE107" si="97">SUM(AD101:AD106)</f>
        <v>0</v>
      </c>
      <c r="AE107" s="60">
        <f t="shared" si="97"/>
        <v>0</v>
      </c>
      <c r="AF107" s="60">
        <f t="shared" ref="AF107" si="98">SUM(AF101:AF106)</f>
        <v>1</v>
      </c>
      <c r="AG107" s="88"/>
      <c r="AH107" s="47">
        <f t="shared" si="46"/>
        <v>1</v>
      </c>
      <c r="AI107" s="48">
        <f t="shared" si="47"/>
        <v>0</v>
      </c>
      <c r="AK107" s="50"/>
    </row>
    <row r="108" spans="1:37" ht="15.75" thickBot="1" x14ac:dyDescent="0.3">
      <c r="A108" s="74" t="s">
        <v>107</v>
      </c>
      <c r="B108" s="60">
        <f t="shared" ref="B108:D108" si="99">B92-B107</f>
        <v>649</v>
      </c>
      <c r="C108" s="60">
        <f t="shared" si="99"/>
        <v>634.1</v>
      </c>
      <c r="D108" s="60">
        <f t="shared" si="99"/>
        <v>599.9</v>
      </c>
      <c r="E108" s="60">
        <f t="shared" ref="E108:AA108" si="100">E92-E107</f>
        <v>591</v>
      </c>
      <c r="F108" s="60">
        <f t="shared" si="100"/>
        <v>590</v>
      </c>
      <c r="G108" s="60">
        <f t="shared" si="100"/>
        <v>609</v>
      </c>
      <c r="H108" s="60">
        <f t="shared" si="100"/>
        <v>629.6</v>
      </c>
      <c r="I108" s="60">
        <f t="shared" si="100"/>
        <v>471</v>
      </c>
      <c r="J108" s="60">
        <f t="shared" si="100"/>
        <v>616</v>
      </c>
      <c r="K108" s="60">
        <f t="shared" si="100"/>
        <v>340.5</v>
      </c>
      <c r="L108" s="60">
        <f t="shared" si="100"/>
        <v>242.7</v>
      </c>
      <c r="M108" s="60">
        <f t="shared" si="100"/>
        <v>236.8</v>
      </c>
      <c r="N108" s="60">
        <f t="shared" si="100"/>
        <v>309</v>
      </c>
      <c r="O108" s="60">
        <f t="shared" si="100"/>
        <v>520.70000000000005</v>
      </c>
      <c r="P108" s="60">
        <f t="shared" si="100"/>
        <v>655.9</v>
      </c>
      <c r="Q108" s="60">
        <f t="shared" si="100"/>
        <v>689.30000000000007</v>
      </c>
      <c r="R108" s="60">
        <f t="shared" si="100"/>
        <v>784.4</v>
      </c>
      <c r="S108" s="60">
        <f t="shared" si="100"/>
        <v>778.3</v>
      </c>
      <c r="T108" s="60">
        <f t="shared" si="100"/>
        <v>837.80000000000007</v>
      </c>
      <c r="U108" s="60">
        <f t="shared" si="100"/>
        <v>848.6</v>
      </c>
      <c r="V108" s="60">
        <f t="shared" si="100"/>
        <v>583.90000000000009</v>
      </c>
      <c r="W108" s="60">
        <f t="shared" si="100"/>
        <v>614.70000000000005</v>
      </c>
      <c r="X108" s="60">
        <f t="shared" si="100"/>
        <v>595.5</v>
      </c>
      <c r="Y108" s="60">
        <f>Y92-Y107</f>
        <v>630.5</v>
      </c>
      <c r="Z108" s="60">
        <f>Z92-Z107</f>
        <v>585.59999999999991</v>
      </c>
      <c r="AA108" s="60">
        <f t="shared" si="100"/>
        <v>591.6</v>
      </c>
      <c r="AB108" s="60">
        <f t="shared" ref="AB108:AC108" si="101">AB92-AB107</f>
        <v>608.44000000000005</v>
      </c>
      <c r="AC108" s="60">
        <f t="shared" si="101"/>
        <v>624.44000000000005</v>
      </c>
      <c r="AD108" s="60">
        <f t="shared" ref="AD108:AE108" si="102">AD92-AD107</f>
        <v>676</v>
      </c>
      <c r="AE108" s="60">
        <f t="shared" si="102"/>
        <v>687.5</v>
      </c>
      <c r="AF108" s="60">
        <f t="shared" ref="AF108" si="103">AF92-AF107</f>
        <v>682</v>
      </c>
      <c r="AG108" s="88"/>
      <c r="AH108" s="47">
        <f t="shared" si="46"/>
        <v>848.6</v>
      </c>
      <c r="AI108" s="48">
        <f t="shared" si="47"/>
        <v>236.8</v>
      </c>
    </row>
    <row r="109" spans="1:37" x14ac:dyDescent="0.25">
      <c r="A109" s="100" t="s">
        <v>108</v>
      </c>
      <c r="B109" s="101">
        <v>50.03</v>
      </c>
      <c r="C109" s="101">
        <v>50.03</v>
      </c>
      <c r="D109" s="101">
        <v>49.96</v>
      </c>
      <c r="E109" s="101">
        <v>49.982999999999997</v>
      </c>
      <c r="F109" s="101">
        <v>50.012999999999998</v>
      </c>
      <c r="G109" s="101">
        <v>50.033999999999999</v>
      </c>
      <c r="H109" s="101">
        <v>50.04</v>
      </c>
      <c r="I109" s="101">
        <v>50.05</v>
      </c>
      <c r="J109" s="101">
        <v>50.073999999999998</v>
      </c>
      <c r="K109" s="101">
        <v>50.07</v>
      </c>
      <c r="L109" s="101">
        <v>50.042000000000002</v>
      </c>
      <c r="M109" s="101">
        <v>50.073999999999998</v>
      </c>
      <c r="N109" s="101">
        <v>49.899000000000001</v>
      </c>
      <c r="O109" s="101">
        <v>50.045000000000002</v>
      </c>
      <c r="P109" s="101">
        <v>49.936</v>
      </c>
      <c r="Q109" s="101">
        <v>49.941000000000003</v>
      </c>
      <c r="R109" s="101">
        <v>50.064999999999998</v>
      </c>
      <c r="S109" s="101">
        <v>50.048000000000002</v>
      </c>
      <c r="T109" s="101">
        <v>49.81</v>
      </c>
      <c r="U109" s="101">
        <v>49.957999999999998</v>
      </c>
      <c r="V109" s="101">
        <v>49.997999999999998</v>
      </c>
      <c r="W109" s="101">
        <v>50.09</v>
      </c>
      <c r="X109" s="101">
        <v>50.075000000000003</v>
      </c>
      <c r="Y109" s="101">
        <v>49.972999999999999</v>
      </c>
      <c r="Z109" s="101">
        <v>49.963000000000001</v>
      </c>
      <c r="AA109" s="101">
        <v>49.923000000000002</v>
      </c>
      <c r="AB109" s="101">
        <v>50.048999999999999</v>
      </c>
      <c r="AC109" s="101">
        <v>50.048000000000002</v>
      </c>
      <c r="AD109" s="101">
        <v>50.048000000000002</v>
      </c>
      <c r="AE109" s="101">
        <v>50.06</v>
      </c>
      <c r="AF109" s="101">
        <v>49.93</v>
      </c>
      <c r="AG109" s="102"/>
      <c r="AH109" s="47">
        <f t="shared" si="46"/>
        <v>50.09</v>
      </c>
      <c r="AI109" s="48">
        <f t="shared" si="47"/>
        <v>49.81</v>
      </c>
    </row>
    <row r="110" spans="1:37" x14ac:dyDescent="0.25">
      <c r="A110" s="103" t="s">
        <v>109</v>
      </c>
      <c r="B110" s="65">
        <v>128.30000000000001</v>
      </c>
      <c r="C110" s="65">
        <v>128.30000000000001</v>
      </c>
      <c r="D110" s="65">
        <v>127.7</v>
      </c>
      <c r="E110" s="65">
        <v>129.30000000000001</v>
      </c>
      <c r="F110" s="65">
        <v>128.9</v>
      </c>
      <c r="G110" s="65">
        <v>128.9</v>
      </c>
      <c r="H110" s="65">
        <v>129.30000000000001</v>
      </c>
      <c r="I110" s="65">
        <v>128.19999999999999</v>
      </c>
      <c r="J110" s="65">
        <v>128</v>
      </c>
      <c r="K110" s="65">
        <v>128.4</v>
      </c>
      <c r="L110" s="65">
        <v>126.2</v>
      </c>
      <c r="M110" s="65">
        <v>125.2</v>
      </c>
      <c r="N110" s="65">
        <v>126.3</v>
      </c>
      <c r="O110" s="65">
        <v>126.6</v>
      </c>
      <c r="P110" s="65">
        <v>125.4</v>
      </c>
      <c r="Q110" s="65">
        <v>124.1</v>
      </c>
      <c r="R110" s="65">
        <v>123.7</v>
      </c>
      <c r="S110" s="65">
        <v>123.8</v>
      </c>
      <c r="T110" s="65">
        <v>121.7</v>
      </c>
      <c r="U110" s="65">
        <v>121.9</v>
      </c>
      <c r="V110" s="65">
        <v>129</v>
      </c>
      <c r="W110" s="65">
        <v>127.1</v>
      </c>
      <c r="X110" s="65">
        <v>126.9</v>
      </c>
      <c r="Y110" s="65">
        <v>125.9</v>
      </c>
      <c r="Z110" s="65">
        <v>127</v>
      </c>
      <c r="AA110" s="65">
        <v>128.69999999999999</v>
      </c>
      <c r="AB110" s="65">
        <v>129</v>
      </c>
      <c r="AC110" s="65">
        <v>129</v>
      </c>
      <c r="AD110" s="65">
        <v>129</v>
      </c>
      <c r="AE110" s="65">
        <v>129</v>
      </c>
      <c r="AF110" s="65">
        <v>129.30000000000001</v>
      </c>
      <c r="AG110" s="104"/>
      <c r="AH110" s="47">
        <f t="shared" si="46"/>
        <v>129.30000000000001</v>
      </c>
      <c r="AI110" s="48">
        <f t="shared" si="47"/>
        <v>121.7</v>
      </c>
    </row>
    <row r="111" spans="1:37" x14ac:dyDescent="0.25">
      <c r="A111" s="103" t="s">
        <v>110</v>
      </c>
      <c r="B111" s="65">
        <v>132.6</v>
      </c>
      <c r="C111" s="65">
        <v>132.6</v>
      </c>
      <c r="D111" s="65">
        <v>131.9</v>
      </c>
      <c r="E111" s="65">
        <v>133.30000000000001</v>
      </c>
      <c r="F111" s="65">
        <v>132.69999999999999</v>
      </c>
      <c r="G111" s="65">
        <v>132.69999999999999</v>
      </c>
      <c r="H111" s="65">
        <v>132.80000000000001</v>
      </c>
      <c r="I111" s="65">
        <v>130.1</v>
      </c>
      <c r="J111" s="65">
        <v>131.19999999999999</v>
      </c>
      <c r="K111" s="65">
        <v>130.4</v>
      </c>
      <c r="L111" s="65">
        <v>127.8</v>
      </c>
      <c r="M111" s="65">
        <v>127.1</v>
      </c>
      <c r="N111" s="65">
        <v>128.30000000000001</v>
      </c>
      <c r="O111" s="65">
        <v>128.80000000000001</v>
      </c>
      <c r="P111" s="65">
        <v>128.19999999999999</v>
      </c>
      <c r="Q111" s="65">
        <v>127.3</v>
      </c>
      <c r="R111" s="65">
        <v>127.4</v>
      </c>
      <c r="S111" s="65">
        <v>127.7</v>
      </c>
      <c r="T111" s="65">
        <v>125.7</v>
      </c>
      <c r="U111" s="65">
        <v>125.4</v>
      </c>
      <c r="V111" s="65">
        <v>130.80000000000001</v>
      </c>
      <c r="W111" s="65">
        <v>129.1</v>
      </c>
      <c r="X111" s="65">
        <v>128.69999999999999</v>
      </c>
      <c r="Y111" s="65">
        <v>127.4</v>
      </c>
      <c r="Z111" s="65">
        <v>128.30000000000001</v>
      </c>
      <c r="AA111" s="65">
        <v>130.1</v>
      </c>
      <c r="AB111" s="65">
        <v>130.4</v>
      </c>
      <c r="AC111" s="65">
        <v>130.4</v>
      </c>
      <c r="AD111" s="65">
        <v>130.4</v>
      </c>
      <c r="AE111" s="65">
        <v>132</v>
      </c>
      <c r="AF111" s="65">
        <v>132.30000000000001</v>
      </c>
      <c r="AG111" s="104"/>
      <c r="AH111" s="47">
        <f t="shared" si="46"/>
        <v>133.30000000000001</v>
      </c>
      <c r="AI111" s="48">
        <f t="shared" si="47"/>
        <v>125.4</v>
      </c>
    </row>
    <row r="112" spans="1:37" x14ac:dyDescent="0.25">
      <c r="A112" s="103" t="s">
        <v>111</v>
      </c>
      <c r="B112" s="65">
        <v>129.69999999999999</v>
      </c>
      <c r="C112" s="65">
        <v>129.69999999999999</v>
      </c>
      <c r="D112" s="65">
        <v>128.19999999999999</v>
      </c>
      <c r="E112" s="65">
        <v>130.9</v>
      </c>
      <c r="F112" s="65">
        <v>129.69999999999999</v>
      </c>
      <c r="G112" s="65">
        <v>127.8</v>
      </c>
      <c r="H112" s="65">
        <v>128.69999999999999</v>
      </c>
      <c r="I112" s="65">
        <v>128.69999999999999</v>
      </c>
      <c r="J112" s="65">
        <v>128.69999999999999</v>
      </c>
      <c r="K112" s="65">
        <v>128.80000000000001</v>
      </c>
      <c r="L112" s="65">
        <v>126.6</v>
      </c>
      <c r="M112" s="65">
        <v>129.19999999999999</v>
      </c>
      <c r="N112" s="65">
        <v>127</v>
      </c>
      <c r="O112" s="65">
        <v>126.2</v>
      </c>
      <c r="P112" s="65">
        <v>126.4</v>
      </c>
      <c r="Q112" s="65">
        <v>123.9</v>
      </c>
      <c r="R112" s="65">
        <v>123.4</v>
      </c>
      <c r="S112" s="65">
        <v>127.3</v>
      </c>
      <c r="T112" s="65">
        <v>120.1</v>
      </c>
      <c r="U112" s="65">
        <v>125.7</v>
      </c>
      <c r="V112" s="65">
        <v>129</v>
      </c>
      <c r="W112" s="65">
        <v>129.30000000000001</v>
      </c>
      <c r="X112" s="65">
        <v>125.1</v>
      </c>
      <c r="Y112" s="65">
        <v>126.7</v>
      </c>
      <c r="Z112" s="65">
        <v>130.4</v>
      </c>
      <c r="AA112" s="65">
        <v>132.1</v>
      </c>
      <c r="AB112" s="65">
        <v>132</v>
      </c>
      <c r="AC112" s="65">
        <v>132</v>
      </c>
      <c r="AD112" s="65">
        <v>132</v>
      </c>
      <c r="AE112" s="65">
        <v>131</v>
      </c>
      <c r="AF112" s="65">
        <v>127</v>
      </c>
      <c r="AG112" s="104"/>
      <c r="AH112" s="47">
        <f t="shared" si="46"/>
        <v>132.1</v>
      </c>
      <c r="AI112" s="48">
        <f t="shared" si="47"/>
        <v>120.1</v>
      </c>
    </row>
    <row r="113" spans="1:35" x14ac:dyDescent="0.25">
      <c r="A113" s="105" t="s">
        <v>112</v>
      </c>
      <c r="B113" s="65">
        <v>132.9</v>
      </c>
      <c r="C113" s="65">
        <v>132.9</v>
      </c>
      <c r="D113" s="65">
        <v>130.19999999999999</v>
      </c>
      <c r="E113" s="65">
        <v>132.6</v>
      </c>
      <c r="F113" s="65">
        <v>130.80000000000001</v>
      </c>
      <c r="G113" s="65">
        <v>128.9</v>
      </c>
      <c r="H113" s="65">
        <v>129</v>
      </c>
      <c r="I113" s="65">
        <v>128.6</v>
      </c>
      <c r="J113" s="65">
        <v>127</v>
      </c>
      <c r="K113" s="65">
        <v>127.8</v>
      </c>
      <c r="L113" s="65">
        <v>125.6</v>
      </c>
      <c r="M113" s="65">
        <v>129.5</v>
      </c>
      <c r="N113" s="65">
        <v>125.3</v>
      </c>
      <c r="O113" s="65">
        <v>125.6</v>
      </c>
      <c r="P113" s="65">
        <v>126.8</v>
      </c>
      <c r="Q113" s="65">
        <v>125.7</v>
      </c>
      <c r="R113" s="65">
        <v>125</v>
      </c>
      <c r="S113" s="65">
        <v>127.9</v>
      </c>
      <c r="T113" s="65">
        <v>120.7</v>
      </c>
      <c r="U113" s="65">
        <v>123.9</v>
      </c>
      <c r="V113" s="65">
        <v>128.69999999999999</v>
      </c>
      <c r="W113" s="65">
        <v>127.9</v>
      </c>
      <c r="X113" s="65">
        <v>123.4</v>
      </c>
      <c r="Y113" s="65">
        <v>125.2</v>
      </c>
      <c r="Z113" s="65">
        <v>129.69999999999999</v>
      </c>
      <c r="AA113" s="65">
        <v>131.9</v>
      </c>
      <c r="AB113" s="65">
        <v>131.6</v>
      </c>
      <c r="AC113" s="65">
        <v>131.6</v>
      </c>
      <c r="AD113" s="65">
        <v>131.6</v>
      </c>
      <c r="AE113" s="65">
        <v>132</v>
      </c>
      <c r="AF113" s="65">
        <v>128.9</v>
      </c>
      <c r="AG113" s="104"/>
      <c r="AH113" s="47">
        <f t="shared" si="46"/>
        <v>132.9</v>
      </c>
      <c r="AI113" s="48">
        <f t="shared" si="47"/>
        <v>120.7</v>
      </c>
    </row>
    <row r="114" spans="1:35" x14ac:dyDescent="0.25">
      <c r="A114" s="105" t="s">
        <v>113</v>
      </c>
      <c r="B114" s="106">
        <v>131.69999999999999</v>
      </c>
      <c r="C114" s="106">
        <v>131.69999999999999</v>
      </c>
      <c r="D114" s="106">
        <v>131.30000000000001</v>
      </c>
      <c r="E114" s="106">
        <v>132.9</v>
      </c>
      <c r="F114" s="106">
        <v>132.69999999999999</v>
      </c>
      <c r="G114" s="106">
        <v>135.1</v>
      </c>
      <c r="H114" s="106">
        <v>135</v>
      </c>
      <c r="I114" s="106">
        <v>135</v>
      </c>
      <c r="J114" s="106">
        <v>135</v>
      </c>
      <c r="K114" s="106">
        <v>136.80000000000001</v>
      </c>
      <c r="L114" s="106">
        <v>134.80000000000001</v>
      </c>
      <c r="M114" s="106">
        <v>134.1</v>
      </c>
      <c r="N114" s="106">
        <v>134</v>
      </c>
      <c r="O114" s="106">
        <v>133.9</v>
      </c>
      <c r="P114" s="106">
        <v>132.30000000000001</v>
      </c>
      <c r="Q114" s="106">
        <v>132.30000000000001</v>
      </c>
      <c r="R114" s="106">
        <v>131.6</v>
      </c>
      <c r="S114" s="106">
        <v>132.30000000000001</v>
      </c>
      <c r="T114" s="106">
        <v>131.69999999999999</v>
      </c>
      <c r="U114" s="106">
        <v>129.69999999999999</v>
      </c>
      <c r="V114" s="106">
        <v>136.6</v>
      </c>
      <c r="W114" s="106">
        <v>133.1</v>
      </c>
      <c r="X114" s="106">
        <v>133.1</v>
      </c>
      <c r="Y114" s="106">
        <v>134.6</v>
      </c>
      <c r="Z114" s="106">
        <v>135</v>
      </c>
      <c r="AA114" s="106">
        <v>135.69999999999999</v>
      </c>
      <c r="AB114" s="106">
        <v>136.4</v>
      </c>
      <c r="AC114" s="106">
        <v>136.4</v>
      </c>
      <c r="AD114" s="106">
        <v>136.4</v>
      </c>
      <c r="AE114" s="106">
        <v>133.5</v>
      </c>
      <c r="AF114" s="106">
        <v>131.6</v>
      </c>
      <c r="AG114" s="107"/>
      <c r="AH114" s="47">
        <f t="shared" ref="AH114:AH123" si="104">MAX(B114:AF114)</f>
        <v>136.80000000000001</v>
      </c>
      <c r="AI114" s="48">
        <f t="shared" ref="AI114:AI123" si="105">MIN(B114:AF114)</f>
        <v>129.69999999999999</v>
      </c>
    </row>
    <row r="115" spans="1:35" x14ac:dyDescent="0.25">
      <c r="A115" s="103" t="s">
        <v>114</v>
      </c>
      <c r="B115" s="65">
        <v>136.5</v>
      </c>
      <c r="C115" s="65">
        <v>136.5</v>
      </c>
      <c r="D115" s="65">
        <v>132.19999999999999</v>
      </c>
      <c r="E115" s="65">
        <v>135</v>
      </c>
      <c r="F115" s="65">
        <v>131</v>
      </c>
      <c r="G115" s="65">
        <v>128.30000000000001</v>
      </c>
      <c r="H115" s="65">
        <v>128.9</v>
      </c>
      <c r="I115" s="65">
        <v>128.9</v>
      </c>
      <c r="J115" s="65">
        <v>128.9</v>
      </c>
      <c r="K115" s="65">
        <v>131.5</v>
      </c>
      <c r="L115" s="65">
        <v>127.7</v>
      </c>
      <c r="M115" s="65">
        <v>128.5</v>
      </c>
      <c r="N115" s="65">
        <v>126.1</v>
      </c>
      <c r="O115" s="65">
        <v>129.80000000000001</v>
      </c>
      <c r="P115" s="65">
        <v>127.4</v>
      </c>
      <c r="Q115" s="65">
        <v>129</v>
      </c>
      <c r="R115" s="65">
        <v>129.30000000000001</v>
      </c>
      <c r="S115" s="65">
        <v>130.1</v>
      </c>
      <c r="T115" s="65">
        <v>133.6</v>
      </c>
      <c r="U115" s="65">
        <v>134</v>
      </c>
      <c r="V115" s="65">
        <v>133.5</v>
      </c>
      <c r="W115" s="65">
        <v>132.5</v>
      </c>
      <c r="X115" s="65">
        <v>133.1</v>
      </c>
      <c r="Y115" s="65">
        <v>131.6</v>
      </c>
      <c r="Z115" s="65">
        <v>130.1</v>
      </c>
      <c r="AA115" s="65">
        <v>132.6</v>
      </c>
      <c r="AB115" s="65">
        <v>136</v>
      </c>
      <c r="AC115" s="65">
        <v>136</v>
      </c>
      <c r="AD115" s="65">
        <v>136</v>
      </c>
      <c r="AE115" s="65">
        <v>135</v>
      </c>
      <c r="AF115" s="65">
        <v>132.80000000000001</v>
      </c>
      <c r="AG115" s="104"/>
      <c r="AH115" s="47">
        <f t="shared" si="104"/>
        <v>136.5</v>
      </c>
      <c r="AI115" s="48">
        <f t="shared" si="105"/>
        <v>126.1</v>
      </c>
    </row>
    <row r="116" spans="1:35" ht="15.75" thickBot="1" x14ac:dyDescent="0.3">
      <c r="A116" s="103" t="s">
        <v>115</v>
      </c>
      <c r="B116" s="92">
        <v>66.8</v>
      </c>
      <c r="C116" s="92">
        <v>66.8</v>
      </c>
      <c r="D116" s="92">
        <v>66.8</v>
      </c>
      <c r="E116" s="92">
        <v>67.2</v>
      </c>
      <c r="F116" s="92">
        <v>67</v>
      </c>
      <c r="G116" s="92">
        <v>67</v>
      </c>
      <c r="H116" s="92">
        <v>66.900000000000006</v>
      </c>
      <c r="I116" s="92">
        <v>66.900000000000006</v>
      </c>
      <c r="J116" s="92">
        <v>66.900000000000006</v>
      </c>
      <c r="K116" s="92">
        <v>65.400000000000006</v>
      </c>
      <c r="L116" s="92">
        <v>63.9</v>
      </c>
      <c r="M116" s="92">
        <v>63.8</v>
      </c>
      <c r="N116" s="92">
        <v>64.900000000000006</v>
      </c>
      <c r="O116" s="92">
        <v>65</v>
      </c>
      <c r="P116" s="92">
        <v>64.5</v>
      </c>
      <c r="Q116" s="92">
        <v>64</v>
      </c>
      <c r="R116" s="92">
        <v>63.9</v>
      </c>
      <c r="S116" s="92">
        <v>64.3</v>
      </c>
      <c r="T116" s="92">
        <v>63.2</v>
      </c>
      <c r="U116" s="92">
        <v>62.8</v>
      </c>
      <c r="V116" s="92">
        <v>65.599999999999994</v>
      </c>
      <c r="W116" s="92">
        <v>64.8</v>
      </c>
      <c r="X116" s="92">
        <v>64.5</v>
      </c>
      <c r="Y116" s="92">
        <v>63.8</v>
      </c>
      <c r="Z116" s="92">
        <v>64.400000000000006</v>
      </c>
      <c r="AA116" s="92">
        <v>65.400000000000006</v>
      </c>
      <c r="AB116" s="92">
        <v>65.2</v>
      </c>
      <c r="AC116" s="92">
        <v>65.2</v>
      </c>
      <c r="AD116" s="92">
        <v>65.2</v>
      </c>
      <c r="AE116" s="92">
        <v>66.400000000000006</v>
      </c>
      <c r="AF116" s="92">
        <v>66.5</v>
      </c>
      <c r="AG116" s="108"/>
      <c r="AH116" s="47">
        <f t="shared" si="104"/>
        <v>67.2</v>
      </c>
      <c r="AI116" s="48">
        <f t="shared" si="105"/>
        <v>62.8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04"/>
        <v>0</v>
      </c>
      <c r="AI117" s="48">
        <f t="shared" si="105"/>
        <v>0</v>
      </c>
    </row>
    <row r="118" spans="1:35" ht="15.75" thickBot="1" x14ac:dyDescent="0.3">
      <c r="A118" s="110" t="s">
        <v>117</v>
      </c>
      <c r="B118" s="111">
        <f t="shared" ref="B118:D118" si="106">SUM(B22,B28,B31:B32,B66,B68:B69,B71,B73,B119:B123,B155,B161,B167,B176,B178,B190,B197,B200:B201,B208,B210,B212,B216:B218,B220:B222,B227,B233:B234,B236:B238,B246,B251)</f>
        <v>154.51999999999998</v>
      </c>
      <c r="C118" s="111">
        <f t="shared" si="106"/>
        <v>142.74</v>
      </c>
      <c r="D118" s="111">
        <f t="shared" si="106"/>
        <v>136.66000000000003</v>
      </c>
      <c r="E118" s="111">
        <f t="shared" ref="E118:O118" si="107">SUM(E22,E28,E31:E32,E66,E68:E69,E71,E73,E119:E123,E155,E161,E167,E176,E178,E190,E197,E200:E201,E208,E210,E212,E216:E218,E220:E222,E227,E233:E234,E236:E238,E246,E251)</f>
        <v>137.13999999999999</v>
      </c>
      <c r="F118" s="111">
        <f t="shared" si="107"/>
        <v>144.333</v>
      </c>
      <c r="G118" s="111">
        <f t="shared" si="107"/>
        <v>198.51999999999998</v>
      </c>
      <c r="H118" s="111">
        <f t="shared" si="107"/>
        <v>199.8</v>
      </c>
      <c r="I118" s="111">
        <f t="shared" si="107"/>
        <v>241.62</v>
      </c>
      <c r="J118" s="111">
        <f t="shared" si="107"/>
        <v>346.64</v>
      </c>
      <c r="K118" s="111">
        <f t="shared" si="107"/>
        <v>342.76</v>
      </c>
      <c r="L118" s="111">
        <f t="shared" si="107"/>
        <v>372.74000000000007</v>
      </c>
      <c r="M118" s="111">
        <f t="shared" si="107"/>
        <v>375.54299999999995</v>
      </c>
      <c r="N118" s="111">
        <f t="shared" si="107"/>
        <v>374.84</v>
      </c>
      <c r="O118" s="111">
        <f t="shared" si="107"/>
        <v>315.83999999999997</v>
      </c>
      <c r="P118" s="111">
        <v>42</v>
      </c>
      <c r="Q118" s="111">
        <f t="shared" ref="Q118:AA118" si="108">SUM(Q22,Q28,Q31:Q32,Q66,Q68:Q69,Q71,Q73,Q119:Q123,Q155,Q161,Q167,Q176,Q178,Q190,Q197,Q200:Q201,Q208,Q210,Q212,Q216:Q218,Q220:Q222,Q227,Q233:Q234,Q236:Q238,Q246,Q251)</f>
        <v>311.82400000000001</v>
      </c>
      <c r="R118" s="111">
        <f t="shared" si="108"/>
        <v>292.91999999999996</v>
      </c>
      <c r="S118" s="111">
        <f t="shared" si="108"/>
        <v>297.90199999999999</v>
      </c>
      <c r="T118" s="111">
        <f t="shared" si="108"/>
        <v>300.10899999999998</v>
      </c>
      <c r="U118" s="111">
        <f t="shared" si="108"/>
        <v>306.2</v>
      </c>
      <c r="V118" s="111">
        <f t="shared" si="108"/>
        <v>305.58699999999993</v>
      </c>
      <c r="W118" s="111">
        <f t="shared" si="108"/>
        <v>317.26599999999996</v>
      </c>
      <c r="X118" s="111">
        <f t="shared" si="108"/>
        <v>363.88100000000003</v>
      </c>
      <c r="Y118" s="111">
        <f t="shared" ref="Y118:Z118" si="109">SUM(Y20,Y26,Y37:Y38,Y66,Y68:Y69,Y71,Y73,Y119:Y123,Y148,Y154,Y160,Y169,Y171,Y183,Y190,Y193:Y194,Y201,Y203,Y205,Y209:Y211,Y213:Y215,Y220,Y226:Y227,Y229:Y231,Y239,Y244)</f>
        <v>414.14699999999999</v>
      </c>
      <c r="Z118" s="111">
        <f t="shared" si="109"/>
        <v>414.23400000000004</v>
      </c>
      <c r="AA118" s="111">
        <f t="shared" si="108"/>
        <v>382.58300000000003</v>
      </c>
      <c r="AB118" s="111">
        <f t="shared" ref="AB118:AC118" si="110">SUM(AB22,AB28,AB31:AB32,AB66,AB68:AB69,AB71,AB73,AB119:AB123,AB155,AB161,AB167,AB176,AB178,AB190,AB197,AB200:AB201,AB208,AB210,AB212,AB216:AB218,AB220:AB222,AB227,AB233:AB234,AB236:AB238,AB246,AB251)</f>
        <v>344.34</v>
      </c>
      <c r="AC118" s="111">
        <f t="shared" si="110"/>
        <v>330.34</v>
      </c>
      <c r="AD118" s="111">
        <f t="shared" ref="AD118:AE118" si="111">SUM(AD22,AD28,AD31:AD32,AD66,AD68:AD69,AD71,AD73,AD119:AD123,AD155,AD161,AD167,AD176,AD178,AD190,AD197,AD200:AD201,AD208,AD210,AD212,AD216:AD218,AD220:AD222,AD227,AD233:AD234,AD236:AD238,AD246,AD251)</f>
        <v>330.34</v>
      </c>
      <c r="AE118" s="111">
        <f t="shared" si="111"/>
        <v>217.34</v>
      </c>
      <c r="AF118" s="111">
        <f t="shared" ref="AF118" si="112">SUM(AF22,AF28,AF31:AF32,AF66,AF68:AF69,AF71,AF73,AF119:AF123,AF155,AF161,AF167,AF176,AF178,AF190,AF197,AF200:AF201,AF208,AF210,AF212,AF216:AF218,AF220:AF222,AF227,AF233:AF234,AF236:AF238,AF246,AF251)</f>
        <v>167.74</v>
      </c>
      <c r="AG118" s="112"/>
      <c r="AH118" s="47">
        <f t="shared" si="104"/>
        <v>414.23400000000004</v>
      </c>
      <c r="AI118" s="48">
        <f t="shared" si="105"/>
        <v>42</v>
      </c>
    </row>
    <row r="119" spans="1:35" x14ac:dyDescent="0.25">
      <c r="A119" s="172" t="s">
        <v>118</v>
      </c>
      <c r="B119" s="113">
        <v>-9.1999999999999993</v>
      </c>
      <c r="C119" s="113">
        <v>-12.5</v>
      </c>
      <c r="D119" s="113">
        <v>-17.100000000000001</v>
      </c>
      <c r="E119" s="113">
        <v>-18.3</v>
      </c>
      <c r="F119" s="113">
        <v>-18.8</v>
      </c>
      <c r="G119" s="113">
        <v>0</v>
      </c>
      <c r="H119" s="113">
        <v>-2.1</v>
      </c>
      <c r="I119" s="113">
        <v>18</v>
      </c>
      <c r="J119" s="113">
        <v>45</v>
      </c>
      <c r="K119" s="113">
        <v>41.2</v>
      </c>
      <c r="L119" s="113">
        <v>36.700000000000003</v>
      </c>
      <c r="M119" s="113">
        <v>34.1</v>
      </c>
      <c r="N119" s="113">
        <v>32</v>
      </c>
      <c r="O119" s="113">
        <v>33.1</v>
      </c>
      <c r="P119" s="113">
        <v>26.9</v>
      </c>
      <c r="Q119" s="113">
        <v>22.4</v>
      </c>
      <c r="R119" s="113">
        <v>15.6</v>
      </c>
      <c r="S119" s="113">
        <v>17.3</v>
      </c>
      <c r="T119" s="113">
        <v>15.5</v>
      </c>
      <c r="U119" s="113">
        <v>7.3</v>
      </c>
      <c r="V119" s="113">
        <v>7.3</v>
      </c>
      <c r="W119" s="113">
        <v>5.7</v>
      </c>
      <c r="X119" s="113">
        <v>19.600000000000001</v>
      </c>
      <c r="Y119" s="113">
        <v>31.9</v>
      </c>
      <c r="Z119" s="113">
        <v>35.1</v>
      </c>
      <c r="AA119" s="113">
        <v>31</v>
      </c>
      <c r="AB119" s="113">
        <v>25</v>
      </c>
      <c r="AC119" s="113">
        <v>24</v>
      </c>
      <c r="AD119" s="113">
        <v>24</v>
      </c>
      <c r="AE119" s="113">
        <v>17</v>
      </c>
      <c r="AF119" s="113">
        <v>4.7</v>
      </c>
      <c r="AG119" s="114">
        <v>75</v>
      </c>
      <c r="AH119" s="47">
        <f t="shared" si="104"/>
        <v>45</v>
      </c>
      <c r="AI119" s="48">
        <f t="shared" si="105"/>
        <v>-18.8</v>
      </c>
    </row>
    <row r="120" spans="1:35" x14ac:dyDescent="0.25">
      <c r="A120" s="173" t="s">
        <v>119</v>
      </c>
      <c r="B120" s="115">
        <v>-15.9</v>
      </c>
      <c r="C120" s="115">
        <v>-18.2</v>
      </c>
      <c r="D120" s="115">
        <v>-25</v>
      </c>
      <c r="E120" s="115">
        <v>-26.3</v>
      </c>
      <c r="F120" s="115">
        <v>-27.5</v>
      </c>
      <c r="G120" s="115">
        <v>-4.7</v>
      </c>
      <c r="H120" s="115">
        <v>-4.9000000000000004</v>
      </c>
      <c r="I120" s="115">
        <v>18.2</v>
      </c>
      <c r="J120" s="115">
        <v>52</v>
      </c>
      <c r="K120" s="115">
        <v>55.3</v>
      </c>
      <c r="L120" s="115">
        <v>48.1</v>
      </c>
      <c r="M120" s="115">
        <v>25.2</v>
      </c>
      <c r="N120" s="115">
        <v>44</v>
      </c>
      <c r="O120" s="115">
        <v>45</v>
      </c>
      <c r="P120" s="115">
        <v>30.7</v>
      </c>
      <c r="Q120" s="115">
        <v>25.9</v>
      </c>
      <c r="R120" s="115">
        <v>15.2</v>
      </c>
      <c r="S120" s="115">
        <v>17.3</v>
      </c>
      <c r="T120" s="115">
        <v>14.5</v>
      </c>
      <c r="U120" s="115">
        <v>0.4</v>
      </c>
      <c r="V120" s="115">
        <v>10.5</v>
      </c>
      <c r="W120" s="115">
        <v>9.6</v>
      </c>
      <c r="X120" s="115">
        <v>26.5</v>
      </c>
      <c r="Y120" s="115">
        <v>43.2</v>
      </c>
      <c r="Z120" s="115">
        <v>47</v>
      </c>
      <c r="AA120" s="115">
        <v>42.2</v>
      </c>
      <c r="AB120" s="115">
        <v>33</v>
      </c>
      <c r="AC120" s="115">
        <v>33</v>
      </c>
      <c r="AD120" s="115">
        <v>33</v>
      </c>
      <c r="AE120" s="115">
        <v>16</v>
      </c>
      <c r="AF120" s="115">
        <v>2.7</v>
      </c>
      <c r="AG120" s="114">
        <v>240</v>
      </c>
      <c r="AH120" s="47">
        <f t="shared" si="104"/>
        <v>55.3</v>
      </c>
      <c r="AI120" s="48">
        <f t="shared" si="105"/>
        <v>-27.5</v>
      </c>
    </row>
    <row r="121" spans="1:35" x14ac:dyDescent="0.25">
      <c r="A121" s="173" t="s">
        <v>120</v>
      </c>
      <c r="B121" s="115">
        <f>-4.3-4.7</f>
        <v>-9</v>
      </c>
      <c r="C121" s="115">
        <v>-11.1</v>
      </c>
      <c r="D121" s="115">
        <f>-5.5-5.9</f>
        <v>-11.4</v>
      </c>
      <c r="E121" s="115">
        <f>-5-6</f>
        <v>-11</v>
      </c>
      <c r="F121" s="115">
        <v>-7</v>
      </c>
      <c r="G121" s="115">
        <v>-1.2</v>
      </c>
      <c r="H121" s="115">
        <v>0</v>
      </c>
      <c r="I121" s="115">
        <v>14</v>
      </c>
      <c r="J121" s="115">
        <v>24</v>
      </c>
      <c r="K121" s="115">
        <f>13.1+14</f>
        <v>27.1</v>
      </c>
      <c r="L121" s="115">
        <v>35.799999999999997</v>
      </c>
      <c r="M121" s="115">
        <v>41.7</v>
      </c>
      <c r="N121" s="115">
        <v>28</v>
      </c>
      <c r="O121" s="115">
        <v>29</v>
      </c>
      <c r="P121" s="115">
        <v>24</v>
      </c>
      <c r="Q121" s="115">
        <v>15</v>
      </c>
      <c r="R121" s="115">
        <v>12</v>
      </c>
      <c r="S121" s="115">
        <v>12</v>
      </c>
      <c r="T121" s="115">
        <v>16.5</v>
      </c>
      <c r="U121" s="115">
        <v>27</v>
      </c>
      <c r="V121" s="115">
        <v>38</v>
      </c>
      <c r="W121" s="115">
        <v>45</v>
      </c>
      <c r="X121" s="115">
        <v>52</v>
      </c>
      <c r="Y121" s="115">
        <v>60</v>
      </c>
      <c r="Z121" s="115">
        <v>59</v>
      </c>
      <c r="AA121" s="115">
        <v>56</v>
      </c>
      <c r="AB121" s="115">
        <v>53</v>
      </c>
      <c r="AC121" s="115">
        <v>47</v>
      </c>
      <c r="AD121" s="115">
        <v>47</v>
      </c>
      <c r="AE121" s="115">
        <v>6</v>
      </c>
      <c r="AF121" s="115">
        <v>-4</v>
      </c>
      <c r="AG121" s="114">
        <v>240</v>
      </c>
      <c r="AH121" s="47">
        <f t="shared" si="104"/>
        <v>60</v>
      </c>
      <c r="AI121" s="48">
        <f t="shared" si="105"/>
        <v>-11.4</v>
      </c>
    </row>
    <row r="122" spans="1:35" ht="15.75" thickBot="1" x14ac:dyDescent="0.3">
      <c r="A122" s="173" t="s">
        <v>121</v>
      </c>
      <c r="B122" s="115">
        <v>-8</v>
      </c>
      <c r="C122" s="115">
        <v>-8.8000000000000007</v>
      </c>
      <c r="D122" s="115">
        <v>-10.9</v>
      </c>
      <c r="E122" s="115">
        <v>-10</v>
      </c>
      <c r="F122" s="115">
        <v>-10.1</v>
      </c>
      <c r="G122" s="115">
        <v>-0.6</v>
      </c>
      <c r="H122" s="115">
        <v>-1.2</v>
      </c>
      <c r="I122" s="115">
        <v>1.9</v>
      </c>
      <c r="J122" s="115">
        <v>14</v>
      </c>
      <c r="K122" s="115">
        <v>21</v>
      </c>
      <c r="L122" s="115">
        <v>22</v>
      </c>
      <c r="M122" s="115">
        <v>21.8</v>
      </c>
      <c r="N122" s="115">
        <v>18</v>
      </c>
      <c r="O122" s="115">
        <v>18</v>
      </c>
      <c r="P122" s="115">
        <v>5</v>
      </c>
      <c r="Q122" s="115">
        <v>2.1</v>
      </c>
      <c r="R122" s="115">
        <v>2.5</v>
      </c>
      <c r="S122" s="115">
        <v>2</v>
      </c>
      <c r="T122" s="115">
        <v>5.6</v>
      </c>
      <c r="U122" s="115">
        <v>12</v>
      </c>
      <c r="V122" s="115">
        <v>20.5</v>
      </c>
      <c r="W122" s="115">
        <v>22.7</v>
      </c>
      <c r="X122" s="115">
        <v>26.3</v>
      </c>
      <c r="Y122" s="115">
        <v>29.9</v>
      </c>
      <c r="Z122" s="115">
        <v>30.5</v>
      </c>
      <c r="AA122" s="115">
        <v>29.6</v>
      </c>
      <c r="AB122" s="115">
        <v>28</v>
      </c>
      <c r="AC122" s="115">
        <v>26</v>
      </c>
      <c r="AD122" s="115">
        <v>26</v>
      </c>
      <c r="AE122" s="115">
        <v>3</v>
      </c>
      <c r="AF122" s="115">
        <v>-1</v>
      </c>
      <c r="AG122" s="114">
        <v>60</v>
      </c>
      <c r="AH122" s="47">
        <f t="shared" si="104"/>
        <v>30.5</v>
      </c>
      <c r="AI122" s="48">
        <f t="shared" si="105"/>
        <v>-10.9</v>
      </c>
    </row>
    <row r="123" spans="1:35" x14ac:dyDescent="0.25">
      <c r="A123" s="172" t="s">
        <v>259</v>
      </c>
      <c r="B123" s="117">
        <f>65.8*1.6</f>
        <v>105.28</v>
      </c>
      <c r="C123" s="117">
        <v>102</v>
      </c>
      <c r="D123" s="117">
        <f>70.7*1.6</f>
        <v>113.12</v>
      </c>
      <c r="E123" s="117">
        <f>70*1.64</f>
        <v>114.8</v>
      </c>
      <c r="F123" s="117">
        <f>73*1.641</f>
        <v>119.79300000000001</v>
      </c>
      <c r="G123" s="117">
        <f>72*1.64</f>
        <v>118.08</v>
      </c>
      <c r="H123" s="117">
        <f>74*1.64</f>
        <v>121.36</v>
      </c>
      <c r="I123" s="117">
        <f>64.3*1.6</f>
        <v>102.88</v>
      </c>
      <c r="J123" s="117">
        <v>125</v>
      </c>
      <c r="K123" s="117">
        <f>68*1.64</f>
        <v>111.52</v>
      </c>
      <c r="L123" s="117">
        <f>85*1.64</f>
        <v>139.4</v>
      </c>
      <c r="M123" s="117">
        <f>98.1*1.63</f>
        <v>159.90299999999999</v>
      </c>
      <c r="N123" s="117">
        <v>160</v>
      </c>
      <c r="O123" s="117">
        <f>60*1.64</f>
        <v>98.399999999999991</v>
      </c>
      <c r="P123" s="117">
        <f>77*1.64</f>
        <v>126.27999999999999</v>
      </c>
      <c r="Q123" s="117">
        <f>86.8*1.63</f>
        <v>141.48399999999998</v>
      </c>
      <c r="R123" s="117">
        <f>87*1.64</f>
        <v>142.67999999999998</v>
      </c>
      <c r="S123" s="117">
        <f>88.6*1.67</f>
        <v>147.96199999999999</v>
      </c>
      <c r="T123" s="117">
        <f>90.7*1.67</f>
        <v>151.46899999999999</v>
      </c>
      <c r="U123" s="117">
        <f>108*1.67</f>
        <v>180.35999999999999</v>
      </c>
      <c r="V123" s="117">
        <f>84.1*1.67</f>
        <v>140.44699999999997</v>
      </c>
      <c r="W123" s="117">
        <f>87.8*1.67</f>
        <v>146.62599999999998</v>
      </c>
      <c r="X123" s="117">
        <f>92.3*1.67</f>
        <v>154.14099999999999</v>
      </c>
      <c r="Y123" s="117">
        <f>94.1*1.67</f>
        <v>157.14699999999999</v>
      </c>
      <c r="Z123" s="117">
        <f>90.2*1.67</f>
        <v>150.63399999999999</v>
      </c>
      <c r="AA123" s="117">
        <f>82.9*1.67</f>
        <v>138.44300000000001</v>
      </c>
      <c r="AB123" s="117">
        <v>120</v>
      </c>
      <c r="AC123" s="117">
        <v>115</v>
      </c>
      <c r="AD123" s="117">
        <v>115</v>
      </c>
      <c r="AE123" s="117">
        <v>90</v>
      </c>
      <c r="AF123" s="117">
        <v>80</v>
      </c>
      <c r="AG123" s="118">
        <v>120</v>
      </c>
      <c r="AH123" s="47">
        <f t="shared" si="104"/>
        <v>180.35999999999999</v>
      </c>
      <c r="AI123" s="48">
        <f t="shared" si="105"/>
        <v>80</v>
      </c>
    </row>
    <row r="124" spans="1:35" x14ac:dyDescent="0.25">
      <c r="A124" s="173" t="s">
        <v>258</v>
      </c>
      <c r="B124" s="117">
        <v>78.900000000000006</v>
      </c>
      <c r="C124" s="117">
        <v>76</v>
      </c>
      <c r="D124" s="117">
        <v>80.7</v>
      </c>
      <c r="E124" s="117">
        <v>80.099999999999994</v>
      </c>
      <c r="F124" s="117">
        <v>82.1</v>
      </c>
      <c r="G124" s="117">
        <v>81.5</v>
      </c>
      <c r="H124" s="117">
        <v>82</v>
      </c>
      <c r="I124" s="117">
        <v>72.8</v>
      </c>
      <c r="J124" s="117">
        <v>86.5</v>
      </c>
      <c r="K124" s="117">
        <v>76.599999999999994</v>
      </c>
      <c r="L124" s="117">
        <v>90.6</v>
      </c>
      <c r="M124" s="117">
        <v>101.5</v>
      </c>
      <c r="N124" s="117">
        <v>84</v>
      </c>
      <c r="O124" s="117">
        <v>78</v>
      </c>
      <c r="P124" s="117">
        <v>83.7</v>
      </c>
      <c r="Q124" s="117">
        <v>91.7</v>
      </c>
      <c r="R124" s="117">
        <v>92</v>
      </c>
      <c r="S124" s="117">
        <v>93.1</v>
      </c>
      <c r="T124" s="117">
        <v>94.7</v>
      </c>
      <c r="U124" s="117">
        <v>101.9</v>
      </c>
      <c r="V124" s="117">
        <v>87.5</v>
      </c>
      <c r="W124" s="117">
        <v>93.4</v>
      </c>
      <c r="X124" s="117">
        <v>94.3</v>
      </c>
      <c r="Y124" s="117">
        <v>98.1</v>
      </c>
      <c r="Z124" s="117">
        <v>93.9</v>
      </c>
      <c r="AA124" s="117">
        <v>88.8</v>
      </c>
      <c r="AB124" s="117">
        <v>85</v>
      </c>
      <c r="AC124" s="117">
        <v>81</v>
      </c>
      <c r="AD124" s="117">
        <v>81</v>
      </c>
      <c r="AE124" s="117">
        <v>72</v>
      </c>
      <c r="AF124" s="117">
        <v>69</v>
      </c>
      <c r="AG124" s="118"/>
      <c r="AH124" s="47"/>
      <c r="AI124" s="48"/>
    </row>
    <row r="125" spans="1:35" x14ac:dyDescent="0.25">
      <c r="A125" s="173" t="s">
        <v>255</v>
      </c>
      <c r="B125" s="117">
        <v>59.2</v>
      </c>
      <c r="C125" s="117">
        <v>57.7</v>
      </c>
      <c r="D125" s="117">
        <v>65.900000000000006</v>
      </c>
      <c r="E125" s="117">
        <v>67.900000000000006</v>
      </c>
      <c r="F125" s="117">
        <v>68</v>
      </c>
      <c r="G125" s="117">
        <v>47</v>
      </c>
      <c r="H125" s="117">
        <v>46.7</v>
      </c>
      <c r="I125" s="117">
        <v>6.6</v>
      </c>
      <c r="J125" s="117">
        <v>7.4</v>
      </c>
      <c r="K125" s="117">
        <v>-35.700000000000003</v>
      </c>
      <c r="L125" s="117">
        <v>-24.8</v>
      </c>
      <c r="M125" s="117">
        <v>-6.8</v>
      </c>
      <c r="N125" s="117">
        <v>-22</v>
      </c>
      <c r="O125" s="117">
        <v>-24</v>
      </c>
      <c r="P125" s="117">
        <v>4</v>
      </c>
      <c r="Q125" s="117">
        <v>17.600000000000001</v>
      </c>
      <c r="R125" s="117">
        <v>38</v>
      </c>
      <c r="S125" s="117">
        <v>38.700000000000003</v>
      </c>
      <c r="T125" s="117">
        <v>37.700000000000003</v>
      </c>
      <c r="U125" s="117">
        <v>48.7</v>
      </c>
      <c r="V125" s="117">
        <v>20.100000000000001</v>
      </c>
      <c r="W125" s="117">
        <v>20.5</v>
      </c>
      <c r="X125" s="117">
        <v>-2.1</v>
      </c>
      <c r="Y125" s="117">
        <v>-15.2</v>
      </c>
      <c r="Z125" s="117">
        <v>-21.2</v>
      </c>
      <c r="AA125" s="117">
        <v>-18.5</v>
      </c>
      <c r="AB125" s="117">
        <v>-11</v>
      </c>
      <c r="AC125" s="117">
        <v>-11</v>
      </c>
      <c r="AD125" s="117">
        <v>-11</v>
      </c>
      <c r="AE125" s="117">
        <v>22</v>
      </c>
      <c r="AF125" s="117">
        <v>37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79.099999999999994</v>
      </c>
      <c r="C126" s="117">
        <v>83.1</v>
      </c>
      <c r="D126" s="117">
        <v>90.4</v>
      </c>
      <c r="E126" s="117">
        <v>86.6</v>
      </c>
      <c r="F126" s="117">
        <v>92.5</v>
      </c>
      <c r="G126" s="117">
        <v>85.2</v>
      </c>
      <c r="H126" s="117">
        <v>91.6</v>
      </c>
      <c r="I126" s="117">
        <v>64.8</v>
      </c>
      <c r="J126" s="117">
        <v>94.5</v>
      </c>
      <c r="K126" s="117">
        <v>57.2</v>
      </c>
      <c r="L126" s="117">
        <v>70.5</v>
      </c>
      <c r="M126" s="117">
        <v>87.4</v>
      </c>
      <c r="N126" s="117">
        <v>67</v>
      </c>
      <c r="O126" s="117">
        <v>67</v>
      </c>
      <c r="P126" s="117">
        <v>87</v>
      </c>
      <c r="Q126" s="117">
        <v>86.5</v>
      </c>
      <c r="R126" s="117">
        <v>86</v>
      </c>
      <c r="S126" s="117">
        <v>91.2</v>
      </c>
      <c r="T126" s="117">
        <v>93.3</v>
      </c>
      <c r="U126" s="117">
        <v>100.5</v>
      </c>
      <c r="V126" s="117">
        <v>93.3</v>
      </c>
      <c r="W126" s="117">
        <v>95</v>
      </c>
      <c r="X126" s="117">
        <v>90.5</v>
      </c>
      <c r="Y126" s="117">
        <v>93.4</v>
      </c>
      <c r="Z126" s="117">
        <v>91.5</v>
      </c>
      <c r="AA126" s="117">
        <v>81.900000000000006</v>
      </c>
      <c r="AB126" s="117">
        <v>81</v>
      </c>
      <c r="AC126" s="117">
        <v>81</v>
      </c>
      <c r="AD126" s="117">
        <v>81</v>
      </c>
      <c r="AE126" s="117">
        <v>75</v>
      </c>
      <c r="AF126" s="117">
        <v>73</v>
      </c>
      <c r="AG126" s="114"/>
      <c r="AH126" s="47">
        <f>MAX(B126:AF126)</f>
        <v>100.5</v>
      </c>
      <c r="AI126" s="48">
        <f>MIN(B126:AF126)</f>
        <v>57.2</v>
      </c>
    </row>
    <row r="127" spans="1:35" x14ac:dyDescent="0.25">
      <c r="A127" s="172" t="s">
        <v>587</v>
      </c>
      <c r="B127" s="117">
        <v>32.1</v>
      </c>
      <c r="C127" s="117">
        <v>36</v>
      </c>
      <c r="D127" s="117">
        <v>43.5</v>
      </c>
      <c r="E127" s="117">
        <v>45.9</v>
      </c>
      <c r="F127" s="117">
        <v>44.8</v>
      </c>
      <c r="G127" s="117">
        <v>36.1</v>
      </c>
      <c r="H127" s="117">
        <v>37.299999999999997</v>
      </c>
      <c r="I127" s="117">
        <v>-1.1000000000000001</v>
      </c>
      <c r="J127" s="117">
        <v>-6.52</v>
      </c>
      <c r="K127" s="117">
        <v>-10.5</v>
      </c>
      <c r="L127" s="117">
        <v>-5.0999999999999996</v>
      </c>
      <c r="M127" s="117">
        <v>-3</v>
      </c>
      <c r="N127" s="117">
        <v>-6.5</v>
      </c>
      <c r="O127" s="117">
        <v>-8.1</v>
      </c>
      <c r="P127" s="117">
        <v>-1.6</v>
      </c>
      <c r="Q127" s="117">
        <v>3.2</v>
      </c>
      <c r="R127" s="117">
        <v>2.4</v>
      </c>
      <c r="S127" s="117">
        <v>2.9</v>
      </c>
      <c r="T127" s="117">
        <v>4.2</v>
      </c>
      <c r="U127" s="117">
        <v>10.9</v>
      </c>
      <c r="V127" s="117">
        <v>7.1</v>
      </c>
      <c r="W127" s="117">
        <v>3.7</v>
      </c>
      <c r="X127" s="117">
        <v>-5.2</v>
      </c>
      <c r="Y127" s="117">
        <v>-10.9</v>
      </c>
      <c r="Z127" s="117">
        <v>-10.8</v>
      </c>
      <c r="AA127" s="117">
        <v>-10.4</v>
      </c>
      <c r="AB127" s="117">
        <v>-7</v>
      </c>
      <c r="AC127" s="117">
        <v>-7</v>
      </c>
      <c r="AD127" s="117">
        <v>-7</v>
      </c>
      <c r="AE127" s="117">
        <v>6</v>
      </c>
      <c r="AF127" s="117">
        <v>7.5</v>
      </c>
      <c r="AG127" s="114"/>
      <c r="AH127" s="47">
        <f>MAX(B127:AF127)</f>
        <v>45.9</v>
      </c>
      <c r="AI127" s="48">
        <f>MIN(B127:AF127)</f>
        <v>-10.9</v>
      </c>
    </row>
    <row r="128" spans="1:35" x14ac:dyDescent="0.25">
      <c r="A128" s="173" t="s">
        <v>123</v>
      </c>
      <c r="B128" s="106">
        <v>-9.8000000000000007</v>
      </c>
      <c r="C128" s="106">
        <v>-7.9</v>
      </c>
      <c r="D128" s="106">
        <v>-6.5</v>
      </c>
      <c r="E128" s="106">
        <v>-9.5</v>
      </c>
      <c r="F128" s="106">
        <v>-8.6</v>
      </c>
      <c r="G128" s="106">
        <v>-17.2</v>
      </c>
      <c r="H128" s="106">
        <v>-18</v>
      </c>
      <c r="I128" s="106">
        <v>-27.6</v>
      </c>
      <c r="J128" s="106">
        <v>-34.9</v>
      </c>
      <c r="K128" s="106">
        <v>-41.7</v>
      </c>
      <c r="L128" s="106">
        <v>-44</v>
      </c>
      <c r="M128" s="106">
        <v>-37.299999999999997</v>
      </c>
      <c r="N128" s="106">
        <v>-38</v>
      </c>
      <c r="O128" s="106">
        <v>-31</v>
      </c>
      <c r="P128" s="106">
        <v>-26</v>
      </c>
      <c r="Q128" s="106">
        <v>-17.8</v>
      </c>
      <c r="R128" s="106">
        <v>-25</v>
      </c>
      <c r="S128" s="106">
        <v>-26.7</v>
      </c>
      <c r="T128" s="106">
        <v>-27.8</v>
      </c>
      <c r="U128" s="106">
        <v>-29.7</v>
      </c>
      <c r="V128" s="106">
        <v>-38.4</v>
      </c>
      <c r="W128" s="106">
        <v>-46.1</v>
      </c>
      <c r="X128" s="106">
        <v>-57</v>
      </c>
      <c r="Y128" s="106">
        <v>-55.4</v>
      </c>
      <c r="Z128" s="106">
        <v>-49.5</v>
      </c>
      <c r="AA128" s="106">
        <v>-42.4</v>
      </c>
      <c r="AB128" s="106">
        <v>-35</v>
      </c>
      <c r="AC128" s="106">
        <v>-35</v>
      </c>
      <c r="AD128" s="106">
        <v>-35</v>
      </c>
      <c r="AE128" s="106">
        <v>-16</v>
      </c>
      <c r="AF128" s="106">
        <v>-11.5</v>
      </c>
      <c r="AG128" s="114"/>
      <c r="AH128" s="47">
        <f>MAX(B128:AF128)</f>
        <v>-6.5</v>
      </c>
      <c r="AI128" s="48">
        <f>MIN(B128:AF128)</f>
        <v>-57</v>
      </c>
    </row>
    <row r="129" spans="1:37" x14ac:dyDescent="0.25">
      <c r="A129" s="173" t="s">
        <v>260</v>
      </c>
      <c r="B129" s="106">
        <v>-29</v>
      </c>
      <c r="C129" s="106">
        <v>-22.7</v>
      </c>
      <c r="D129" s="106">
        <v>-29.9</v>
      </c>
      <c r="E129" s="106">
        <v>-32.1</v>
      </c>
      <c r="F129" s="106">
        <v>-31.2</v>
      </c>
      <c r="G129" s="106">
        <v>-26.7</v>
      </c>
      <c r="H129" s="106">
        <v>-28</v>
      </c>
      <c r="I129" s="106">
        <v>-17.7</v>
      </c>
      <c r="J129" s="106">
        <v>0</v>
      </c>
      <c r="K129" s="106">
        <v>-11</v>
      </c>
      <c r="L129" s="106">
        <v>-22.6</v>
      </c>
      <c r="M129" s="106">
        <v>-33.299999999999997</v>
      </c>
      <c r="N129" s="106">
        <v>-16</v>
      </c>
      <c r="O129" s="106">
        <v>-18</v>
      </c>
      <c r="P129" s="106">
        <v>29</v>
      </c>
      <c r="Q129" s="106">
        <v>26.8</v>
      </c>
      <c r="R129" s="106">
        <v>26</v>
      </c>
      <c r="S129" s="106">
        <v>26</v>
      </c>
      <c r="T129" s="106">
        <v>26.2</v>
      </c>
      <c r="U129" s="106">
        <v>25.9</v>
      </c>
      <c r="V129" s="106">
        <v>-44</v>
      </c>
      <c r="W129" s="106">
        <v>-47.5</v>
      </c>
      <c r="X129" s="106">
        <v>-39.700000000000003</v>
      </c>
      <c r="Y129" s="106">
        <v>-41.1</v>
      </c>
      <c r="Z129" s="106">
        <v>-39.1</v>
      </c>
      <c r="AA129" s="106">
        <v>-36</v>
      </c>
      <c r="AB129" s="106">
        <v>-37</v>
      </c>
      <c r="AC129" s="106">
        <v>-37</v>
      </c>
      <c r="AD129" s="106">
        <v>-37</v>
      </c>
      <c r="AE129" s="106">
        <v>18</v>
      </c>
      <c r="AF129" s="106">
        <v>-13.5</v>
      </c>
      <c r="AG129" s="114"/>
      <c r="AH129" s="47">
        <f>MAX(B129:AF129)</f>
        <v>29</v>
      </c>
      <c r="AI129" s="48">
        <f>MIN(B129:AF129)</f>
        <v>-47.5</v>
      </c>
    </row>
    <row r="130" spans="1:37" ht="15.75" thickBot="1" x14ac:dyDescent="0.3">
      <c r="A130" s="173" t="s">
        <v>257</v>
      </c>
      <c r="B130" s="106">
        <v>95.8</v>
      </c>
      <c r="C130" s="106">
        <v>95.4</v>
      </c>
      <c r="D130" s="106">
        <v>92.1</v>
      </c>
      <c r="E130" s="106">
        <v>89.5</v>
      </c>
      <c r="F130" s="106">
        <v>91</v>
      </c>
      <c r="G130" s="106">
        <v>96.7</v>
      </c>
      <c r="H130" s="106">
        <v>93.1</v>
      </c>
      <c r="I130" s="106">
        <v>97.6</v>
      </c>
      <c r="J130" s="106">
        <v>106.5</v>
      </c>
      <c r="K130" s="106">
        <v>96.3</v>
      </c>
      <c r="L130" s="106">
        <v>96.3</v>
      </c>
      <c r="M130" s="106">
        <v>96.7</v>
      </c>
      <c r="N130" s="106">
        <v>95</v>
      </c>
      <c r="O130" s="106">
        <v>98</v>
      </c>
      <c r="P130" s="106">
        <v>112</v>
      </c>
      <c r="Q130" s="106">
        <v>107.7</v>
      </c>
      <c r="R130" s="106">
        <v>114</v>
      </c>
      <c r="S130" s="106">
        <v>119.1</v>
      </c>
      <c r="T130" s="106">
        <v>127.4</v>
      </c>
      <c r="U130" s="106">
        <v>116.4</v>
      </c>
      <c r="V130" s="106">
        <v>94.1</v>
      </c>
      <c r="W130" s="106">
        <v>100.2</v>
      </c>
      <c r="X130" s="106">
        <v>116.4</v>
      </c>
      <c r="Y130" s="106">
        <v>118.5</v>
      </c>
      <c r="Z130" s="106">
        <v>111.8</v>
      </c>
      <c r="AA130" s="106">
        <v>103</v>
      </c>
      <c r="AB130" s="106">
        <v>95</v>
      </c>
      <c r="AC130" s="106">
        <v>95</v>
      </c>
      <c r="AD130" s="106">
        <v>95</v>
      </c>
      <c r="AE130" s="106">
        <v>97.5</v>
      </c>
      <c r="AF130" s="106">
        <v>99</v>
      </c>
      <c r="AG130" s="114"/>
      <c r="AH130" s="47">
        <f>MAX(B130:AF130)</f>
        <v>127.4</v>
      </c>
      <c r="AI130" s="48">
        <f>MIN(B130:AF130)</f>
        <v>89.5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1983.79</v>
      </c>
      <c r="C132" s="147">
        <v>1984</v>
      </c>
      <c r="D132" s="147">
        <v>1984.28</v>
      </c>
      <c r="E132" s="147">
        <v>1984.49</v>
      </c>
      <c r="F132" s="147">
        <v>1984.7</v>
      </c>
      <c r="G132" s="147">
        <v>1984.92</v>
      </c>
      <c r="H132" s="147"/>
      <c r="I132" s="147">
        <v>1985.14</v>
      </c>
      <c r="J132" s="147"/>
      <c r="K132" s="147">
        <v>1985.12</v>
      </c>
      <c r="L132" s="147"/>
      <c r="M132" s="147">
        <v>1984.42</v>
      </c>
      <c r="N132" s="147">
        <v>1983.3</v>
      </c>
      <c r="O132" s="147">
        <v>1982.86</v>
      </c>
      <c r="P132" s="147">
        <v>1983.1</v>
      </c>
      <c r="Q132" s="147">
        <v>1983.2</v>
      </c>
      <c r="R132" s="147">
        <v>1983.2</v>
      </c>
      <c r="S132" s="147">
        <v>1983.4</v>
      </c>
      <c r="T132" s="147">
        <v>1983.63</v>
      </c>
      <c r="U132" s="147">
        <v>1983.75</v>
      </c>
      <c r="V132" s="147">
        <v>1983.62</v>
      </c>
      <c r="W132" s="147"/>
      <c r="X132" s="147">
        <v>1983.6</v>
      </c>
      <c r="Y132" s="147"/>
      <c r="Z132" s="147">
        <v>1983.45</v>
      </c>
      <c r="AA132" s="147"/>
      <c r="AB132" s="147">
        <v>1983.3</v>
      </c>
      <c r="AC132" s="147"/>
      <c r="AD132" s="147">
        <v>1983.5</v>
      </c>
      <c r="AE132" s="147">
        <v>1983.65</v>
      </c>
      <c r="AF132" s="148">
        <v>1983.9</v>
      </c>
      <c r="AG132" s="149"/>
      <c r="AH132" s="47"/>
      <c r="AI132" s="48"/>
    </row>
    <row r="133" spans="1:37" x14ac:dyDescent="0.25">
      <c r="A133" s="185" t="s">
        <v>238</v>
      </c>
      <c r="B133" s="150">
        <v>520.33000000000004</v>
      </c>
      <c r="C133" s="150">
        <v>520.67999999999995</v>
      </c>
      <c r="D133" s="150">
        <v>521</v>
      </c>
      <c r="E133" s="150">
        <v>521.32000000000005</v>
      </c>
      <c r="F133" s="150">
        <v>521.65</v>
      </c>
      <c r="G133" s="150">
        <v>521.95000000000005</v>
      </c>
      <c r="H133" s="150"/>
      <c r="I133" s="150">
        <v>521.98</v>
      </c>
      <c r="J133" s="150"/>
      <c r="K133" s="150">
        <v>521.64</v>
      </c>
      <c r="L133" s="150"/>
      <c r="M133" s="150">
        <v>521.15</v>
      </c>
      <c r="N133" s="150">
        <v>520.88</v>
      </c>
      <c r="O133" s="150">
        <v>520.64</v>
      </c>
      <c r="P133" s="150">
        <v>520.58000000000004</v>
      </c>
      <c r="Q133" s="150">
        <v>520</v>
      </c>
      <c r="R133" s="150">
        <v>520.44000000000005</v>
      </c>
      <c r="S133" s="150">
        <v>520.5</v>
      </c>
      <c r="T133" s="150">
        <v>520.58000000000004</v>
      </c>
      <c r="U133" s="150">
        <v>520.66999999999996</v>
      </c>
      <c r="V133" s="150">
        <v>520.76</v>
      </c>
      <c r="W133" s="150"/>
      <c r="X133" s="150">
        <v>520.88</v>
      </c>
      <c r="Y133" s="150"/>
      <c r="Z133" s="150">
        <v>520.64</v>
      </c>
      <c r="AA133" s="150"/>
      <c r="AB133" s="150">
        <v>520.35</v>
      </c>
      <c r="AC133" s="150"/>
      <c r="AD133" s="150"/>
      <c r="AE133" s="150">
        <v>520.34</v>
      </c>
      <c r="AF133" s="151">
        <v>520.67999999999995</v>
      </c>
      <c r="AG133" s="149"/>
      <c r="AH133" s="47"/>
      <c r="AI133" s="48"/>
    </row>
    <row r="134" spans="1:37" x14ac:dyDescent="0.25">
      <c r="A134" s="185" t="s">
        <v>239</v>
      </c>
      <c r="B134" s="150">
        <v>622.5</v>
      </c>
      <c r="C134" s="150">
        <v>622.45000000000005</v>
      </c>
      <c r="D134" s="150">
        <v>622.35</v>
      </c>
      <c r="E134" s="150"/>
      <c r="F134" s="150">
        <v>622.12</v>
      </c>
      <c r="G134" s="150">
        <v>621.99</v>
      </c>
      <c r="H134" s="150"/>
      <c r="I134" s="150">
        <v>621.74</v>
      </c>
      <c r="J134" s="150"/>
      <c r="K134" s="150">
        <v>621.74</v>
      </c>
      <c r="L134" s="150"/>
      <c r="M134" s="150">
        <v>621.62</v>
      </c>
      <c r="N134" s="150">
        <v>621.55999999999995</v>
      </c>
      <c r="O134" s="150">
        <v>621.84</v>
      </c>
      <c r="P134" s="150">
        <v>621.89</v>
      </c>
      <c r="Q134" s="150">
        <v>621.95000000000005</v>
      </c>
      <c r="R134" s="150">
        <v>621.89</v>
      </c>
      <c r="S134" s="150">
        <v>621.96</v>
      </c>
      <c r="T134" s="150">
        <v>621.9</v>
      </c>
      <c r="U134" s="150">
        <v>621.85</v>
      </c>
      <c r="V134" s="150">
        <v>621.66</v>
      </c>
      <c r="W134" s="150"/>
      <c r="X134" s="150">
        <v>621.61</v>
      </c>
      <c r="Y134" s="150"/>
      <c r="Z134" s="150">
        <v>621.47</v>
      </c>
      <c r="AA134" s="150"/>
      <c r="AB134" s="150">
        <v>621.85</v>
      </c>
      <c r="AC134" s="150"/>
      <c r="AD134" s="150">
        <v>622.4</v>
      </c>
      <c r="AE134" s="150"/>
      <c r="AF134" s="151"/>
      <c r="AG134" s="149"/>
      <c r="AH134" s="47"/>
      <c r="AI134" s="48"/>
    </row>
    <row r="135" spans="1:37" x14ac:dyDescent="0.25">
      <c r="A135" s="185" t="s">
        <v>240</v>
      </c>
      <c r="B135" s="150">
        <v>335.15</v>
      </c>
      <c r="C135" s="150">
        <v>335.48</v>
      </c>
      <c r="D135" s="150">
        <v>335.83</v>
      </c>
      <c r="E135" s="150">
        <v>336.1</v>
      </c>
      <c r="F135" s="150">
        <v>336.35</v>
      </c>
      <c r="G135" s="150">
        <v>336.55</v>
      </c>
      <c r="H135" s="150"/>
      <c r="I135" s="150">
        <v>336.58</v>
      </c>
      <c r="J135" s="150"/>
      <c r="K135" s="150">
        <v>336.34</v>
      </c>
      <c r="L135" s="150"/>
      <c r="M135" s="150">
        <v>336.01</v>
      </c>
      <c r="N135" s="150">
        <v>335.86</v>
      </c>
      <c r="O135" s="150">
        <v>335.7</v>
      </c>
      <c r="P135" s="150"/>
      <c r="Q135" s="150">
        <v>335.55</v>
      </c>
      <c r="R135" s="150">
        <v>335.51</v>
      </c>
      <c r="S135" s="150">
        <v>335.49</v>
      </c>
      <c r="T135" s="150">
        <v>335.46</v>
      </c>
      <c r="U135" s="150">
        <v>335.42</v>
      </c>
      <c r="V135" s="150">
        <v>335.32</v>
      </c>
      <c r="W135" s="150"/>
      <c r="X135" s="150">
        <v>335.54</v>
      </c>
      <c r="Y135" s="150"/>
      <c r="Z135" s="150">
        <v>335.51</v>
      </c>
      <c r="AA135" s="150"/>
      <c r="AB135" s="150">
        <v>335.46</v>
      </c>
      <c r="AC135" s="150"/>
      <c r="AD135" s="150">
        <v>335.43</v>
      </c>
      <c r="AE135" s="150">
        <v>335.41</v>
      </c>
      <c r="AF135" s="151"/>
      <c r="AG135" s="149"/>
      <c r="AH135" s="47"/>
      <c r="AI135" s="48"/>
    </row>
    <row r="136" spans="1:37" x14ac:dyDescent="0.25">
      <c r="A136" s="185" t="s">
        <v>384</v>
      </c>
      <c r="B136" s="150">
        <v>885.3</v>
      </c>
      <c r="C136" s="150">
        <v>885.4</v>
      </c>
      <c r="D136" s="150">
        <v>886</v>
      </c>
      <c r="E136" s="150">
        <v>886.6</v>
      </c>
      <c r="F136" s="150">
        <v>887.1</v>
      </c>
      <c r="G136" s="150">
        <v>887.4</v>
      </c>
      <c r="H136" s="150"/>
      <c r="I136" s="150"/>
      <c r="J136" s="150"/>
      <c r="K136" s="150">
        <v>887.4</v>
      </c>
      <c r="L136" s="150"/>
      <c r="M136" s="150"/>
      <c r="N136" s="150">
        <v>886.1</v>
      </c>
      <c r="O136" s="150">
        <v>886.1</v>
      </c>
      <c r="P136" s="150">
        <v>885.9</v>
      </c>
      <c r="Q136" s="150">
        <v>885.8</v>
      </c>
      <c r="R136" s="150">
        <v>885</v>
      </c>
      <c r="S136" s="150">
        <v>883.9</v>
      </c>
      <c r="T136" s="150">
        <v>883</v>
      </c>
      <c r="U136" s="150">
        <v>883.7</v>
      </c>
      <c r="V136" s="150">
        <v>884.4</v>
      </c>
      <c r="W136" s="150"/>
      <c r="X136" s="150">
        <v>885</v>
      </c>
      <c r="Y136" s="150"/>
      <c r="Z136" s="150">
        <v>884.7</v>
      </c>
      <c r="AA136" s="150"/>
      <c r="AB136" s="150">
        <v>883.7</v>
      </c>
      <c r="AC136" s="150"/>
      <c r="AD136" s="150"/>
      <c r="AE136" s="150"/>
      <c r="AF136" s="151">
        <v>883.2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1519.58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>
        <v>1519.61</v>
      </c>
      <c r="T137" s="152"/>
      <c r="U137" s="152"/>
      <c r="V137" s="152"/>
      <c r="W137" s="152"/>
      <c r="X137" s="152"/>
      <c r="Y137" s="152"/>
      <c r="Z137" s="152">
        <v>1519.61</v>
      </c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13">SUM(B139:B243)</f>
        <v>0</v>
      </c>
      <c r="C244" s="134">
        <f t="shared" si="113"/>
        <v>0</v>
      </c>
      <c r="D244" s="134">
        <f t="shared" si="113"/>
        <v>0</v>
      </c>
      <c r="E244" s="134">
        <f t="shared" si="113"/>
        <v>0</v>
      </c>
      <c r="F244" s="134">
        <f t="shared" si="113"/>
        <v>0</v>
      </c>
      <c r="G244" s="134">
        <f t="shared" si="113"/>
        <v>0</v>
      </c>
      <c r="H244" s="134">
        <f t="shared" si="113"/>
        <v>0</v>
      </c>
      <c r="I244" s="134">
        <f t="shared" si="113"/>
        <v>0</v>
      </c>
      <c r="J244" s="134">
        <f t="shared" si="113"/>
        <v>0</v>
      </c>
      <c r="K244" s="134">
        <f t="shared" si="113"/>
        <v>0</v>
      </c>
      <c r="L244" s="134">
        <f t="shared" si="113"/>
        <v>0</v>
      </c>
      <c r="M244" s="134">
        <f t="shared" si="113"/>
        <v>0</v>
      </c>
      <c r="N244" s="134">
        <f t="shared" si="113"/>
        <v>0</v>
      </c>
      <c r="O244" s="134">
        <f t="shared" si="113"/>
        <v>0</v>
      </c>
      <c r="P244" s="134">
        <f t="shared" si="113"/>
        <v>0</v>
      </c>
      <c r="Q244" s="134">
        <f t="shared" si="113"/>
        <v>0</v>
      </c>
      <c r="R244" s="134">
        <f t="shared" si="113"/>
        <v>0</v>
      </c>
      <c r="S244" s="134">
        <f t="shared" si="113"/>
        <v>0</v>
      </c>
      <c r="T244" s="134">
        <f t="shared" si="113"/>
        <v>0</v>
      </c>
      <c r="U244" s="134">
        <f t="shared" si="113"/>
        <v>0</v>
      </c>
      <c r="V244" s="134">
        <f t="shared" si="113"/>
        <v>0</v>
      </c>
      <c r="W244" s="134">
        <f t="shared" si="113"/>
        <v>0</v>
      </c>
      <c r="X244" s="134">
        <f t="shared" si="113"/>
        <v>0</v>
      </c>
      <c r="Y244" s="134">
        <f t="shared" si="113"/>
        <v>0</v>
      </c>
      <c r="Z244" s="134">
        <f t="shared" si="113"/>
        <v>0</v>
      </c>
      <c r="AA244" s="134">
        <f t="shared" si="113"/>
        <v>0</v>
      </c>
      <c r="AB244" s="134">
        <f t="shared" si="113"/>
        <v>0</v>
      </c>
      <c r="AC244" s="134">
        <f t="shared" si="113"/>
        <v>0</v>
      </c>
      <c r="AD244" s="134">
        <f t="shared" si="113"/>
        <v>0</v>
      </c>
      <c r="AE244" s="134">
        <f t="shared" si="113"/>
        <v>0</v>
      </c>
      <c r="AF244" s="135">
        <f t="shared" si="113"/>
        <v>0</v>
      </c>
      <c r="AG244" s="136">
        <f t="shared" si="11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14">AF246</f>
        <v>0.3</v>
      </c>
      <c r="C246" s="138">
        <v>0.3</v>
      </c>
      <c r="D246" s="138">
        <f t="shared" ref="D246:S251" si="115">C246</f>
        <v>0.3</v>
      </c>
      <c r="E246" s="138">
        <f t="shared" si="115"/>
        <v>0.3</v>
      </c>
      <c r="F246" s="138">
        <f t="shared" si="115"/>
        <v>0.3</v>
      </c>
      <c r="G246" s="138">
        <f t="shared" si="115"/>
        <v>0.3</v>
      </c>
      <c r="H246" s="138">
        <f t="shared" si="115"/>
        <v>0.3</v>
      </c>
      <c r="I246" s="138">
        <f t="shared" si="115"/>
        <v>0.3</v>
      </c>
      <c r="J246" s="138">
        <f t="shared" si="115"/>
        <v>0.3</v>
      </c>
      <c r="K246" s="138">
        <f t="shared" si="115"/>
        <v>0.3</v>
      </c>
      <c r="L246" s="138">
        <f t="shared" si="115"/>
        <v>0.3</v>
      </c>
      <c r="M246" s="138">
        <f t="shared" si="115"/>
        <v>0.3</v>
      </c>
      <c r="N246" s="138">
        <f t="shared" si="115"/>
        <v>0.3</v>
      </c>
      <c r="O246" s="138">
        <f t="shared" si="115"/>
        <v>0.3</v>
      </c>
      <c r="P246" s="138">
        <f t="shared" si="115"/>
        <v>0.3</v>
      </c>
      <c r="Q246" s="138">
        <f t="shared" si="115"/>
        <v>0.3</v>
      </c>
      <c r="R246" s="138">
        <f t="shared" si="115"/>
        <v>0.3</v>
      </c>
      <c r="S246" s="138">
        <f t="shared" si="115"/>
        <v>0.3</v>
      </c>
      <c r="T246" s="138">
        <f t="shared" ref="T246:AF251" si="116">S246</f>
        <v>0.3</v>
      </c>
      <c r="U246" s="138">
        <f t="shared" si="116"/>
        <v>0.3</v>
      </c>
      <c r="V246" s="138">
        <f t="shared" si="116"/>
        <v>0.3</v>
      </c>
      <c r="W246" s="138">
        <f t="shared" si="116"/>
        <v>0.3</v>
      </c>
      <c r="X246" s="138">
        <f t="shared" si="116"/>
        <v>0.3</v>
      </c>
      <c r="Y246" s="138">
        <f t="shared" si="116"/>
        <v>0.3</v>
      </c>
      <c r="Z246" s="138">
        <f t="shared" si="116"/>
        <v>0.3</v>
      </c>
      <c r="AA246" s="138">
        <f t="shared" si="116"/>
        <v>0.3</v>
      </c>
      <c r="AB246" s="138">
        <f t="shared" si="116"/>
        <v>0.3</v>
      </c>
      <c r="AC246" s="138">
        <f t="shared" si="116"/>
        <v>0.3</v>
      </c>
      <c r="AD246" s="138">
        <f t="shared" si="116"/>
        <v>0.3</v>
      </c>
      <c r="AE246" s="138">
        <f t="shared" si="116"/>
        <v>0.3</v>
      </c>
      <c r="AF246" s="138">
        <f t="shared" si="11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14"/>
        <v>0.4</v>
      </c>
      <c r="C247" s="126">
        <v>0.4</v>
      </c>
      <c r="D247" s="126">
        <f t="shared" si="115"/>
        <v>0.4</v>
      </c>
      <c r="E247" s="126">
        <f t="shared" si="115"/>
        <v>0.4</v>
      </c>
      <c r="F247" s="126">
        <f t="shared" si="115"/>
        <v>0.4</v>
      </c>
      <c r="G247" s="126">
        <f t="shared" si="115"/>
        <v>0.4</v>
      </c>
      <c r="H247" s="126">
        <f t="shared" si="115"/>
        <v>0.4</v>
      </c>
      <c r="I247" s="126">
        <f t="shared" si="115"/>
        <v>0.4</v>
      </c>
      <c r="J247" s="126">
        <f t="shared" si="115"/>
        <v>0.4</v>
      </c>
      <c r="K247" s="126">
        <f t="shared" si="115"/>
        <v>0.4</v>
      </c>
      <c r="L247" s="126">
        <f t="shared" si="115"/>
        <v>0.4</v>
      </c>
      <c r="M247" s="126">
        <f t="shared" si="115"/>
        <v>0.4</v>
      </c>
      <c r="N247" s="126">
        <f t="shared" si="115"/>
        <v>0.4</v>
      </c>
      <c r="O247" s="126">
        <f t="shared" si="115"/>
        <v>0.4</v>
      </c>
      <c r="P247" s="126">
        <f t="shared" si="115"/>
        <v>0.4</v>
      </c>
      <c r="Q247" s="126">
        <f t="shared" si="115"/>
        <v>0.4</v>
      </c>
      <c r="R247" s="126">
        <f t="shared" si="115"/>
        <v>0.4</v>
      </c>
      <c r="S247" s="126">
        <f t="shared" si="115"/>
        <v>0.4</v>
      </c>
      <c r="T247" s="126">
        <f t="shared" si="116"/>
        <v>0.4</v>
      </c>
      <c r="U247" s="126">
        <f t="shared" si="116"/>
        <v>0.4</v>
      </c>
      <c r="V247" s="126">
        <f t="shared" si="116"/>
        <v>0.4</v>
      </c>
      <c r="W247" s="126">
        <f t="shared" si="116"/>
        <v>0.4</v>
      </c>
      <c r="X247" s="126">
        <f t="shared" si="116"/>
        <v>0.4</v>
      </c>
      <c r="Y247" s="126">
        <f t="shared" si="116"/>
        <v>0.4</v>
      </c>
      <c r="Z247" s="126">
        <f t="shared" si="116"/>
        <v>0.4</v>
      </c>
      <c r="AA247" s="126">
        <f t="shared" si="116"/>
        <v>0.4</v>
      </c>
      <c r="AB247" s="126">
        <f t="shared" si="116"/>
        <v>0.4</v>
      </c>
      <c r="AC247" s="126">
        <f t="shared" si="116"/>
        <v>0.4</v>
      </c>
      <c r="AD247" s="126">
        <f t="shared" si="116"/>
        <v>0.4</v>
      </c>
      <c r="AE247" s="126">
        <f t="shared" si="116"/>
        <v>0.4</v>
      </c>
      <c r="AF247" s="126">
        <f t="shared" si="11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14"/>
        <v>1.5</v>
      </c>
      <c r="C248" s="126">
        <v>1.5</v>
      </c>
      <c r="D248" s="126">
        <f t="shared" si="115"/>
        <v>1.5</v>
      </c>
      <c r="E248" s="126">
        <f t="shared" si="115"/>
        <v>1.5</v>
      </c>
      <c r="F248" s="126">
        <f t="shared" si="115"/>
        <v>1.5</v>
      </c>
      <c r="G248" s="126">
        <f t="shared" si="115"/>
        <v>1.5</v>
      </c>
      <c r="H248" s="126">
        <f t="shared" si="115"/>
        <v>1.5</v>
      </c>
      <c r="I248" s="126">
        <f t="shared" si="115"/>
        <v>1.5</v>
      </c>
      <c r="J248" s="126">
        <f t="shared" si="115"/>
        <v>1.5</v>
      </c>
      <c r="K248" s="126">
        <f t="shared" si="115"/>
        <v>1.5</v>
      </c>
      <c r="L248" s="126">
        <f t="shared" si="115"/>
        <v>1.5</v>
      </c>
      <c r="M248" s="126">
        <f t="shared" si="115"/>
        <v>1.5</v>
      </c>
      <c r="N248" s="126">
        <f t="shared" si="115"/>
        <v>1.5</v>
      </c>
      <c r="O248" s="126">
        <f t="shared" si="115"/>
        <v>1.5</v>
      </c>
      <c r="P248" s="126">
        <f t="shared" si="115"/>
        <v>1.5</v>
      </c>
      <c r="Q248" s="126">
        <f t="shared" si="115"/>
        <v>1.5</v>
      </c>
      <c r="R248" s="126">
        <f t="shared" si="115"/>
        <v>1.5</v>
      </c>
      <c r="S248" s="126">
        <f t="shared" si="115"/>
        <v>1.5</v>
      </c>
      <c r="T248" s="126">
        <f t="shared" si="116"/>
        <v>1.5</v>
      </c>
      <c r="U248" s="126">
        <f t="shared" si="116"/>
        <v>1.5</v>
      </c>
      <c r="V248" s="126">
        <f t="shared" si="116"/>
        <v>1.5</v>
      </c>
      <c r="W248" s="126">
        <f t="shared" si="116"/>
        <v>1.5</v>
      </c>
      <c r="X248" s="126">
        <f t="shared" si="116"/>
        <v>1.5</v>
      </c>
      <c r="Y248" s="126">
        <f t="shared" si="116"/>
        <v>1.5</v>
      </c>
      <c r="Z248" s="126">
        <f t="shared" si="116"/>
        <v>1.5</v>
      </c>
      <c r="AA248" s="126">
        <f t="shared" si="116"/>
        <v>1.5</v>
      </c>
      <c r="AB248" s="126">
        <f t="shared" si="116"/>
        <v>1.5</v>
      </c>
      <c r="AC248" s="126">
        <f t="shared" si="116"/>
        <v>1.5</v>
      </c>
      <c r="AD248" s="126">
        <f t="shared" si="116"/>
        <v>1.5</v>
      </c>
      <c r="AE248" s="126">
        <f t="shared" si="116"/>
        <v>1.5</v>
      </c>
      <c r="AF248" s="126">
        <f t="shared" si="11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14"/>
        <v>0.3</v>
      </c>
      <c r="C249" s="126">
        <v>0.3</v>
      </c>
      <c r="D249" s="126">
        <f t="shared" si="115"/>
        <v>0.3</v>
      </c>
      <c r="E249" s="126">
        <f t="shared" si="115"/>
        <v>0.3</v>
      </c>
      <c r="F249" s="126">
        <f t="shared" si="115"/>
        <v>0.3</v>
      </c>
      <c r="G249" s="126">
        <f t="shared" si="115"/>
        <v>0.3</v>
      </c>
      <c r="H249" s="126">
        <f t="shared" si="115"/>
        <v>0.3</v>
      </c>
      <c r="I249" s="126">
        <f t="shared" si="115"/>
        <v>0.3</v>
      </c>
      <c r="J249" s="126">
        <f t="shared" si="115"/>
        <v>0.3</v>
      </c>
      <c r="K249" s="126">
        <f t="shared" si="115"/>
        <v>0.3</v>
      </c>
      <c r="L249" s="126">
        <f t="shared" si="115"/>
        <v>0.3</v>
      </c>
      <c r="M249" s="126">
        <f t="shared" si="115"/>
        <v>0.3</v>
      </c>
      <c r="N249" s="126">
        <f t="shared" si="115"/>
        <v>0.3</v>
      </c>
      <c r="O249" s="126">
        <f t="shared" si="115"/>
        <v>0.3</v>
      </c>
      <c r="P249" s="126">
        <f t="shared" si="115"/>
        <v>0.3</v>
      </c>
      <c r="Q249" s="126">
        <f t="shared" si="115"/>
        <v>0.3</v>
      </c>
      <c r="R249" s="126">
        <f t="shared" si="115"/>
        <v>0.3</v>
      </c>
      <c r="S249" s="126">
        <f t="shared" si="115"/>
        <v>0.3</v>
      </c>
      <c r="T249" s="126">
        <f t="shared" si="116"/>
        <v>0.3</v>
      </c>
      <c r="U249" s="126">
        <f t="shared" si="116"/>
        <v>0.3</v>
      </c>
      <c r="V249" s="126">
        <f t="shared" si="116"/>
        <v>0.3</v>
      </c>
      <c r="W249" s="126">
        <f t="shared" si="116"/>
        <v>0.3</v>
      </c>
      <c r="X249" s="126">
        <f t="shared" si="116"/>
        <v>0.3</v>
      </c>
      <c r="Y249" s="126">
        <f t="shared" si="116"/>
        <v>0.3</v>
      </c>
      <c r="Z249" s="126">
        <f t="shared" si="116"/>
        <v>0.3</v>
      </c>
      <c r="AA249" s="126">
        <f t="shared" si="116"/>
        <v>0.3</v>
      </c>
      <c r="AB249" s="126">
        <f t="shared" si="116"/>
        <v>0.3</v>
      </c>
      <c r="AC249" s="126">
        <f t="shared" si="116"/>
        <v>0.3</v>
      </c>
      <c r="AD249" s="126">
        <f t="shared" si="116"/>
        <v>0.3</v>
      </c>
      <c r="AE249" s="126">
        <f t="shared" si="116"/>
        <v>0.3</v>
      </c>
      <c r="AF249" s="126">
        <f t="shared" si="11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14"/>
        <v>0.4</v>
      </c>
      <c r="C250" s="126">
        <v>0.4</v>
      </c>
      <c r="D250" s="126">
        <f t="shared" si="115"/>
        <v>0.4</v>
      </c>
      <c r="E250" s="126">
        <f t="shared" si="115"/>
        <v>0.4</v>
      </c>
      <c r="F250" s="126">
        <f t="shared" si="115"/>
        <v>0.4</v>
      </c>
      <c r="G250" s="126">
        <f t="shared" si="115"/>
        <v>0.4</v>
      </c>
      <c r="H250" s="126">
        <f t="shared" si="115"/>
        <v>0.4</v>
      </c>
      <c r="I250" s="126">
        <f t="shared" si="115"/>
        <v>0.4</v>
      </c>
      <c r="J250" s="126">
        <f t="shared" si="115"/>
        <v>0.4</v>
      </c>
      <c r="K250" s="126">
        <f t="shared" si="115"/>
        <v>0.4</v>
      </c>
      <c r="L250" s="126">
        <f t="shared" si="115"/>
        <v>0.4</v>
      </c>
      <c r="M250" s="126">
        <f t="shared" si="115"/>
        <v>0.4</v>
      </c>
      <c r="N250" s="126">
        <f t="shared" si="115"/>
        <v>0.4</v>
      </c>
      <c r="O250" s="126">
        <f t="shared" si="115"/>
        <v>0.4</v>
      </c>
      <c r="P250" s="126">
        <f t="shared" si="115"/>
        <v>0.4</v>
      </c>
      <c r="Q250" s="126">
        <f t="shared" si="115"/>
        <v>0.4</v>
      </c>
      <c r="R250" s="126">
        <f t="shared" si="115"/>
        <v>0.4</v>
      </c>
      <c r="S250" s="126">
        <f t="shared" si="115"/>
        <v>0.4</v>
      </c>
      <c r="T250" s="126">
        <f t="shared" si="116"/>
        <v>0.4</v>
      </c>
      <c r="U250" s="126">
        <f t="shared" si="116"/>
        <v>0.4</v>
      </c>
      <c r="V250" s="126">
        <f t="shared" si="116"/>
        <v>0.4</v>
      </c>
      <c r="W250" s="126">
        <f t="shared" si="116"/>
        <v>0.4</v>
      </c>
      <c r="X250" s="126">
        <f t="shared" si="116"/>
        <v>0.4</v>
      </c>
      <c r="Y250" s="126">
        <f t="shared" si="116"/>
        <v>0.4</v>
      </c>
      <c r="Z250" s="126">
        <f t="shared" si="116"/>
        <v>0.4</v>
      </c>
      <c r="AA250" s="126">
        <f t="shared" si="116"/>
        <v>0.4</v>
      </c>
      <c r="AB250" s="126">
        <f t="shared" si="116"/>
        <v>0.4</v>
      </c>
      <c r="AC250" s="126">
        <f t="shared" si="116"/>
        <v>0.4</v>
      </c>
      <c r="AD250" s="126">
        <f t="shared" si="116"/>
        <v>0.4</v>
      </c>
      <c r="AE250" s="126">
        <f t="shared" si="116"/>
        <v>0.4</v>
      </c>
      <c r="AF250" s="126">
        <f t="shared" si="11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14"/>
        <v>0.64</v>
      </c>
      <c r="C251" s="130">
        <v>0.64</v>
      </c>
      <c r="D251" s="130">
        <f t="shared" si="115"/>
        <v>0.64</v>
      </c>
      <c r="E251" s="130">
        <f t="shared" si="115"/>
        <v>0.64</v>
      </c>
      <c r="F251" s="130">
        <f t="shared" si="115"/>
        <v>0.64</v>
      </c>
      <c r="G251" s="130">
        <f t="shared" si="115"/>
        <v>0.64</v>
      </c>
      <c r="H251" s="130">
        <f t="shared" si="115"/>
        <v>0.64</v>
      </c>
      <c r="I251" s="130">
        <f t="shared" si="115"/>
        <v>0.64</v>
      </c>
      <c r="J251" s="130">
        <f t="shared" si="115"/>
        <v>0.64</v>
      </c>
      <c r="K251" s="130">
        <f t="shared" si="115"/>
        <v>0.64</v>
      </c>
      <c r="L251" s="130">
        <f t="shared" si="115"/>
        <v>0.64</v>
      </c>
      <c r="M251" s="130">
        <f t="shared" si="115"/>
        <v>0.64</v>
      </c>
      <c r="N251" s="130">
        <f t="shared" si="115"/>
        <v>0.64</v>
      </c>
      <c r="O251" s="130">
        <f t="shared" si="115"/>
        <v>0.64</v>
      </c>
      <c r="P251" s="130">
        <f t="shared" si="115"/>
        <v>0.64</v>
      </c>
      <c r="Q251" s="130">
        <f t="shared" si="115"/>
        <v>0.64</v>
      </c>
      <c r="R251" s="130">
        <f t="shared" si="115"/>
        <v>0.64</v>
      </c>
      <c r="S251" s="130">
        <f t="shared" si="115"/>
        <v>0.64</v>
      </c>
      <c r="T251" s="130">
        <f t="shared" si="116"/>
        <v>0.64</v>
      </c>
      <c r="U251" s="130">
        <f t="shared" si="116"/>
        <v>0.64</v>
      </c>
      <c r="V251" s="130">
        <f t="shared" si="116"/>
        <v>0.64</v>
      </c>
      <c r="W251" s="130">
        <f t="shared" si="116"/>
        <v>0.64</v>
      </c>
      <c r="X251" s="130">
        <f t="shared" si="116"/>
        <v>0.64</v>
      </c>
      <c r="Y251" s="130">
        <f t="shared" si="116"/>
        <v>0.64</v>
      </c>
      <c r="Z251" s="130">
        <f t="shared" si="116"/>
        <v>0.64</v>
      </c>
      <c r="AA251" s="130">
        <f t="shared" si="116"/>
        <v>0.64</v>
      </c>
      <c r="AB251" s="130">
        <f t="shared" si="116"/>
        <v>0.64</v>
      </c>
      <c r="AC251" s="130">
        <f t="shared" si="116"/>
        <v>0.64</v>
      </c>
      <c r="AD251" s="130">
        <f t="shared" si="116"/>
        <v>0.64</v>
      </c>
      <c r="AE251" s="130">
        <f t="shared" si="116"/>
        <v>0.64</v>
      </c>
      <c r="AF251" s="130">
        <f t="shared" si="11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7">SUM(B246:B251)</f>
        <v>3.54</v>
      </c>
      <c r="C252" s="134">
        <f t="shared" si="117"/>
        <v>3.54</v>
      </c>
      <c r="D252" s="134">
        <f t="shared" si="117"/>
        <v>3.54</v>
      </c>
      <c r="E252" s="134">
        <f t="shared" si="117"/>
        <v>3.54</v>
      </c>
      <c r="F252" s="134">
        <f t="shared" si="117"/>
        <v>3.54</v>
      </c>
      <c r="G252" s="134">
        <f t="shared" si="117"/>
        <v>3.54</v>
      </c>
      <c r="H252" s="134">
        <f t="shared" si="117"/>
        <v>3.54</v>
      </c>
      <c r="I252" s="134">
        <f t="shared" si="117"/>
        <v>3.54</v>
      </c>
      <c r="J252" s="134">
        <f t="shared" si="117"/>
        <v>3.54</v>
      </c>
      <c r="K252" s="134">
        <f t="shared" si="117"/>
        <v>3.54</v>
      </c>
      <c r="L252" s="134">
        <f t="shared" si="117"/>
        <v>3.54</v>
      </c>
      <c r="M252" s="134">
        <f t="shared" si="117"/>
        <v>3.54</v>
      </c>
      <c r="N252" s="134">
        <f t="shared" si="117"/>
        <v>3.54</v>
      </c>
      <c r="O252" s="134">
        <f t="shared" si="117"/>
        <v>3.54</v>
      </c>
      <c r="P252" s="134">
        <f t="shared" si="117"/>
        <v>3.54</v>
      </c>
      <c r="Q252" s="134">
        <f t="shared" si="117"/>
        <v>3.54</v>
      </c>
      <c r="R252" s="134">
        <f t="shared" si="117"/>
        <v>3.54</v>
      </c>
      <c r="S252" s="134">
        <f t="shared" si="117"/>
        <v>3.54</v>
      </c>
      <c r="T252" s="134">
        <f t="shared" si="117"/>
        <v>3.54</v>
      </c>
      <c r="U252" s="134">
        <f t="shared" si="117"/>
        <v>3.54</v>
      </c>
      <c r="V252" s="134">
        <f t="shared" si="117"/>
        <v>3.54</v>
      </c>
      <c r="W252" s="134">
        <f t="shared" si="117"/>
        <v>3.54</v>
      </c>
      <c r="X252" s="134">
        <f t="shared" si="117"/>
        <v>3.54</v>
      </c>
      <c r="Y252" s="134">
        <f t="shared" si="117"/>
        <v>3.54</v>
      </c>
      <c r="Z252" s="134">
        <f t="shared" si="117"/>
        <v>3.54</v>
      </c>
      <c r="AA252" s="134">
        <f t="shared" si="117"/>
        <v>3.54</v>
      </c>
      <c r="AB252" s="134">
        <f t="shared" si="117"/>
        <v>3.54</v>
      </c>
      <c r="AC252" s="134">
        <f t="shared" si="117"/>
        <v>3.54</v>
      </c>
      <c r="AD252" s="134">
        <f t="shared" si="117"/>
        <v>3.54</v>
      </c>
      <c r="AE252" s="134">
        <f t="shared" si="117"/>
        <v>3.54</v>
      </c>
      <c r="AF252" s="134">
        <f t="shared" si="117"/>
        <v>3.54</v>
      </c>
      <c r="AG252" s="143">
        <f t="shared" si="11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1682.99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2080/10/18)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084" priority="165">
      <formula>$AH11=0</formula>
    </cfRule>
  </conditionalFormatting>
  <conditionalFormatting sqref="A132:A253">
    <cfRule type="expression" dxfId="2083" priority="166">
      <formula>$AH132=0</formula>
    </cfRule>
  </conditionalFormatting>
  <conditionalFormatting sqref="B8">
    <cfRule type="expression" dxfId="2082" priority="225">
      <formula>AND(C$9&gt;=8/24,C$9&lt;14/24)</formula>
    </cfRule>
    <cfRule type="expression" dxfId="2081" priority="224">
      <formula>AND(C$9&gt;=14/24,C$9&lt;20/24)</formula>
    </cfRule>
    <cfRule type="expression" dxfId="2080" priority="227">
      <formula>C$9&gt;=20/24</formula>
    </cfRule>
    <cfRule type="expression" dxfId="2079" priority="226">
      <formula>C$9&lt;8/24</formula>
    </cfRule>
  </conditionalFormatting>
  <conditionalFormatting sqref="B11:D12 E12:V12">
    <cfRule type="expression" dxfId="2078" priority="35">
      <formula>B$9&lt;8/24</formula>
    </cfRule>
    <cfRule type="expression" dxfId="2077" priority="32">
      <formula>B$9&gt;=20/24</formula>
    </cfRule>
    <cfRule type="expression" dxfId="2076" priority="34">
      <formula>AND(B$9&gt;=8/24,B$9&lt;14/24)</formula>
    </cfRule>
    <cfRule type="expression" dxfId="2075" priority="33">
      <formula>AND(B$9&gt;=14/24,B$9&lt;20/24)</formula>
    </cfRule>
    <cfRule type="expression" dxfId="2074" priority="31">
      <formula>B11&gt;$AG11</formula>
    </cfRule>
  </conditionalFormatting>
  <conditionalFormatting sqref="B57:G57">
    <cfRule type="expression" dxfId="2073" priority="47">
      <formula>B$9&lt;8/24</formula>
    </cfRule>
    <cfRule type="expression" dxfId="2072" priority="36">
      <formula>B$9&gt;=20/24</formula>
    </cfRule>
    <cfRule type="expression" dxfId="2071" priority="37">
      <formula>AND(B$9&gt;=14/24,B$9&lt;20/24)</formula>
    </cfRule>
    <cfRule type="expression" dxfId="2070" priority="38">
      <formula>AND(B$9&gt;=8/24,B$9&lt;14/24)</formula>
    </cfRule>
  </conditionalFormatting>
  <conditionalFormatting sqref="B69:T69 B77:D99 B101:AF117">
    <cfRule type="expression" dxfId="2069" priority="27">
      <formula>B$9&gt;=20/24</formula>
    </cfRule>
    <cfRule type="expression" dxfId="2068" priority="30">
      <formula>B$9&lt;8/24</formula>
    </cfRule>
    <cfRule type="expression" dxfId="2067" priority="28">
      <formula>AND(B$9&gt;=14/24,B$9&lt;20/24)</formula>
    </cfRule>
    <cfRule type="expression" dxfId="2066" priority="29">
      <formula>AND(B$9&gt;=8/24,B$9&lt;14/24)</formula>
    </cfRule>
  </conditionalFormatting>
  <conditionalFormatting sqref="B13:U52 L70:AF73 B70:K74">
    <cfRule type="expression" dxfId="2065" priority="16">
      <formula>B$9&lt;8/24</formula>
    </cfRule>
  </conditionalFormatting>
  <conditionalFormatting sqref="B53:U56">
    <cfRule type="expression" dxfId="2064" priority="20">
      <formula>B$9&lt;8/24</formula>
    </cfRule>
  </conditionalFormatting>
  <conditionalFormatting sqref="B9:AF10 E11 U69:AF69 L74:AF74 E77:AF99 B244:AF244 B246:B252 V13:AF56">
    <cfRule type="expression" dxfId="2063" priority="119">
      <formula>B$9&lt;8/24</formula>
    </cfRule>
  </conditionalFormatting>
  <conditionalFormatting sqref="B9:AF10 E11 U69:AF69 L74:AF74 E77:AF99 B244:AF244 B246:B252">
    <cfRule type="expression" dxfId="2062" priority="117">
      <formula>AND(B$9&gt;=14/24,B$9&lt;20/24)</formula>
    </cfRule>
    <cfRule type="expression" dxfId="2061" priority="118">
      <formula>AND(B$9&gt;=8/24,B$9&lt;14/24)</formula>
    </cfRule>
  </conditionalFormatting>
  <conditionalFormatting sqref="B13:AF52 L70:AF73 B70:K74">
    <cfRule type="expression" dxfId="2060" priority="13">
      <formula>B$9&gt;=20/24</formula>
    </cfRule>
    <cfRule type="expression" dxfId="2059" priority="15">
      <formula>AND(B$9&gt;=8/24,B$9&lt;14/24)</formula>
    </cfRule>
    <cfRule type="expression" dxfId="2058" priority="14">
      <formula>AND(B$9&gt;=14/24,B$9&lt;20/24)</formula>
    </cfRule>
  </conditionalFormatting>
  <conditionalFormatting sqref="B13:AF56 L70:AF73 B70:K74">
    <cfRule type="expression" dxfId="2057" priority="12">
      <formula>B13&gt;$AG13</formula>
    </cfRule>
  </conditionalFormatting>
  <conditionalFormatting sqref="B53:AF54">
    <cfRule type="expression" dxfId="2056" priority="9">
      <formula>B$9&gt;=20/24</formula>
    </cfRule>
    <cfRule type="expression" dxfId="2055" priority="10">
      <formula>AND(B$9&gt;=14/24,B$9&lt;20/24)</formula>
    </cfRule>
    <cfRule type="expression" dxfId="2054" priority="11">
      <formula>AND(B$9&gt;=8/24,B$9&lt;14/24)</formula>
    </cfRule>
  </conditionalFormatting>
  <conditionalFormatting sqref="B55:AF56">
    <cfRule type="expression" dxfId="2053" priority="19">
      <formula>AND(B$9&gt;=8/24,B$9&lt;14/24)</formula>
    </cfRule>
    <cfRule type="expression" dxfId="2052" priority="18">
      <formula>AND(B$9&gt;=14/24,B$9&lt;20/24)</formula>
    </cfRule>
    <cfRule type="expression" dxfId="2051" priority="17">
      <formula>B$9&gt;=20/24</formula>
    </cfRule>
  </conditionalFormatting>
  <conditionalFormatting sqref="B119:AF137">
    <cfRule type="expression" dxfId="2050" priority="2">
      <formula>AND(B$9&gt;=14/24,B$9&lt;20/24)</formula>
    </cfRule>
    <cfRule type="expression" dxfId="2049" priority="3">
      <formula>AND(B$9&gt;=8/24,B$9&lt;14/24)</formula>
    </cfRule>
    <cfRule type="expression" dxfId="2048" priority="4">
      <formula>B$9&lt;8/24</formula>
    </cfRule>
    <cfRule type="expression" dxfId="2047" priority="1">
      <formula>B$9&gt;=20/24</formula>
    </cfRule>
  </conditionalFormatting>
  <conditionalFormatting sqref="D246:AF252">
    <cfRule type="expression" dxfId="2046" priority="211">
      <formula>AND(D$9&gt;=8/24,D$9&lt;14/24)</formula>
    </cfRule>
    <cfRule type="expression" dxfId="2045" priority="210">
      <formula>AND(D$9&gt;=14/24,D$9&lt;20/24)</formula>
    </cfRule>
    <cfRule type="expression" dxfId="2044" priority="209">
      <formula>D$9&gt;=20/24</formula>
    </cfRule>
    <cfRule type="expression" dxfId="2043" priority="212">
      <formula>D$9&lt;8/24</formula>
    </cfRule>
  </conditionalFormatting>
  <conditionalFormatting sqref="E11 S57:AA62 R57:R68 AB57:AF69 AG62 G63:M63 N63:Q68 S63:X68 Y63:AA69 G64:J66 K64:M68 H67:J68 L74:AA74 AB74:AF80 AG80">
    <cfRule type="expression" dxfId="2042" priority="115">
      <formula>E11&gt;$AG11</formula>
    </cfRule>
  </conditionalFormatting>
  <conditionalFormatting sqref="E11 U69:AF69 L74:AF74 E77:AF99 B9:AF10 B244:AF244 B246:B252">
    <cfRule type="expression" dxfId="2041" priority="116">
      <formula>B$9&gt;=20/24</formula>
    </cfRule>
  </conditionalFormatting>
  <conditionalFormatting sqref="E63:F68 G67:G68">
    <cfRule type="expression" dxfId="2040" priority="45">
      <formula>AND(E$9&gt;=8/24,E$9&lt;14/24)</formula>
    </cfRule>
    <cfRule type="expression" dxfId="2039" priority="43">
      <formula>E$9&gt;=20/24</formula>
    </cfRule>
    <cfRule type="expression" dxfId="2038" priority="44">
      <formula>AND(E$9&gt;=14/24,E$9&lt;20/24)</formula>
    </cfRule>
    <cfRule type="expression" dxfId="2037" priority="46">
      <formula>E$9&lt;8/24</formula>
    </cfRule>
  </conditionalFormatting>
  <conditionalFormatting sqref="E57:Q62 B57:D69 E63:F69 G67:G69 H69:X69 B75:AA80">
    <cfRule type="expression" dxfId="2036" priority="26">
      <formula>B57&gt;$AG57</formula>
    </cfRule>
  </conditionalFormatting>
  <conditionalFormatting sqref="E59:Q62 B59:D68">
    <cfRule type="expression" dxfId="2035" priority="39">
      <formula>B$9&gt;=20/24</formula>
    </cfRule>
    <cfRule type="expression" dxfId="2034" priority="40">
      <formula>AND(B$9&gt;=14/24,B$9&lt;20/24)</formula>
    </cfRule>
    <cfRule type="expression" dxfId="2033" priority="41">
      <formula>AND(B$9&gt;=8/24,B$9&lt;14/24)</formula>
    </cfRule>
    <cfRule type="expression" dxfId="2032" priority="42">
      <formula>B$9&lt;8/24</formula>
    </cfRule>
  </conditionalFormatting>
  <conditionalFormatting sqref="E11:V11 W11:AF12">
    <cfRule type="expression" dxfId="2031" priority="135">
      <formula>AND(E$9&gt;=14/24,E$9&lt;20/24)</formula>
    </cfRule>
    <cfRule type="expression" dxfId="2030" priority="137">
      <formula>E$9&lt;8/24</formula>
    </cfRule>
    <cfRule type="expression" dxfId="2029" priority="136">
      <formula>AND(E$9&gt;=8/24,E$9&lt;14/24)</formula>
    </cfRule>
    <cfRule type="expression" dxfId="2028" priority="134">
      <formula>E$9&gt;=20/24</formula>
    </cfRule>
    <cfRule type="expression" dxfId="2027" priority="133">
      <formula>E11&gt;$AG11</formula>
    </cfRule>
  </conditionalFormatting>
  <conditionalFormatting sqref="G63:I63 G64:J66 K66:K67 H67:J67">
    <cfRule type="expression" dxfId="2026" priority="129">
      <formula>G$9&gt;=20/24</formula>
    </cfRule>
    <cfRule type="expression" dxfId="2025" priority="130">
      <formula>AND(G$9&gt;=14/24,G$9&lt;20/24)</formula>
    </cfRule>
    <cfRule type="expression" dxfId="2024" priority="132">
      <formula>G$9&lt;8/24</formula>
    </cfRule>
    <cfRule type="expression" dxfId="2023" priority="131">
      <formula>AND(G$9&gt;=8/24,G$9&lt;14/24)</formula>
    </cfRule>
  </conditionalFormatting>
  <conditionalFormatting sqref="G63:L65">
    <cfRule type="expression" dxfId="2022" priority="159">
      <formula>AND(G$9&gt;=8/24,G$9&lt;14/24)</formula>
    </cfRule>
    <cfRule type="expression" dxfId="2021" priority="157">
      <formula>G$9&gt;=20/24</formula>
    </cfRule>
    <cfRule type="expression" dxfId="2020" priority="158">
      <formula>AND(G$9&gt;=14/24,G$9&lt;20/24)</formula>
    </cfRule>
    <cfRule type="expression" dxfId="2019" priority="160">
      <formula>G$9&lt;8/24</formula>
    </cfRule>
  </conditionalFormatting>
  <conditionalFormatting sqref="H68:K68">
    <cfRule type="expression" dxfId="2018" priority="125">
      <formula>AND(H$9&gt;=14/24,H$9&lt;20/24)</formula>
    </cfRule>
    <cfRule type="expression" dxfId="2017" priority="126">
      <formula>AND(H$9&gt;=8/24,H$9&lt;14/24)</formula>
    </cfRule>
    <cfRule type="expression" dxfId="2016" priority="124">
      <formula>H$9&gt;=20/24</formula>
    </cfRule>
    <cfRule type="expression" dxfId="2015" priority="127">
      <formula>H$9&lt;8/24</formula>
    </cfRule>
  </conditionalFormatting>
  <conditionalFormatting sqref="H57:AF57">
    <cfRule type="expression" dxfId="2014" priority="142">
      <formula>H$9&lt;8/24</formula>
    </cfRule>
    <cfRule type="expression" dxfId="2013" priority="141">
      <formula>AND(H$9&gt;=8/24,H$9&lt;14/24)</formula>
    </cfRule>
    <cfRule type="expression" dxfId="2012" priority="140">
      <formula>AND(H$9&gt;=14/24,H$9&lt;20/24)</formula>
    </cfRule>
    <cfRule type="expression" dxfId="2011" priority="139">
      <formula>H$9&gt;=20/24</formula>
    </cfRule>
  </conditionalFormatting>
  <conditionalFormatting sqref="L68:V68">
    <cfRule type="expression" dxfId="2010" priority="153">
      <formula>L$9&gt;=20/24</formula>
    </cfRule>
    <cfRule type="expression" dxfId="2009" priority="155">
      <formula>AND(L$9&gt;=8/24,L$9&lt;14/24)</formula>
    </cfRule>
    <cfRule type="expression" dxfId="2008" priority="156">
      <formula>L$9&lt;8/24</formula>
    </cfRule>
    <cfRule type="expression" dxfId="2007" priority="154">
      <formula>AND(L$9&gt;=14/24,L$9&lt;20/24)</formula>
    </cfRule>
  </conditionalFormatting>
  <conditionalFormatting sqref="M8 S8 AB8">
    <cfRule type="expression" dxfId="2006" priority="216">
      <formula>AND(N$9&gt;=14/24,N$9&lt;20/24)</formula>
    </cfRule>
    <cfRule type="expression" dxfId="2005" priority="217">
      <formula>AND(N$9&gt;=8/24,N$9&lt;14/24)</formula>
    </cfRule>
    <cfRule type="expression" dxfId="2004" priority="218">
      <formula>N$9&lt;8/24</formula>
    </cfRule>
  </conditionalFormatting>
  <conditionalFormatting sqref="M63:V67">
    <cfRule type="expression" dxfId="2003" priority="162">
      <formula>AND(M$9&gt;=14/24,M$9&lt;20/24)</formula>
    </cfRule>
    <cfRule type="expression" dxfId="2002" priority="163">
      <formula>AND(M$9&gt;=8/24,M$9&lt;14/24)</formula>
    </cfRule>
    <cfRule type="expression" dxfId="2001" priority="164">
      <formula>M$9&lt;8/24</formula>
    </cfRule>
    <cfRule type="expression" dxfId="2000" priority="161">
      <formula>M$9&gt;=20/24</formula>
    </cfRule>
  </conditionalFormatting>
  <conditionalFormatting sqref="O3:P3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R59:AF62">
    <cfRule type="expression" dxfId="1999" priority="146">
      <formula>R$9&lt;8/24</formula>
    </cfRule>
    <cfRule type="expression" dxfId="1998" priority="145">
      <formula>AND(R$9&gt;=8/24,R$9&lt;14/24)</formula>
    </cfRule>
    <cfRule type="expression" dxfId="1997" priority="144">
      <formula>AND(R$9&gt;=14/24,R$9&lt;20/24)</formula>
    </cfRule>
    <cfRule type="expression" dxfId="1996" priority="143">
      <formula>R$9&gt;=20/24</formula>
    </cfRule>
  </conditionalFormatting>
  <conditionalFormatting sqref="S8 AB8 M8">
    <cfRule type="expression" dxfId="1995" priority="215">
      <formula>N$9&gt;=20/24</formula>
    </cfRule>
  </conditionalFormatting>
  <conditionalFormatting sqref="S8">
    <cfRule type="expression" dxfId="1994" priority="204">
      <formula>AND(U$9&gt;=8/24,U$9&lt;14/24)</formula>
    </cfRule>
    <cfRule type="expression" dxfId="1993" priority="205">
      <formula>U$9&lt;8/24</formula>
    </cfRule>
    <cfRule type="expression" dxfId="1992" priority="202">
      <formula>U$9&gt;=20/24</formula>
    </cfRule>
    <cfRule type="expression" dxfId="1991" priority="203">
      <formula>AND(U$9&gt;=14/24,U$9&lt;20/24)</formula>
    </cfRule>
  </conditionalFormatting>
  <conditionalFormatting sqref="T63:AF68">
    <cfRule type="expression" dxfId="1990" priority="150">
      <formula>T$9&lt;8/24</formula>
    </cfRule>
    <cfRule type="expression" dxfId="1989" priority="147">
      <formula>T$9&gt;=20/24</formula>
    </cfRule>
    <cfRule type="expression" dxfId="1988" priority="148">
      <formula>AND(T$9&gt;=14/24,T$9&lt;20/24)</formula>
    </cfRule>
    <cfRule type="expression" dxfId="1987" priority="149">
      <formula>AND(T$9&gt;=8/24,T$9&lt;14/24)</formula>
    </cfRule>
  </conditionalFormatting>
  <conditionalFormatting sqref="V3 AB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986" priority="201">
      <formula>AD$9&lt;8/24</formula>
    </cfRule>
    <cfRule type="expression" dxfId="1985" priority="200">
      <formula>AND(AD$9&gt;=8/24,AD$9&lt;14/24)</formula>
    </cfRule>
    <cfRule type="expression" dxfId="1984" priority="199">
      <formula>AND(AD$9&gt;=14/24,AD$9&lt;20/24)</formula>
    </cfRule>
    <cfRule type="expression" dxfId="1983" priority="198">
      <formula>AD$9&gt;=20/24</formula>
    </cfRule>
  </conditionalFormatting>
  <conditionalFormatting sqref="AG58">
    <cfRule type="expression" dxfId="1982" priority="193">
      <formula>AG58&gt;$AG58</formula>
    </cfRule>
  </conditionalFormatting>
  <conditionalFormatting sqref="AG62">
    <cfRule type="expression" dxfId="1981" priority="179">
      <formula>AG$9&lt;8/24</formula>
    </cfRule>
    <cfRule type="expression" dxfId="1980" priority="178">
      <formula>AND(AG$9&gt;=8/24,AG$9&lt;14/24)</formula>
    </cfRule>
    <cfRule type="expression" dxfId="1979" priority="176">
      <formula>AG$9&gt;=20/24</formula>
    </cfRule>
    <cfRule type="expression" dxfId="1978" priority="177">
      <formula>AND(AG$9&gt;=14/24,AG$9&lt;20/24)</formula>
    </cfRule>
  </conditionalFormatting>
  <conditionalFormatting sqref="AG75:AG76">
    <cfRule type="expression" dxfId="1977" priority="171">
      <formula>AG75&gt;$AG75</formula>
    </cfRule>
  </conditionalFormatting>
  <conditionalFormatting sqref="AG80">
    <cfRule type="expression" dxfId="1976" priority="174">
      <formula>AND(AG$9&gt;=8/24,AG$9&lt;14/24)</formula>
    </cfRule>
    <cfRule type="expression" dxfId="1975" priority="175">
      <formula>AG$9&lt;8/24</formula>
    </cfRule>
    <cfRule type="expression" dxfId="1974" priority="172">
      <formula>AG$9&gt;=20/24</formula>
    </cfRule>
    <cfRule type="expression" dxfId="1973" priority="173">
      <formula>AND(AG$9&gt;=14/24,AG$9&lt;20/24)</formula>
    </cfRule>
  </conditionalFormatting>
  <conditionalFormatting sqref="AG97">
    <cfRule type="expression" dxfId="1972" priority="196">
      <formula>AND(AG$9&gt;=8/24,AG$9&lt;14/24)</formula>
    </cfRule>
    <cfRule type="expression" dxfId="1971" priority="195">
      <formula>AND(AG$9&gt;=14/24,AG$9&lt;20/24)</formula>
    </cfRule>
    <cfRule type="expression" dxfId="1970" priority="194">
      <formula>AG$9&gt;=20/24</formula>
    </cfRule>
    <cfRule type="expression" dxfId="1969" priority="197">
      <formula>AG$9&lt;8/24</formula>
    </cfRule>
  </conditionalFormatting>
  <conditionalFormatting sqref="AL4:AL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968" priority="222">
      <formula>AJ$9&lt;8/24</formula>
    </cfRule>
    <cfRule type="expression" dxfId="1967" priority="221">
      <formula>AND(AJ$9&gt;=8/24,AJ$9&lt;14/24)</formula>
    </cfRule>
    <cfRule type="expression" dxfId="1966" priority="220">
      <formula>AND(AJ$9&gt;=14/24,AJ$9&lt;20/24)</formula>
    </cfRule>
    <cfRule type="expression" dxfId="1965" priority="219">
      <formula>AJ$9&gt;=20/24</formula>
    </cfRule>
  </conditionalFormatting>
  <conditionalFormatting sqref="AL88:AN88 AL94:AN94">
    <cfRule type="expression" dxfId="1964" priority="188">
      <formula>AND(AL$9&gt;=8/24,AL$9&lt;14/24)</formula>
    </cfRule>
    <cfRule type="expression" dxfId="1963" priority="189">
      <formula>AL$9&lt;8/24</formula>
    </cfRule>
    <cfRule type="expression" dxfId="1962" priority="187">
      <formula>AND(AL$9&gt;=14/24,AL$9&lt;20/24)</formula>
    </cfRule>
    <cfRule type="expression" dxfId="1961" priority="186">
      <formula>AL$9&gt;=20/24</formula>
    </cfRule>
  </conditionalFormatting>
  <conditionalFormatting sqref="AM15:AM21 AN16:AR21">
    <cfRule type="expression" dxfId="1960" priority="60">
      <formula>AX$9&gt;=20/24</formula>
    </cfRule>
    <cfRule type="expression" dxfId="1959" priority="61">
      <formula>AND(AX$9&gt;=14/24,AX$9&lt;20/24)</formula>
    </cfRule>
    <cfRule type="expression" dxfId="1958" priority="62">
      <formula>AND(AX$9&gt;=8/24,AX$9&lt;14/24)</formula>
    </cfRule>
    <cfRule type="expression" dxfId="1957" priority="63">
      <formula>AX$9&lt;8/24</formula>
    </cfRule>
  </conditionalFormatting>
  <conditionalFormatting sqref="AN89:AN92">
    <cfRule type="expression" dxfId="1956" priority="182">
      <formula>AN$9&gt;=20/24</formula>
    </cfRule>
    <cfRule type="expression" dxfId="1955" priority="183">
      <formula>AND(AN$9&gt;=14/24,AN$9&lt;20/24)</formula>
    </cfRule>
    <cfRule type="expression" dxfId="1954" priority="184">
      <formula>AND(AN$9&gt;=8/24,AN$9&lt;14/24)</formula>
    </cfRule>
    <cfRule type="expression" dxfId="1953" priority="185">
      <formula>AN$9&lt;8/24</formula>
    </cfRule>
  </conditionalFormatting>
  <conditionalFormatting sqref="AN15:AR15">
    <cfRule type="expression" dxfId="1952" priority="48">
      <formula>U$9&gt;=20/24</formula>
    </cfRule>
    <cfRule type="expression" dxfId="1951" priority="49">
      <formula>AND(U$9&gt;=14/24,U$9&lt;20/24)</formula>
    </cfRule>
    <cfRule type="expression" dxfId="1950" priority="50">
      <formula>AND(U$9&gt;=8/24,U$9&lt;14/24)</formula>
    </cfRule>
    <cfRule type="expression" dxfId="1949" priority="51">
      <formula>U$9&lt;8/24</formula>
    </cfRule>
  </conditionalFormatting>
  <conditionalFormatting sqref="AS15">
    <cfRule type="expression" dxfId="1948" priority="58">
      <formula>AND(AA$9&gt;=8/24,AA$9&lt;14/24)</formula>
    </cfRule>
    <cfRule type="expression" dxfId="1947" priority="59">
      <formula>AA$9&lt;8/24</formula>
    </cfRule>
    <cfRule type="expression" dxfId="1946" priority="56">
      <formula>AA$9&gt;=20/24</formula>
    </cfRule>
    <cfRule type="expression" dxfId="1945" priority="57">
      <formula>AND(AA$9&gt;=14/24,AA$9&lt;20/24)</formula>
    </cfRule>
  </conditionalFormatting>
  <conditionalFormatting sqref="AS16:AS21">
    <cfRule type="expression" dxfId="1944" priority="64">
      <formula>BE$9&gt;=20/24</formula>
    </cfRule>
    <cfRule type="expression" dxfId="1943" priority="65">
      <formula>AND(BE$9&gt;=14/24,BE$9&lt;20/24)</formula>
    </cfRule>
    <cfRule type="expression" dxfId="1942" priority="66">
      <formula>AND(BE$9&gt;=8/24,BE$9&lt;14/24)</formula>
    </cfRule>
    <cfRule type="expression" dxfId="1941" priority="67">
      <formula>BE$9&lt;8/24</formula>
    </cfRule>
  </conditionalFormatting>
  <conditionalFormatting sqref="AT15 AX15:BD15">
    <cfRule type="expression" dxfId="1940" priority="68">
      <formula>AC$9&gt;=20/24</formula>
    </cfRule>
    <cfRule type="expression" dxfId="1939" priority="69">
      <formula>AND(AC$9&gt;=14/24,AC$9&lt;20/24)</formula>
    </cfRule>
    <cfRule type="expression" dxfId="1938" priority="71">
      <formula>AC$9&lt;8/24</formula>
    </cfRule>
    <cfRule type="expression" dxfId="1937" priority="70">
      <formula>AND(AC$9&gt;=8/24,AC$9&lt;14/24)</formula>
    </cfRule>
  </conditionalFormatting>
  <conditionalFormatting sqref="AT16:AT21">
    <cfRule type="expression" dxfId="1936" priority="73">
      <formula>AND(BG$9&gt;=14/24,BG$9&lt;20/24)</formula>
    </cfRule>
    <cfRule type="expression" dxfId="1935" priority="74">
      <formula>AND(BG$9&gt;=8/24,BG$9&lt;14/24)</formula>
    </cfRule>
    <cfRule type="expression" dxfId="1934" priority="75">
      <formula>BG$9&lt;8/24</formula>
    </cfRule>
    <cfRule type="expression" dxfId="1933" priority="72">
      <formula>BG$9&gt;=20/24</formula>
    </cfRule>
  </conditionalFormatting>
  <conditionalFormatting sqref="AU15:AV15 BE15">
    <cfRule type="expression" dxfId="1932" priority="76">
      <formula>AE$9&gt;=20/24</formula>
    </cfRule>
    <cfRule type="expression" dxfId="1931" priority="79">
      <formula>AE$9&lt;8/24</formula>
    </cfRule>
    <cfRule type="expression" dxfId="1930" priority="77">
      <formula>AND(AE$9&gt;=14/24,AE$9&lt;20/24)</formula>
    </cfRule>
    <cfRule type="expression" dxfId="1929" priority="78">
      <formula>AND(AE$9&gt;=8/24,AE$9&lt;14/24)</formula>
    </cfRule>
  </conditionalFormatting>
  <conditionalFormatting sqref="AU16:BD21">
    <cfRule type="expression" dxfId="1928" priority="80">
      <formula>BI$9&gt;=20/24</formula>
    </cfRule>
    <cfRule type="expression" dxfId="1927" priority="81">
      <formula>AND(BI$9&gt;=14/24,BI$9&lt;20/24)</formula>
    </cfRule>
    <cfRule type="expression" dxfId="1926" priority="82">
      <formula>AND(BI$9&gt;=8/24,BI$9&lt;14/24)</formula>
    </cfRule>
    <cfRule type="expression" dxfId="1925" priority="83">
      <formula>BI$9&lt;8/24</formula>
    </cfRule>
  </conditionalFormatting>
  <conditionalFormatting sqref="AW15">
    <cfRule type="expression" dxfId="1924" priority="55">
      <formula>B$9&lt;8/24</formula>
    </cfRule>
    <cfRule type="expression" dxfId="1923" priority="54">
      <formula>AND(B$9&gt;=8/24,B$9&lt;14/24)</formula>
    </cfRule>
    <cfRule type="expression" dxfId="1922" priority="53">
      <formula>AND(B$9&gt;=14/24,B$9&lt;20/24)</formula>
    </cfRule>
    <cfRule type="expression" dxfId="1921" priority="52">
      <formula>B$9&gt;=20/24</formula>
    </cfRule>
  </conditionalFormatting>
  <conditionalFormatting sqref="BE16:BE21">
    <cfRule type="expression" dxfId="1920" priority="84">
      <formula>BT$9&gt;=20/24</formula>
    </cfRule>
    <cfRule type="expression" dxfId="1919" priority="85">
      <formula>AND(BT$9&gt;=14/24,BT$9&lt;20/24)</formula>
    </cfRule>
    <cfRule type="expression" dxfId="1918" priority="87">
      <formula>BT$9&lt;8/24</formula>
    </cfRule>
    <cfRule type="expression" dxfId="1917" priority="86">
      <formula>AND(BT$9&gt;=8/24,BT$9&lt;14/24)</formula>
    </cfRule>
  </conditionalFormatting>
  <conditionalFormatting sqref="BF15">
    <cfRule type="expression" dxfId="1916" priority="88">
      <formula>AQ$9&gt;=20/24</formula>
    </cfRule>
    <cfRule type="expression" dxfId="1915" priority="89">
      <formula>AND(AQ$9&gt;=14/24,AQ$9&lt;20/24)</formula>
    </cfRule>
    <cfRule type="expression" dxfId="1914" priority="90">
      <formula>AND(AQ$9&gt;=8/24,AQ$9&lt;14/24)</formula>
    </cfRule>
    <cfRule type="expression" dxfId="1913" priority="91">
      <formula>AQ$9&lt;8/24</formula>
    </cfRule>
  </conditionalFormatting>
  <conditionalFormatting sqref="BF16:BF21">
    <cfRule type="expression" dxfId="1912" priority="92">
      <formula>BV$9&gt;=20/24</formula>
    </cfRule>
    <cfRule type="expression" dxfId="1911" priority="93">
      <formula>AND(BV$9&gt;=14/24,BV$9&lt;20/24)</formula>
    </cfRule>
    <cfRule type="expression" dxfId="1910" priority="94">
      <formula>AND(BV$9&gt;=8/24,BV$9&lt;14/24)</formula>
    </cfRule>
    <cfRule type="expression" dxfId="1909" priority="95">
      <formula>BV$9&lt;8/24</formula>
    </cfRule>
  </conditionalFormatting>
  <conditionalFormatting sqref="BG15">
    <cfRule type="expression" dxfId="1908" priority="99">
      <formula>AS$9&lt;8/24</formula>
    </cfRule>
    <cfRule type="expression" dxfId="1907" priority="96">
      <formula>AS$9&gt;=20/24</formula>
    </cfRule>
    <cfRule type="expression" dxfId="1906" priority="97">
      <formula>AND(AS$9&gt;=14/24,AS$9&lt;20/24)</formula>
    </cfRule>
    <cfRule type="expression" dxfId="1905" priority="98">
      <formula>AND(AS$9&gt;=8/24,AS$9&lt;14/24)</formula>
    </cfRule>
  </conditionalFormatting>
  <conditionalFormatting sqref="BG16:BG21">
    <cfRule type="expression" dxfId="1904" priority="100">
      <formula>BX$9&gt;=20/24</formula>
    </cfRule>
    <cfRule type="expression" dxfId="1903" priority="101">
      <formula>AND(BX$9&gt;=14/24,BX$9&lt;20/24)</formula>
    </cfRule>
    <cfRule type="expression" dxfId="1902" priority="102">
      <formula>AND(BX$9&gt;=8/24,BX$9&lt;14/24)</formula>
    </cfRule>
    <cfRule type="expression" dxfId="1901" priority="103">
      <formula>BX$9&lt;8/24</formula>
    </cfRule>
  </conditionalFormatting>
  <conditionalFormatting sqref="BH15:BJ15">
    <cfRule type="expression" dxfId="1900" priority="104">
      <formula>AU$9&gt;=20/24</formula>
    </cfRule>
    <cfRule type="expression" dxfId="1899" priority="105">
      <formula>AND(AU$9&gt;=14/24,AU$9&lt;20/24)</formula>
    </cfRule>
    <cfRule type="expression" dxfId="1898" priority="106">
      <formula>AND(AU$9&gt;=8/24,AU$9&lt;14/24)</formula>
    </cfRule>
    <cfRule type="expression" dxfId="1897" priority="107">
      <formula>AU$9&lt;8/24</formula>
    </cfRule>
  </conditionalFormatting>
  <conditionalFormatting sqref="BH16:BJ21">
    <cfRule type="expression" dxfId="1896" priority="111">
      <formula>BZ$9&lt;8/24</formula>
    </cfRule>
    <cfRule type="expression" dxfId="1895" priority="110">
      <formula>AND(BZ$9&gt;=8/24,BZ$9&lt;14/24)</formula>
    </cfRule>
    <cfRule type="expression" dxfId="1894" priority="109">
      <formula>AND(BZ$9&gt;=14/24,BZ$9&lt;20/24)</formula>
    </cfRule>
    <cfRule type="expression" dxfId="1893" priority="108">
      <formula>BZ$9&gt;=20/24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1D0C-8F63-45F2-BF26-FC5205C5B33F}">
  <dimension ref="A1:CJ294"/>
  <sheetViews>
    <sheetView zoomScale="90" zoomScaleNormal="90" workbookViewId="0">
      <pane xSplit="1" ySplit="10" topLeftCell="B70" activePane="bottomRight" state="frozen"/>
      <selection activeCell="Z63" sqref="Z63"/>
      <selection pane="topRight" activeCell="Z63" sqref="Z63"/>
      <selection pane="bottomLeft" activeCell="Z63" sqref="Z63"/>
      <selection pane="bottomRight" activeCell="F69" sqref="F69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2080/10/19</v>
      </c>
      <c r="C4" s="272"/>
      <c r="D4" s="272"/>
      <c r="E4" s="273" t="str">
        <f ca="1">"2080/"&amp;"10/"&amp;INT(MID(CELL("filename",G6),FIND("]",CELL("filename",G6))+1,200))</f>
        <v>2080/10/19</v>
      </c>
      <c r="F4" s="273"/>
      <c r="G4" s="273"/>
      <c r="H4" s="273" t="str">
        <f ca="1">TEXT(E4,"dddd")</f>
        <v>Saturday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603.4</v>
      </c>
      <c r="C5" s="30">
        <f t="shared" ref="C5:AE5" si="0">D92</f>
        <v>602.4</v>
      </c>
      <c r="D5" s="30">
        <f t="shared" si="0"/>
        <v>577</v>
      </c>
      <c r="E5" s="30">
        <f t="shared" si="0"/>
        <v>603.79999999999995</v>
      </c>
      <c r="F5" s="30">
        <f t="shared" si="0"/>
        <v>606.70000000000005</v>
      </c>
      <c r="G5" s="30">
        <f t="shared" si="0"/>
        <v>601.90000000000009</v>
      </c>
      <c r="H5" s="30">
        <f t="shared" si="0"/>
        <v>584.70000000000005</v>
      </c>
      <c r="I5" s="30">
        <f t="shared" si="0"/>
        <v>615.6</v>
      </c>
      <c r="J5" s="30">
        <f t="shared" si="0"/>
        <v>347.9</v>
      </c>
      <c r="K5" s="30">
        <f t="shared" si="0"/>
        <v>165.2</v>
      </c>
      <c r="L5" s="30">
        <f t="shared" si="0"/>
        <v>168.1</v>
      </c>
      <c r="M5" s="30">
        <f t="shared" si="0"/>
        <v>261.09999999999997</v>
      </c>
      <c r="N5" s="30">
        <f t="shared" si="0"/>
        <v>472.9</v>
      </c>
      <c r="O5" s="30">
        <f t="shared" si="0"/>
        <v>547</v>
      </c>
      <c r="P5" s="30">
        <f t="shared" si="0"/>
        <v>609</v>
      </c>
      <c r="Q5" s="30">
        <f t="shared" si="0"/>
        <v>570.4</v>
      </c>
      <c r="R5" s="30">
        <f t="shared" si="0"/>
        <v>610.6</v>
      </c>
      <c r="S5" s="30">
        <f t="shared" si="0"/>
        <v>586</v>
      </c>
      <c r="T5" s="30">
        <f t="shared" si="0"/>
        <v>569.6</v>
      </c>
      <c r="U5" s="30">
        <f t="shared" si="0"/>
        <v>535.1</v>
      </c>
      <c r="V5" s="30">
        <f t="shared" si="0"/>
        <v>548.79999999999995</v>
      </c>
      <c r="W5" s="30">
        <f t="shared" si="0"/>
        <v>534.9</v>
      </c>
      <c r="X5" s="30">
        <f t="shared" si="0"/>
        <v>413.4</v>
      </c>
      <c r="Y5" s="30">
        <f t="shared" si="0"/>
        <v>289.89999999999998</v>
      </c>
      <c r="Z5" s="30">
        <f t="shared" si="0"/>
        <v>317</v>
      </c>
      <c r="AA5" s="30">
        <f t="shared" si="0"/>
        <v>490.6</v>
      </c>
      <c r="AB5" s="30">
        <f t="shared" si="0"/>
        <v>484.7</v>
      </c>
      <c r="AC5" s="30">
        <f t="shared" si="0"/>
        <v>584</v>
      </c>
      <c r="AD5" s="30">
        <f t="shared" si="0"/>
        <v>587.5</v>
      </c>
      <c r="AE5" s="30">
        <f t="shared" si="0"/>
        <v>578.4</v>
      </c>
      <c r="AF5" s="30">
        <f>B92</f>
        <v>620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1583MW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Load=1161</v>
      </c>
      <c r="B7" s="35">
        <f>B100</f>
        <v>1226.0900000000001</v>
      </c>
      <c r="C7" s="35">
        <f t="shared" ref="C7:AF7" si="1">C100</f>
        <v>1209.49</v>
      </c>
      <c r="D7" s="35">
        <f t="shared" si="1"/>
        <v>1208.49</v>
      </c>
      <c r="E7" s="35">
        <f t="shared" si="1"/>
        <v>1160.5900000000001</v>
      </c>
      <c r="F7" s="35">
        <f t="shared" si="1"/>
        <v>1211.99</v>
      </c>
      <c r="G7" s="35">
        <f t="shared" si="1"/>
        <v>1231.19</v>
      </c>
      <c r="H7" s="35">
        <f t="shared" si="1"/>
        <v>1271.19</v>
      </c>
      <c r="I7" s="35">
        <f t="shared" si="1"/>
        <v>1313.99</v>
      </c>
      <c r="J7" s="35">
        <f t="shared" si="1"/>
        <v>1389.3899999999999</v>
      </c>
      <c r="K7" s="35">
        <f t="shared" si="1"/>
        <v>1316.79</v>
      </c>
      <c r="L7" s="35">
        <f t="shared" si="1"/>
        <v>1332.89</v>
      </c>
      <c r="M7" s="35">
        <f t="shared" si="1"/>
        <v>1582.9899999999998</v>
      </c>
      <c r="N7" s="35">
        <f t="shared" si="1"/>
        <v>1554.99</v>
      </c>
      <c r="O7" s="35">
        <f t="shared" si="1"/>
        <v>1441.5900000000001</v>
      </c>
      <c r="P7" s="35">
        <f t="shared" si="1"/>
        <v>1416.99</v>
      </c>
      <c r="Q7" s="35">
        <f t="shared" si="1"/>
        <v>1331.49</v>
      </c>
      <c r="R7" s="35">
        <f t="shared" si="1"/>
        <v>1260.8899999999999</v>
      </c>
      <c r="S7" s="35">
        <f t="shared" si="1"/>
        <v>1310.29</v>
      </c>
      <c r="T7" s="35">
        <f t="shared" si="1"/>
        <v>1334.0900000000001</v>
      </c>
      <c r="U7" s="35">
        <f t="shared" si="1"/>
        <v>1334.49</v>
      </c>
      <c r="V7" s="35">
        <f t="shared" si="1"/>
        <v>1280.29</v>
      </c>
      <c r="W7" s="35">
        <f t="shared" si="1"/>
        <v>1365.9899999999998</v>
      </c>
      <c r="X7" s="35">
        <f t="shared" si="1"/>
        <v>1520.69</v>
      </c>
      <c r="Y7" s="35">
        <f t="shared" si="1"/>
        <v>1672.4500000000003</v>
      </c>
      <c r="Z7" s="35">
        <f t="shared" si="1"/>
        <v>1684.9500000000003</v>
      </c>
      <c r="AA7" s="35">
        <f t="shared" si="1"/>
        <v>1618.0900000000001</v>
      </c>
      <c r="AB7" s="35">
        <f t="shared" si="1"/>
        <v>1540.19</v>
      </c>
      <c r="AC7" s="35">
        <f t="shared" si="1"/>
        <v>1451.89</v>
      </c>
      <c r="AD7" s="35">
        <f t="shared" si="1"/>
        <v>1396.19</v>
      </c>
      <c r="AE7" s="35">
        <f t="shared" si="1"/>
        <v>1354.69</v>
      </c>
      <c r="AF7" s="35">
        <f t="shared" si="1"/>
        <v>1199.3899999999999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1582.99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1582.99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25.7</v>
      </c>
      <c r="C11" s="45">
        <v>25.7</v>
      </c>
      <c r="D11" s="45">
        <v>25.7</v>
      </c>
      <c r="E11" s="45">
        <v>25.7</v>
      </c>
      <c r="F11" s="45">
        <v>25.7</v>
      </c>
      <c r="G11" s="45">
        <v>25.7</v>
      </c>
      <c r="H11" s="45">
        <v>25.7</v>
      </c>
      <c r="I11" s="45">
        <v>25.7</v>
      </c>
      <c r="J11" s="45">
        <v>25.7</v>
      </c>
      <c r="K11" s="45">
        <v>25.7</v>
      </c>
      <c r="L11" s="45">
        <v>25.7</v>
      </c>
      <c r="M11" s="45">
        <v>25.1</v>
      </c>
      <c r="N11" s="45">
        <v>25.4</v>
      </c>
      <c r="O11" s="45">
        <v>25.4</v>
      </c>
      <c r="P11" s="45">
        <v>24</v>
      </c>
      <c r="Q11" s="45">
        <v>24</v>
      </c>
      <c r="R11" s="45">
        <v>24</v>
      </c>
      <c r="S11" s="45">
        <v>24</v>
      </c>
      <c r="T11" s="45">
        <v>24</v>
      </c>
      <c r="U11" s="45">
        <v>24</v>
      </c>
      <c r="V11" s="45">
        <v>24</v>
      </c>
      <c r="W11" s="45">
        <v>24</v>
      </c>
      <c r="X11" s="45">
        <v>24</v>
      </c>
      <c r="Y11" s="45">
        <v>24</v>
      </c>
      <c r="Z11" s="45">
        <v>24</v>
      </c>
      <c r="AA11" s="45">
        <v>24</v>
      </c>
      <c r="AB11" s="45">
        <v>27.8</v>
      </c>
      <c r="AC11" s="45">
        <v>27.8</v>
      </c>
      <c r="AD11" s="45">
        <v>27.8</v>
      </c>
      <c r="AE11" s="45">
        <v>27.8</v>
      </c>
      <c r="AF11" s="45">
        <v>27.8</v>
      </c>
      <c r="AG11" s="46">
        <v>86</v>
      </c>
      <c r="AH11" s="47">
        <f t="shared" ref="AH11:AH16" si="2">MAX(B11:AF11)</f>
        <v>27.8</v>
      </c>
      <c r="AI11" s="48">
        <f t="shared" ref="AI11:AI16" si="3">MIN(B11:AF11)</f>
        <v>24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19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10.5</v>
      </c>
      <c r="C13" s="45">
        <v>10.5</v>
      </c>
      <c r="D13" s="45">
        <v>10.5</v>
      </c>
      <c r="E13" s="45">
        <v>10.5</v>
      </c>
      <c r="F13" s="45">
        <v>10.5</v>
      </c>
      <c r="G13" s="45">
        <v>10.5</v>
      </c>
      <c r="H13" s="45">
        <v>10.5</v>
      </c>
      <c r="I13" s="45">
        <v>10.5</v>
      </c>
      <c r="J13" s="45">
        <v>10.5</v>
      </c>
      <c r="K13" s="45">
        <v>10.5</v>
      </c>
      <c r="L13" s="45">
        <v>10.5</v>
      </c>
      <c r="M13" s="45">
        <v>10.5</v>
      </c>
      <c r="N13" s="45">
        <v>10.5</v>
      </c>
      <c r="O13" s="45">
        <v>10.5</v>
      </c>
      <c r="P13" s="45">
        <v>10.5</v>
      </c>
      <c r="Q13" s="45">
        <v>10.5</v>
      </c>
      <c r="R13" s="45">
        <v>10.5</v>
      </c>
      <c r="S13" s="45">
        <v>10.5</v>
      </c>
      <c r="T13" s="45">
        <v>10.5</v>
      </c>
      <c r="U13" s="45">
        <v>10.5</v>
      </c>
      <c r="V13" s="45">
        <v>10.5</v>
      </c>
      <c r="W13" s="45">
        <v>10.5</v>
      </c>
      <c r="X13" s="45">
        <v>10.5</v>
      </c>
      <c r="Y13" s="45">
        <v>10.5</v>
      </c>
      <c r="Z13" s="45">
        <v>10.5</v>
      </c>
      <c r="AA13" s="45">
        <v>10.5</v>
      </c>
      <c r="AB13" s="45">
        <v>10.5</v>
      </c>
      <c r="AC13" s="45">
        <v>10.5</v>
      </c>
      <c r="AD13" s="45">
        <v>10.5</v>
      </c>
      <c r="AE13" s="45">
        <v>10.5</v>
      </c>
      <c r="AF13" s="45">
        <v>10.5</v>
      </c>
      <c r="AG13" s="49">
        <v>54</v>
      </c>
      <c r="AH13" s="47">
        <f t="shared" si="2"/>
        <v>10.5</v>
      </c>
      <c r="AI13" s="48">
        <f t="shared" si="3"/>
        <v>10.5</v>
      </c>
      <c r="AK13" s="50"/>
      <c r="AL13" s="157" t="str">
        <f ca="1">"Daily Load Curve(Excluding of Export) of Nepal ("&amp;A4&amp;" "&amp;B4&amp;")"</f>
        <v>Daily Load Curve(Excluding of Export) of Nepal (Nepali Date: 2080/10/19)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14.5</v>
      </c>
      <c r="C14" s="45">
        <v>14.5</v>
      </c>
      <c r="D14" s="45">
        <v>14.5</v>
      </c>
      <c r="E14" s="45">
        <v>14.5</v>
      </c>
      <c r="F14" s="45">
        <v>14.5</v>
      </c>
      <c r="G14" s="45">
        <v>14.5</v>
      </c>
      <c r="H14" s="45">
        <v>14.5</v>
      </c>
      <c r="I14" s="45">
        <v>14.5</v>
      </c>
      <c r="J14" s="45">
        <v>14.5</v>
      </c>
      <c r="K14" s="45">
        <v>14.5</v>
      </c>
      <c r="L14" s="45">
        <v>14.5</v>
      </c>
      <c r="M14" s="45">
        <v>14.5</v>
      </c>
      <c r="N14" s="45">
        <v>14.5</v>
      </c>
      <c r="O14" s="45">
        <v>14.5</v>
      </c>
      <c r="P14" s="45">
        <v>14.5</v>
      </c>
      <c r="Q14" s="45">
        <v>14.5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14.5</v>
      </c>
      <c r="W14" s="45">
        <v>14.5</v>
      </c>
      <c r="X14" s="45">
        <v>14.5</v>
      </c>
      <c r="Y14" s="45">
        <v>14.5</v>
      </c>
      <c r="Z14" s="45">
        <v>14.5</v>
      </c>
      <c r="AA14" s="45">
        <v>14.5</v>
      </c>
      <c r="AB14" s="45">
        <v>14.5</v>
      </c>
      <c r="AC14" s="45">
        <v>14.5</v>
      </c>
      <c r="AD14" s="45">
        <v>14.5</v>
      </c>
      <c r="AE14" s="45">
        <v>14.5</v>
      </c>
      <c r="AF14" s="45">
        <v>14.5</v>
      </c>
      <c r="AG14" s="46">
        <v>52.4</v>
      </c>
      <c r="AH14" s="47">
        <f t="shared" si="2"/>
        <v>14.5</v>
      </c>
      <c r="AI14" s="48">
        <f t="shared" si="3"/>
        <v>14.5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28.7</v>
      </c>
      <c r="C15" s="45">
        <v>28.7</v>
      </c>
      <c r="D15" s="45">
        <v>28.7</v>
      </c>
      <c r="E15" s="45">
        <v>28.7</v>
      </c>
      <c r="F15" s="45">
        <v>28.7</v>
      </c>
      <c r="G15" s="45">
        <v>28.7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25</v>
      </c>
      <c r="N15" s="45">
        <v>25</v>
      </c>
      <c r="O15" s="45">
        <v>25</v>
      </c>
      <c r="P15" s="45">
        <v>25</v>
      </c>
      <c r="Q15" s="45">
        <v>25</v>
      </c>
      <c r="R15" s="45">
        <v>25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45">
        <v>28.7</v>
      </c>
      <c r="AA15" s="45">
        <v>28.7</v>
      </c>
      <c r="AB15" s="45">
        <v>28.7</v>
      </c>
      <c r="AC15" s="45">
        <v>28.7</v>
      </c>
      <c r="AD15" s="45">
        <v>28.7</v>
      </c>
      <c r="AE15" s="45">
        <v>28.7</v>
      </c>
      <c r="AF15" s="45">
        <v>28.7</v>
      </c>
      <c r="AG15" s="49">
        <v>50</v>
      </c>
      <c r="AH15" s="47">
        <f t="shared" si="2"/>
        <v>28.7</v>
      </c>
      <c r="AI15" s="48">
        <f t="shared" si="3"/>
        <v>25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15.9</v>
      </c>
      <c r="C16" s="45">
        <v>15.9</v>
      </c>
      <c r="D16" s="45">
        <v>15.9</v>
      </c>
      <c r="E16" s="45">
        <v>15.9</v>
      </c>
      <c r="F16" s="45">
        <v>15.9</v>
      </c>
      <c r="G16" s="45">
        <v>15.9</v>
      </c>
      <c r="H16" s="45">
        <v>15.9</v>
      </c>
      <c r="I16" s="45">
        <v>15.9</v>
      </c>
      <c r="J16" s="45">
        <v>15.9</v>
      </c>
      <c r="K16" s="45">
        <v>15.9</v>
      </c>
      <c r="L16" s="45">
        <v>15.9</v>
      </c>
      <c r="M16" s="45">
        <v>15.9</v>
      </c>
      <c r="N16" s="45">
        <v>15.9</v>
      </c>
      <c r="O16" s="45">
        <v>15.9</v>
      </c>
      <c r="P16" s="45">
        <v>15.9</v>
      </c>
      <c r="Q16" s="45">
        <v>15.9</v>
      </c>
      <c r="R16" s="45">
        <v>15.9</v>
      </c>
      <c r="S16" s="45">
        <v>15.9</v>
      </c>
      <c r="T16" s="45">
        <v>15.9</v>
      </c>
      <c r="U16" s="45">
        <v>15.9</v>
      </c>
      <c r="V16" s="45">
        <v>15.9</v>
      </c>
      <c r="W16" s="45">
        <v>15.9</v>
      </c>
      <c r="X16" s="45">
        <v>15.9</v>
      </c>
      <c r="Y16" s="45">
        <v>15.9</v>
      </c>
      <c r="Z16" s="45">
        <v>15.9</v>
      </c>
      <c r="AA16" s="45">
        <v>15.9</v>
      </c>
      <c r="AB16" s="45">
        <v>15.9</v>
      </c>
      <c r="AC16" s="45">
        <v>15.9</v>
      </c>
      <c r="AD16" s="45">
        <v>15.9</v>
      </c>
      <c r="AE16" s="45">
        <v>15.9</v>
      </c>
      <c r="AF16" s="45">
        <v>15.9</v>
      </c>
      <c r="AG16" s="49">
        <v>45</v>
      </c>
      <c r="AH16" s="47">
        <f t="shared" si="2"/>
        <v>15.9</v>
      </c>
      <c r="AI16" s="48">
        <f t="shared" si="3"/>
        <v>15.9</v>
      </c>
      <c r="AK16" s="50"/>
      <c r="AL16" s="160" t="s">
        <v>7</v>
      </c>
      <c r="AM16" s="227">
        <f>B58</f>
        <v>472.75</v>
      </c>
      <c r="AN16" s="227">
        <f t="shared" ref="AN16:AR16" si="4">C58</f>
        <v>472.75</v>
      </c>
      <c r="AO16" s="227">
        <f t="shared" si="4"/>
        <v>472.75</v>
      </c>
      <c r="AP16" s="227">
        <f t="shared" si="4"/>
        <v>472.75</v>
      </c>
      <c r="AQ16" s="227">
        <f t="shared" si="4"/>
        <v>472.75</v>
      </c>
      <c r="AR16" s="227">
        <f t="shared" si="4"/>
        <v>472.75</v>
      </c>
      <c r="AS16" s="227">
        <f>I58</f>
        <v>472.75</v>
      </c>
      <c r="AT16" s="227">
        <f>K58</f>
        <v>472.75</v>
      </c>
      <c r="AU16" s="227">
        <f t="shared" ref="AU16:AX16" si="5">M58</f>
        <v>468.45</v>
      </c>
      <c r="AV16" s="227">
        <f t="shared" si="5"/>
        <v>468.75</v>
      </c>
      <c r="AW16" s="227">
        <f t="shared" si="5"/>
        <v>468.75</v>
      </c>
      <c r="AX16" s="227">
        <f t="shared" si="5"/>
        <v>467.35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37.299999999999997</v>
      </c>
      <c r="AN17" s="227">
        <f t="shared" ref="AN17:AR17" si="6">C62</f>
        <v>37.299999999999997</v>
      </c>
      <c r="AO17" s="227">
        <f t="shared" si="6"/>
        <v>37.299999999999997</v>
      </c>
      <c r="AP17" s="227">
        <f t="shared" si="6"/>
        <v>37.299999999999997</v>
      </c>
      <c r="AQ17" s="227">
        <f t="shared" si="6"/>
        <v>37.299999999999997</v>
      </c>
      <c r="AR17" s="227">
        <f t="shared" si="6"/>
        <v>37.299999999999997</v>
      </c>
      <c r="AS17" s="227">
        <f>I62</f>
        <v>52.3</v>
      </c>
      <c r="AT17" s="227">
        <f>K62</f>
        <v>287.3</v>
      </c>
      <c r="AU17" s="227">
        <f t="shared" ref="AU17:AX17" si="7">M62</f>
        <v>477.3</v>
      </c>
      <c r="AV17" s="227">
        <f t="shared" si="7"/>
        <v>327.2</v>
      </c>
      <c r="AW17" s="227">
        <f t="shared" si="7"/>
        <v>57.2</v>
      </c>
      <c r="AX17" s="227">
        <f t="shared" si="7"/>
        <v>37.200000000000003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7.5</v>
      </c>
      <c r="AC18" s="45">
        <v>7.5</v>
      </c>
      <c r="AD18" s="45">
        <v>7.5</v>
      </c>
      <c r="AE18" s="45">
        <v>7.5</v>
      </c>
      <c r="AF18" s="45">
        <v>7.5</v>
      </c>
      <c r="AG18" s="49">
        <v>42</v>
      </c>
      <c r="AH18" s="47">
        <f t="shared" ref="AH18:AH49" si="8">MAX(B18:AF18)</f>
        <v>7.5</v>
      </c>
      <c r="AI18" s="48">
        <f t="shared" ref="AI18:AI49" si="9">MIN(B18:AF18)</f>
        <v>7.5</v>
      </c>
      <c r="AK18" s="50"/>
      <c r="AL18" s="160" t="s">
        <v>593</v>
      </c>
      <c r="AM18" s="227">
        <f>B76</f>
        <v>96.04</v>
      </c>
      <c r="AN18" s="227">
        <f t="shared" ref="AN18:AR18" si="10">C76</f>
        <v>96.04</v>
      </c>
      <c r="AO18" s="227">
        <f t="shared" si="10"/>
        <v>96.04</v>
      </c>
      <c r="AP18" s="227">
        <f t="shared" si="10"/>
        <v>73.540000000000006</v>
      </c>
      <c r="AQ18" s="227">
        <f t="shared" si="10"/>
        <v>98.140000000000015</v>
      </c>
      <c r="AR18" s="227">
        <f t="shared" si="10"/>
        <v>114.44000000000001</v>
      </c>
      <c r="AS18" s="227">
        <f>I76</f>
        <v>204.23999999999998</v>
      </c>
      <c r="AT18" s="227">
        <f>K76</f>
        <v>208.84</v>
      </c>
      <c r="AU18" s="227">
        <f t="shared" ref="AU18:AX18" si="11">M76</f>
        <v>269.14</v>
      </c>
      <c r="AV18" s="227">
        <f t="shared" si="11"/>
        <v>297.94000000000005</v>
      </c>
      <c r="AW18" s="227">
        <f t="shared" si="11"/>
        <v>302.74</v>
      </c>
      <c r="AX18" s="227">
        <f t="shared" si="11"/>
        <v>265.44000000000005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620</v>
      </c>
      <c r="AN19" s="227">
        <f t="shared" ref="AN19:AR19" si="12">C92</f>
        <v>603.4</v>
      </c>
      <c r="AO19" s="227">
        <f t="shared" si="12"/>
        <v>602.4</v>
      </c>
      <c r="AP19" s="227">
        <f t="shared" si="12"/>
        <v>577</v>
      </c>
      <c r="AQ19" s="227">
        <f t="shared" si="12"/>
        <v>603.79999999999995</v>
      </c>
      <c r="AR19" s="227">
        <f t="shared" si="12"/>
        <v>606.70000000000005</v>
      </c>
      <c r="AS19" s="227">
        <f>I92</f>
        <v>584.70000000000005</v>
      </c>
      <c r="AT19" s="227">
        <f>K92</f>
        <v>347.9</v>
      </c>
      <c r="AU19" s="227">
        <f t="shared" ref="AU19:AX19" si="13">M92</f>
        <v>168.1</v>
      </c>
      <c r="AV19" s="227">
        <f t="shared" si="13"/>
        <v>261.09999999999997</v>
      </c>
      <c r="AW19" s="227">
        <f t="shared" si="13"/>
        <v>472.9</v>
      </c>
      <c r="AX19" s="227">
        <f t="shared" si="13"/>
        <v>547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0</v>
      </c>
      <c r="AU21" s="227">
        <f t="shared" ref="AU21:AX21" si="17">M98</f>
        <v>200</v>
      </c>
      <c r="AV21" s="227">
        <f t="shared" si="17"/>
        <v>200</v>
      </c>
      <c r="AW21" s="227">
        <f t="shared" si="17"/>
        <v>140</v>
      </c>
      <c r="AX21" s="227">
        <f t="shared" si="17"/>
        <v>100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7.8</v>
      </c>
      <c r="AC22" s="45">
        <v>7.8</v>
      </c>
      <c r="AD22" s="45">
        <v>7.8</v>
      </c>
      <c r="AE22" s="45">
        <v>7.8</v>
      </c>
      <c r="AF22" s="45">
        <v>7.8</v>
      </c>
      <c r="AG22" s="52">
        <v>30</v>
      </c>
      <c r="AH22" s="47">
        <f t="shared" si="8"/>
        <v>7.8</v>
      </c>
      <c r="AI22" s="48">
        <f t="shared" si="9"/>
        <v>7.8</v>
      </c>
      <c r="AK22" s="50"/>
      <c r="AL22" s="229" t="s">
        <v>597</v>
      </c>
      <c r="AM22" s="228">
        <f>SUM(AM16:AM21)</f>
        <v>1226.0900000000001</v>
      </c>
      <c r="AN22" s="228">
        <f t="shared" ref="AN22:AX22" si="18">SUM(AN16:AN21)</f>
        <v>1209.49</v>
      </c>
      <c r="AO22" s="228">
        <f t="shared" si="18"/>
        <v>1208.49</v>
      </c>
      <c r="AP22" s="228">
        <f t="shared" si="18"/>
        <v>1160.5900000000001</v>
      </c>
      <c r="AQ22" s="228">
        <f t="shared" si="18"/>
        <v>1211.99</v>
      </c>
      <c r="AR22" s="228">
        <f t="shared" si="18"/>
        <v>1231.19</v>
      </c>
      <c r="AS22" s="228">
        <f t="shared" si="18"/>
        <v>1313.99</v>
      </c>
      <c r="AT22" s="228">
        <f t="shared" si="18"/>
        <v>1316.79</v>
      </c>
      <c r="AU22" s="228">
        <f t="shared" si="18"/>
        <v>1582.9899999999998</v>
      </c>
      <c r="AV22" s="228">
        <f t="shared" si="18"/>
        <v>1554.99</v>
      </c>
      <c r="AW22" s="228">
        <f t="shared" si="18"/>
        <v>1441.5900000000001</v>
      </c>
      <c r="AX22" s="228">
        <f t="shared" si="18"/>
        <v>1416.99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7.2</v>
      </c>
      <c r="AC24" s="45">
        <v>7.2</v>
      </c>
      <c r="AD24" s="45">
        <v>7.2</v>
      </c>
      <c r="AE24" s="45">
        <v>7.2</v>
      </c>
      <c r="AF24" s="45">
        <v>7.2</v>
      </c>
      <c r="AG24" s="49">
        <v>28</v>
      </c>
      <c r="AH24" s="47">
        <f t="shared" si="8"/>
        <v>7.2</v>
      </c>
      <c r="AI24" s="48">
        <f t="shared" si="9"/>
        <v>7.2</v>
      </c>
      <c r="AK24" s="50"/>
      <c r="AL24" s="229" t="s">
        <v>598</v>
      </c>
      <c r="AM24" s="228">
        <f>AM22+AM23</f>
        <v>1226.0900000000001</v>
      </c>
      <c r="AN24" s="228">
        <f t="shared" ref="AN24:AX24" si="21">AN22+AN23</f>
        <v>1209.49</v>
      </c>
      <c r="AO24" s="228">
        <f t="shared" si="21"/>
        <v>1208.49</v>
      </c>
      <c r="AP24" s="228">
        <f t="shared" si="21"/>
        <v>1160.5900000000001</v>
      </c>
      <c r="AQ24" s="228">
        <f t="shared" si="21"/>
        <v>1211.99</v>
      </c>
      <c r="AR24" s="228">
        <f t="shared" si="21"/>
        <v>1231.19</v>
      </c>
      <c r="AS24" s="228">
        <f t="shared" si="21"/>
        <v>1313.99</v>
      </c>
      <c r="AT24" s="228">
        <f t="shared" si="21"/>
        <v>1316.79</v>
      </c>
      <c r="AU24" s="228">
        <f t="shared" si="21"/>
        <v>1582.9899999999998</v>
      </c>
      <c r="AV24" s="228">
        <f t="shared" si="21"/>
        <v>1554.99</v>
      </c>
      <c r="AW24" s="228">
        <f t="shared" si="21"/>
        <v>1441.5900000000001</v>
      </c>
      <c r="AX24" s="228">
        <f t="shared" si="21"/>
        <v>1416.99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6.5</v>
      </c>
      <c r="C25" s="45">
        <v>6.5</v>
      </c>
      <c r="D25" s="45">
        <v>6.5</v>
      </c>
      <c r="E25" s="45">
        <v>6.5</v>
      </c>
      <c r="F25" s="45">
        <v>6.5</v>
      </c>
      <c r="G25" s="45">
        <v>6.5</v>
      </c>
      <c r="H25" s="45">
        <v>6.5</v>
      </c>
      <c r="I25" s="45">
        <v>6.5</v>
      </c>
      <c r="J25" s="45">
        <v>6.5</v>
      </c>
      <c r="K25" s="45">
        <v>6.5</v>
      </c>
      <c r="L25" s="45">
        <v>6.5</v>
      </c>
      <c r="M25" s="45">
        <v>6.5</v>
      </c>
      <c r="N25" s="45">
        <v>6.5</v>
      </c>
      <c r="O25" s="45">
        <v>6.5</v>
      </c>
      <c r="P25" s="45">
        <v>6.5</v>
      </c>
      <c r="Q25" s="45">
        <v>6.5</v>
      </c>
      <c r="R25" s="45">
        <v>6.5</v>
      </c>
      <c r="S25" s="45">
        <v>6.5</v>
      </c>
      <c r="T25" s="45">
        <v>6.5</v>
      </c>
      <c r="U25" s="45">
        <v>6.5</v>
      </c>
      <c r="V25" s="45">
        <v>6.5</v>
      </c>
      <c r="W25" s="45">
        <v>6.5</v>
      </c>
      <c r="X25" s="45">
        <v>6.5</v>
      </c>
      <c r="Y25" s="45">
        <v>6.5</v>
      </c>
      <c r="Z25" s="45">
        <v>6.5</v>
      </c>
      <c r="AA25" s="45">
        <v>6.5</v>
      </c>
      <c r="AB25" s="45">
        <v>6.5</v>
      </c>
      <c r="AC25" s="45">
        <v>6.5</v>
      </c>
      <c r="AD25" s="45">
        <v>6.5</v>
      </c>
      <c r="AE25" s="45">
        <v>6.5</v>
      </c>
      <c r="AF25" s="45">
        <v>6.5</v>
      </c>
      <c r="AG25" s="52">
        <v>30</v>
      </c>
      <c r="AH25" s="47">
        <f t="shared" si="8"/>
        <v>6.5</v>
      </c>
      <c r="AI25" s="48">
        <f t="shared" si="9"/>
        <v>6.5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9.1999999999999993</v>
      </c>
      <c r="C26" s="45">
        <v>9.1999999999999993</v>
      </c>
      <c r="D26" s="45">
        <v>9.1999999999999993</v>
      </c>
      <c r="E26" s="45">
        <v>9.1999999999999993</v>
      </c>
      <c r="F26" s="45">
        <v>9.1999999999999993</v>
      </c>
      <c r="G26" s="45">
        <v>9.1999999999999993</v>
      </c>
      <c r="H26" s="45">
        <v>9.1999999999999993</v>
      </c>
      <c r="I26" s="45">
        <v>9.1999999999999993</v>
      </c>
      <c r="J26" s="45">
        <v>9.1999999999999993</v>
      </c>
      <c r="K26" s="45">
        <v>9.1999999999999993</v>
      </c>
      <c r="L26" s="45">
        <v>9.1999999999999993</v>
      </c>
      <c r="M26" s="45">
        <v>9.1999999999999993</v>
      </c>
      <c r="N26" s="45">
        <v>9.1999999999999993</v>
      </c>
      <c r="O26" s="45">
        <v>9.1999999999999993</v>
      </c>
      <c r="P26" s="45">
        <v>9.1999999999999993</v>
      </c>
      <c r="Q26" s="45">
        <v>9.1999999999999993</v>
      </c>
      <c r="R26" s="45">
        <v>9.1999999999999993</v>
      </c>
      <c r="S26" s="45">
        <v>9.1999999999999993</v>
      </c>
      <c r="T26" s="45">
        <v>9.1999999999999993</v>
      </c>
      <c r="U26" s="45">
        <v>9.1999999999999993</v>
      </c>
      <c r="V26" s="45">
        <v>9.1999999999999993</v>
      </c>
      <c r="W26" s="45">
        <v>9.1999999999999993</v>
      </c>
      <c r="X26" s="45">
        <v>9.1999999999999993</v>
      </c>
      <c r="Y26" s="45">
        <v>9.1999999999999993</v>
      </c>
      <c r="Z26" s="45">
        <v>9.1999999999999993</v>
      </c>
      <c r="AA26" s="45">
        <v>9.1999999999999993</v>
      </c>
      <c r="AB26" s="45">
        <v>9.1999999999999993</v>
      </c>
      <c r="AC26" s="45">
        <v>9.1999999999999993</v>
      </c>
      <c r="AD26" s="45">
        <v>9.1999999999999993</v>
      </c>
      <c r="AE26" s="45">
        <v>9.1999999999999993</v>
      </c>
      <c r="AF26" s="45">
        <v>9.1999999999999993</v>
      </c>
      <c r="AG26" s="49">
        <v>25</v>
      </c>
      <c r="AH26" s="47">
        <f t="shared" si="8"/>
        <v>9.1999999999999993</v>
      </c>
      <c r="AI26" s="48">
        <f t="shared" si="9"/>
        <v>9.1999999999999993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7.4</v>
      </c>
      <c r="P29" s="45">
        <v>7.4</v>
      </c>
      <c r="Q29" s="45">
        <v>7.4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7.4</v>
      </c>
      <c r="AC29" s="45">
        <v>7.4</v>
      </c>
      <c r="AD29" s="45">
        <v>7.4</v>
      </c>
      <c r="AE29" s="45">
        <v>7.4</v>
      </c>
      <c r="AF29" s="45">
        <v>7.4</v>
      </c>
      <c r="AG29" s="49">
        <v>25</v>
      </c>
      <c r="AH29" s="47">
        <f t="shared" si="8"/>
        <v>7.4</v>
      </c>
      <c r="AI29" s="48">
        <f t="shared" si="9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6.7</v>
      </c>
      <c r="C30" s="45">
        <v>6.7</v>
      </c>
      <c r="D30" s="45">
        <v>6.7</v>
      </c>
      <c r="E30" s="45">
        <v>6.7</v>
      </c>
      <c r="F30" s="45">
        <v>6.7</v>
      </c>
      <c r="G30" s="45">
        <v>6.7</v>
      </c>
      <c r="H30" s="45">
        <v>6.7</v>
      </c>
      <c r="I30" s="45">
        <v>6.7</v>
      </c>
      <c r="J30" s="45">
        <v>6.7</v>
      </c>
      <c r="K30" s="45">
        <v>6.7</v>
      </c>
      <c r="L30" s="45">
        <v>6.7</v>
      </c>
      <c r="M30" s="45">
        <v>6.7</v>
      </c>
      <c r="N30" s="45">
        <v>6.7</v>
      </c>
      <c r="O30" s="45">
        <v>6.7</v>
      </c>
      <c r="P30" s="45">
        <v>6.7</v>
      </c>
      <c r="Q30" s="45">
        <v>6.7</v>
      </c>
      <c r="R30" s="45">
        <v>6.7</v>
      </c>
      <c r="S30" s="45">
        <v>6.7</v>
      </c>
      <c r="T30" s="45">
        <v>6.7</v>
      </c>
      <c r="U30" s="45">
        <v>6.7</v>
      </c>
      <c r="V30" s="45">
        <v>6.7</v>
      </c>
      <c r="W30" s="45">
        <v>6.7</v>
      </c>
      <c r="X30" s="45">
        <v>6.7</v>
      </c>
      <c r="Y30" s="45">
        <v>6.7</v>
      </c>
      <c r="Z30" s="45">
        <v>6.7</v>
      </c>
      <c r="AA30" s="45">
        <v>6.7</v>
      </c>
      <c r="AB30" s="45">
        <v>6.7</v>
      </c>
      <c r="AC30" s="45">
        <v>6.7</v>
      </c>
      <c r="AD30" s="45">
        <v>6.7</v>
      </c>
      <c r="AE30" s="45">
        <v>6.7</v>
      </c>
      <c r="AF30" s="45">
        <v>6.7</v>
      </c>
      <c r="AG30" s="49">
        <v>23.5</v>
      </c>
      <c r="AH30" s="47">
        <f t="shared" si="8"/>
        <v>6.7</v>
      </c>
      <c r="AI30" s="48">
        <f t="shared" si="9"/>
        <v>6.7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10.6</v>
      </c>
      <c r="C34" s="45">
        <v>10.6</v>
      </c>
      <c r="D34" s="45">
        <v>10.6</v>
      </c>
      <c r="E34" s="45">
        <v>10.6</v>
      </c>
      <c r="F34" s="45">
        <v>10.6</v>
      </c>
      <c r="G34" s="45">
        <v>10.6</v>
      </c>
      <c r="H34" s="45">
        <v>10.6</v>
      </c>
      <c r="I34" s="45">
        <v>10.6</v>
      </c>
      <c r="J34" s="45">
        <v>10.6</v>
      </c>
      <c r="K34" s="45">
        <v>10.6</v>
      </c>
      <c r="L34" s="45">
        <v>10.6</v>
      </c>
      <c r="M34" s="45">
        <v>10.6</v>
      </c>
      <c r="N34" s="45">
        <v>10.6</v>
      </c>
      <c r="O34" s="45">
        <v>10.6</v>
      </c>
      <c r="P34" s="45">
        <v>10.6</v>
      </c>
      <c r="Q34" s="45">
        <v>10.6</v>
      </c>
      <c r="R34" s="45">
        <v>10.6</v>
      </c>
      <c r="S34" s="45">
        <v>10.6</v>
      </c>
      <c r="T34" s="45">
        <v>10.6</v>
      </c>
      <c r="U34" s="45">
        <v>10.6</v>
      </c>
      <c r="V34" s="45">
        <v>10.6</v>
      </c>
      <c r="W34" s="45">
        <v>10.6</v>
      </c>
      <c r="X34" s="45">
        <v>10.6</v>
      </c>
      <c r="Y34" s="45">
        <v>10.6</v>
      </c>
      <c r="Z34" s="45">
        <v>10.6</v>
      </c>
      <c r="AA34" s="45">
        <v>10.6</v>
      </c>
      <c r="AB34" s="45">
        <v>10.6</v>
      </c>
      <c r="AC34" s="45">
        <v>10.6</v>
      </c>
      <c r="AD34" s="45">
        <v>10.6</v>
      </c>
      <c r="AE34" s="45">
        <v>10.6</v>
      </c>
      <c r="AF34" s="45">
        <v>10.6</v>
      </c>
      <c r="AG34" s="49">
        <v>22</v>
      </c>
      <c r="AH34" s="47">
        <f t="shared" si="8"/>
        <v>10.6</v>
      </c>
      <c r="AI34" s="48">
        <f t="shared" si="9"/>
        <v>10.6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ref="AH50:AH81" si="22">MAX(B50:AF50)</f>
        <v>2.4500000000000002</v>
      </c>
      <c r="AI50" s="48">
        <f t="shared" ref="AI50:AI81" si="23">MIN(B50:AF50)</f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22"/>
        <v>3</v>
      </c>
      <c r="AI51" s="48">
        <f t="shared" si="23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22"/>
        <v>4</v>
      </c>
      <c r="AI52" s="48">
        <f t="shared" si="23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22"/>
        <v>4.5</v>
      </c>
      <c r="AI53" s="48">
        <f t="shared" si="23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22"/>
        <v>0</v>
      </c>
      <c r="AI54" s="48">
        <f t="shared" si="2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22"/>
        <v>0</v>
      </c>
      <c r="AI55" s="48">
        <f t="shared" si="2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2"/>
        <v>150</v>
      </c>
      <c r="AI56" s="48">
        <f t="shared" si="23"/>
        <v>150</v>
      </c>
      <c r="AK56" s="50"/>
    </row>
    <row r="57" spans="1:88" ht="15.75" thickBot="1" x14ac:dyDescent="0.3">
      <c r="A57" s="58" t="s">
        <v>57</v>
      </c>
      <c r="B57" s="57">
        <v>21.9</v>
      </c>
      <c r="C57" s="57">
        <v>21.9</v>
      </c>
      <c r="D57" s="57">
        <v>21.9</v>
      </c>
      <c r="E57" s="57">
        <v>21.1</v>
      </c>
      <c r="F57" s="57">
        <v>20.8</v>
      </c>
      <c r="G57" s="57">
        <v>20.7</v>
      </c>
      <c r="H57" s="57">
        <v>20.7</v>
      </c>
      <c r="I57" s="57">
        <v>19.8</v>
      </c>
      <c r="J57" s="57">
        <v>19.8</v>
      </c>
      <c r="K57" s="57">
        <v>19.8</v>
      </c>
      <c r="L57" s="57">
        <v>19.8</v>
      </c>
      <c r="M57" s="51">
        <f>13.1+5.4</f>
        <v>18.5</v>
      </c>
      <c r="N57" s="51">
        <f>13.8+6</f>
        <v>19.8</v>
      </c>
      <c r="O57" s="51">
        <f>14.5+6.3</f>
        <v>20.8</v>
      </c>
      <c r="P57" s="51">
        <f>15.6+7.2</f>
        <v>22.8</v>
      </c>
      <c r="Q57" s="51">
        <f>16+7.3</f>
        <v>23.3</v>
      </c>
      <c r="R57" s="51">
        <f>16+7.3</f>
        <v>23.3</v>
      </c>
      <c r="S57" s="51">
        <f>6.9+15.6</f>
        <v>22.5</v>
      </c>
      <c r="T57" s="51">
        <f>6.9+15.6</f>
        <v>22.5</v>
      </c>
      <c r="U57" s="51">
        <f>5.2+12.3</f>
        <v>17.5</v>
      </c>
      <c r="V57" s="51">
        <v>16.8</v>
      </c>
      <c r="W57" s="51">
        <v>16</v>
      </c>
      <c r="X57" s="51">
        <v>15.8</v>
      </c>
      <c r="Y57" s="51">
        <v>15.8</v>
      </c>
      <c r="Z57" s="51">
        <v>15.8</v>
      </c>
      <c r="AA57" s="51">
        <v>15.8</v>
      </c>
      <c r="AB57" s="51">
        <v>15.8</v>
      </c>
      <c r="AC57" s="51">
        <v>15.8</v>
      </c>
      <c r="AD57" s="51">
        <v>15.8</v>
      </c>
      <c r="AE57" s="51">
        <v>15.8</v>
      </c>
      <c r="AF57" s="51">
        <v>15.8</v>
      </c>
      <c r="AG57" s="55">
        <v>240</v>
      </c>
      <c r="AH57" s="47">
        <f t="shared" si="22"/>
        <v>23.3</v>
      </c>
      <c r="AI57" s="48">
        <f t="shared" si="23"/>
        <v>15.8</v>
      </c>
      <c r="AK57" s="50"/>
    </row>
    <row r="58" spans="1:88" ht="15.75" thickBot="1" x14ac:dyDescent="0.3">
      <c r="A58" s="59" t="s">
        <v>58</v>
      </c>
      <c r="B58" s="60">
        <f t="shared" ref="B58:C58" si="24">SUM(B11:B56)</f>
        <v>472.75</v>
      </c>
      <c r="C58" s="60">
        <f t="shared" si="24"/>
        <v>472.75</v>
      </c>
      <c r="D58" s="60">
        <f t="shared" ref="D58" si="25">SUM(D11:D56)</f>
        <v>472.75</v>
      </c>
      <c r="E58" s="60">
        <f t="shared" ref="E58:AF58" si="26">SUM(E11:E56)</f>
        <v>472.75</v>
      </c>
      <c r="F58" s="60">
        <f t="shared" si="26"/>
        <v>472.75</v>
      </c>
      <c r="G58" s="60">
        <f t="shared" si="26"/>
        <v>472.75</v>
      </c>
      <c r="H58" s="60">
        <f t="shared" si="26"/>
        <v>472.75</v>
      </c>
      <c r="I58" s="60">
        <f t="shared" si="26"/>
        <v>472.75</v>
      </c>
      <c r="J58" s="60">
        <f t="shared" si="26"/>
        <v>472.75</v>
      </c>
      <c r="K58" s="60">
        <f t="shared" si="26"/>
        <v>472.75</v>
      </c>
      <c r="L58" s="60">
        <f t="shared" si="26"/>
        <v>472.75</v>
      </c>
      <c r="M58" s="60">
        <f t="shared" si="26"/>
        <v>468.45</v>
      </c>
      <c r="N58" s="60">
        <f t="shared" si="26"/>
        <v>468.75</v>
      </c>
      <c r="O58" s="60">
        <f t="shared" si="26"/>
        <v>468.75</v>
      </c>
      <c r="P58" s="60">
        <f t="shared" si="26"/>
        <v>467.35</v>
      </c>
      <c r="Q58" s="60">
        <f t="shared" si="26"/>
        <v>467.35</v>
      </c>
      <c r="R58" s="60">
        <f t="shared" si="26"/>
        <v>467.35</v>
      </c>
      <c r="S58" s="60">
        <f t="shared" si="26"/>
        <v>471.05</v>
      </c>
      <c r="T58" s="60">
        <f t="shared" si="26"/>
        <v>471.05</v>
      </c>
      <c r="U58" s="60">
        <f t="shared" si="26"/>
        <v>471.05</v>
      </c>
      <c r="V58" s="60">
        <f t="shared" si="26"/>
        <v>471.05</v>
      </c>
      <c r="W58" s="60">
        <f t="shared" si="26"/>
        <v>471.05</v>
      </c>
      <c r="X58" s="60">
        <f t="shared" si="26"/>
        <v>471.05</v>
      </c>
      <c r="Y58" s="60">
        <f t="shared" si="26"/>
        <v>471.05</v>
      </c>
      <c r="Z58" s="60">
        <f t="shared" si="26"/>
        <v>471.05</v>
      </c>
      <c r="AA58" s="60">
        <f t="shared" si="26"/>
        <v>471.05</v>
      </c>
      <c r="AB58" s="60">
        <f t="shared" si="26"/>
        <v>474.85</v>
      </c>
      <c r="AC58" s="60">
        <f t="shared" si="26"/>
        <v>474.85</v>
      </c>
      <c r="AD58" s="60">
        <f t="shared" si="26"/>
        <v>474.85</v>
      </c>
      <c r="AE58" s="60">
        <f t="shared" si="26"/>
        <v>474.85</v>
      </c>
      <c r="AF58" s="60">
        <f t="shared" si="26"/>
        <v>474.85</v>
      </c>
      <c r="AG58" s="61">
        <f>SUM(AG14:AG56)</f>
        <v>1042.4000000000001</v>
      </c>
      <c r="AH58" s="47">
        <f t="shared" si="22"/>
        <v>474.85</v>
      </c>
      <c r="AI58" s="48">
        <f t="shared" si="23"/>
        <v>467.35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50</v>
      </c>
      <c r="K59" s="45">
        <v>250</v>
      </c>
      <c r="L59" s="45">
        <v>420</v>
      </c>
      <c r="M59" s="45">
        <v>440</v>
      </c>
      <c r="N59" s="63">
        <v>290</v>
      </c>
      <c r="O59" s="63">
        <v>20</v>
      </c>
      <c r="P59" s="63">
        <v>0</v>
      </c>
      <c r="Q59" s="63">
        <v>0</v>
      </c>
      <c r="R59" s="63">
        <v>0</v>
      </c>
      <c r="S59" s="63">
        <v>0</v>
      </c>
      <c r="T59" s="63">
        <v>25</v>
      </c>
      <c r="U59" s="63">
        <v>55</v>
      </c>
      <c r="V59" s="63">
        <v>40</v>
      </c>
      <c r="W59" s="63">
        <v>50</v>
      </c>
      <c r="X59" s="63">
        <v>50</v>
      </c>
      <c r="Y59" s="63">
        <v>250</v>
      </c>
      <c r="Z59" s="63">
        <v>280</v>
      </c>
      <c r="AA59" s="63">
        <v>190</v>
      </c>
      <c r="AB59" s="45">
        <v>15</v>
      </c>
      <c r="AC59" s="45">
        <v>30</v>
      </c>
      <c r="AD59" s="45">
        <v>30</v>
      </c>
      <c r="AE59" s="45">
        <v>30</v>
      </c>
      <c r="AF59" s="45">
        <v>0</v>
      </c>
      <c r="AG59" s="52">
        <v>456</v>
      </c>
      <c r="AH59" s="47">
        <f t="shared" si="22"/>
        <v>440</v>
      </c>
      <c r="AI59" s="48">
        <f t="shared" si="23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22"/>
        <v>27</v>
      </c>
      <c r="AI60" s="48">
        <f t="shared" si="23"/>
        <v>27</v>
      </c>
      <c r="AK60" s="50"/>
    </row>
    <row r="61" spans="1:88" ht="15.75" thickBot="1" x14ac:dyDescent="0.3">
      <c r="A61" s="66" t="s">
        <v>61</v>
      </c>
      <c r="B61" s="67">
        <v>10.3</v>
      </c>
      <c r="C61" s="67">
        <v>10.3</v>
      </c>
      <c r="D61" s="67">
        <v>10.3</v>
      </c>
      <c r="E61" s="67">
        <v>10.3</v>
      </c>
      <c r="F61" s="67">
        <v>10.3</v>
      </c>
      <c r="G61" s="67">
        <v>10.3</v>
      </c>
      <c r="H61" s="67">
        <v>10.3</v>
      </c>
      <c r="I61" s="67">
        <v>10.3</v>
      </c>
      <c r="J61" s="67">
        <v>10.3</v>
      </c>
      <c r="K61" s="67">
        <v>10.3</v>
      </c>
      <c r="L61" s="67">
        <v>10.3</v>
      </c>
      <c r="M61" s="67">
        <v>10.3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10.199999999999999</v>
      </c>
      <c r="T61" s="67">
        <v>10.199999999999999</v>
      </c>
      <c r="U61" s="67">
        <v>9.1</v>
      </c>
      <c r="V61" s="67">
        <v>9.1</v>
      </c>
      <c r="W61" s="67">
        <v>9.1</v>
      </c>
      <c r="X61" s="67">
        <v>9.1</v>
      </c>
      <c r="Y61" s="67">
        <v>9.1</v>
      </c>
      <c r="Z61" s="67">
        <v>14.1</v>
      </c>
      <c r="AA61" s="67">
        <v>14.1</v>
      </c>
      <c r="AB61" s="67">
        <v>14.1</v>
      </c>
      <c r="AC61" s="67">
        <v>8.5</v>
      </c>
      <c r="AD61" s="67">
        <v>8.5</v>
      </c>
      <c r="AE61" s="67">
        <v>8.5</v>
      </c>
      <c r="AF61" s="67">
        <v>8.5</v>
      </c>
      <c r="AG61" s="68">
        <v>22.1</v>
      </c>
      <c r="AH61" s="47">
        <f t="shared" si="22"/>
        <v>14.1</v>
      </c>
      <c r="AI61" s="48">
        <f t="shared" si="23"/>
        <v>8.5</v>
      </c>
      <c r="AK61" s="50"/>
    </row>
    <row r="62" spans="1:88" ht="15.75" thickBot="1" x14ac:dyDescent="0.3">
      <c r="A62" s="69" t="s">
        <v>62</v>
      </c>
      <c r="B62" s="60">
        <f t="shared" ref="B62:C62" si="27">SUM(B59:B61)</f>
        <v>37.299999999999997</v>
      </c>
      <c r="C62" s="60">
        <f t="shared" si="27"/>
        <v>37.299999999999997</v>
      </c>
      <c r="D62" s="60">
        <f t="shared" ref="D62" si="28">SUM(D59:D61)</f>
        <v>37.299999999999997</v>
      </c>
      <c r="E62" s="60">
        <f t="shared" ref="E62:AG62" si="29">SUM(E59:E61)</f>
        <v>37.299999999999997</v>
      </c>
      <c r="F62" s="60">
        <f t="shared" si="29"/>
        <v>37.299999999999997</v>
      </c>
      <c r="G62" s="60">
        <f t="shared" si="29"/>
        <v>37.299999999999997</v>
      </c>
      <c r="H62" s="60">
        <f t="shared" si="29"/>
        <v>37.299999999999997</v>
      </c>
      <c r="I62" s="60">
        <f t="shared" si="29"/>
        <v>52.3</v>
      </c>
      <c r="J62" s="60">
        <f t="shared" si="29"/>
        <v>87.3</v>
      </c>
      <c r="K62" s="60">
        <f t="shared" si="29"/>
        <v>287.3</v>
      </c>
      <c r="L62" s="60">
        <f t="shared" si="29"/>
        <v>457.3</v>
      </c>
      <c r="M62" s="60">
        <f t="shared" si="29"/>
        <v>477.3</v>
      </c>
      <c r="N62" s="60">
        <f t="shared" si="29"/>
        <v>327.2</v>
      </c>
      <c r="O62" s="60">
        <f t="shared" si="29"/>
        <v>57.2</v>
      </c>
      <c r="P62" s="60">
        <f t="shared" si="29"/>
        <v>37.200000000000003</v>
      </c>
      <c r="Q62" s="60">
        <f t="shared" si="29"/>
        <v>37.200000000000003</v>
      </c>
      <c r="R62" s="60">
        <f t="shared" si="29"/>
        <v>37.200000000000003</v>
      </c>
      <c r="S62" s="60">
        <f t="shared" si="29"/>
        <v>37.200000000000003</v>
      </c>
      <c r="T62" s="60">
        <f t="shared" si="29"/>
        <v>62.2</v>
      </c>
      <c r="U62" s="60">
        <f t="shared" si="29"/>
        <v>91.1</v>
      </c>
      <c r="V62" s="60">
        <f t="shared" si="29"/>
        <v>76.099999999999994</v>
      </c>
      <c r="W62" s="60">
        <f t="shared" si="29"/>
        <v>86.1</v>
      </c>
      <c r="X62" s="60">
        <f t="shared" si="29"/>
        <v>86.1</v>
      </c>
      <c r="Y62" s="60">
        <f t="shared" si="29"/>
        <v>286.10000000000002</v>
      </c>
      <c r="Z62" s="60">
        <f t="shared" si="29"/>
        <v>321.10000000000002</v>
      </c>
      <c r="AA62" s="60">
        <f t="shared" si="29"/>
        <v>231.1</v>
      </c>
      <c r="AB62" s="60">
        <f t="shared" si="29"/>
        <v>56.1</v>
      </c>
      <c r="AC62" s="60">
        <f t="shared" si="29"/>
        <v>65.5</v>
      </c>
      <c r="AD62" s="60">
        <f t="shared" si="29"/>
        <v>65.5</v>
      </c>
      <c r="AE62" s="60">
        <f t="shared" si="29"/>
        <v>65.5</v>
      </c>
      <c r="AF62" s="60">
        <f t="shared" si="29"/>
        <v>35.5</v>
      </c>
      <c r="AG62" s="61">
        <f t="shared" si="29"/>
        <v>538.1</v>
      </c>
      <c r="AH62" s="47">
        <f t="shared" si="22"/>
        <v>477.3</v>
      </c>
      <c r="AI62" s="48">
        <f t="shared" si="23"/>
        <v>35.5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31.4</v>
      </c>
      <c r="I63" s="45">
        <v>59</v>
      </c>
      <c r="J63" s="45">
        <v>59</v>
      </c>
      <c r="K63" s="45">
        <v>63.2</v>
      </c>
      <c r="L63" s="45">
        <v>63.2</v>
      </c>
      <c r="M63" s="45">
        <v>91.7</v>
      </c>
      <c r="N63" s="45">
        <v>102.4</v>
      </c>
      <c r="O63" s="45">
        <v>111.8</v>
      </c>
      <c r="P63" s="45">
        <v>70</v>
      </c>
      <c r="Q63" s="45">
        <v>62</v>
      </c>
      <c r="R63" s="45">
        <v>30</v>
      </c>
      <c r="S63" s="45">
        <v>30.7</v>
      </c>
      <c r="T63" s="45">
        <v>48.7</v>
      </c>
      <c r="U63" s="45">
        <v>40.299999999999997</v>
      </c>
      <c r="V63" s="45">
        <v>40.299999999999997</v>
      </c>
      <c r="W63" s="45">
        <v>30.6</v>
      </c>
      <c r="X63" s="45">
        <v>49.2</v>
      </c>
      <c r="Y63" s="45">
        <v>92</v>
      </c>
      <c r="Z63" s="45">
        <v>144</v>
      </c>
      <c r="AA63" s="45">
        <v>144</v>
      </c>
      <c r="AB63" s="45">
        <v>102</v>
      </c>
      <c r="AC63" s="45">
        <v>60.2</v>
      </c>
      <c r="AD63" s="45">
        <v>60.2</v>
      </c>
      <c r="AE63" s="45">
        <v>60.2</v>
      </c>
      <c r="AF63" s="45">
        <v>0</v>
      </c>
      <c r="AG63" s="52">
        <v>144</v>
      </c>
      <c r="AH63" s="47">
        <f t="shared" si="22"/>
        <v>144</v>
      </c>
      <c r="AI63" s="48">
        <f t="shared" si="23"/>
        <v>0</v>
      </c>
      <c r="AK63" s="50"/>
    </row>
    <row r="64" spans="1:88" x14ac:dyDescent="0.25">
      <c r="A64" s="54" t="s">
        <v>64</v>
      </c>
      <c r="B64" s="65">
        <v>22.5</v>
      </c>
      <c r="C64" s="65">
        <v>22.5</v>
      </c>
      <c r="D64" s="65">
        <v>22.5</v>
      </c>
      <c r="E64" s="65">
        <v>0</v>
      </c>
      <c r="F64" s="65">
        <v>24.6</v>
      </c>
      <c r="G64" s="65">
        <v>24.6</v>
      </c>
      <c r="H64" s="65">
        <v>24.6</v>
      </c>
      <c r="I64" s="65">
        <v>24.6</v>
      </c>
      <c r="J64" s="65">
        <v>34.1</v>
      </c>
      <c r="K64" s="65">
        <v>25</v>
      </c>
      <c r="L64" s="65">
        <v>34.799999999999997</v>
      </c>
      <c r="M64" s="65">
        <v>34.799999999999997</v>
      </c>
      <c r="N64" s="65">
        <v>34.799999999999997</v>
      </c>
      <c r="O64" s="65">
        <v>34.799999999999997</v>
      </c>
      <c r="P64" s="65">
        <v>34.799999999999997</v>
      </c>
      <c r="Q64" s="65">
        <v>26.3</v>
      </c>
      <c r="R64" s="65">
        <v>26.3</v>
      </c>
      <c r="S64" s="65">
        <v>24.5</v>
      </c>
      <c r="T64" s="65">
        <v>34.700000000000003</v>
      </c>
      <c r="U64" s="65">
        <v>34.799999999999997</v>
      </c>
      <c r="V64" s="65">
        <v>34.799999999999997</v>
      </c>
      <c r="W64" s="65">
        <v>24.8</v>
      </c>
      <c r="X64" s="65">
        <v>24.8</v>
      </c>
      <c r="Y64" s="65">
        <v>24.8</v>
      </c>
      <c r="Z64" s="65">
        <v>34.799999999999997</v>
      </c>
      <c r="AA64" s="65">
        <v>34.799999999999997</v>
      </c>
      <c r="AB64" s="45">
        <v>25</v>
      </c>
      <c r="AC64" s="45">
        <v>25</v>
      </c>
      <c r="AD64" s="45">
        <v>25</v>
      </c>
      <c r="AE64" s="45">
        <v>25</v>
      </c>
      <c r="AF64" s="45">
        <v>25</v>
      </c>
      <c r="AG64" s="55">
        <v>70</v>
      </c>
      <c r="AH64" s="47">
        <f t="shared" si="22"/>
        <v>34.799999999999997</v>
      </c>
      <c r="AI64" s="48">
        <f t="shared" si="23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16.3</v>
      </c>
      <c r="H65" s="65">
        <v>15.6</v>
      </c>
      <c r="I65" s="65">
        <v>33</v>
      </c>
      <c r="J65" s="65">
        <v>33</v>
      </c>
      <c r="K65" s="65">
        <v>33</v>
      </c>
      <c r="L65" s="65">
        <v>51.4</v>
      </c>
      <c r="M65" s="65">
        <v>51.9</v>
      </c>
      <c r="N65" s="65">
        <v>70</v>
      </c>
      <c r="O65" s="65">
        <v>55.5</v>
      </c>
      <c r="P65" s="65">
        <v>60</v>
      </c>
      <c r="Q65" s="65">
        <v>34</v>
      </c>
      <c r="R65" s="65">
        <v>34</v>
      </c>
      <c r="S65" s="65">
        <v>34.700000000000003</v>
      </c>
      <c r="T65" s="65">
        <v>34.700000000000003</v>
      </c>
      <c r="U65" s="65">
        <v>35.200000000000003</v>
      </c>
      <c r="V65" s="65">
        <v>35.200000000000003</v>
      </c>
      <c r="W65" s="65">
        <v>18</v>
      </c>
      <c r="X65" s="65">
        <v>18</v>
      </c>
      <c r="Y65" s="65">
        <v>36</v>
      </c>
      <c r="Z65" s="65">
        <v>68</v>
      </c>
      <c r="AA65" s="65">
        <v>68</v>
      </c>
      <c r="AB65" s="45">
        <v>51</v>
      </c>
      <c r="AC65" s="45">
        <v>51</v>
      </c>
      <c r="AD65" s="45">
        <v>51</v>
      </c>
      <c r="AE65" s="45">
        <v>51</v>
      </c>
      <c r="AF65" s="45">
        <v>0</v>
      </c>
      <c r="AG65" s="55">
        <v>69</v>
      </c>
      <c r="AH65" s="47">
        <f t="shared" si="22"/>
        <v>70</v>
      </c>
      <c r="AI65" s="48">
        <f t="shared" si="23"/>
        <v>0</v>
      </c>
      <c r="AK65" s="50"/>
    </row>
    <row r="66" spans="1:75" x14ac:dyDescent="0.25">
      <c r="A66" s="54" t="s">
        <v>66</v>
      </c>
      <c r="B66" s="65">
        <v>33.700000000000003</v>
      </c>
      <c r="C66" s="65">
        <v>33.700000000000003</v>
      </c>
      <c r="D66" s="65">
        <v>33.700000000000003</v>
      </c>
      <c r="E66" s="65">
        <v>33.700000000000003</v>
      </c>
      <c r="F66" s="65">
        <v>33.700000000000003</v>
      </c>
      <c r="G66" s="65">
        <v>33.700000000000003</v>
      </c>
      <c r="H66" s="65">
        <v>37.799999999999997</v>
      </c>
      <c r="I66" s="65">
        <v>37.799999999999997</v>
      </c>
      <c r="J66" s="65">
        <v>37.799999999999997</v>
      </c>
      <c r="K66" s="65">
        <v>37.799999999999997</v>
      </c>
      <c r="L66" s="65">
        <v>37.799999999999997</v>
      </c>
      <c r="M66" s="65">
        <v>37.799999999999997</v>
      </c>
      <c r="N66" s="65">
        <v>37.799999999999997</v>
      </c>
      <c r="O66" s="65">
        <v>36</v>
      </c>
      <c r="P66" s="65">
        <v>36</v>
      </c>
      <c r="Q66" s="65">
        <v>36</v>
      </c>
      <c r="R66" s="65">
        <v>36</v>
      </c>
      <c r="S66" s="65">
        <v>37.1</v>
      </c>
      <c r="T66" s="65">
        <v>37.1</v>
      </c>
      <c r="U66" s="65">
        <v>35.799999999999997</v>
      </c>
      <c r="V66" s="65">
        <v>35.799999999999997</v>
      </c>
      <c r="W66" s="65">
        <v>36.299999999999997</v>
      </c>
      <c r="X66" s="65">
        <v>36.299999999999997</v>
      </c>
      <c r="Y66" s="65">
        <v>36.299999999999997</v>
      </c>
      <c r="Z66" s="65">
        <v>36.299999999999997</v>
      </c>
      <c r="AA66" s="65">
        <v>36.299999999999997</v>
      </c>
      <c r="AB66" s="45">
        <v>35.799999999999997</v>
      </c>
      <c r="AC66" s="45">
        <v>35.799999999999997</v>
      </c>
      <c r="AD66" s="45">
        <v>35.799999999999997</v>
      </c>
      <c r="AE66" s="45">
        <v>35.799999999999997</v>
      </c>
      <c r="AF66" s="45">
        <v>35.799999999999997</v>
      </c>
      <c r="AG66" s="55">
        <v>60</v>
      </c>
      <c r="AH66" s="47">
        <f t="shared" si="22"/>
        <v>37.799999999999997</v>
      </c>
      <c r="AI66" s="48">
        <f t="shared" si="23"/>
        <v>33.700000000000003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65">
        <v>10</v>
      </c>
      <c r="I67" s="65">
        <v>10</v>
      </c>
      <c r="J67" s="65">
        <v>10</v>
      </c>
      <c r="K67" s="65">
        <v>10</v>
      </c>
      <c r="L67" s="65">
        <v>10</v>
      </c>
      <c r="M67" s="65">
        <v>10</v>
      </c>
      <c r="N67" s="65">
        <v>10</v>
      </c>
      <c r="O67" s="65">
        <v>15</v>
      </c>
      <c r="P67" s="65">
        <v>15</v>
      </c>
      <c r="Q67" s="65">
        <v>10</v>
      </c>
      <c r="R67" s="65">
        <v>10</v>
      </c>
      <c r="S67" s="65">
        <v>14.8</v>
      </c>
      <c r="T67" s="65">
        <v>10.3</v>
      </c>
      <c r="U67" s="65">
        <v>10</v>
      </c>
      <c r="V67" s="65">
        <v>10.5</v>
      </c>
      <c r="W67" s="65">
        <v>10.5</v>
      </c>
      <c r="X67" s="65">
        <v>10.5</v>
      </c>
      <c r="Y67" s="65">
        <v>23</v>
      </c>
      <c r="Z67" s="65">
        <v>28</v>
      </c>
      <c r="AA67" s="65">
        <v>26</v>
      </c>
      <c r="AB67" s="45">
        <v>15</v>
      </c>
      <c r="AC67" s="45">
        <v>15</v>
      </c>
      <c r="AD67" s="45">
        <v>10</v>
      </c>
      <c r="AE67" s="45">
        <v>15</v>
      </c>
      <c r="AF67" s="45">
        <v>10</v>
      </c>
      <c r="AG67" s="55">
        <v>30</v>
      </c>
      <c r="AH67" s="47">
        <f t="shared" si="22"/>
        <v>28</v>
      </c>
      <c r="AI67" s="48">
        <f t="shared" si="23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0.6</v>
      </c>
      <c r="M68" s="65">
        <v>3.1</v>
      </c>
      <c r="N68" s="65">
        <v>3.1</v>
      </c>
      <c r="O68" s="65">
        <v>9.8000000000000007</v>
      </c>
      <c r="P68" s="65">
        <v>9.8000000000000007</v>
      </c>
      <c r="Q68" s="65">
        <v>9.8000000000000007</v>
      </c>
      <c r="R68" s="65">
        <v>9.8000000000000007</v>
      </c>
      <c r="S68" s="65">
        <v>9.8000000000000007</v>
      </c>
      <c r="T68" s="65">
        <v>9.5</v>
      </c>
      <c r="U68" s="65">
        <v>6.8</v>
      </c>
      <c r="V68" s="65">
        <v>1.6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22"/>
        <v>9.8000000000000007</v>
      </c>
      <c r="AI68" s="48">
        <f t="shared" si="23"/>
        <v>0</v>
      </c>
      <c r="AK68" s="50"/>
      <c r="AY68" s="1" t="s">
        <v>377</v>
      </c>
      <c r="AZ68" s="233">
        <f>ROUND(C81,0)</f>
        <v>64</v>
      </c>
      <c r="BA68" s="232">
        <f t="shared" ref="BA68:BD72" si="30">D81</f>
        <v>64</v>
      </c>
      <c r="BB68" s="232">
        <f t="shared" si="30"/>
        <v>62.8</v>
      </c>
      <c r="BC68" s="232">
        <f t="shared" si="30"/>
        <v>53.3</v>
      </c>
      <c r="BD68" s="232">
        <f t="shared" si="30"/>
        <v>62.9</v>
      </c>
      <c r="BE68" s="233">
        <f>I81</f>
        <v>67</v>
      </c>
      <c r="BF68" s="233">
        <f>K81</f>
        <v>58</v>
      </c>
      <c r="BG68" s="233">
        <f t="shared" ref="BG68:BP72" si="31">M81</f>
        <v>55</v>
      </c>
      <c r="BH68" s="233">
        <f t="shared" si="31"/>
        <v>56.6</v>
      </c>
      <c r="BI68" s="233">
        <f t="shared" si="31"/>
        <v>62.5</v>
      </c>
      <c r="BJ68" s="233">
        <f t="shared" si="31"/>
        <v>65</v>
      </c>
      <c r="BK68" s="233">
        <f t="shared" si="31"/>
        <v>51</v>
      </c>
      <c r="BL68" s="233">
        <f t="shared" si="31"/>
        <v>54</v>
      </c>
      <c r="BM68" s="233">
        <f t="shared" si="31"/>
        <v>66.8</v>
      </c>
      <c r="BN68" s="233">
        <f t="shared" si="31"/>
        <v>55.8</v>
      </c>
      <c r="BO68" s="233">
        <f t="shared" si="31"/>
        <v>58.5</v>
      </c>
      <c r="BP68" s="233">
        <f t="shared" si="31"/>
        <v>54.2</v>
      </c>
      <c r="BQ68" s="233">
        <f>X81</f>
        <v>64.7</v>
      </c>
      <c r="BR68" s="233">
        <f>Z81</f>
        <v>66.900000000000006</v>
      </c>
      <c r="BS68" s="232">
        <f>AB81</f>
        <v>60</v>
      </c>
      <c r="BT68" s="232">
        <f>AD81</f>
        <v>55</v>
      </c>
      <c r="BU68" s="232">
        <f>AE81</f>
        <v>68</v>
      </c>
      <c r="BV68" s="232">
        <f>AF81</f>
        <v>61</v>
      </c>
      <c r="BW68" s="232">
        <f>B81</f>
        <v>66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22"/>
        <v>15</v>
      </c>
      <c r="AI69" s="48">
        <f t="shared" si="23"/>
        <v>15</v>
      </c>
      <c r="AK69" s="50"/>
      <c r="AY69" s="1" t="s">
        <v>604</v>
      </c>
      <c r="AZ69" s="233">
        <f>ROUND(C82,0)</f>
        <v>0</v>
      </c>
      <c r="BA69" s="232">
        <f t="shared" si="30"/>
        <v>0</v>
      </c>
      <c r="BB69" s="232">
        <f t="shared" si="30"/>
        <v>0</v>
      </c>
      <c r="BC69" s="232">
        <f t="shared" si="30"/>
        <v>0</v>
      </c>
      <c r="BD69" s="232">
        <f t="shared" si="30"/>
        <v>0</v>
      </c>
      <c r="BE69" s="233">
        <f t="shared" ref="BE69:BE72" si="32">I82</f>
        <v>0</v>
      </c>
      <c r="BF69" s="233">
        <f t="shared" ref="BF69:BF72" si="33">K82</f>
        <v>0</v>
      </c>
      <c r="BG69" s="233">
        <f t="shared" si="31"/>
        <v>0</v>
      </c>
      <c r="BH69" s="233">
        <f t="shared" si="31"/>
        <v>0</v>
      </c>
      <c r="BI69" s="233">
        <f t="shared" si="31"/>
        <v>0</v>
      </c>
      <c r="BJ69" s="233">
        <f t="shared" si="31"/>
        <v>0</v>
      </c>
      <c r="BK69" s="233">
        <f t="shared" si="31"/>
        <v>0</v>
      </c>
      <c r="BL69" s="233">
        <f t="shared" si="31"/>
        <v>0</v>
      </c>
      <c r="BM69" s="233">
        <f t="shared" si="31"/>
        <v>0</v>
      </c>
      <c r="BN69" s="233">
        <f t="shared" si="31"/>
        <v>0</v>
      </c>
      <c r="BO69" s="233">
        <f t="shared" si="31"/>
        <v>0</v>
      </c>
      <c r="BP69" s="233">
        <f t="shared" si="31"/>
        <v>0</v>
      </c>
      <c r="BQ69" s="233">
        <f t="shared" ref="BQ69:BQ72" si="34">X82</f>
        <v>0</v>
      </c>
      <c r="BR69" s="233">
        <f t="shared" ref="BR69:BR72" si="35">Z82</f>
        <v>0</v>
      </c>
      <c r="BS69" s="232">
        <f t="shared" ref="BS69:BS72" si="36">AB82</f>
        <v>0</v>
      </c>
      <c r="BT69" s="232">
        <f t="shared" ref="BT69:BV72" si="37">AD82</f>
        <v>0</v>
      </c>
      <c r="BU69" s="232">
        <f t="shared" si="37"/>
        <v>0</v>
      </c>
      <c r="BV69" s="232">
        <f t="shared" si="37"/>
        <v>0</v>
      </c>
      <c r="BW69" s="232">
        <f t="shared" ref="BW69:BW72" si="38">B82</f>
        <v>0</v>
      </c>
    </row>
    <row r="70" spans="1:75" x14ac:dyDescent="0.25">
      <c r="A70" s="54" t="s">
        <v>70</v>
      </c>
      <c r="B70" s="65">
        <v>2.6</v>
      </c>
      <c r="C70" s="65">
        <v>2.6</v>
      </c>
      <c r="D70" s="65">
        <v>2.6</v>
      </c>
      <c r="E70" s="65">
        <v>2.6</v>
      </c>
      <c r="F70" s="65">
        <v>2.6</v>
      </c>
      <c r="G70" s="65">
        <v>2.6</v>
      </c>
      <c r="H70" s="65">
        <v>2.6</v>
      </c>
      <c r="I70" s="65">
        <v>2.6</v>
      </c>
      <c r="J70" s="65">
        <v>2.6</v>
      </c>
      <c r="K70" s="65">
        <v>2.6</v>
      </c>
      <c r="L70" s="65">
        <v>2.6</v>
      </c>
      <c r="M70" s="65">
        <v>2.6</v>
      </c>
      <c r="N70" s="65">
        <v>2.6</v>
      </c>
      <c r="O70" s="65">
        <v>2.6</v>
      </c>
      <c r="P70" s="65">
        <v>2.6</v>
      </c>
      <c r="Q70" s="65">
        <v>2.6</v>
      </c>
      <c r="R70" s="65">
        <v>2.6</v>
      </c>
      <c r="S70" s="65">
        <v>2.6</v>
      </c>
      <c r="T70" s="65">
        <v>2.6</v>
      </c>
      <c r="U70" s="65">
        <v>2.6</v>
      </c>
      <c r="V70" s="65">
        <v>2.6</v>
      </c>
      <c r="W70" s="65">
        <v>2.6</v>
      </c>
      <c r="X70" s="65">
        <v>2.6</v>
      </c>
      <c r="Y70" s="65">
        <v>2.6</v>
      </c>
      <c r="Z70" s="65">
        <v>2.6</v>
      </c>
      <c r="AA70" s="65">
        <v>2.6</v>
      </c>
      <c r="AB70" s="65">
        <v>2.6</v>
      </c>
      <c r="AC70" s="65">
        <v>2.6</v>
      </c>
      <c r="AD70" s="65">
        <v>2.6</v>
      </c>
      <c r="AE70" s="65">
        <v>2.6</v>
      </c>
      <c r="AF70" s="65">
        <v>2.6</v>
      </c>
      <c r="AG70" s="55">
        <v>15</v>
      </c>
      <c r="AH70" s="47">
        <f t="shared" si="22"/>
        <v>2.6</v>
      </c>
      <c r="AI70" s="48">
        <f t="shared" si="23"/>
        <v>2.6</v>
      </c>
      <c r="AK70" s="50"/>
      <c r="AL70" s="70"/>
      <c r="AO70" s="70"/>
      <c r="AY70" s="1" t="s">
        <v>605</v>
      </c>
      <c r="AZ70" s="233">
        <f>ROUND(C83,0)</f>
        <v>411</v>
      </c>
      <c r="BA70" s="232">
        <f t="shared" si="30"/>
        <v>410</v>
      </c>
      <c r="BB70" s="232">
        <f t="shared" si="30"/>
        <v>420</v>
      </c>
      <c r="BC70" s="232">
        <f t="shared" si="30"/>
        <v>435.5</v>
      </c>
      <c r="BD70" s="232">
        <f t="shared" si="30"/>
        <v>437</v>
      </c>
      <c r="BE70" s="233">
        <f t="shared" si="32"/>
        <v>430</v>
      </c>
      <c r="BF70" s="233">
        <f t="shared" si="33"/>
        <v>184</v>
      </c>
      <c r="BG70" s="233">
        <f t="shared" si="31"/>
        <v>30.5</v>
      </c>
      <c r="BH70" s="233">
        <f t="shared" si="31"/>
        <v>129</v>
      </c>
      <c r="BI70" s="233">
        <f t="shared" si="31"/>
        <v>320</v>
      </c>
      <c r="BJ70" s="233">
        <f t="shared" si="31"/>
        <v>340</v>
      </c>
      <c r="BK70" s="233">
        <f t="shared" si="31"/>
        <v>404</v>
      </c>
      <c r="BL70" s="233">
        <f t="shared" si="31"/>
        <v>406</v>
      </c>
      <c r="BM70" s="233">
        <f t="shared" si="31"/>
        <v>418.4</v>
      </c>
      <c r="BN70" s="233">
        <f t="shared" si="31"/>
        <v>409</v>
      </c>
      <c r="BO70" s="233">
        <f t="shared" si="31"/>
        <v>392</v>
      </c>
      <c r="BP70" s="233">
        <f t="shared" si="31"/>
        <v>383</v>
      </c>
      <c r="BQ70" s="233">
        <f t="shared" si="34"/>
        <v>384</v>
      </c>
      <c r="BR70" s="233">
        <f t="shared" si="35"/>
        <v>124</v>
      </c>
      <c r="BS70" s="232">
        <f t="shared" si="36"/>
        <v>302</v>
      </c>
      <c r="BT70" s="232">
        <f t="shared" si="37"/>
        <v>357</v>
      </c>
      <c r="BU70" s="232">
        <f t="shared" si="37"/>
        <v>347</v>
      </c>
      <c r="BV70" s="232">
        <f t="shared" si="37"/>
        <v>342</v>
      </c>
      <c r="BW70" s="232">
        <f t="shared" si="38"/>
        <v>398</v>
      </c>
    </row>
    <row r="71" spans="1:75" s="70" customFormat="1" x14ac:dyDescent="0.25">
      <c r="A71" s="54" t="s">
        <v>71</v>
      </c>
      <c r="B71" s="65">
        <v>8.9</v>
      </c>
      <c r="C71" s="65">
        <v>8.9</v>
      </c>
      <c r="D71" s="65">
        <v>8.9</v>
      </c>
      <c r="E71" s="65">
        <v>8.9</v>
      </c>
      <c r="F71" s="65">
        <v>8.9</v>
      </c>
      <c r="G71" s="65">
        <v>8.9</v>
      </c>
      <c r="H71" s="65">
        <v>8.9</v>
      </c>
      <c r="I71" s="65">
        <v>8.9</v>
      </c>
      <c r="J71" s="65">
        <v>8.9</v>
      </c>
      <c r="K71" s="65">
        <v>8.9</v>
      </c>
      <c r="L71" s="65">
        <v>8.9</v>
      </c>
      <c r="M71" s="65">
        <v>8.9</v>
      </c>
      <c r="N71" s="65">
        <v>8.9</v>
      </c>
      <c r="O71" s="65">
        <v>8.9</v>
      </c>
      <c r="P71" s="65">
        <v>8.9</v>
      </c>
      <c r="Q71" s="65">
        <v>8.9</v>
      </c>
      <c r="R71" s="65">
        <v>8.9</v>
      </c>
      <c r="S71" s="65">
        <v>8.9</v>
      </c>
      <c r="T71" s="65">
        <v>8.9</v>
      </c>
      <c r="U71" s="65">
        <v>8.9</v>
      </c>
      <c r="V71" s="65">
        <v>8.9</v>
      </c>
      <c r="W71" s="65">
        <v>8.9</v>
      </c>
      <c r="X71" s="65">
        <v>8.9</v>
      </c>
      <c r="Y71" s="65">
        <v>8.9</v>
      </c>
      <c r="Z71" s="65">
        <v>8.9</v>
      </c>
      <c r="AA71" s="65">
        <v>8.9</v>
      </c>
      <c r="AB71" s="65">
        <v>8.9</v>
      </c>
      <c r="AC71" s="65">
        <v>8.9</v>
      </c>
      <c r="AD71" s="65">
        <v>8.9</v>
      </c>
      <c r="AE71" s="65">
        <v>8.9</v>
      </c>
      <c r="AF71" s="65">
        <v>8.9</v>
      </c>
      <c r="AG71" s="55">
        <v>14.1</v>
      </c>
      <c r="AH71" s="47">
        <f t="shared" si="22"/>
        <v>8.9</v>
      </c>
      <c r="AI71" s="48">
        <f t="shared" si="23"/>
        <v>8.9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2</v>
      </c>
      <c r="BA71" s="232">
        <f t="shared" si="30"/>
        <v>2.4</v>
      </c>
      <c r="BB71" s="232">
        <f t="shared" si="30"/>
        <v>3.2</v>
      </c>
      <c r="BC71" s="232">
        <f t="shared" si="30"/>
        <v>3</v>
      </c>
      <c r="BD71" s="232">
        <f t="shared" si="30"/>
        <v>3.8</v>
      </c>
      <c r="BE71" s="233">
        <f t="shared" si="32"/>
        <v>4.7</v>
      </c>
      <c r="BF71" s="233">
        <f t="shared" si="33"/>
        <v>5.9</v>
      </c>
      <c r="BG71" s="233">
        <f t="shared" si="31"/>
        <v>4.5999999999999996</v>
      </c>
      <c r="BH71" s="233">
        <f t="shared" si="31"/>
        <v>4.5999999999999996</v>
      </c>
      <c r="BI71" s="233">
        <f t="shared" si="31"/>
        <v>17</v>
      </c>
      <c r="BJ71" s="233">
        <f t="shared" si="31"/>
        <v>40</v>
      </c>
      <c r="BK71" s="233">
        <f t="shared" si="31"/>
        <v>40</v>
      </c>
      <c r="BL71" s="233">
        <f t="shared" si="31"/>
        <v>3.4</v>
      </c>
      <c r="BM71" s="233">
        <f t="shared" si="31"/>
        <v>6</v>
      </c>
      <c r="BN71" s="233">
        <f t="shared" si="31"/>
        <v>9.4</v>
      </c>
      <c r="BO71" s="233">
        <f t="shared" si="31"/>
        <v>10.1</v>
      </c>
      <c r="BP71" s="233">
        <f t="shared" si="31"/>
        <v>7.2</v>
      </c>
      <c r="BQ71" s="233">
        <f t="shared" si="34"/>
        <v>8.6</v>
      </c>
      <c r="BR71" s="233">
        <f t="shared" si="35"/>
        <v>10</v>
      </c>
      <c r="BS71" s="232">
        <f t="shared" si="36"/>
        <v>8</v>
      </c>
      <c r="BT71" s="232">
        <f t="shared" si="37"/>
        <v>7</v>
      </c>
      <c r="BU71" s="232">
        <f t="shared" si="37"/>
        <v>6.5</v>
      </c>
      <c r="BV71" s="232">
        <f t="shared" si="37"/>
        <v>2.4</v>
      </c>
      <c r="BW71" s="232">
        <f t="shared" si="38"/>
        <v>2.4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22"/>
        <v>3.3</v>
      </c>
      <c r="AI72" s="48">
        <f t="shared" si="23"/>
        <v>3.3</v>
      </c>
      <c r="AK72" s="50"/>
      <c r="AY72" s="1" t="s">
        <v>607</v>
      </c>
      <c r="AZ72" s="233">
        <f>ROUND(C85,0)</f>
        <v>126</v>
      </c>
      <c r="BA72" s="232">
        <f t="shared" si="30"/>
        <v>126</v>
      </c>
      <c r="BB72" s="232">
        <f t="shared" si="30"/>
        <v>91</v>
      </c>
      <c r="BC72" s="232">
        <f t="shared" si="30"/>
        <v>112</v>
      </c>
      <c r="BD72" s="232">
        <f t="shared" si="30"/>
        <v>103</v>
      </c>
      <c r="BE72" s="233">
        <f t="shared" si="32"/>
        <v>83</v>
      </c>
      <c r="BF72" s="233">
        <f t="shared" si="33"/>
        <v>55</v>
      </c>
      <c r="BG72" s="233">
        <f t="shared" si="31"/>
        <v>43</v>
      </c>
      <c r="BH72" s="233">
        <f t="shared" si="31"/>
        <v>40</v>
      </c>
      <c r="BI72" s="233">
        <f t="shared" si="31"/>
        <v>40</v>
      </c>
      <c r="BJ72" s="233">
        <f t="shared" si="31"/>
        <v>54</v>
      </c>
      <c r="BK72" s="233">
        <f t="shared" si="31"/>
        <v>64</v>
      </c>
      <c r="BL72" s="233">
        <f t="shared" si="31"/>
        <v>64</v>
      </c>
      <c r="BM72" s="233">
        <f t="shared" si="31"/>
        <v>82</v>
      </c>
      <c r="BN72" s="233">
        <f t="shared" si="31"/>
        <v>62.6</v>
      </c>
      <c r="BO72" s="233">
        <f t="shared" si="31"/>
        <v>57.6</v>
      </c>
      <c r="BP72" s="233">
        <f t="shared" si="31"/>
        <v>50.6</v>
      </c>
      <c r="BQ72" s="233">
        <f t="shared" si="34"/>
        <v>42.4</v>
      </c>
      <c r="BR72" s="233">
        <f t="shared" si="35"/>
        <v>52</v>
      </c>
      <c r="BS72" s="232">
        <f t="shared" si="36"/>
        <v>48</v>
      </c>
      <c r="BT72" s="232">
        <f t="shared" si="37"/>
        <v>100</v>
      </c>
      <c r="BU72" s="232">
        <f t="shared" si="37"/>
        <v>100</v>
      </c>
      <c r="BV72" s="232">
        <f t="shared" si="37"/>
        <v>110</v>
      </c>
      <c r="BW72" s="232">
        <f t="shared" si="38"/>
        <v>104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22"/>
        <v>4.5</v>
      </c>
      <c r="AI73" s="48">
        <f t="shared" si="23"/>
        <v>4.5</v>
      </c>
      <c r="AK73" s="50"/>
      <c r="AY73" s="1" t="s">
        <v>608</v>
      </c>
      <c r="AZ73" s="233">
        <f>ROUND(C91,0)</f>
        <v>0</v>
      </c>
      <c r="BA73" s="233">
        <f>D91</f>
        <v>0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0</v>
      </c>
      <c r="BF73" s="233">
        <f>K91</f>
        <v>45</v>
      </c>
      <c r="BG73" s="233">
        <f t="shared" ref="BG73:BP73" si="39">M91</f>
        <v>35</v>
      </c>
      <c r="BH73" s="233">
        <f t="shared" si="39"/>
        <v>30.9</v>
      </c>
      <c r="BI73" s="233">
        <f t="shared" si="39"/>
        <v>33.4</v>
      </c>
      <c r="BJ73" s="233">
        <f t="shared" si="39"/>
        <v>48</v>
      </c>
      <c r="BK73" s="233">
        <f t="shared" si="39"/>
        <v>50</v>
      </c>
      <c r="BL73" s="233">
        <f t="shared" si="39"/>
        <v>43</v>
      </c>
      <c r="BM73" s="233">
        <f t="shared" si="39"/>
        <v>37.4</v>
      </c>
      <c r="BN73" s="233">
        <f t="shared" si="39"/>
        <v>49.2</v>
      </c>
      <c r="BO73" s="233">
        <f t="shared" si="39"/>
        <v>51.4</v>
      </c>
      <c r="BP73" s="233">
        <f t="shared" si="39"/>
        <v>40.1</v>
      </c>
      <c r="BQ73" s="233">
        <f>X91</f>
        <v>35.200000000000003</v>
      </c>
      <c r="BR73" s="233">
        <f>Z91</f>
        <v>37</v>
      </c>
      <c r="BS73" s="233">
        <f>AB91</f>
        <v>72.599999999999994</v>
      </c>
      <c r="BT73" s="233">
        <f>AD91</f>
        <v>65</v>
      </c>
      <c r="BU73" s="233">
        <f>AE91</f>
        <v>66</v>
      </c>
      <c r="BV73" s="233">
        <f>AF91</f>
        <v>63</v>
      </c>
      <c r="BW73" s="233">
        <f>B91</f>
        <v>49.6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22"/>
        <v>2</v>
      </c>
      <c r="AI74" s="48">
        <f t="shared" si="23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2"/>
        <v>5.5</v>
      </c>
      <c r="AI75" s="48">
        <f t="shared" si="23"/>
        <v>3.5</v>
      </c>
      <c r="AK75" s="50"/>
      <c r="AZ75" s="233">
        <f>VALUE(AZ68)</f>
        <v>64</v>
      </c>
      <c r="BA75" s="233">
        <f t="shared" ref="BA75:BW75" si="40">VALUE(BA68)</f>
        <v>64</v>
      </c>
      <c r="BB75" s="233">
        <f t="shared" si="40"/>
        <v>62.8</v>
      </c>
      <c r="BC75" s="233">
        <f t="shared" si="40"/>
        <v>53.3</v>
      </c>
      <c r="BD75" s="233">
        <f t="shared" si="40"/>
        <v>62.9</v>
      </c>
      <c r="BE75" s="233">
        <f t="shared" si="40"/>
        <v>67</v>
      </c>
      <c r="BF75" s="233">
        <f t="shared" si="40"/>
        <v>58</v>
      </c>
      <c r="BG75" s="233">
        <f t="shared" si="40"/>
        <v>55</v>
      </c>
      <c r="BH75" s="233">
        <f t="shared" si="40"/>
        <v>56.6</v>
      </c>
      <c r="BI75" s="233">
        <f t="shared" si="40"/>
        <v>62.5</v>
      </c>
      <c r="BJ75" s="233">
        <f t="shared" si="40"/>
        <v>65</v>
      </c>
      <c r="BK75" s="233">
        <f t="shared" si="40"/>
        <v>51</v>
      </c>
      <c r="BL75" s="233">
        <f t="shared" si="40"/>
        <v>54</v>
      </c>
      <c r="BM75" s="233">
        <f t="shared" si="40"/>
        <v>66.8</v>
      </c>
      <c r="BN75" s="233">
        <f t="shared" si="40"/>
        <v>55.8</v>
      </c>
      <c r="BO75" s="233">
        <f t="shared" si="40"/>
        <v>58.5</v>
      </c>
      <c r="BP75" s="233">
        <f t="shared" si="40"/>
        <v>54.2</v>
      </c>
      <c r="BQ75" s="233">
        <f t="shared" si="40"/>
        <v>64.7</v>
      </c>
      <c r="BR75" s="233">
        <f t="shared" si="40"/>
        <v>66.900000000000006</v>
      </c>
      <c r="BS75" s="233">
        <f t="shared" si="40"/>
        <v>60</v>
      </c>
      <c r="BT75" s="233">
        <f t="shared" si="40"/>
        <v>55</v>
      </c>
      <c r="BU75" s="233">
        <f t="shared" si="40"/>
        <v>68</v>
      </c>
      <c r="BV75" s="233">
        <f t="shared" si="40"/>
        <v>61</v>
      </c>
      <c r="BW75" s="233">
        <f t="shared" si="40"/>
        <v>66</v>
      </c>
    </row>
    <row r="76" spans="1:75" ht="15.75" thickBot="1" x14ac:dyDescent="0.3">
      <c r="A76" s="74" t="s">
        <v>76</v>
      </c>
      <c r="B76" s="60">
        <f t="shared" ref="B76:C76" si="41">SUM(B63:B75)</f>
        <v>96.04</v>
      </c>
      <c r="C76" s="60">
        <f t="shared" si="41"/>
        <v>96.04</v>
      </c>
      <c r="D76" s="60">
        <f t="shared" ref="D76" si="42">SUM(D63:D75)</f>
        <v>96.04</v>
      </c>
      <c r="E76" s="60">
        <f t="shared" ref="E76:AG76" si="43">SUM(E63:E75)</f>
        <v>73.540000000000006</v>
      </c>
      <c r="F76" s="60">
        <f t="shared" si="43"/>
        <v>98.140000000000015</v>
      </c>
      <c r="G76" s="60">
        <f t="shared" si="43"/>
        <v>114.44000000000001</v>
      </c>
      <c r="H76" s="60">
        <f t="shared" si="43"/>
        <v>159.23999999999998</v>
      </c>
      <c r="I76" s="60">
        <f t="shared" si="43"/>
        <v>204.23999999999998</v>
      </c>
      <c r="J76" s="60">
        <f t="shared" si="43"/>
        <v>213.73999999999998</v>
      </c>
      <c r="K76" s="60">
        <f t="shared" si="43"/>
        <v>208.84</v>
      </c>
      <c r="L76" s="60">
        <f t="shared" si="43"/>
        <v>237.64</v>
      </c>
      <c r="M76" s="60">
        <f t="shared" si="43"/>
        <v>269.14</v>
      </c>
      <c r="N76" s="60">
        <f t="shared" si="43"/>
        <v>297.94000000000005</v>
      </c>
      <c r="O76" s="60">
        <f t="shared" si="43"/>
        <v>302.74</v>
      </c>
      <c r="P76" s="60">
        <f t="shared" si="43"/>
        <v>265.44000000000005</v>
      </c>
      <c r="Q76" s="60">
        <f t="shared" si="43"/>
        <v>217.94000000000003</v>
      </c>
      <c r="R76" s="60">
        <f t="shared" si="43"/>
        <v>185.94000000000003</v>
      </c>
      <c r="S76" s="60">
        <f t="shared" si="43"/>
        <v>191.44000000000003</v>
      </c>
      <c r="T76" s="60">
        <f t="shared" si="43"/>
        <v>214.84000000000003</v>
      </c>
      <c r="U76" s="60">
        <f t="shared" si="43"/>
        <v>202.74</v>
      </c>
      <c r="V76" s="60">
        <f t="shared" si="43"/>
        <v>198.04</v>
      </c>
      <c r="W76" s="60">
        <f t="shared" si="43"/>
        <v>160.04</v>
      </c>
      <c r="X76" s="60">
        <f t="shared" si="43"/>
        <v>178.64000000000001</v>
      </c>
      <c r="Y76" s="60">
        <f>SUM(Y63:Y75)</f>
        <v>251.90000000000003</v>
      </c>
      <c r="Z76" s="60">
        <f>SUM(Z63:Z75)</f>
        <v>352.90000000000003</v>
      </c>
      <c r="AA76" s="60">
        <f t="shared" si="43"/>
        <v>348.94000000000005</v>
      </c>
      <c r="AB76" s="60">
        <f t="shared" si="43"/>
        <v>268.64000000000004</v>
      </c>
      <c r="AC76" s="60">
        <f t="shared" si="43"/>
        <v>226.84</v>
      </c>
      <c r="AD76" s="60">
        <f t="shared" si="43"/>
        <v>221.84</v>
      </c>
      <c r="AE76" s="60">
        <f t="shared" si="43"/>
        <v>226.84</v>
      </c>
      <c r="AF76" s="60">
        <f t="shared" si="43"/>
        <v>110.64</v>
      </c>
      <c r="AG76" s="61">
        <f t="shared" si="43"/>
        <v>489.91</v>
      </c>
      <c r="AH76" s="47">
        <f t="shared" si="22"/>
        <v>352.90000000000003</v>
      </c>
      <c r="AI76" s="48">
        <f t="shared" si="23"/>
        <v>73.540000000000006</v>
      </c>
      <c r="AK76" s="50"/>
      <c r="AZ76" s="233">
        <f t="shared" ref="AZ76:BW80" si="44">VALUE(AZ69)</f>
        <v>0</v>
      </c>
      <c r="BA76" s="233">
        <f t="shared" si="44"/>
        <v>0</v>
      </c>
      <c r="BB76" s="233">
        <f t="shared" si="44"/>
        <v>0</v>
      </c>
      <c r="BC76" s="233">
        <f t="shared" si="44"/>
        <v>0</v>
      </c>
      <c r="BD76" s="233">
        <f t="shared" si="44"/>
        <v>0</v>
      </c>
      <c r="BE76" s="233">
        <f t="shared" si="44"/>
        <v>0</v>
      </c>
      <c r="BF76" s="233">
        <f t="shared" si="44"/>
        <v>0</v>
      </c>
      <c r="BG76" s="233">
        <f t="shared" si="44"/>
        <v>0</v>
      </c>
      <c r="BH76" s="233">
        <f t="shared" si="44"/>
        <v>0</v>
      </c>
      <c r="BI76" s="233">
        <f t="shared" si="44"/>
        <v>0</v>
      </c>
      <c r="BJ76" s="233">
        <f t="shared" si="44"/>
        <v>0</v>
      </c>
      <c r="BK76" s="233">
        <f t="shared" si="44"/>
        <v>0</v>
      </c>
      <c r="BL76" s="233">
        <f t="shared" si="44"/>
        <v>0</v>
      </c>
      <c r="BM76" s="233">
        <f t="shared" si="44"/>
        <v>0</v>
      </c>
      <c r="BN76" s="233">
        <f t="shared" si="44"/>
        <v>0</v>
      </c>
      <c r="BO76" s="233">
        <f t="shared" si="44"/>
        <v>0</v>
      </c>
      <c r="BP76" s="233">
        <f t="shared" si="44"/>
        <v>0</v>
      </c>
      <c r="BQ76" s="233">
        <f t="shared" si="44"/>
        <v>0</v>
      </c>
      <c r="BR76" s="233">
        <f t="shared" si="44"/>
        <v>0</v>
      </c>
      <c r="BS76" s="233">
        <f t="shared" si="44"/>
        <v>0</v>
      </c>
      <c r="BT76" s="233">
        <f t="shared" si="44"/>
        <v>0</v>
      </c>
      <c r="BU76" s="233">
        <f t="shared" si="44"/>
        <v>0</v>
      </c>
      <c r="BV76" s="233">
        <f t="shared" si="44"/>
        <v>0</v>
      </c>
      <c r="BW76" s="233">
        <f t="shared" si="44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2"/>
        <v>0</v>
      </c>
      <c r="AI77" s="48">
        <f t="shared" si="23"/>
        <v>0</v>
      </c>
      <c r="AK77" s="50"/>
      <c r="AZ77" s="233">
        <f t="shared" si="44"/>
        <v>411</v>
      </c>
      <c r="BA77" s="233">
        <f t="shared" si="44"/>
        <v>410</v>
      </c>
      <c r="BB77" s="233">
        <f t="shared" si="44"/>
        <v>420</v>
      </c>
      <c r="BC77" s="233">
        <f t="shared" si="44"/>
        <v>435.5</v>
      </c>
      <c r="BD77" s="233">
        <f t="shared" si="44"/>
        <v>437</v>
      </c>
      <c r="BE77" s="233">
        <f t="shared" si="44"/>
        <v>430</v>
      </c>
      <c r="BF77" s="233">
        <f t="shared" si="44"/>
        <v>184</v>
      </c>
      <c r="BG77" s="233">
        <f t="shared" si="44"/>
        <v>30.5</v>
      </c>
      <c r="BH77" s="233">
        <f t="shared" si="44"/>
        <v>129</v>
      </c>
      <c r="BI77" s="233">
        <f t="shared" si="44"/>
        <v>320</v>
      </c>
      <c r="BJ77" s="233">
        <f t="shared" si="44"/>
        <v>340</v>
      </c>
      <c r="BK77" s="233">
        <f t="shared" si="44"/>
        <v>404</v>
      </c>
      <c r="BL77" s="233">
        <f t="shared" si="44"/>
        <v>406</v>
      </c>
      <c r="BM77" s="233">
        <f t="shared" si="44"/>
        <v>418.4</v>
      </c>
      <c r="BN77" s="233">
        <f t="shared" si="44"/>
        <v>409</v>
      </c>
      <c r="BO77" s="233">
        <f t="shared" si="44"/>
        <v>392</v>
      </c>
      <c r="BP77" s="233">
        <f t="shared" si="44"/>
        <v>383</v>
      </c>
      <c r="BQ77" s="233">
        <f t="shared" si="44"/>
        <v>384</v>
      </c>
      <c r="BR77" s="233">
        <f t="shared" si="44"/>
        <v>124</v>
      </c>
      <c r="BS77" s="233">
        <f t="shared" si="44"/>
        <v>302</v>
      </c>
      <c r="BT77" s="233">
        <f t="shared" si="44"/>
        <v>357</v>
      </c>
      <c r="BU77" s="233">
        <f t="shared" si="44"/>
        <v>347</v>
      </c>
      <c r="BV77" s="233">
        <f t="shared" si="44"/>
        <v>342</v>
      </c>
      <c r="BW77" s="233">
        <f t="shared" si="44"/>
        <v>398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2"/>
        <v>0</v>
      </c>
      <c r="AI78" s="48">
        <f t="shared" si="23"/>
        <v>0</v>
      </c>
      <c r="AK78" s="50"/>
      <c r="AZ78" s="233">
        <f t="shared" si="44"/>
        <v>2</v>
      </c>
      <c r="BA78" s="233">
        <f t="shared" si="44"/>
        <v>2.4</v>
      </c>
      <c r="BB78" s="233">
        <f t="shared" si="44"/>
        <v>3.2</v>
      </c>
      <c r="BC78" s="233">
        <f t="shared" si="44"/>
        <v>3</v>
      </c>
      <c r="BD78" s="233">
        <f t="shared" si="44"/>
        <v>3.8</v>
      </c>
      <c r="BE78" s="233">
        <f t="shared" si="44"/>
        <v>4.7</v>
      </c>
      <c r="BF78" s="233">
        <f t="shared" si="44"/>
        <v>5.9</v>
      </c>
      <c r="BG78" s="233">
        <f t="shared" si="44"/>
        <v>4.5999999999999996</v>
      </c>
      <c r="BH78" s="233">
        <f t="shared" si="44"/>
        <v>4.5999999999999996</v>
      </c>
      <c r="BI78" s="233">
        <f t="shared" si="44"/>
        <v>17</v>
      </c>
      <c r="BJ78" s="233">
        <f t="shared" si="44"/>
        <v>40</v>
      </c>
      <c r="BK78" s="233">
        <f t="shared" si="44"/>
        <v>40</v>
      </c>
      <c r="BL78" s="233">
        <f t="shared" si="44"/>
        <v>3.4</v>
      </c>
      <c r="BM78" s="233">
        <f t="shared" si="44"/>
        <v>6</v>
      </c>
      <c r="BN78" s="233">
        <f t="shared" si="44"/>
        <v>9.4</v>
      </c>
      <c r="BO78" s="233">
        <f t="shared" si="44"/>
        <v>10.1</v>
      </c>
      <c r="BP78" s="233">
        <f t="shared" si="44"/>
        <v>7.2</v>
      </c>
      <c r="BQ78" s="233">
        <f t="shared" si="44"/>
        <v>8.6</v>
      </c>
      <c r="BR78" s="233">
        <f t="shared" si="44"/>
        <v>10</v>
      </c>
      <c r="BS78" s="233">
        <f t="shared" si="44"/>
        <v>8</v>
      </c>
      <c r="BT78" s="233">
        <f t="shared" si="44"/>
        <v>7</v>
      </c>
      <c r="BU78" s="233">
        <f t="shared" si="44"/>
        <v>6.5</v>
      </c>
      <c r="BV78" s="233">
        <f t="shared" si="44"/>
        <v>2.4</v>
      </c>
      <c r="BW78" s="233">
        <f t="shared" si="44"/>
        <v>2.4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2"/>
        <v>0</v>
      </c>
      <c r="AI79" s="48">
        <f t="shared" si="23"/>
        <v>0</v>
      </c>
      <c r="AK79" s="50"/>
      <c r="AZ79" s="233">
        <f t="shared" si="44"/>
        <v>126</v>
      </c>
      <c r="BA79" s="233">
        <f t="shared" si="44"/>
        <v>126</v>
      </c>
      <c r="BB79" s="233">
        <f t="shared" si="44"/>
        <v>91</v>
      </c>
      <c r="BC79" s="233">
        <f t="shared" si="44"/>
        <v>112</v>
      </c>
      <c r="BD79" s="233">
        <f t="shared" si="44"/>
        <v>103</v>
      </c>
      <c r="BE79" s="233">
        <f t="shared" si="44"/>
        <v>83</v>
      </c>
      <c r="BF79" s="233">
        <f t="shared" si="44"/>
        <v>55</v>
      </c>
      <c r="BG79" s="233">
        <f t="shared" si="44"/>
        <v>43</v>
      </c>
      <c r="BH79" s="233">
        <f t="shared" si="44"/>
        <v>40</v>
      </c>
      <c r="BI79" s="233">
        <f t="shared" si="44"/>
        <v>40</v>
      </c>
      <c r="BJ79" s="233">
        <f t="shared" si="44"/>
        <v>54</v>
      </c>
      <c r="BK79" s="233">
        <f t="shared" si="44"/>
        <v>64</v>
      </c>
      <c r="BL79" s="233">
        <f t="shared" si="44"/>
        <v>64</v>
      </c>
      <c r="BM79" s="233">
        <f t="shared" si="44"/>
        <v>82</v>
      </c>
      <c r="BN79" s="233">
        <f t="shared" si="44"/>
        <v>62.6</v>
      </c>
      <c r="BO79" s="233">
        <f t="shared" si="44"/>
        <v>57.6</v>
      </c>
      <c r="BP79" s="233">
        <f t="shared" si="44"/>
        <v>50.6</v>
      </c>
      <c r="BQ79" s="233">
        <f t="shared" si="44"/>
        <v>42.4</v>
      </c>
      <c r="BR79" s="233">
        <f t="shared" si="44"/>
        <v>52</v>
      </c>
      <c r="BS79" s="233">
        <f t="shared" si="44"/>
        <v>48</v>
      </c>
      <c r="BT79" s="233">
        <f t="shared" si="44"/>
        <v>100</v>
      </c>
      <c r="BU79" s="233">
        <f t="shared" si="44"/>
        <v>100</v>
      </c>
      <c r="BV79" s="233">
        <f t="shared" si="44"/>
        <v>110</v>
      </c>
      <c r="BW79" s="233">
        <f t="shared" si="44"/>
        <v>104</v>
      </c>
    </row>
    <row r="80" spans="1:75" ht="15.75" thickBot="1" x14ac:dyDescent="0.3">
      <c r="A80" s="74" t="s">
        <v>80</v>
      </c>
      <c r="B80" s="60">
        <f t="shared" ref="B80:C80" si="45">B77+B78+B79</f>
        <v>0</v>
      </c>
      <c r="C80" s="60">
        <f t="shared" si="45"/>
        <v>0</v>
      </c>
      <c r="D80" s="60">
        <f t="shared" ref="D80" si="46">D77+D78+D79</f>
        <v>0</v>
      </c>
      <c r="E80" s="60">
        <f t="shared" ref="E80:AF80" si="47">E77+E78+E79</f>
        <v>0</v>
      </c>
      <c r="F80" s="60">
        <f t="shared" si="47"/>
        <v>0</v>
      </c>
      <c r="G80" s="60">
        <f t="shared" si="47"/>
        <v>0</v>
      </c>
      <c r="H80" s="60">
        <f t="shared" si="47"/>
        <v>0</v>
      </c>
      <c r="I80" s="60">
        <f t="shared" si="47"/>
        <v>0</v>
      </c>
      <c r="J80" s="60">
        <f t="shared" si="47"/>
        <v>0</v>
      </c>
      <c r="K80" s="60">
        <f t="shared" si="47"/>
        <v>0</v>
      </c>
      <c r="L80" s="60">
        <f t="shared" si="47"/>
        <v>0</v>
      </c>
      <c r="M80" s="60">
        <f t="shared" si="47"/>
        <v>0</v>
      </c>
      <c r="N80" s="60">
        <f t="shared" si="47"/>
        <v>0</v>
      </c>
      <c r="O80" s="60">
        <f t="shared" si="47"/>
        <v>0</v>
      </c>
      <c r="P80" s="60">
        <f t="shared" si="47"/>
        <v>0</v>
      </c>
      <c r="Q80" s="60">
        <f t="shared" si="47"/>
        <v>0</v>
      </c>
      <c r="R80" s="60">
        <f t="shared" si="47"/>
        <v>0</v>
      </c>
      <c r="S80" s="60">
        <f t="shared" si="47"/>
        <v>0</v>
      </c>
      <c r="T80" s="60">
        <f t="shared" si="47"/>
        <v>0</v>
      </c>
      <c r="U80" s="60">
        <f t="shared" si="47"/>
        <v>0</v>
      </c>
      <c r="V80" s="60">
        <f t="shared" si="47"/>
        <v>0</v>
      </c>
      <c r="W80" s="60">
        <f t="shared" si="47"/>
        <v>0</v>
      </c>
      <c r="X80" s="60">
        <f t="shared" si="47"/>
        <v>0</v>
      </c>
      <c r="Y80" s="60">
        <f>Y77+Y78+Y79</f>
        <v>0</v>
      </c>
      <c r="Z80" s="60">
        <f>Z77+Z78+Z79</f>
        <v>0</v>
      </c>
      <c r="AA80" s="60">
        <f t="shared" si="47"/>
        <v>0</v>
      </c>
      <c r="AB80" s="60">
        <f t="shared" si="47"/>
        <v>0</v>
      </c>
      <c r="AC80" s="60">
        <f t="shared" si="47"/>
        <v>0</v>
      </c>
      <c r="AD80" s="60">
        <f t="shared" si="47"/>
        <v>0</v>
      </c>
      <c r="AE80" s="60">
        <f t="shared" si="47"/>
        <v>0</v>
      </c>
      <c r="AF80" s="60">
        <f t="shared" si="47"/>
        <v>0</v>
      </c>
      <c r="AG80" s="61">
        <f>SUM(AG77:AG79)</f>
        <v>106</v>
      </c>
      <c r="AH80" s="47">
        <f t="shared" si="22"/>
        <v>0</v>
      </c>
      <c r="AI80" s="48">
        <f t="shared" si="23"/>
        <v>0</v>
      </c>
      <c r="AK80" s="50"/>
      <c r="AZ80" s="233">
        <f t="shared" si="44"/>
        <v>0</v>
      </c>
      <c r="BA80" s="233">
        <f t="shared" si="44"/>
        <v>0</v>
      </c>
      <c r="BB80" s="233">
        <f t="shared" si="44"/>
        <v>0</v>
      </c>
      <c r="BC80" s="233">
        <f t="shared" si="44"/>
        <v>0</v>
      </c>
      <c r="BD80" s="233">
        <f t="shared" si="44"/>
        <v>0</v>
      </c>
      <c r="BE80" s="233">
        <f t="shared" si="44"/>
        <v>0</v>
      </c>
      <c r="BF80" s="233">
        <f t="shared" si="44"/>
        <v>45</v>
      </c>
      <c r="BG80" s="233">
        <f t="shared" si="44"/>
        <v>35</v>
      </c>
      <c r="BH80" s="233">
        <f t="shared" si="44"/>
        <v>30.9</v>
      </c>
      <c r="BI80" s="233">
        <f t="shared" si="44"/>
        <v>33.4</v>
      </c>
      <c r="BJ80" s="233">
        <f t="shared" si="44"/>
        <v>48</v>
      </c>
      <c r="BK80" s="233">
        <f t="shared" si="44"/>
        <v>50</v>
      </c>
      <c r="BL80" s="233">
        <f t="shared" si="44"/>
        <v>43</v>
      </c>
      <c r="BM80" s="233">
        <f t="shared" si="44"/>
        <v>37.4</v>
      </c>
      <c r="BN80" s="233">
        <f t="shared" si="44"/>
        <v>49.2</v>
      </c>
      <c r="BO80" s="233">
        <f t="shared" si="44"/>
        <v>51.4</v>
      </c>
      <c r="BP80" s="233">
        <f t="shared" si="44"/>
        <v>40.1</v>
      </c>
      <c r="BQ80" s="233">
        <f t="shared" si="44"/>
        <v>35.200000000000003</v>
      </c>
      <c r="BR80" s="233">
        <f t="shared" si="44"/>
        <v>37</v>
      </c>
      <c r="BS80" s="233">
        <f t="shared" si="44"/>
        <v>72.599999999999994</v>
      </c>
      <c r="BT80" s="233">
        <f t="shared" si="44"/>
        <v>65</v>
      </c>
      <c r="BU80" s="233">
        <f t="shared" si="44"/>
        <v>66</v>
      </c>
      <c r="BV80" s="233">
        <f t="shared" si="44"/>
        <v>63</v>
      </c>
      <c r="BW80" s="233">
        <f t="shared" si="44"/>
        <v>49.6</v>
      </c>
    </row>
    <row r="81" spans="1:64" x14ac:dyDescent="0.25">
      <c r="A81" s="44" t="s">
        <v>81</v>
      </c>
      <c r="B81" s="45">
        <v>66</v>
      </c>
      <c r="C81" s="45">
        <v>64</v>
      </c>
      <c r="D81" s="45">
        <v>64</v>
      </c>
      <c r="E81" s="45">
        <v>62.8</v>
      </c>
      <c r="F81" s="45">
        <v>53.3</v>
      </c>
      <c r="G81" s="45">
        <v>62.9</v>
      </c>
      <c r="H81" s="45">
        <v>61.7</v>
      </c>
      <c r="I81" s="45">
        <v>67</v>
      </c>
      <c r="J81" s="45">
        <v>65</v>
      </c>
      <c r="K81" s="45">
        <v>58</v>
      </c>
      <c r="L81" s="45">
        <v>54.6</v>
      </c>
      <c r="M81" s="45">
        <v>55</v>
      </c>
      <c r="N81" s="45">
        <v>56.6</v>
      </c>
      <c r="O81" s="45">
        <v>62.5</v>
      </c>
      <c r="P81" s="45">
        <v>65</v>
      </c>
      <c r="Q81" s="45">
        <v>51</v>
      </c>
      <c r="R81" s="45">
        <v>54</v>
      </c>
      <c r="S81" s="45">
        <v>66.8</v>
      </c>
      <c r="T81" s="45">
        <v>55.8</v>
      </c>
      <c r="U81" s="45">
        <v>58.5</v>
      </c>
      <c r="V81" s="45">
        <v>54.2</v>
      </c>
      <c r="W81" s="45">
        <v>51.4</v>
      </c>
      <c r="X81" s="45">
        <v>64.7</v>
      </c>
      <c r="Y81" s="45">
        <v>64.3</v>
      </c>
      <c r="Z81" s="45">
        <v>66.900000000000006</v>
      </c>
      <c r="AA81" s="45">
        <v>61</v>
      </c>
      <c r="AB81" s="45">
        <v>60</v>
      </c>
      <c r="AC81" s="45">
        <v>56.7</v>
      </c>
      <c r="AD81" s="45">
        <v>55</v>
      </c>
      <c r="AE81" s="45">
        <v>68</v>
      </c>
      <c r="AF81" s="45">
        <v>61</v>
      </c>
      <c r="AG81" s="52"/>
      <c r="AH81" s="47">
        <f t="shared" si="22"/>
        <v>68</v>
      </c>
      <c r="AI81" s="48">
        <f t="shared" si="23"/>
        <v>51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13" si="48">MAX(B82:AF82)</f>
        <v>0</v>
      </c>
      <c r="AI82" s="48">
        <f t="shared" ref="AI82:AI113" si="49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398</v>
      </c>
      <c r="C83" s="65">
        <v>411</v>
      </c>
      <c r="D83" s="65">
        <v>410</v>
      </c>
      <c r="E83" s="65">
        <v>420</v>
      </c>
      <c r="F83" s="65">
        <v>435.5</v>
      </c>
      <c r="G83" s="65">
        <v>437</v>
      </c>
      <c r="H83" s="65">
        <v>451</v>
      </c>
      <c r="I83" s="65">
        <v>430</v>
      </c>
      <c r="J83" s="65">
        <v>428</v>
      </c>
      <c r="K83" s="65">
        <v>184</v>
      </c>
      <c r="L83" s="65">
        <v>25</v>
      </c>
      <c r="M83" s="65">
        <v>30.5</v>
      </c>
      <c r="N83" s="65">
        <v>129</v>
      </c>
      <c r="O83" s="65">
        <v>320</v>
      </c>
      <c r="P83" s="65">
        <v>340</v>
      </c>
      <c r="Q83" s="65">
        <v>404</v>
      </c>
      <c r="R83" s="65">
        <v>406</v>
      </c>
      <c r="S83" s="65">
        <v>418.4</v>
      </c>
      <c r="T83" s="65">
        <v>409</v>
      </c>
      <c r="U83" s="65">
        <v>392</v>
      </c>
      <c r="V83" s="65">
        <v>383</v>
      </c>
      <c r="W83" s="65">
        <v>409</v>
      </c>
      <c r="X83" s="65">
        <v>384</v>
      </c>
      <c r="Y83" s="65">
        <v>258</v>
      </c>
      <c r="Z83" s="65">
        <v>124</v>
      </c>
      <c r="AA83" s="65">
        <v>118</v>
      </c>
      <c r="AB83" s="65">
        <v>302</v>
      </c>
      <c r="AC83" s="65">
        <v>307</v>
      </c>
      <c r="AD83" s="65">
        <v>357</v>
      </c>
      <c r="AE83" s="65">
        <v>347</v>
      </c>
      <c r="AF83" s="65">
        <v>342</v>
      </c>
      <c r="AG83" s="75"/>
      <c r="AH83" s="47">
        <f t="shared" si="48"/>
        <v>451</v>
      </c>
      <c r="AI83" s="48">
        <f t="shared" si="49"/>
        <v>25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2.4</v>
      </c>
      <c r="C84" s="65">
        <v>2.4</v>
      </c>
      <c r="D84" s="65">
        <v>2.4</v>
      </c>
      <c r="E84" s="76">
        <v>3.2</v>
      </c>
      <c r="F84" s="76">
        <v>3</v>
      </c>
      <c r="G84" s="76">
        <v>3.8</v>
      </c>
      <c r="H84" s="76">
        <v>4.2</v>
      </c>
      <c r="I84" s="76">
        <v>4.7</v>
      </c>
      <c r="J84" s="76">
        <v>5.4</v>
      </c>
      <c r="K84" s="76">
        <v>5.9</v>
      </c>
      <c r="L84" s="76">
        <v>4.5999999999999996</v>
      </c>
      <c r="M84" s="76">
        <v>4.5999999999999996</v>
      </c>
      <c r="N84" s="76">
        <v>4.5999999999999996</v>
      </c>
      <c r="O84" s="76">
        <v>17</v>
      </c>
      <c r="P84" s="76">
        <v>40</v>
      </c>
      <c r="Q84" s="76">
        <v>40</v>
      </c>
      <c r="R84" s="76">
        <v>3.4</v>
      </c>
      <c r="S84" s="76">
        <v>6</v>
      </c>
      <c r="T84" s="76">
        <v>9.4</v>
      </c>
      <c r="U84" s="76">
        <v>10.1</v>
      </c>
      <c r="V84" s="76">
        <v>7.2</v>
      </c>
      <c r="W84" s="76">
        <v>8</v>
      </c>
      <c r="X84" s="76">
        <v>8.6</v>
      </c>
      <c r="Y84" s="76">
        <v>10.3</v>
      </c>
      <c r="Z84" s="76">
        <v>10</v>
      </c>
      <c r="AA84" s="76">
        <v>9</v>
      </c>
      <c r="AB84" s="76">
        <v>8</v>
      </c>
      <c r="AC84" s="76">
        <v>5</v>
      </c>
      <c r="AD84" s="76">
        <v>7</v>
      </c>
      <c r="AE84" s="76">
        <v>6.5</v>
      </c>
      <c r="AF84" s="76">
        <v>2.4</v>
      </c>
      <c r="AG84" s="75"/>
      <c r="AH84" s="47">
        <f t="shared" si="48"/>
        <v>40</v>
      </c>
      <c r="AI84" s="48">
        <f t="shared" si="49"/>
        <v>2.4</v>
      </c>
      <c r="AK84" s="50"/>
      <c r="AY84" s="233"/>
      <c r="BF84" s="232"/>
      <c r="BG84" s="233">
        <f t="array" ref="BG84:BL107">TRANSPOSE(AZ68:BW73)</f>
        <v>64</v>
      </c>
      <c r="BH84" s="233">
        <v>0</v>
      </c>
      <c r="BI84" s="233">
        <v>411</v>
      </c>
      <c r="BJ84" s="233">
        <v>2</v>
      </c>
      <c r="BK84" s="233">
        <v>126</v>
      </c>
      <c r="BL84" s="233">
        <v>0</v>
      </c>
    </row>
    <row r="85" spans="1:64" x14ac:dyDescent="0.25">
      <c r="A85" s="54" t="s">
        <v>85</v>
      </c>
      <c r="B85" s="45">
        <v>104</v>
      </c>
      <c r="C85" s="45">
        <v>126</v>
      </c>
      <c r="D85" s="45">
        <v>126</v>
      </c>
      <c r="E85" s="45">
        <v>91</v>
      </c>
      <c r="F85" s="45">
        <v>112</v>
      </c>
      <c r="G85" s="45">
        <v>103</v>
      </c>
      <c r="H85" s="45">
        <v>85</v>
      </c>
      <c r="I85" s="45">
        <v>83</v>
      </c>
      <c r="J85" s="45">
        <v>76</v>
      </c>
      <c r="K85" s="45">
        <v>55</v>
      </c>
      <c r="L85" s="45">
        <v>46</v>
      </c>
      <c r="M85" s="45">
        <v>43</v>
      </c>
      <c r="N85" s="45">
        <v>40</v>
      </c>
      <c r="O85" s="45">
        <v>40</v>
      </c>
      <c r="P85" s="45">
        <v>54</v>
      </c>
      <c r="Q85" s="45">
        <v>64</v>
      </c>
      <c r="R85" s="45">
        <v>64</v>
      </c>
      <c r="S85" s="45">
        <v>82</v>
      </c>
      <c r="T85" s="45">
        <v>62.6</v>
      </c>
      <c r="U85" s="45">
        <v>57.6</v>
      </c>
      <c r="V85" s="45">
        <v>50.6</v>
      </c>
      <c r="W85" s="45">
        <v>44.4</v>
      </c>
      <c r="X85" s="45">
        <v>42.4</v>
      </c>
      <c r="Y85" s="45">
        <v>46.4</v>
      </c>
      <c r="Z85" s="45">
        <v>52</v>
      </c>
      <c r="AA85" s="45">
        <v>56.6</v>
      </c>
      <c r="AB85" s="45">
        <v>48</v>
      </c>
      <c r="AC85" s="45">
        <v>56</v>
      </c>
      <c r="AD85" s="45">
        <v>100</v>
      </c>
      <c r="AE85" s="45">
        <v>100</v>
      </c>
      <c r="AF85" s="45">
        <v>110</v>
      </c>
      <c r="AG85" s="75"/>
      <c r="AH85" s="47">
        <f t="shared" si="48"/>
        <v>126</v>
      </c>
      <c r="AI85" s="48">
        <f t="shared" si="49"/>
        <v>40</v>
      </c>
      <c r="AK85" s="50"/>
      <c r="AY85" s="233"/>
      <c r="BF85" s="232"/>
      <c r="BG85" s="233">
        <v>64</v>
      </c>
      <c r="BH85" s="233">
        <v>0</v>
      </c>
      <c r="BI85" s="233">
        <v>410</v>
      </c>
      <c r="BJ85" s="233">
        <v>2.4</v>
      </c>
      <c r="BK85" s="233">
        <v>126</v>
      </c>
      <c r="BL85" s="233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8"/>
        <v>0</v>
      </c>
      <c r="AI86" s="48">
        <f t="shared" si="49"/>
        <v>0</v>
      </c>
      <c r="AK86" s="50"/>
      <c r="AY86" s="233"/>
      <c r="BF86" s="232"/>
      <c r="BG86" s="233">
        <v>62.8</v>
      </c>
      <c r="BH86" s="233">
        <v>0</v>
      </c>
      <c r="BI86" s="233">
        <v>420</v>
      </c>
      <c r="BJ86" s="233">
        <v>3.2</v>
      </c>
      <c r="BK86" s="233">
        <v>91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8"/>
        <v>0</v>
      </c>
      <c r="AI87" s="48">
        <f t="shared" si="49"/>
        <v>0</v>
      </c>
      <c r="AK87" s="50"/>
      <c r="AL87" s="78" t="s">
        <v>88</v>
      </c>
      <c r="AM87" s="78"/>
      <c r="AY87" s="233"/>
      <c r="BF87" s="233"/>
      <c r="BG87" s="233">
        <v>53.3</v>
      </c>
      <c r="BH87" s="233">
        <v>0</v>
      </c>
      <c r="BI87" s="233">
        <v>435.5</v>
      </c>
      <c r="BJ87" s="233">
        <v>3</v>
      </c>
      <c r="BK87" s="233">
        <v>112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8"/>
        <v>0</v>
      </c>
      <c r="AI88" s="48">
        <f t="shared" si="49"/>
        <v>0</v>
      </c>
      <c r="AK88" s="79"/>
      <c r="AL88" s="80"/>
      <c r="AM88" s="80"/>
      <c r="AN88" s="81"/>
      <c r="AY88" s="233"/>
      <c r="BF88" s="233"/>
      <c r="BG88" s="233">
        <v>62.9</v>
      </c>
      <c r="BH88" s="233">
        <v>0</v>
      </c>
      <c r="BI88" s="233">
        <v>437</v>
      </c>
      <c r="BJ88" s="233">
        <v>3.8</v>
      </c>
      <c r="BK88" s="233">
        <v>103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8"/>
        <v>0</v>
      </c>
      <c r="AI89" s="48">
        <f t="shared" si="49"/>
        <v>0</v>
      </c>
      <c r="AK89" s="82" t="s">
        <v>91</v>
      </c>
      <c r="AL89" s="65"/>
      <c r="AM89" s="76"/>
      <c r="AN89" s="83"/>
      <c r="AY89" s="233"/>
      <c r="BF89" s="233"/>
      <c r="BG89" s="233">
        <v>67</v>
      </c>
      <c r="BH89" s="233">
        <v>0</v>
      </c>
      <c r="BI89" s="233">
        <v>430</v>
      </c>
      <c r="BJ89" s="233">
        <v>4.7</v>
      </c>
      <c r="BK89" s="233">
        <v>83</v>
      </c>
      <c r="BL89" s="233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8"/>
        <v>0</v>
      </c>
      <c r="AI90" s="48">
        <f t="shared" si="49"/>
        <v>0</v>
      </c>
      <c r="AK90" s="82" t="s">
        <v>93</v>
      </c>
      <c r="AL90" s="76"/>
      <c r="AM90" s="76"/>
      <c r="AN90" s="83"/>
      <c r="AY90" s="233"/>
      <c r="BF90" s="233"/>
      <c r="BG90" s="233">
        <v>58</v>
      </c>
      <c r="BH90" s="233">
        <v>0</v>
      </c>
      <c r="BI90" s="233">
        <v>184</v>
      </c>
      <c r="BJ90" s="233">
        <v>5.9</v>
      </c>
      <c r="BK90" s="233">
        <v>55</v>
      </c>
      <c r="BL90" s="233">
        <v>45</v>
      </c>
    </row>
    <row r="91" spans="1:64" ht="15.75" thickBot="1" x14ac:dyDescent="0.3">
      <c r="A91" s="84" t="s">
        <v>394</v>
      </c>
      <c r="B91" s="77">
        <v>49.6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41.2</v>
      </c>
      <c r="K91" s="77">
        <v>45</v>
      </c>
      <c r="L91" s="77">
        <v>35</v>
      </c>
      <c r="M91" s="77">
        <v>35</v>
      </c>
      <c r="N91" s="77">
        <v>30.9</v>
      </c>
      <c r="O91" s="77">
        <v>33.4</v>
      </c>
      <c r="P91" s="77">
        <v>48</v>
      </c>
      <c r="Q91" s="77">
        <v>50</v>
      </c>
      <c r="R91" s="77">
        <v>43</v>
      </c>
      <c r="S91" s="77">
        <v>37.4</v>
      </c>
      <c r="T91" s="77">
        <v>49.2</v>
      </c>
      <c r="U91" s="77">
        <v>51.4</v>
      </c>
      <c r="V91" s="77">
        <v>40.1</v>
      </c>
      <c r="W91" s="77">
        <v>36</v>
      </c>
      <c r="X91" s="77">
        <v>35.200000000000003</v>
      </c>
      <c r="Y91" s="77">
        <v>34.4</v>
      </c>
      <c r="Z91" s="77">
        <v>37</v>
      </c>
      <c r="AA91" s="77">
        <v>72.400000000000006</v>
      </c>
      <c r="AB91" s="77">
        <v>72.599999999999994</v>
      </c>
      <c r="AC91" s="77">
        <v>60</v>
      </c>
      <c r="AD91" s="77">
        <v>65</v>
      </c>
      <c r="AE91" s="77">
        <v>66</v>
      </c>
      <c r="AF91" s="77">
        <v>63</v>
      </c>
      <c r="AG91" s="85"/>
      <c r="AH91" s="47">
        <f t="shared" si="48"/>
        <v>72.599999999999994</v>
      </c>
      <c r="AI91" s="48">
        <f t="shared" si="49"/>
        <v>0</v>
      </c>
      <c r="AK91" s="86"/>
      <c r="AL91" s="45"/>
      <c r="AM91" s="45"/>
      <c r="AN91" s="87"/>
      <c r="AY91" s="233"/>
      <c r="BF91" s="233"/>
      <c r="BG91" s="233">
        <v>55</v>
      </c>
      <c r="BH91" s="233">
        <v>0</v>
      </c>
      <c r="BI91" s="233">
        <v>30.5</v>
      </c>
      <c r="BJ91" s="233">
        <v>4.5999999999999996</v>
      </c>
      <c r="BK91" s="233">
        <v>43</v>
      </c>
      <c r="BL91" s="233">
        <v>35</v>
      </c>
    </row>
    <row r="92" spans="1:64" ht="15.75" thickBot="1" x14ac:dyDescent="0.3">
      <c r="A92" s="74" t="s">
        <v>94</v>
      </c>
      <c r="B92" s="60">
        <f t="shared" ref="B92:C92" si="50">SUMIF(B81:B91,"&gt;0")</f>
        <v>620</v>
      </c>
      <c r="C92" s="60">
        <f t="shared" si="50"/>
        <v>603.4</v>
      </c>
      <c r="D92" s="60">
        <f t="shared" ref="D92" si="51">SUMIF(D81:D91,"&gt;0")</f>
        <v>602.4</v>
      </c>
      <c r="E92" s="60">
        <f t="shared" ref="E92:AF92" si="52">SUMIF(E81:E91,"&gt;0")</f>
        <v>577</v>
      </c>
      <c r="F92" s="60">
        <f t="shared" si="52"/>
        <v>603.79999999999995</v>
      </c>
      <c r="G92" s="60">
        <f t="shared" si="52"/>
        <v>606.70000000000005</v>
      </c>
      <c r="H92" s="60">
        <f t="shared" si="52"/>
        <v>601.90000000000009</v>
      </c>
      <c r="I92" s="60">
        <f t="shared" si="52"/>
        <v>584.70000000000005</v>
      </c>
      <c r="J92" s="60">
        <f t="shared" si="52"/>
        <v>615.6</v>
      </c>
      <c r="K92" s="60">
        <f t="shared" si="52"/>
        <v>347.9</v>
      </c>
      <c r="L92" s="60">
        <f t="shared" si="52"/>
        <v>165.2</v>
      </c>
      <c r="M92" s="60">
        <f t="shared" si="52"/>
        <v>168.1</v>
      </c>
      <c r="N92" s="60">
        <f t="shared" si="52"/>
        <v>261.09999999999997</v>
      </c>
      <c r="O92" s="60">
        <f t="shared" si="52"/>
        <v>472.9</v>
      </c>
      <c r="P92" s="60">
        <f t="shared" si="52"/>
        <v>547</v>
      </c>
      <c r="Q92" s="60">
        <f t="shared" si="52"/>
        <v>609</v>
      </c>
      <c r="R92" s="60">
        <f t="shared" si="52"/>
        <v>570.4</v>
      </c>
      <c r="S92" s="60">
        <f t="shared" si="52"/>
        <v>610.6</v>
      </c>
      <c r="T92" s="60">
        <f t="shared" si="52"/>
        <v>586</v>
      </c>
      <c r="U92" s="60">
        <f t="shared" si="52"/>
        <v>569.6</v>
      </c>
      <c r="V92" s="60">
        <f t="shared" si="52"/>
        <v>535.1</v>
      </c>
      <c r="W92" s="60">
        <f t="shared" si="52"/>
        <v>548.79999999999995</v>
      </c>
      <c r="X92" s="60">
        <f t="shared" si="52"/>
        <v>534.9</v>
      </c>
      <c r="Y92" s="60">
        <f>SUMIF(Y81:Y91,"&gt;0")</f>
        <v>413.4</v>
      </c>
      <c r="Z92" s="60">
        <f>SUMIF(Z81:Z91,"&gt;0")</f>
        <v>289.89999999999998</v>
      </c>
      <c r="AA92" s="60">
        <f t="shared" si="52"/>
        <v>317</v>
      </c>
      <c r="AB92" s="60">
        <f t="shared" si="52"/>
        <v>490.6</v>
      </c>
      <c r="AC92" s="60">
        <f t="shared" si="52"/>
        <v>484.7</v>
      </c>
      <c r="AD92" s="60">
        <f t="shared" si="52"/>
        <v>584</v>
      </c>
      <c r="AE92" s="60">
        <f t="shared" si="52"/>
        <v>587.5</v>
      </c>
      <c r="AF92" s="60">
        <f t="shared" si="52"/>
        <v>578.4</v>
      </c>
      <c r="AG92" s="88">
        <f>SUM(AG81:AG91)</f>
        <v>0</v>
      </c>
      <c r="AH92" s="47">
        <f t="shared" si="48"/>
        <v>620</v>
      </c>
      <c r="AI92" s="48">
        <f t="shared" si="49"/>
        <v>165.2</v>
      </c>
      <c r="AK92" s="86"/>
      <c r="AL92" s="77"/>
      <c r="AM92" s="89"/>
      <c r="AN92" s="257"/>
      <c r="AY92" s="233"/>
      <c r="BF92" s="233"/>
      <c r="BG92" s="233">
        <v>56.6</v>
      </c>
      <c r="BH92" s="233">
        <v>0</v>
      </c>
      <c r="BI92" s="233">
        <v>129</v>
      </c>
      <c r="BJ92" s="233">
        <v>4.5999999999999996</v>
      </c>
      <c r="BK92" s="233">
        <v>40</v>
      </c>
      <c r="BL92" s="233">
        <v>30.9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8"/>
        <v>0</v>
      </c>
      <c r="AI93" s="48">
        <f t="shared" si="49"/>
        <v>0</v>
      </c>
      <c r="AK93" s="86"/>
      <c r="AL93" s="77"/>
      <c r="AM93" s="77"/>
      <c r="AN93" s="258"/>
      <c r="BF93" s="233"/>
      <c r="BG93" s="233">
        <v>62.5</v>
      </c>
      <c r="BH93" s="233">
        <v>0</v>
      </c>
      <c r="BI93" s="233">
        <v>320</v>
      </c>
      <c r="BJ93" s="233">
        <v>17</v>
      </c>
      <c r="BK93" s="233">
        <v>40</v>
      </c>
      <c r="BL93" s="233">
        <v>33.4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8"/>
        <v>0</v>
      </c>
      <c r="AI94" s="48">
        <f t="shared" si="49"/>
        <v>0</v>
      </c>
      <c r="AK94" s="91"/>
      <c r="AL94" s="92"/>
      <c r="AM94" s="92"/>
      <c r="AN94" s="93"/>
      <c r="BF94" s="233"/>
      <c r="BG94" s="233">
        <v>65</v>
      </c>
      <c r="BH94" s="233">
        <v>0</v>
      </c>
      <c r="BI94" s="233">
        <v>340</v>
      </c>
      <c r="BJ94" s="233">
        <v>40</v>
      </c>
      <c r="BK94" s="233">
        <v>54</v>
      </c>
      <c r="BL94" s="233">
        <v>48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8"/>
        <v>0</v>
      </c>
      <c r="AI95" s="48">
        <f t="shared" si="49"/>
        <v>0</v>
      </c>
      <c r="BF95" s="233"/>
      <c r="BG95" s="233">
        <v>51</v>
      </c>
      <c r="BH95" s="233">
        <v>0</v>
      </c>
      <c r="BI95" s="233">
        <v>404</v>
      </c>
      <c r="BJ95" s="233">
        <v>40</v>
      </c>
      <c r="BK95" s="233">
        <v>64</v>
      </c>
      <c r="BL95" s="233">
        <v>50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8"/>
        <v>0</v>
      </c>
      <c r="AI96" s="48">
        <f t="shared" si="49"/>
        <v>0</v>
      </c>
      <c r="BF96" s="233"/>
      <c r="BG96" s="233">
        <v>54</v>
      </c>
      <c r="BH96" s="233">
        <v>0</v>
      </c>
      <c r="BI96" s="233">
        <v>406</v>
      </c>
      <c r="BJ96" s="233">
        <v>3.4</v>
      </c>
      <c r="BK96" s="233">
        <v>64</v>
      </c>
      <c r="BL96" s="233">
        <v>43</v>
      </c>
    </row>
    <row r="97" spans="1:64" ht="15.75" thickBot="1" x14ac:dyDescent="0.3">
      <c r="A97" s="74" t="s">
        <v>99</v>
      </c>
      <c r="B97" s="95">
        <f t="shared" ref="B97:C97" si="53">B58+B62+B80+B76+B92+B96</f>
        <v>1226.0900000000001</v>
      </c>
      <c r="C97" s="95">
        <f t="shared" si="53"/>
        <v>1209.49</v>
      </c>
      <c r="D97" s="95">
        <f t="shared" ref="D97" si="54">D58+D62+D80+D76+D92+D96</f>
        <v>1208.49</v>
      </c>
      <c r="E97" s="95">
        <f t="shared" ref="E97:AG97" si="55">E58+E62+E80+E76+E92+E96</f>
        <v>1160.5900000000001</v>
      </c>
      <c r="F97" s="95">
        <f t="shared" si="55"/>
        <v>1211.99</v>
      </c>
      <c r="G97" s="95">
        <f t="shared" si="55"/>
        <v>1231.19</v>
      </c>
      <c r="H97" s="95">
        <f t="shared" si="55"/>
        <v>1271.19</v>
      </c>
      <c r="I97" s="95">
        <f t="shared" si="55"/>
        <v>1313.99</v>
      </c>
      <c r="J97" s="95">
        <f t="shared" si="55"/>
        <v>1389.3899999999999</v>
      </c>
      <c r="K97" s="95">
        <f t="shared" si="55"/>
        <v>1316.79</v>
      </c>
      <c r="L97" s="95">
        <f t="shared" si="55"/>
        <v>1332.89</v>
      </c>
      <c r="M97" s="95">
        <f t="shared" si="55"/>
        <v>1382.9899999999998</v>
      </c>
      <c r="N97" s="95">
        <f t="shared" si="55"/>
        <v>1354.99</v>
      </c>
      <c r="O97" s="95">
        <f t="shared" si="55"/>
        <v>1301.5900000000001</v>
      </c>
      <c r="P97" s="95">
        <f t="shared" si="55"/>
        <v>1316.99</v>
      </c>
      <c r="Q97" s="95">
        <f t="shared" si="55"/>
        <v>1331.49</v>
      </c>
      <c r="R97" s="95">
        <f t="shared" si="55"/>
        <v>1260.8899999999999</v>
      </c>
      <c r="S97" s="95">
        <f t="shared" si="55"/>
        <v>1310.29</v>
      </c>
      <c r="T97" s="95">
        <f t="shared" si="55"/>
        <v>1334.0900000000001</v>
      </c>
      <c r="U97" s="95">
        <f t="shared" si="55"/>
        <v>1334.49</v>
      </c>
      <c r="V97" s="95">
        <f t="shared" si="55"/>
        <v>1280.29</v>
      </c>
      <c r="W97" s="95">
        <f t="shared" si="55"/>
        <v>1265.9899999999998</v>
      </c>
      <c r="X97" s="95">
        <f>X58+X62+X80+X76+X92+X96</f>
        <v>1270.69</v>
      </c>
      <c r="Y97" s="95">
        <f>Y58+Y62+Y80+Y76+Y92+Y96</f>
        <v>1422.4500000000003</v>
      </c>
      <c r="Z97" s="95">
        <f>Z58+Z62+Z80+Z76+Z92+Z96</f>
        <v>1434.9500000000003</v>
      </c>
      <c r="AA97" s="95">
        <f t="shared" si="55"/>
        <v>1368.0900000000001</v>
      </c>
      <c r="AB97" s="95">
        <f t="shared" si="55"/>
        <v>1290.19</v>
      </c>
      <c r="AC97" s="95">
        <f t="shared" si="55"/>
        <v>1251.8900000000001</v>
      </c>
      <c r="AD97" s="95">
        <f t="shared" si="55"/>
        <v>1346.19</v>
      </c>
      <c r="AE97" s="95">
        <f t="shared" si="55"/>
        <v>1354.69</v>
      </c>
      <c r="AF97" s="95">
        <f t="shared" si="55"/>
        <v>1199.3899999999999</v>
      </c>
      <c r="AG97" s="61">
        <f t="shared" si="55"/>
        <v>2231.81</v>
      </c>
      <c r="AH97" s="47">
        <f t="shared" si="48"/>
        <v>1434.9500000000003</v>
      </c>
      <c r="AI97" s="48">
        <f t="shared" si="49"/>
        <v>1160.5900000000001</v>
      </c>
      <c r="BF97" s="233"/>
      <c r="BG97" s="233">
        <v>66.8</v>
      </c>
      <c r="BH97" s="233">
        <v>0</v>
      </c>
      <c r="BI97" s="233">
        <v>418.4</v>
      </c>
      <c r="BJ97" s="233">
        <v>6</v>
      </c>
      <c r="BK97" s="233">
        <v>82</v>
      </c>
      <c r="BL97" s="233">
        <v>37.4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>
        <v>200</v>
      </c>
      <c r="N98" s="97">
        <v>200</v>
      </c>
      <c r="O98" s="97">
        <v>140</v>
      </c>
      <c r="P98" s="97">
        <v>100</v>
      </c>
      <c r="Q98" s="97"/>
      <c r="R98" s="97"/>
      <c r="S98" s="97"/>
      <c r="T98" s="97"/>
      <c r="U98" s="97"/>
      <c r="V98" s="97"/>
      <c r="W98" s="97">
        <v>100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200</v>
      </c>
      <c r="AD98" s="97">
        <v>50</v>
      </c>
      <c r="AE98" s="97"/>
      <c r="AF98" s="97"/>
      <c r="AG98" s="88"/>
      <c r="AH98" s="47">
        <f t="shared" si="48"/>
        <v>250</v>
      </c>
      <c r="AI98" s="48">
        <f t="shared" si="49"/>
        <v>50</v>
      </c>
      <c r="BF98" s="233"/>
      <c r="BG98" s="233">
        <v>55.8</v>
      </c>
      <c r="BH98" s="233">
        <v>0</v>
      </c>
      <c r="BI98" s="233">
        <v>409</v>
      </c>
      <c r="BJ98" s="233">
        <v>9.4</v>
      </c>
      <c r="BK98" s="233">
        <v>62.6</v>
      </c>
      <c r="BL98" s="233">
        <v>49.2</v>
      </c>
    </row>
    <row r="99" spans="1:64" ht="15.75" thickBot="1" x14ac:dyDescent="0.3">
      <c r="A99" s="74" t="s">
        <v>101</v>
      </c>
      <c r="B99" s="95">
        <f t="shared" ref="B99:C99" si="56">B97+B98</f>
        <v>1226.0900000000001</v>
      </c>
      <c r="C99" s="95">
        <f t="shared" si="56"/>
        <v>1209.49</v>
      </c>
      <c r="D99" s="95">
        <f t="shared" ref="D99" si="57">D97+D98</f>
        <v>1208.49</v>
      </c>
      <c r="E99" s="95">
        <f t="shared" ref="E99:AF99" si="58">E97+E98</f>
        <v>1160.5900000000001</v>
      </c>
      <c r="F99" s="95">
        <f t="shared" si="58"/>
        <v>1211.99</v>
      </c>
      <c r="G99" s="95">
        <f t="shared" si="58"/>
        <v>1231.19</v>
      </c>
      <c r="H99" s="95">
        <f t="shared" si="58"/>
        <v>1271.19</v>
      </c>
      <c r="I99" s="95">
        <f t="shared" si="58"/>
        <v>1313.99</v>
      </c>
      <c r="J99" s="95">
        <f t="shared" si="58"/>
        <v>1389.3899999999999</v>
      </c>
      <c r="K99" s="95">
        <f t="shared" si="58"/>
        <v>1316.79</v>
      </c>
      <c r="L99" s="95">
        <f t="shared" si="58"/>
        <v>1332.89</v>
      </c>
      <c r="M99" s="95">
        <f t="shared" si="58"/>
        <v>1582.9899999999998</v>
      </c>
      <c r="N99" s="95">
        <f t="shared" si="58"/>
        <v>1554.99</v>
      </c>
      <c r="O99" s="95">
        <f t="shared" si="58"/>
        <v>1441.5900000000001</v>
      </c>
      <c r="P99" s="95">
        <f t="shared" si="58"/>
        <v>1416.99</v>
      </c>
      <c r="Q99" s="95">
        <f t="shared" si="58"/>
        <v>1331.49</v>
      </c>
      <c r="R99" s="95">
        <f t="shared" si="58"/>
        <v>1260.8899999999999</v>
      </c>
      <c r="S99" s="95">
        <f t="shared" si="58"/>
        <v>1310.29</v>
      </c>
      <c r="T99" s="95">
        <f t="shared" si="58"/>
        <v>1334.0900000000001</v>
      </c>
      <c r="U99" s="95">
        <f t="shared" si="58"/>
        <v>1334.49</v>
      </c>
      <c r="V99" s="95">
        <f t="shared" si="58"/>
        <v>1280.29</v>
      </c>
      <c r="W99" s="95">
        <f t="shared" si="58"/>
        <v>1365.9899999999998</v>
      </c>
      <c r="X99" s="95">
        <f t="shared" si="58"/>
        <v>1520.69</v>
      </c>
      <c r="Y99" s="95">
        <f>Y97+Y98</f>
        <v>1672.4500000000003</v>
      </c>
      <c r="Z99" s="95">
        <f>Z97+Z98</f>
        <v>1684.9500000000003</v>
      </c>
      <c r="AA99" s="95">
        <f t="shared" si="58"/>
        <v>1618.0900000000001</v>
      </c>
      <c r="AB99" s="95">
        <f t="shared" si="58"/>
        <v>1540.19</v>
      </c>
      <c r="AC99" s="95">
        <f t="shared" si="58"/>
        <v>1451.89</v>
      </c>
      <c r="AD99" s="95">
        <f t="shared" si="58"/>
        <v>1396.19</v>
      </c>
      <c r="AE99" s="95">
        <f t="shared" si="58"/>
        <v>1354.69</v>
      </c>
      <c r="AF99" s="95">
        <f t="shared" si="58"/>
        <v>1199.3899999999999</v>
      </c>
      <c r="AG99" s="88">
        <f>AG96+AG92+AG80+AG76+AG58+AG98</f>
        <v>1693.71</v>
      </c>
      <c r="AH99" s="47">
        <f t="shared" si="48"/>
        <v>1684.9500000000003</v>
      </c>
      <c r="AI99" s="48">
        <f t="shared" si="49"/>
        <v>1160.5900000000001</v>
      </c>
      <c r="BF99" s="233"/>
      <c r="BG99" s="233">
        <v>58.5</v>
      </c>
      <c r="BH99" s="233">
        <v>0</v>
      </c>
      <c r="BI99" s="233">
        <v>392</v>
      </c>
      <c r="BJ99" s="233">
        <v>10.1</v>
      </c>
      <c r="BK99" s="233">
        <v>57.6</v>
      </c>
      <c r="BL99" s="233">
        <v>51.4</v>
      </c>
    </row>
    <row r="100" spans="1:64" ht="15.75" thickBot="1" x14ac:dyDescent="0.3">
      <c r="A100" s="74" t="s">
        <v>102</v>
      </c>
      <c r="B100" s="95">
        <f t="shared" ref="B100:C100" si="59">B99-(B107)</f>
        <v>1226.0900000000001</v>
      </c>
      <c r="C100" s="95">
        <f t="shared" si="59"/>
        <v>1209.49</v>
      </c>
      <c r="D100" s="95">
        <f t="shared" ref="D100" si="60">D99-(D107)</f>
        <v>1208.49</v>
      </c>
      <c r="E100" s="95">
        <f t="shared" ref="E100:M100" si="61">E99-(E107)</f>
        <v>1160.5900000000001</v>
      </c>
      <c r="F100" s="95">
        <f t="shared" si="61"/>
        <v>1211.99</v>
      </c>
      <c r="G100" s="95">
        <f t="shared" si="61"/>
        <v>1231.19</v>
      </c>
      <c r="H100" s="95">
        <f t="shared" si="61"/>
        <v>1271.19</v>
      </c>
      <c r="I100" s="95">
        <f t="shared" si="61"/>
        <v>1313.99</v>
      </c>
      <c r="J100" s="95">
        <f t="shared" si="61"/>
        <v>1389.3899999999999</v>
      </c>
      <c r="K100" s="95">
        <f t="shared" si="61"/>
        <v>1316.79</v>
      </c>
      <c r="L100" s="95">
        <f t="shared" si="61"/>
        <v>1332.89</v>
      </c>
      <c r="M100" s="95">
        <f t="shared" si="61"/>
        <v>1582.9899999999998</v>
      </c>
      <c r="N100" s="95">
        <f>N99-(N107)</f>
        <v>1554.99</v>
      </c>
      <c r="O100" s="95">
        <f t="shared" ref="O100:AF100" si="62">O99-(O107)</f>
        <v>1441.5900000000001</v>
      </c>
      <c r="P100" s="95">
        <f t="shared" si="62"/>
        <v>1416.99</v>
      </c>
      <c r="Q100" s="95">
        <f t="shared" si="62"/>
        <v>1331.49</v>
      </c>
      <c r="R100" s="95">
        <f t="shared" si="62"/>
        <v>1260.8899999999999</v>
      </c>
      <c r="S100" s="95">
        <f t="shared" si="62"/>
        <v>1310.29</v>
      </c>
      <c r="T100" s="95">
        <f t="shared" si="62"/>
        <v>1334.0900000000001</v>
      </c>
      <c r="U100" s="95">
        <f t="shared" si="62"/>
        <v>1334.49</v>
      </c>
      <c r="V100" s="95">
        <f t="shared" si="62"/>
        <v>1280.29</v>
      </c>
      <c r="W100" s="95">
        <f t="shared" si="62"/>
        <v>1365.9899999999998</v>
      </c>
      <c r="X100" s="95">
        <f t="shared" si="62"/>
        <v>1520.69</v>
      </c>
      <c r="Y100" s="95">
        <f t="shared" si="62"/>
        <v>1672.4500000000003</v>
      </c>
      <c r="Z100" s="95">
        <f t="shared" si="62"/>
        <v>1684.9500000000003</v>
      </c>
      <c r="AA100" s="95">
        <f t="shared" si="62"/>
        <v>1618.0900000000001</v>
      </c>
      <c r="AB100" s="95">
        <f t="shared" si="62"/>
        <v>1540.19</v>
      </c>
      <c r="AC100" s="95">
        <f t="shared" si="62"/>
        <v>1451.89</v>
      </c>
      <c r="AD100" s="95">
        <f t="shared" si="62"/>
        <v>1396.19</v>
      </c>
      <c r="AE100" s="95">
        <f t="shared" si="62"/>
        <v>1354.69</v>
      </c>
      <c r="AF100" s="95">
        <f t="shared" si="62"/>
        <v>1199.3899999999999</v>
      </c>
      <c r="AG100" s="88"/>
      <c r="AH100" s="47">
        <f t="shared" si="48"/>
        <v>1684.9500000000003</v>
      </c>
      <c r="AI100" s="48">
        <f t="shared" si="49"/>
        <v>1160.5900000000001</v>
      </c>
      <c r="BF100" s="233"/>
      <c r="BG100" s="233">
        <v>54.2</v>
      </c>
      <c r="BH100" s="233">
        <v>0</v>
      </c>
      <c r="BI100" s="233">
        <v>383</v>
      </c>
      <c r="BJ100" s="233">
        <v>7.2</v>
      </c>
      <c r="BK100" s="233">
        <v>50.6</v>
      </c>
      <c r="BL100" s="233">
        <v>40.1</v>
      </c>
    </row>
    <row r="101" spans="1:64" x14ac:dyDescent="0.25">
      <c r="A101" s="44" t="s">
        <v>84</v>
      </c>
      <c r="B101" s="76">
        <f t="shared" ref="B101:C101" si="63">IF(B84&lt;0,B84*-1,0)</f>
        <v>0</v>
      </c>
      <c r="C101" s="76">
        <f t="shared" si="63"/>
        <v>0</v>
      </c>
      <c r="D101" s="76">
        <f t="shared" ref="D101" si="64">IF(D84&lt;0,D84*-1,0)</f>
        <v>0</v>
      </c>
      <c r="E101" s="76">
        <f t="shared" ref="E101:AF101" si="65">IF(E84&lt;0,E84*-1,0)</f>
        <v>0</v>
      </c>
      <c r="F101" s="76">
        <f t="shared" si="65"/>
        <v>0</v>
      </c>
      <c r="G101" s="76">
        <f t="shared" si="65"/>
        <v>0</v>
      </c>
      <c r="H101" s="76">
        <f t="shared" si="65"/>
        <v>0</v>
      </c>
      <c r="I101" s="76">
        <f t="shared" si="65"/>
        <v>0</v>
      </c>
      <c r="J101" s="76">
        <f t="shared" si="65"/>
        <v>0</v>
      </c>
      <c r="K101" s="76">
        <f t="shared" si="65"/>
        <v>0</v>
      </c>
      <c r="L101" s="76">
        <f t="shared" si="65"/>
        <v>0</v>
      </c>
      <c r="M101" s="76">
        <f t="shared" si="65"/>
        <v>0</v>
      </c>
      <c r="N101" s="76">
        <f t="shared" si="65"/>
        <v>0</v>
      </c>
      <c r="O101" s="76">
        <f t="shared" si="65"/>
        <v>0</v>
      </c>
      <c r="P101" s="76">
        <f t="shared" si="65"/>
        <v>0</v>
      </c>
      <c r="Q101" s="76">
        <f t="shared" si="65"/>
        <v>0</v>
      </c>
      <c r="R101" s="76">
        <f t="shared" si="65"/>
        <v>0</v>
      </c>
      <c r="S101" s="76">
        <f t="shared" si="65"/>
        <v>0</v>
      </c>
      <c r="T101" s="76">
        <f t="shared" si="65"/>
        <v>0</v>
      </c>
      <c r="U101" s="76">
        <f t="shared" si="65"/>
        <v>0</v>
      </c>
      <c r="V101" s="76">
        <f t="shared" si="65"/>
        <v>0</v>
      </c>
      <c r="W101" s="76">
        <f t="shared" si="65"/>
        <v>0</v>
      </c>
      <c r="X101" s="76">
        <f t="shared" si="65"/>
        <v>0</v>
      </c>
      <c r="Y101" s="76">
        <f t="shared" si="65"/>
        <v>0</v>
      </c>
      <c r="Z101" s="76">
        <f t="shared" si="65"/>
        <v>0</v>
      </c>
      <c r="AA101" s="76">
        <f t="shared" si="65"/>
        <v>0</v>
      </c>
      <c r="AB101" s="76">
        <f t="shared" si="65"/>
        <v>0</v>
      </c>
      <c r="AC101" s="76">
        <f t="shared" si="65"/>
        <v>0</v>
      </c>
      <c r="AD101" s="76">
        <f t="shared" si="65"/>
        <v>0</v>
      </c>
      <c r="AE101" s="76">
        <f t="shared" si="65"/>
        <v>0</v>
      </c>
      <c r="AF101" s="76">
        <f t="shared" si="65"/>
        <v>0</v>
      </c>
      <c r="AG101" s="52"/>
      <c r="AH101" s="47">
        <f t="shared" si="48"/>
        <v>0</v>
      </c>
      <c r="AI101" s="48">
        <f t="shared" si="49"/>
        <v>0</v>
      </c>
      <c r="BF101" s="232"/>
      <c r="BG101" s="233">
        <v>64.7</v>
      </c>
      <c r="BH101" s="233">
        <v>0</v>
      </c>
      <c r="BI101" s="233">
        <v>384</v>
      </c>
      <c r="BJ101" s="233">
        <v>8.6</v>
      </c>
      <c r="BK101" s="233">
        <v>42.4</v>
      </c>
      <c r="BL101" s="233">
        <v>35.200000000000003</v>
      </c>
    </row>
    <row r="102" spans="1:64" x14ac:dyDescent="0.25">
      <c r="A102" s="54" t="s">
        <v>82</v>
      </c>
      <c r="B102" s="76">
        <f t="shared" ref="B102:C102" si="66">IF(B82&lt;0,B82*-1,0)</f>
        <v>0</v>
      </c>
      <c r="C102" s="76">
        <f t="shared" si="66"/>
        <v>0</v>
      </c>
      <c r="D102" s="76">
        <f t="shared" ref="D102" si="67">IF(D82&lt;0,D82*-1,0)</f>
        <v>0</v>
      </c>
      <c r="E102" s="76">
        <f t="shared" ref="E102:AF102" si="68">IF(E82&lt;0,E82*-1,0)</f>
        <v>0</v>
      </c>
      <c r="F102" s="76">
        <f t="shared" si="68"/>
        <v>0</v>
      </c>
      <c r="G102" s="76">
        <f t="shared" si="68"/>
        <v>0</v>
      </c>
      <c r="H102" s="76">
        <f t="shared" si="68"/>
        <v>0</v>
      </c>
      <c r="I102" s="76">
        <f t="shared" si="68"/>
        <v>0</v>
      </c>
      <c r="J102" s="76">
        <f t="shared" si="68"/>
        <v>0</v>
      </c>
      <c r="K102" s="76">
        <f t="shared" si="68"/>
        <v>0</v>
      </c>
      <c r="L102" s="76">
        <f t="shared" si="68"/>
        <v>0</v>
      </c>
      <c r="M102" s="76">
        <f t="shared" si="68"/>
        <v>0</v>
      </c>
      <c r="N102" s="76">
        <f t="shared" si="68"/>
        <v>0</v>
      </c>
      <c r="O102" s="76">
        <f t="shared" si="68"/>
        <v>0</v>
      </c>
      <c r="P102" s="76">
        <f t="shared" si="68"/>
        <v>0</v>
      </c>
      <c r="Q102" s="76">
        <f t="shared" si="68"/>
        <v>0</v>
      </c>
      <c r="R102" s="76">
        <f t="shared" si="68"/>
        <v>0</v>
      </c>
      <c r="S102" s="76">
        <f t="shared" si="68"/>
        <v>0</v>
      </c>
      <c r="T102" s="76">
        <f t="shared" si="68"/>
        <v>0</v>
      </c>
      <c r="U102" s="76">
        <f t="shared" si="68"/>
        <v>0</v>
      </c>
      <c r="V102" s="76">
        <f t="shared" si="68"/>
        <v>0</v>
      </c>
      <c r="W102" s="76">
        <f t="shared" si="68"/>
        <v>0</v>
      </c>
      <c r="X102" s="76">
        <f t="shared" si="68"/>
        <v>0</v>
      </c>
      <c r="Y102" s="76">
        <f t="shared" si="68"/>
        <v>0</v>
      </c>
      <c r="Z102" s="76">
        <f t="shared" si="68"/>
        <v>0</v>
      </c>
      <c r="AA102" s="76">
        <f t="shared" si="68"/>
        <v>0</v>
      </c>
      <c r="AB102" s="76">
        <f t="shared" si="68"/>
        <v>0</v>
      </c>
      <c r="AC102" s="76">
        <f t="shared" si="68"/>
        <v>0</v>
      </c>
      <c r="AD102" s="76">
        <f t="shared" si="68"/>
        <v>0</v>
      </c>
      <c r="AE102" s="76">
        <f t="shared" si="68"/>
        <v>0</v>
      </c>
      <c r="AF102" s="76">
        <f t="shared" si="68"/>
        <v>0</v>
      </c>
      <c r="AG102" s="55"/>
      <c r="AH102" s="47">
        <f t="shared" si="48"/>
        <v>0</v>
      </c>
      <c r="AI102" s="48">
        <f t="shared" si="49"/>
        <v>0</v>
      </c>
      <c r="BF102" s="232"/>
      <c r="BG102" s="233">
        <v>66.900000000000006</v>
      </c>
      <c r="BH102" s="233">
        <v>0</v>
      </c>
      <c r="BI102" s="233">
        <v>124</v>
      </c>
      <c r="BJ102" s="233">
        <v>10</v>
      </c>
      <c r="BK102" s="233">
        <v>52</v>
      </c>
      <c r="BL102" s="233">
        <v>37</v>
      </c>
    </row>
    <row r="103" spans="1:64" x14ac:dyDescent="0.25">
      <c r="A103" s="84" t="s">
        <v>103</v>
      </c>
      <c r="B103" s="76">
        <f t="shared" ref="B103:C103" si="69">IF(B85&lt;0,B85*-1,0)</f>
        <v>0</v>
      </c>
      <c r="C103" s="76">
        <f t="shared" si="69"/>
        <v>0</v>
      </c>
      <c r="D103" s="76">
        <f t="shared" ref="D103" si="70">IF(D85&lt;0,D85*-1,0)</f>
        <v>0</v>
      </c>
      <c r="E103" s="76">
        <f t="shared" ref="E103:AF103" si="71">IF(E85&lt;0,E85*-1,0)</f>
        <v>0</v>
      </c>
      <c r="F103" s="76">
        <f t="shared" si="71"/>
        <v>0</v>
      </c>
      <c r="G103" s="76">
        <f t="shared" si="71"/>
        <v>0</v>
      </c>
      <c r="H103" s="76">
        <f t="shared" si="71"/>
        <v>0</v>
      </c>
      <c r="I103" s="76">
        <f t="shared" si="71"/>
        <v>0</v>
      </c>
      <c r="J103" s="76">
        <f t="shared" si="71"/>
        <v>0</v>
      </c>
      <c r="K103" s="76">
        <f t="shared" si="71"/>
        <v>0</v>
      </c>
      <c r="L103" s="76">
        <f t="shared" si="71"/>
        <v>0</v>
      </c>
      <c r="M103" s="76">
        <f t="shared" si="71"/>
        <v>0</v>
      </c>
      <c r="N103" s="76">
        <f t="shared" si="71"/>
        <v>0</v>
      </c>
      <c r="O103" s="76">
        <f t="shared" si="71"/>
        <v>0</v>
      </c>
      <c r="P103" s="76">
        <f t="shared" si="71"/>
        <v>0</v>
      </c>
      <c r="Q103" s="76">
        <f t="shared" si="71"/>
        <v>0</v>
      </c>
      <c r="R103" s="76">
        <f t="shared" si="71"/>
        <v>0</v>
      </c>
      <c r="S103" s="76">
        <f t="shared" si="71"/>
        <v>0</v>
      </c>
      <c r="T103" s="76">
        <f t="shared" si="71"/>
        <v>0</v>
      </c>
      <c r="U103" s="76">
        <f t="shared" si="71"/>
        <v>0</v>
      </c>
      <c r="V103" s="76">
        <f t="shared" si="71"/>
        <v>0</v>
      </c>
      <c r="W103" s="76">
        <f t="shared" si="71"/>
        <v>0</v>
      </c>
      <c r="X103" s="76">
        <f t="shared" si="71"/>
        <v>0</v>
      </c>
      <c r="Y103" s="76">
        <f t="shared" si="71"/>
        <v>0</v>
      </c>
      <c r="Z103" s="76">
        <f t="shared" si="71"/>
        <v>0</v>
      </c>
      <c r="AA103" s="76">
        <f t="shared" si="71"/>
        <v>0</v>
      </c>
      <c r="AB103" s="76">
        <f t="shared" si="71"/>
        <v>0</v>
      </c>
      <c r="AC103" s="76">
        <f t="shared" si="71"/>
        <v>0</v>
      </c>
      <c r="AD103" s="76">
        <f t="shared" si="71"/>
        <v>0</v>
      </c>
      <c r="AE103" s="76">
        <f t="shared" si="71"/>
        <v>0</v>
      </c>
      <c r="AF103" s="76">
        <f t="shared" si="71"/>
        <v>0</v>
      </c>
      <c r="AG103" s="98"/>
      <c r="AH103" s="47">
        <f t="shared" si="48"/>
        <v>0</v>
      </c>
      <c r="AI103" s="48">
        <f t="shared" si="49"/>
        <v>0</v>
      </c>
      <c r="BF103" s="232"/>
      <c r="BG103" s="233">
        <v>60</v>
      </c>
      <c r="BH103" s="233">
        <v>0</v>
      </c>
      <c r="BI103" s="233">
        <v>302</v>
      </c>
      <c r="BJ103" s="233">
        <v>8</v>
      </c>
      <c r="BK103" s="233">
        <v>48</v>
      </c>
      <c r="BL103" s="233">
        <v>72.599999999999994</v>
      </c>
    </row>
    <row r="104" spans="1:64" x14ac:dyDescent="0.25">
      <c r="A104" s="84" t="s">
        <v>104</v>
      </c>
      <c r="B104" s="76">
        <f t="shared" ref="B104:C104" si="72">IF(B83&lt;0,B83*-1,0)</f>
        <v>0</v>
      </c>
      <c r="C104" s="76">
        <f t="shared" si="72"/>
        <v>0</v>
      </c>
      <c r="D104" s="76">
        <f t="shared" ref="D104" si="73">IF(D83&lt;0,D83*-1,0)</f>
        <v>0</v>
      </c>
      <c r="E104" s="76">
        <f t="shared" ref="E104:AF104" si="74">IF(E83&lt;0,E83*-1,0)</f>
        <v>0</v>
      </c>
      <c r="F104" s="76">
        <f t="shared" si="74"/>
        <v>0</v>
      </c>
      <c r="G104" s="76">
        <f t="shared" si="74"/>
        <v>0</v>
      </c>
      <c r="H104" s="76">
        <f t="shared" si="74"/>
        <v>0</v>
      </c>
      <c r="I104" s="76">
        <f t="shared" si="74"/>
        <v>0</v>
      </c>
      <c r="J104" s="76">
        <f t="shared" si="74"/>
        <v>0</v>
      </c>
      <c r="K104" s="76">
        <f t="shared" si="74"/>
        <v>0</v>
      </c>
      <c r="L104" s="76">
        <f t="shared" si="74"/>
        <v>0</v>
      </c>
      <c r="M104" s="76">
        <f t="shared" si="74"/>
        <v>0</v>
      </c>
      <c r="N104" s="76">
        <f t="shared" si="74"/>
        <v>0</v>
      </c>
      <c r="O104" s="76">
        <f t="shared" si="74"/>
        <v>0</v>
      </c>
      <c r="P104" s="76">
        <f t="shared" si="74"/>
        <v>0</v>
      </c>
      <c r="Q104" s="76">
        <f t="shared" si="74"/>
        <v>0</v>
      </c>
      <c r="R104" s="76">
        <f t="shared" si="74"/>
        <v>0</v>
      </c>
      <c r="S104" s="76">
        <f t="shared" si="74"/>
        <v>0</v>
      </c>
      <c r="T104" s="76">
        <f t="shared" si="74"/>
        <v>0</v>
      </c>
      <c r="U104" s="76">
        <f t="shared" si="74"/>
        <v>0</v>
      </c>
      <c r="V104" s="76">
        <f t="shared" si="74"/>
        <v>0</v>
      </c>
      <c r="W104" s="76">
        <f t="shared" si="74"/>
        <v>0</v>
      </c>
      <c r="X104" s="76">
        <f t="shared" si="74"/>
        <v>0</v>
      </c>
      <c r="Y104" s="76">
        <f t="shared" si="74"/>
        <v>0</v>
      </c>
      <c r="Z104" s="76">
        <f t="shared" si="74"/>
        <v>0</v>
      </c>
      <c r="AA104" s="76">
        <f t="shared" si="74"/>
        <v>0</v>
      </c>
      <c r="AB104" s="76">
        <f t="shared" si="74"/>
        <v>0</v>
      </c>
      <c r="AC104" s="76">
        <f t="shared" si="74"/>
        <v>0</v>
      </c>
      <c r="AD104" s="76">
        <f t="shared" si="74"/>
        <v>0</v>
      </c>
      <c r="AE104" s="76">
        <f t="shared" si="74"/>
        <v>0</v>
      </c>
      <c r="AF104" s="76">
        <f t="shared" si="74"/>
        <v>0</v>
      </c>
      <c r="AG104" s="98"/>
      <c r="AH104" s="47">
        <f t="shared" si="48"/>
        <v>0</v>
      </c>
      <c r="AI104" s="48">
        <f t="shared" si="49"/>
        <v>0</v>
      </c>
      <c r="BF104" s="232"/>
      <c r="BG104" s="233">
        <v>55</v>
      </c>
      <c r="BH104" s="233">
        <v>0</v>
      </c>
      <c r="BI104" s="233">
        <v>357</v>
      </c>
      <c r="BJ104" s="233">
        <v>7</v>
      </c>
      <c r="BK104" s="233">
        <v>100</v>
      </c>
      <c r="BL104" s="233">
        <v>65</v>
      </c>
    </row>
    <row r="105" spans="1:64" x14ac:dyDescent="0.25">
      <c r="A105" s="84" t="s">
        <v>81</v>
      </c>
      <c r="B105" s="76">
        <f t="shared" ref="B105:C105" si="75">IF(B81&lt;0,B81*-1,0)</f>
        <v>0</v>
      </c>
      <c r="C105" s="76">
        <f t="shared" si="75"/>
        <v>0</v>
      </c>
      <c r="D105" s="76">
        <f t="shared" ref="D105" si="76">IF(D81&lt;0,D81*-1,0)</f>
        <v>0</v>
      </c>
      <c r="E105" s="76">
        <f t="shared" ref="E105:AF105" si="77">IF(E81&lt;0,E81*-1,0)</f>
        <v>0</v>
      </c>
      <c r="F105" s="76">
        <f t="shared" si="77"/>
        <v>0</v>
      </c>
      <c r="G105" s="76">
        <f t="shared" si="77"/>
        <v>0</v>
      </c>
      <c r="H105" s="76">
        <f t="shared" si="77"/>
        <v>0</v>
      </c>
      <c r="I105" s="76">
        <f t="shared" si="77"/>
        <v>0</v>
      </c>
      <c r="J105" s="76">
        <f t="shared" si="77"/>
        <v>0</v>
      </c>
      <c r="K105" s="76">
        <f t="shared" si="77"/>
        <v>0</v>
      </c>
      <c r="L105" s="76">
        <f t="shared" si="77"/>
        <v>0</v>
      </c>
      <c r="M105" s="76">
        <f t="shared" si="77"/>
        <v>0</v>
      </c>
      <c r="N105" s="76">
        <f t="shared" si="77"/>
        <v>0</v>
      </c>
      <c r="O105" s="76">
        <f t="shared" si="77"/>
        <v>0</v>
      </c>
      <c r="P105" s="76">
        <f t="shared" si="77"/>
        <v>0</v>
      </c>
      <c r="Q105" s="76">
        <f t="shared" si="77"/>
        <v>0</v>
      </c>
      <c r="R105" s="76">
        <f t="shared" si="77"/>
        <v>0</v>
      </c>
      <c r="S105" s="76">
        <f t="shared" si="77"/>
        <v>0</v>
      </c>
      <c r="T105" s="76">
        <f t="shared" si="77"/>
        <v>0</v>
      </c>
      <c r="U105" s="76">
        <f t="shared" si="77"/>
        <v>0</v>
      </c>
      <c r="V105" s="76">
        <f t="shared" si="77"/>
        <v>0</v>
      </c>
      <c r="W105" s="76">
        <f t="shared" si="77"/>
        <v>0</v>
      </c>
      <c r="X105" s="76">
        <f t="shared" si="77"/>
        <v>0</v>
      </c>
      <c r="Y105" s="76">
        <f t="shared" si="77"/>
        <v>0</v>
      </c>
      <c r="Z105" s="76">
        <f t="shared" si="77"/>
        <v>0</v>
      </c>
      <c r="AA105" s="76">
        <f t="shared" si="77"/>
        <v>0</v>
      </c>
      <c r="AB105" s="76">
        <f t="shared" si="77"/>
        <v>0</v>
      </c>
      <c r="AC105" s="76">
        <f t="shared" si="77"/>
        <v>0</v>
      </c>
      <c r="AD105" s="76">
        <f t="shared" si="77"/>
        <v>0</v>
      </c>
      <c r="AE105" s="76">
        <f t="shared" si="77"/>
        <v>0</v>
      </c>
      <c r="AF105" s="76">
        <f t="shared" si="77"/>
        <v>0</v>
      </c>
      <c r="AG105" s="98"/>
      <c r="AH105" s="47">
        <f t="shared" si="48"/>
        <v>0</v>
      </c>
      <c r="AI105" s="48">
        <f t="shared" si="49"/>
        <v>0</v>
      </c>
      <c r="BF105" s="232"/>
      <c r="BG105" s="233">
        <v>68</v>
      </c>
      <c r="BH105" s="233">
        <v>0</v>
      </c>
      <c r="BI105" s="233">
        <v>347</v>
      </c>
      <c r="BJ105" s="233">
        <v>6.5</v>
      </c>
      <c r="BK105" s="233">
        <v>100</v>
      </c>
      <c r="BL105" s="233">
        <v>66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8"/>
        <v>0</v>
      </c>
      <c r="AI106" s="48">
        <f t="shared" si="49"/>
        <v>0</v>
      </c>
      <c r="BG106" s="233">
        <v>61</v>
      </c>
      <c r="BH106" s="233">
        <v>0</v>
      </c>
      <c r="BI106" s="233">
        <v>342</v>
      </c>
      <c r="BJ106" s="233">
        <v>2.4</v>
      </c>
      <c r="BK106" s="233">
        <v>110</v>
      </c>
      <c r="BL106" s="233">
        <v>63</v>
      </c>
    </row>
    <row r="107" spans="1:64" ht="15.75" thickBot="1" x14ac:dyDescent="0.3">
      <c r="A107" s="99" t="s">
        <v>106</v>
      </c>
      <c r="B107" s="60">
        <v>0</v>
      </c>
      <c r="C107" s="60">
        <v>0</v>
      </c>
      <c r="D107" s="60">
        <v>0</v>
      </c>
      <c r="E107" s="60">
        <f t="shared" ref="E107:AF107" si="78">SUM(E101:E106)</f>
        <v>0</v>
      </c>
      <c r="F107" s="60">
        <f t="shared" si="78"/>
        <v>0</v>
      </c>
      <c r="G107" s="60">
        <f t="shared" si="78"/>
        <v>0</v>
      </c>
      <c r="H107" s="60">
        <f t="shared" si="78"/>
        <v>0</v>
      </c>
      <c r="I107" s="60">
        <f t="shared" si="78"/>
        <v>0</v>
      </c>
      <c r="J107" s="60">
        <f t="shared" si="78"/>
        <v>0</v>
      </c>
      <c r="K107" s="60">
        <f t="shared" si="78"/>
        <v>0</v>
      </c>
      <c r="L107" s="60">
        <f t="shared" si="78"/>
        <v>0</v>
      </c>
      <c r="M107" s="60">
        <f t="shared" si="78"/>
        <v>0</v>
      </c>
      <c r="N107" s="60">
        <f t="shared" si="78"/>
        <v>0</v>
      </c>
      <c r="O107" s="60">
        <f t="shared" si="78"/>
        <v>0</v>
      </c>
      <c r="P107" s="60">
        <f t="shared" si="78"/>
        <v>0</v>
      </c>
      <c r="Q107" s="60">
        <f t="shared" si="78"/>
        <v>0</v>
      </c>
      <c r="R107" s="60">
        <f t="shared" si="78"/>
        <v>0</v>
      </c>
      <c r="S107" s="60">
        <f t="shared" si="78"/>
        <v>0</v>
      </c>
      <c r="T107" s="60">
        <f t="shared" si="78"/>
        <v>0</v>
      </c>
      <c r="U107" s="60">
        <f t="shared" si="78"/>
        <v>0</v>
      </c>
      <c r="V107" s="60">
        <f t="shared" si="78"/>
        <v>0</v>
      </c>
      <c r="W107" s="60">
        <f t="shared" si="78"/>
        <v>0</v>
      </c>
      <c r="X107" s="60">
        <f t="shared" si="78"/>
        <v>0</v>
      </c>
      <c r="Y107" s="60">
        <f t="shared" si="78"/>
        <v>0</v>
      </c>
      <c r="Z107" s="60">
        <f t="shared" si="78"/>
        <v>0</v>
      </c>
      <c r="AA107" s="60">
        <f t="shared" si="78"/>
        <v>0</v>
      </c>
      <c r="AB107" s="60">
        <f t="shared" si="78"/>
        <v>0</v>
      </c>
      <c r="AC107" s="60">
        <f t="shared" si="78"/>
        <v>0</v>
      </c>
      <c r="AD107" s="60">
        <f t="shared" si="78"/>
        <v>0</v>
      </c>
      <c r="AE107" s="60">
        <f t="shared" si="78"/>
        <v>0</v>
      </c>
      <c r="AF107" s="60">
        <f t="shared" si="78"/>
        <v>0</v>
      </c>
      <c r="AG107" s="88"/>
      <c r="AH107" s="47">
        <f t="shared" si="48"/>
        <v>0</v>
      </c>
      <c r="AI107" s="48">
        <f t="shared" si="49"/>
        <v>0</v>
      </c>
      <c r="AK107" s="50"/>
      <c r="BG107" s="233">
        <v>66</v>
      </c>
      <c r="BH107" s="233">
        <v>0</v>
      </c>
      <c r="BI107" s="233">
        <v>398</v>
      </c>
      <c r="BJ107" s="233">
        <v>2.4</v>
      </c>
      <c r="BK107" s="233">
        <v>104</v>
      </c>
      <c r="BL107" s="233">
        <v>49.6</v>
      </c>
    </row>
    <row r="108" spans="1:64" ht="15.75" thickBot="1" x14ac:dyDescent="0.3">
      <c r="A108" s="74" t="s">
        <v>107</v>
      </c>
      <c r="B108" s="60">
        <f t="shared" ref="B108:C108" si="79">B92-B107</f>
        <v>620</v>
      </c>
      <c r="C108" s="60">
        <f t="shared" si="79"/>
        <v>603.4</v>
      </c>
      <c r="D108" s="60">
        <f t="shared" ref="D108" si="80">D92-D107</f>
        <v>602.4</v>
      </c>
      <c r="E108" s="60">
        <f t="shared" ref="E108:AF108" si="81">E92-E107</f>
        <v>577</v>
      </c>
      <c r="F108" s="60">
        <f t="shared" si="81"/>
        <v>603.79999999999995</v>
      </c>
      <c r="G108" s="60">
        <f t="shared" si="81"/>
        <v>606.70000000000005</v>
      </c>
      <c r="H108" s="60">
        <f t="shared" si="81"/>
        <v>601.90000000000009</v>
      </c>
      <c r="I108" s="60">
        <f t="shared" si="81"/>
        <v>584.70000000000005</v>
      </c>
      <c r="J108" s="60">
        <f t="shared" si="81"/>
        <v>615.6</v>
      </c>
      <c r="K108" s="60">
        <f t="shared" si="81"/>
        <v>347.9</v>
      </c>
      <c r="L108" s="60">
        <f t="shared" si="81"/>
        <v>165.2</v>
      </c>
      <c r="M108" s="60">
        <f t="shared" si="81"/>
        <v>168.1</v>
      </c>
      <c r="N108" s="60">
        <f t="shared" si="81"/>
        <v>261.09999999999997</v>
      </c>
      <c r="O108" s="60">
        <f t="shared" si="81"/>
        <v>472.9</v>
      </c>
      <c r="P108" s="60">
        <f t="shared" si="81"/>
        <v>547</v>
      </c>
      <c r="Q108" s="60">
        <f t="shared" si="81"/>
        <v>609</v>
      </c>
      <c r="R108" s="60">
        <f t="shared" si="81"/>
        <v>570.4</v>
      </c>
      <c r="S108" s="60">
        <f t="shared" si="81"/>
        <v>610.6</v>
      </c>
      <c r="T108" s="60">
        <f t="shared" si="81"/>
        <v>586</v>
      </c>
      <c r="U108" s="60">
        <f t="shared" si="81"/>
        <v>569.6</v>
      </c>
      <c r="V108" s="60">
        <f t="shared" si="81"/>
        <v>535.1</v>
      </c>
      <c r="W108" s="60">
        <f t="shared" si="81"/>
        <v>548.79999999999995</v>
      </c>
      <c r="X108" s="60">
        <f t="shared" si="81"/>
        <v>534.9</v>
      </c>
      <c r="Y108" s="60">
        <f>Y92-Y107</f>
        <v>413.4</v>
      </c>
      <c r="Z108" s="60">
        <f>Z92-Z107</f>
        <v>289.89999999999998</v>
      </c>
      <c r="AA108" s="60">
        <f t="shared" si="81"/>
        <v>317</v>
      </c>
      <c r="AB108" s="60">
        <f t="shared" si="81"/>
        <v>490.6</v>
      </c>
      <c r="AC108" s="60">
        <f t="shared" si="81"/>
        <v>484.7</v>
      </c>
      <c r="AD108" s="60">
        <f t="shared" si="81"/>
        <v>584</v>
      </c>
      <c r="AE108" s="60">
        <f t="shared" si="81"/>
        <v>587.5</v>
      </c>
      <c r="AF108" s="60">
        <f t="shared" si="81"/>
        <v>578.4</v>
      </c>
      <c r="AG108" s="88"/>
      <c r="AH108" s="47">
        <f t="shared" si="48"/>
        <v>620</v>
      </c>
      <c r="AI108" s="48">
        <f t="shared" si="49"/>
        <v>165.2</v>
      </c>
    </row>
    <row r="109" spans="1:64" x14ac:dyDescent="0.25">
      <c r="A109" s="100" t="s">
        <v>108</v>
      </c>
      <c r="B109" s="101">
        <v>50.01</v>
      </c>
      <c r="C109" s="101">
        <v>50.02</v>
      </c>
      <c r="D109" s="101">
        <v>49.99</v>
      </c>
      <c r="E109" s="101">
        <v>50.037999999999997</v>
      </c>
      <c r="F109" s="101">
        <v>50.048000000000002</v>
      </c>
      <c r="G109" s="101">
        <v>50.04</v>
      </c>
      <c r="H109" s="101">
        <v>49.965000000000003</v>
      </c>
      <c r="I109" s="101">
        <v>50.070999999999998</v>
      </c>
      <c r="J109" s="101">
        <v>50.167999999999999</v>
      </c>
      <c r="K109" s="101">
        <v>50.04</v>
      </c>
      <c r="L109" s="101">
        <v>50.072000000000003</v>
      </c>
      <c r="M109" s="101">
        <v>49.997</v>
      </c>
      <c r="N109" s="101">
        <v>50.012</v>
      </c>
      <c r="O109" s="101">
        <v>50.012</v>
      </c>
      <c r="P109" s="101">
        <v>50.05</v>
      </c>
      <c r="Q109" s="101">
        <v>49.948</v>
      </c>
      <c r="R109" s="101">
        <v>50.067999999999998</v>
      </c>
      <c r="S109" s="101">
        <v>50.03</v>
      </c>
      <c r="T109" s="101">
        <v>49.947000000000003</v>
      </c>
      <c r="U109" s="101">
        <v>49.976300000000002</v>
      </c>
      <c r="V109" s="101">
        <v>49.944000000000003</v>
      </c>
      <c r="W109" s="101">
        <v>49.963999999999999</v>
      </c>
      <c r="X109" s="101">
        <v>49.954000000000001</v>
      </c>
      <c r="Y109" s="101">
        <v>49.927</v>
      </c>
      <c r="Z109" s="101">
        <v>49.972999999999999</v>
      </c>
      <c r="AA109" s="101">
        <v>50.009</v>
      </c>
      <c r="AB109" s="101">
        <v>50.027000000000001</v>
      </c>
      <c r="AC109" s="101">
        <v>49.988999999999997</v>
      </c>
      <c r="AD109" s="101">
        <v>49.991</v>
      </c>
      <c r="AE109" s="101">
        <v>50.103999999999999</v>
      </c>
      <c r="AF109" s="101">
        <v>49.941000000000003</v>
      </c>
      <c r="AG109" s="102"/>
      <c r="AH109" s="47">
        <f t="shared" si="48"/>
        <v>50.167999999999999</v>
      </c>
      <c r="AI109" s="48">
        <f t="shared" si="49"/>
        <v>49.927</v>
      </c>
    </row>
    <row r="110" spans="1:64" x14ac:dyDescent="0.25">
      <c r="A110" s="103" t="s">
        <v>109</v>
      </c>
      <c r="B110" s="65">
        <v>129.30000000000001</v>
      </c>
      <c r="C110" s="65">
        <v>129</v>
      </c>
      <c r="D110" s="65">
        <v>129</v>
      </c>
      <c r="E110" s="65">
        <v>127.8</v>
      </c>
      <c r="F110" s="65">
        <v>127.8</v>
      </c>
      <c r="G110" s="65">
        <v>127.8</v>
      </c>
      <c r="H110" s="65">
        <v>128.1</v>
      </c>
      <c r="I110" s="65">
        <v>128.80000000000001</v>
      </c>
      <c r="J110" s="65">
        <v>128</v>
      </c>
      <c r="K110" s="65">
        <v>129</v>
      </c>
      <c r="L110" s="65">
        <v>127.3</v>
      </c>
      <c r="M110" s="65">
        <v>126.6</v>
      </c>
      <c r="N110" s="65">
        <v>126.8</v>
      </c>
      <c r="O110" s="65">
        <v>128.1</v>
      </c>
      <c r="P110" s="65">
        <v>128.6</v>
      </c>
      <c r="Q110" s="65">
        <v>127.7</v>
      </c>
      <c r="R110" s="65">
        <v>126.9</v>
      </c>
      <c r="S110" s="65">
        <v>126.8</v>
      </c>
      <c r="T110" s="65">
        <v>125.5</v>
      </c>
      <c r="U110" s="65">
        <v>126.8</v>
      </c>
      <c r="V110" s="65">
        <v>129.1</v>
      </c>
      <c r="W110" s="65">
        <v>129</v>
      </c>
      <c r="X110" s="65">
        <v>129</v>
      </c>
      <c r="Y110" s="65">
        <v>128.30000000000001</v>
      </c>
      <c r="Z110" s="65">
        <v>129.4</v>
      </c>
      <c r="AA110" s="65">
        <v>130.19999999999999</v>
      </c>
      <c r="AB110" s="65">
        <v>130.69999999999999</v>
      </c>
      <c r="AC110" s="65">
        <v>131.1</v>
      </c>
      <c r="AD110" s="65">
        <v>130.1</v>
      </c>
      <c r="AE110" s="65">
        <v>130.69999999999999</v>
      </c>
      <c r="AF110" s="65">
        <v>131</v>
      </c>
      <c r="AG110" s="104"/>
      <c r="AH110" s="47">
        <f t="shared" si="48"/>
        <v>131.1</v>
      </c>
      <c r="AI110" s="48">
        <f t="shared" si="49"/>
        <v>125.5</v>
      </c>
    </row>
    <row r="111" spans="1:64" x14ac:dyDescent="0.25">
      <c r="A111" s="103" t="s">
        <v>110</v>
      </c>
      <c r="B111" s="65">
        <v>131.6</v>
      </c>
      <c r="C111" s="65">
        <v>132</v>
      </c>
      <c r="D111" s="65">
        <v>132</v>
      </c>
      <c r="E111" s="65">
        <v>131.19999999999999</v>
      </c>
      <c r="F111" s="65">
        <v>131.4</v>
      </c>
      <c r="G111" s="65">
        <v>131.4</v>
      </c>
      <c r="H111" s="65">
        <v>131.19999999999999</v>
      </c>
      <c r="I111" s="65">
        <v>131.19999999999999</v>
      </c>
      <c r="J111" s="65">
        <v>130.6</v>
      </c>
      <c r="K111" s="65">
        <v>130.4</v>
      </c>
      <c r="L111" s="65">
        <v>128.9</v>
      </c>
      <c r="M111" s="65">
        <v>128.19999999999999</v>
      </c>
      <c r="N111" s="65">
        <v>128.19999999999999</v>
      </c>
      <c r="O111" s="65">
        <v>129.5</v>
      </c>
      <c r="P111" s="65">
        <v>130.69999999999999</v>
      </c>
      <c r="Q111" s="65">
        <v>130</v>
      </c>
      <c r="R111" s="65">
        <v>129.69999999999999</v>
      </c>
      <c r="S111" s="65">
        <v>129.9</v>
      </c>
      <c r="T111" s="65">
        <v>128.69999999999999</v>
      </c>
      <c r="U111" s="65">
        <v>129.6</v>
      </c>
      <c r="V111" s="65">
        <v>131.6</v>
      </c>
      <c r="W111" s="65">
        <v>131.1</v>
      </c>
      <c r="X111" s="65">
        <v>131</v>
      </c>
      <c r="Y111" s="65">
        <v>129.80000000000001</v>
      </c>
      <c r="Z111" s="65">
        <v>130.80000000000001</v>
      </c>
      <c r="AA111" s="65">
        <v>131.30000000000001</v>
      </c>
      <c r="AB111" s="65">
        <v>132.1</v>
      </c>
      <c r="AC111" s="65">
        <v>132.80000000000001</v>
      </c>
      <c r="AD111" s="65">
        <v>132.6</v>
      </c>
      <c r="AE111" s="65">
        <v>133.5</v>
      </c>
      <c r="AF111" s="65">
        <v>133.9</v>
      </c>
      <c r="AG111" s="104"/>
      <c r="AH111" s="47">
        <f t="shared" si="48"/>
        <v>133.9</v>
      </c>
      <c r="AI111" s="48">
        <f t="shared" si="49"/>
        <v>128.19999999999999</v>
      </c>
    </row>
    <row r="112" spans="1:64" x14ac:dyDescent="0.25">
      <c r="A112" s="103" t="s">
        <v>111</v>
      </c>
      <c r="B112" s="65">
        <v>128</v>
      </c>
      <c r="C112" s="65">
        <v>130</v>
      </c>
      <c r="D112" s="65">
        <v>130</v>
      </c>
      <c r="E112" s="65">
        <v>127.8</v>
      </c>
      <c r="F112" s="65">
        <v>128.69999999999999</v>
      </c>
      <c r="G112" s="65">
        <v>128.69999999999999</v>
      </c>
      <c r="H112" s="65">
        <v>129.19999999999999</v>
      </c>
      <c r="I112" s="65">
        <v>130.9</v>
      </c>
      <c r="J112" s="65">
        <v>125.2</v>
      </c>
      <c r="K112" s="65">
        <v>129.5</v>
      </c>
      <c r="L112" s="65">
        <v>127.8</v>
      </c>
      <c r="M112" s="65">
        <v>128.69999999999999</v>
      </c>
      <c r="N112" s="65">
        <v>131.1</v>
      </c>
      <c r="O112" s="65">
        <v>127.5</v>
      </c>
      <c r="P112" s="65">
        <v>126.6</v>
      </c>
      <c r="Q112" s="65">
        <v>127.7</v>
      </c>
      <c r="R112" s="65">
        <v>128</v>
      </c>
      <c r="S112" s="65">
        <v>126.5</v>
      </c>
      <c r="T112" s="65">
        <v>125.8</v>
      </c>
      <c r="U112" s="65">
        <v>125.8</v>
      </c>
      <c r="V112" s="65">
        <v>129</v>
      </c>
      <c r="W112" s="65">
        <v>128.19999999999999</v>
      </c>
      <c r="X112" s="65">
        <v>127.9</v>
      </c>
      <c r="Y112" s="65">
        <v>126.8</v>
      </c>
      <c r="Z112" s="65">
        <v>131.4</v>
      </c>
      <c r="AA112" s="65">
        <v>130.69999999999999</v>
      </c>
      <c r="AB112" s="65">
        <v>128.5</v>
      </c>
      <c r="AC112" s="65">
        <v>126.9</v>
      </c>
      <c r="AD112" s="65">
        <v>128.30000000000001</v>
      </c>
      <c r="AE112" s="65">
        <v>129.30000000000001</v>
      </c>
      <c r="AF112" s="65">
        <v>130.5</v>
      </c>
      <c r="AG112" s="104"/>
      <c r="AH112" s="47">
        <f t="shared" si="48"/>
        <v>131.4</v>
      </c>
      <c r="AI112" s="48">
        <f t="shared" si="49"/>
        <v>125.2</v>
      </c>
    </row>
    <row r="113" spans="1:35" x14ac:dyDescent="0.25">
      <c r="A113" s="105" t="s">
        <v>112</v>
      </c>
      <c r="B113" s="65">
        <v>130</v>
      </c>
      <c r="C113" s="65">
        <v>131</v>
      </c>
      <c r="D113" s="65">
        <v>131</v>
      </c>
      <c r="E113" s="65">
        <v>130</v>
      </c>
      <c r="F113" s="65">
        <v>131.1</v>
      </c>
      <c r="G113" s="65">
        <v>131.1</v>
      </c>
      <c r="H113" s="65">
        <v>130.6</v>
      </c>
      <c r="I113" s="65">
        <v>132.80000000000001</v>
      </c>
      <c r="J113" s="65">
        <v>128.69999999999999</v>
      </c>
      <c r="K113" s="65">
        <v>129.30000000000001</v>
      </c>
      <c r="L113" s="65">
        <v>127</v>
      </c>
      <c r="M113" s="65">
        <v>130.19999999999999</v>
      </c>
      <c r="N113" s="65">
        <v>132.5</v>
      </c>
      <c r="O113" s="65">
        <v>128.5</v>
      </c>
      <c r="P113" s="65">
        <v>128.19999999999999</v>
      </c>
      <c r="Q113" s="65">
        <v>128.6</v>
      </c>
      <c r="R113" s="65">
        <v>128.80000000000001</v>
      </c>
      <c r="S113" s="65">
        <v>128.4</v>
      </c>
      <c r="T113" s="65">
        <v>126.8</v>
      </c>
      <c r="U113" s="65">
        <v>127.1</v>
      </c>
      <c r="V113" s="65">
        <v>129</v>
      </c>
      <c r="W113" s="65">
        <v>126.4</v>
      </c>
      <c r="X113" s="65">
        <v>126.1</v>
      </c>
      <c r="Y113" s="65">
        <v>125.2</v>
      </c>
      <c r="Z113" s="65">
        <v>131.5</v>
      </c>
      <c r="AA113" s="65">
        <v>131.5</v>
      </c>
      <c r="AB113" s="65">
        <v>128.69999999999999</v>
      </c>
      <c r="AC113" s="65">
        <v>127.2</v>
      </c>
      <c r="AD113" s="65">
        <v>129.5</v>
      </c>
      <c r="AE113" s="65">
        <v>130.5</v>
      </c>
      <c r="AF113" s="65">
        <v>131.9</v>
      </c>
      <c r="AG113" s="104"/>
      <c r="AH113" s="47">
        <f t="shared" si="48"/>
        <v>132.80000000000001</v>
      </c>
      <c r="AI113" s="48">
        <f t="shared" si="49"/>
        <v>125.2</v>
      </c>
    </row>
    <row r="114" spans="1:35" x14ac:dyDescent="0.25">
      <c r="A114" s="105" t="s">
        <v>113</v>
      </c>
      <c r="B114" s="106">
        <v>130</v>
      </c>
      <c r="C114" s="106">
        <v>132.80000000000001</v>
      </c>
      <c r="D114" s="106">
        <v>132.80000000000001</v>
      </c>
      <c r="E114" s="106">
        <v>130</v>
      </c>
      <c r="F114" s="106">
        <v>130.6</v>
      </c>
      <c r="G114" s="106">
        <v>130.6</v>
      </c>
      <c r="H114" s="106">
        <v>132.6</v>
      </c>
      <c r="I114" s="106">
        <v>133.80000000000001</v>
      </c>
      <c r="J114" s="106">
        <v>135.9</v>
      </c>
      <c r="K114" s="106">
        <v>134.1</v>
      </c>
      <c r="L114" s="106">
        <v>134</v>
      </c>
      <c r="M114" s="106">
        <v>134.5</v>
      </c>
      <c r="N114" s="106">
        <v>134.1</v>
      </c>
      <c r="O114" s="106">
        <v>135.19999999999999</v>
      </c>
      <c r="P114" s="106">
        <v>135.19999999999999</v>
      </c>
      <c r="Q114" s="106">
        <v>132.5</v>
      </c>
      <c r="R114" s="106">
        <v>130</v>
      </c>
      <c r="S114" s="106">
        <v>131.4</v>
      </c>
      <c r="T114" s="106">
        <v>132.30000000000001</v>
      </c>
      <c r="U114" s="106">
        <v>132.5</v>
      </c>
      <c r="V114" s="106">
        <v>135.1</v>
      </c>
      <c r="W114" s="106">
        <v>135.69999999999999</v>
      </c>
      <c r="X114" s="106">
        <v>135.30000000000001</v>
      </c>
      <c r="Y114" s="106">
        <v>135.4</v>
      </c>
      <c r="Z114" s="106">
        <v>135.5</v>
      </c>
      <c r="AA114" s="106">
        <v>136.19999999999999</v>
      </c>
      <c r="AB114" s="106">
        <v>136.19999999999999</v>
      </c>
      <c r="AC114" s="106">
        <v>136.4</v>
      </c>
      <c r="AD114" s="106">
        <v>133.1</v>
      </c>
      <c r="AE114" s="106">
        <v>132.6</v>
      </c>
      <c r="AF114" s="106">
        <v>132.19999999999999</v>
      </c>
      <c r="AG114" s="107"/>
      <c r="AH114" s="47">
        <f t="shared" ref="AH114:AH123" si="82">MAX(B114:AF114)</f>
        <v>136.4</v>
      </c>
      <c r="AI114" s="48">
        <f t="shared" ref="AI114:AI123" si="83">MIN(B114:AF114)</f>
        <v>130</v>
      </c>
    </row>
    <row r="115" spans="1:35" x14ac:dyDescent="0.25">
      <c r="A115" s="103" t="s">
        <v>114</v>
      </c>
      <c r="B115" s="65">
        <v>131</v>
      </c>
      <c r="C115" s="65">
        <v>134</v>
      </c>
      <c r="D115" s="65">
        <v>134</v>
      </c>
      <c r="E115" s="65">
        <v>132.1</v>
      </c>
      <c r="F115" s="65">
        <v>130</v>
      </c>
      <c r="G115" s="65">
        <v>130</v>
      </c>
      <c r="H115" s="65">
        <v>130.6</v>
      </c>
      <c r="I115" s="65">
        <v>126.6</v>
      </c>
      <c r="J115" s="65" t="s">
        <v>603</v>
      </c>
      <c r="K115" s="65">
        <v>134.80000000000001</v>
      </c>
      <c r="L115" s="65">
        <v>134</v>
      </c>
      <c r="M115" s="65">
        <v>128.1</v>
      </c>
      <c r="N115" s="65">
        <v>130.1</v>
      </c>
      <c r="O115" s="65">
        <v>131.69999999999999</v>
      </c>
      <c r="P115" s="65">
        <v>131.69999999999999</v>
      </c>
      <c r="Q115" s="65">
        <v>133.30000000000001</v>
      </c>
      <c r="R115" s="65">
        <v>128.80000000000001</v>
      </c>
      <c r="S115" s="65">
        <v>123.9</v>
      </c>
      <c r="T115" s="65">
        <v>127.2</v>
      </c>
      <c r="U115" s="65">
        <v>132.5</v>
      </c>
      <c r="V115" s="65">
        <v>132.19999999999999</v>
      </c>
      <c r="W115" s="65">
        <v>131.9</v>
      </c>
      <c r="X115" s="65">
        <v>128.78</v>
      </c>
      <c r="Y115" s="65">
        <v>127.8</v>
      </c>
      <c r="Z115" s="65">
        <v>131.80000000000001</v>
      </c>
      <c r="AA115" s="65">
        <v>134.65</v>
      </c>
      <c r="AB115" s="65">
        <v>135.6</v>
      </c>
      <c r="AC115" s="65">
        <v>134.9</v>
      </c>
      <c r="AD115" s="65">
        <v>134.4</v>
      </c>
      <c r="AE115" s="65">
        <v>128.85</v>
      </c>
      <c r="AF115" s="65">
        <v>127</v>
      </c>
      <c r="AG115" s="104"/>
      <c r="AH115" s="47">
        <f t="shared" si="82"/>
        <v>135.6</v>
      </c>
      <c r="AI115" s="48">
        <f t="shared" si="83"/>
        <v>123.9</v>
      </c>
    </row>
    <row r="116" spans="1:35" ht="15.75" thickBot="1" x14ac:dyDescent="0.3">
      <c r="A116" s="103" t="s">
        <v>115</v>
      </c>
      <c r="B116" s="92">
        <v>66.2</v>
      </c>
      <c r="C116" s="92">
        <v>66.7</v>
      </c>
      <c r="D116" s="92">
        <v>66.7</v>
      </c>
      <c r="E116" s="92">
        <v>66</v>
      </c>
      <c r="F116" s="92">
        <v>66.099999999999994</v>
      </c>
      <c r="G116" s="92">
        <v>66.099999999999994</v>
      </c>
      <c r="H116" s="92">
        <v>66</v>
      </c>
      <c r="I116" s="92">
        <v>65.900000000000006</v>
      </c>
      <c r="J116" s="92">
        <v>65.599999999999994</v>
      </c>
      <c r="K116" s="92">
        <v>65.3</v>
      </c>
      <c r="L116" s="92">
        <v>65</v>
      </c>
      <c r="M116" s="92">
        <v>64.099999999999994</v>
      </c>
      <c r="N116" s="92">
        <v>63.9</v>
      </c>
      <c r="O116" s="92">
        <v>64.900000000000006</v>
      </c>
      <c r="P116" s="92">
        <v>64.900000000000006</v>
      </c>
      <c r="Q116" s="92">
        <v>65.3</v>
      </c>
      <c r="R116" s="92">
        <v>64.900000000000006</v>
      </c>
      <c r="S116" s="92">
        <v>65.099999999999994</v>
      </c>
      <c r="T116" s="92">
        <v>64.5</v>
      </c>
      <c r="U116" s="92">
        <v>65</v>
      </c>
      <c r="V116" s="92">
        <v>66.099999999999994</v>
      </c>
      <c r="W116" s="92">
        <v>65.7</v>
      </c>
      <c r="X116" s="92">
        <v>65.7</v>
      </c>
      <c r="Y116" s="92">
        <v>65.099999999999994</v>
      </c>
      <c r="Z116" s="92">
        <v>65.7</v>
      </c>
      <c r="AA116" s="92">
        <v>65.900000000000006</v>
      </c>
      <c r="AB116" s="92">
        <v>66.2</v>
      </c>
      <c r="AC116" s="92">
        <v>66.599999999999994</v>
      </c>
      <c r="AD116" s="92">
        <v>66.599999999999994</v>
      </c>
      <c r="AE116" s="92">
        <v>67.2</v>
      </c>
      <c r="AF116" s="92">
        <v>67</v>
      </c>
      <c r="AG116" s="108"/>
      <c r="AH116" s="47">
        <f t="shared" si="82"/>
        <v>67.2</v>
      </c>
      <c r="AI116" s="48">
        <f t="shared" si="83"/>
        <v>63.9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82"/>
        <v>0</v>
      </c>
      <c r="AI117" s="48">
        <f t="shared" si="83"/>
        <v>0</v>
      </c>
    </row>
    <row r="118" spans="1:35" ht="15.75" thickBot="1" x14ac:dyDescent="0.3">
      <c r="A118" s="110" t="s">
        <v>117</v>
      </c>
      <c r="B118" s="111">
        <f t="shared" ref="B118:C118" si="84">SUM(B22,B28,B31:B32,B66,B68:B69,B71,B73,B119:B123,B155,B161,B167,B176,B178,B190,B197,B200:B201,B208,B210,B212,B216:B218,B220:B222,B227,B233:B234,B236:B238,B246,B251)</f>
        <v>141.54000000000002</v>
      </c>
      <c r="C118" s="111">
        <f t="shared" si="84"/>
        <v>112.34</v>
      </c>
      <c r="D118" s="111">
        <f t="shared" ref="D118" si="85">SUM(D22,D28,D31:D32,D66,D68:D69,D71,D73,D119:D123,D155,D161,D167,D176,D178,D190,D197,D200:D201,D208,D210,D212,D216:D218,D220:D222,D227,D233:D234,D236:D238,D246,D251)</f>
        <v>105.34</v>
      </c>
      <c r="E118" s="111">
        <f t="shared" ref="E118:O118" si="86">SUM(E22,E28,E31:E32,E66,E68:E69,E71,E73,E119:E123,E155,E161,E167,E176,E178,E190,E197,E200:E201,E208,E210,E212,E216:E218,E220:E222,E227,E233:E234,E236:E238,E246,E251)</f>
        <v>127.84000000000002</v>
      </c>
      <c r="F118" s="111">
        <f t="shared" si="86"/>
        <v>132.84</v>
      </c>
      <c r="G118" s="111">
        <f t="shared" si="86"/>
        <v>132.84</v>
      </c>
      <c r="H118" s="111">
        <f t="shared" si="86"/>
        <v>186.34</v>
      </c>
      <c r="I118" s="111">
        <f t="shared" si="86"/>
        <v>221.83999999999997</v>
      </c>
      <c r="J118" s="111">
        <f t="shared" si="86"/>
        <v>250.64</v>
      </c>
      <c r="K118" s="111">
        <f t="shared" si="86"/>
        <v>282.34000000000003</v>
      </c>
      <c r="L118" s="111">
        <f t="shared" si="86"/>
        <v>325.04000000000002</v>
      </c>
      <c r="M118" s="111">
        <f t="shared" si="86"/>
        <v>345.01600000000002</v>
      </c>
      <c r="N118" s="111">
        <f t="shared" si="86"/>
        <v>343.70799999999997</v>
      </c>
      <c r="O118" s="111">
        <f t="shared" si="86"/>
        <v>334.46</v>
      </c>
      <c r="P118" s="111">
        <v>42</v>
      </c>
      <c r="Q118" s="111">
        <f t="shared" ref="Q118:AF118" si="87">SUM(Q22,Q28,Q31:Q32,Q66,Q68:Q69,Q71,Q73,Q119:Q123,Q155,Q161,Q167,Q176,Q178,Q190,Q197,Q200:Q201,Q208,Q210,Q212,Q216:Q218,Q220:Q222,Q227,Q233:Q234,Q236:Q238,Q246,Q251)</f>
        <v>292.28000000000003</v>
      </c>
      <c r="R118" s="111">
        <f t="shared" si="87"/>
        <v>247.44</v>
      </c>
      <c r="S118" s="111">
        <f t="shared" si="87"/>
        <v>237.09100000000001</v>
      </c>
      <c r="T118" s="111">
        <f t="shared" si="87"/>
        <v>258.04000000000002</v>
      </c>
      <c r="U118" s="111">
        <f t="shared" si="87"/>
        <v>254.571</v>
      </c>
      <c r="V118" s="111">
        <f t="shared" si="87"/>
        <v>250.93999999999997</v>
      </c>
      <c r="W118" s="111">
        <f t="shared" si="87"/>
        <v>288.24</v>
      </c>
      <c r="X118" s="111">
        <f t="shared" si="87"/>
        <v>307.74</v>
      </c>
      <c r="Y118" s="111">
        <f t="shared" ref="Y118:Z118" si="88">SUM(Y20,Y26,Y37:Y38,Y66,Y68:Y69,Y71,Y73,Y119:Y123,Y148,Y154,Y160,Y169,Y171,Y183,Y190,Y193:Y194,Y201,Y203,Y205,Y209:Y211,Y213:Y215,Y220,Y226:Y227,Y229:Y231,Y239,Y244)</f>
        <v>362</v>
      </c>
      <c r="Z118" s="111">
        <f t="shared" si="88"/>
        <v>366.40000000000003</v>
      </c>
      <c r="AA118" s="111">
        <f t="shared" si="87"/>
        <v>351.94000000000005</v>
      </c>
      <c r="AB118" s="111">
        <f t="shared" si="87"/>
        <v>312.45999999999998</v>
      </c>
      <c r="AC118" s="111">
        <f t="shared" si="87"/>
        <v>297.74299999999999</v>
      </c>
      <c r="AD118" s="111">
        <f t="shared" si="87"/>
        <v>248.83999999999997</v>
      </c>
      <c r="AE118" s="111">
        <f t="shared" si="87"/>
        <v>202.04</v>
      </c>
      <c r="AF118" s="111">
        <f t="shared" si="87"/>
        <v>156.29999999999998</v>
      </c>
      <c r="AG118" s="112"/>
      <c r="AH118" s="47">
        <f t="shared" si="82"/>
        <v>366.40000000000003</v>
      </c>
      <c r="AI118" s="48">
        <f t="shared" si="83"/>
        <v>42</v>
      </c>
    </row>
    <row r="119" spans="1:35" x14ac:dyDescent="0.25">
      <c r="A119" s="172" t="s">
        <v>118</v>
      </c>
      <c r="B119" s="113">
        <v>-10</v>
      </c>
      <c r="C119" s="113">
        <v>-15</v>
      </c>
      <c r="D119" s="113">
        <v>-18</v>
      </c>
      <c r="E119" s="113">
        <v>-23.6</v>
      </c>
      <c r="F119" s="113">
        <v>-22.1</v>
      </c>
      <c r="G119" s="113">
        <v>-22.1</v>
      </c>
      <c r="H119" s="113">
        <v>-14.9</v>
      </c>
      <c r="I119" s="113">
        <v>-2.7</v>
      </c>
      <c r="J119" s="113">
        <v>7.2</v>
      </c>
      <c r="K119" s="113">
        <v>12</v>
      </c>
      <c r="L119" s="113">
        <v>17</v>
      </c>
      <c r="M119" s="113">
        <v>22.4</v>
      </c>
      <c r="N119" s="113">
        <v>39.9</v>
      </c>
      <c r="O119" s="113">
        <v>39.200000000000003</v>
      </c>
      <c r="P119" s="113">
        <v>40</v>
      </c>
      <c r="Q119" s="113">
        <v>20.2</v>
      </c>
      <c r="R119" s="113">
        <v>5.5</v>
      </c>
      <c r="S119" s="113">
        <v>4</v>
      </c>
      <c r="T119" s="113">
        <v>9.3000000000000007</v>
      </c>
      <c r="U119" s="113">
        <v>9.8000000000000007</v>
      </c>
      <c r="V119" s="113">
        <v>10.199999999999999</v>
      </c>
      <c r="W119" s="113">
        <v>8</v>
      </c>
      <c r="X119" s="113">
        <v>13</v>
      </c>
      <c r="Y119" s="113">
        <v>24</v>
      </c>
      <c r="Z119" s="113">
        <v>46</v>
      </c>
      <c r="AA119" s="113">
        <v>55</v>
      </c>
      <c r="AB119" s="113">
        <v>45</v>
      </c>
      <c r="AC119" s="113">
        <v>41.8</v>
      </c>
      <c r="AD119" s="113">
        <v>17.8</v>
      </c>
      <c r="AE119" s="113">
        <v>2.2999999999999998</v>
      </c>
      <c r="AF119" s="113">
        <v>-7.5</v>
      </c>
      <c r="AG119" s="114">
        <v>75</v>
      </c>
      <c r="AH119" s="47">
        <f t="shared" si="82"/>
        <v>55</v>
      </c>
      <c r="AI119" s="48">
        <f t="shared" si="83"/>
        <v>-23.6</v>
      </c>
    </row>
    <row r="120" spans="1:35" x14ac:dyDescent="0.25">
      <c r="A120" s="173" t="s">
        <v>119</v>
      </c>
      <c r="B120" s="115">
        <v>-15.8</v>
      </c>
      <c r="C120" s="115">
        <v>-23</v>
      </c>
      <c r="D120" s="115">
        <v>-27</v>
      </c>
      <c r="E120" s="115">
        <v>-35.4</v>
      </c>
      <c r="F120" s="115">
        <v>-29.7</v>
      </c>
      <c r="G120" s="115">
        <v>-29.7</v>
      </c>
      <c r="H120" s="115">
        <v>-23</v>
      </c>
      <c r="I120" s="115">
        <v>-8</v>
      </c>
      <c r="J120" s="115">
        <v>5.6</v>
      </c>
      <c r="K120" s="115">
        <v>19.3</v>
      </c>
      <c r="L120" s="115">
        <v>24</v>
      </c>
      <c r="M120" s="115">
        <v>31.5</v>
      </c>
      <c r="N120" s="115">
        <v>54.2</v>
      </c>
      <c r="O120" s="115">
        <v>53.3</v>
      </c>
      <c r="P120" s="115">
        <v>48</v>
      </c>
      <c r="Q120" s="115">
        <v>21.2</v>
      </c>
      <c r="R120" s="115">
        <v>0.5</v>
      </c>
      <c r="S120" s="115">
        <v>-1.2</v>
      </c>
      <c r="T120" s="115">
        <v>7.2</v>
      </c>
      <c r="U120" s="115">
        <v>7.4</v>
      </c>
      <c r="V120" s="115">
        <v>13.6</v>
      </c>
      <c r="W120" s="115">
        <v>11.9</v>
      </c>
      <c r="X120" s="115">
        <v>18</v>
      </c>
      <c r="Y120" s="115">
        <v>31</v>
      </c>
      <c r="Z120" s="115">
        <v>59</v>
      </c>
      <c r="AA120" s="115">
        <v>72.400000000000006</v>
      </c>
      <c r="AB120" s="115">
        <v>61</v>
      </c>
      <c r="AC120" s="115">
        <v>56.2</v>
      </c>
      <c r="AD120" s="115">
        <v>20.399999999999999</v>
      </c>
      <c r="AE120" s="115">
        <v>0.9</v>
      </c>
      <c r="AF120" s="115">
        <v>-12.5</v>
      </c>
      <c r="AG120" s="114">
        <v>240</v>
      </c>
      <c r="AH120" s="47">
        <f t="shared" si="82"/>
        <v>72.400000000000006</v>
      </c>
      <c r="AI120" s="48">
        <f t="shared" si="83"/>
        <v>-35.4</v>
      </c>
    </row>
    <row r="121" spans="1:35" x14ac:dyDescent="0.25">
      <c r="A121" s="173" t="s">
        <v>120</v>
      </c>
      <c r="B121" s="115">
        <v>-2</v>
      </c>
      <c r="C121" s="115">
        <v>-8</v>
      </c>
      <c r="D121" s="115">
        <v>-8</v>
      </c>
      <c r="E121" s="115">
        <v>-7</v>
      </c>
      <c r="F121" s="115">
        <v>-10</v>
      </c>
      <c r="G121" s="115">
        <v>-10</v>
      </c>
      <c r="H121" s="115">
        <v>8</v>
      </c>
      <c r="I121" s="115">
        <v>10.1</v>
      </c>
      <c r="J121" s="115">
        <v>17</v>
      </c>
      <c r="K121" s="115">
        <v>23</v>
      </c>
      <c r="L121" s="115">
        <v>30</v>
      </c>
      <c r="M121" s="115">
        <f>15.7+17.1</f>
        <v>32.799999999999997</v>
      </c>
      <c r="N121" s="115">
        <f>11+12.9</f>
        <v>23.9</v>
      </c>
      <c r="O121" s="115">
        <f>13+15</f>
        <v>28</v>
      </c>
      <c r="P121" s="115">
        <f>13+15</f>
        <v>28</v>
      </c>
      <c r="Q121" s="115">
        <f>9.5+10.8</f>
        <v>20.3</v>
      </c>
      <c r="R121" s="115">
        <v>9</v>
      </c>
      <c r="S121" s="115">
        <v>4.2</v>
      </c>
      <c r="T121" s="115">
        <v>10.6</v>
      </c>
      <c r="U121" s="115">
        <v>16.5</v>
      </c>
      <c r="V121" s="115">
        <v>19</v>
      </c>
      <c r="W121" s="115">
        <v>39</v>
      </c>
      <c r="X121" s="115">
        <v>44</v>
      </c>
      <c r="Y121" s="115">
        <v>47</v>
      </c>
      <c r="Z121" s="115">
        <v>34</v>
      </c>
      <c r="AA121" s="115">
        <v>30.4</v>
      </c>
      <c r="AB121" s="115">
        <v>26</v>
      </c>
      <c r="AC121" s="115">
        <v>23</v>
      </c>
      <c r="AD121" s="115">
        <v>15</v>
      </c>
      <c r="AE121" s="115">
        <v>5</v>
      </c>
      <c r="AF121" s="115">
        <v>-3</v>
      </c>
      <c r="AG121" s="114">
        <v>240</v>
      </c>
      <c r="AH121" s="47">
        <f t="shared" si="82"/>
        <v>47</v>
      </c>
      <c r="AI121" s="48">
        <f t="shared" si="83"/>
        <v>-10</v>
      </c>
    </row>
    <row r="122" spans="1:35" ht="15.75" thickBot="1" x14ac:dyDescent="0.3">
      <c r="A122" s="173" t="s">
        <v>121</v>
      </c>
      <c r="B122" s="115">
        <v>-1</v>
      </c>
      <c r="C122" s="115">
        <v>-7</v>
      </c>
      <c r="D122" s="115">
        <v>-7</v>
      </c>
      <c r="E122" s="115">
        <v>-5.0999999999999996</v>
      </c>
      <c r="F122" s="115">
        <v>-9.1</v>
      </c>
      <c r="G122" s="115">
        <v>-9.1</v>
      </c>
      <c r="H122" s="115">
        <v>0.4</v>
      </c>
      <c r="I122" s="115">
        <v>5</v>
      </c>
      <c r="J122" s="115">
        <v>5</v>
      </c>
      <c r="K122" s="115">
        <v>17</v>
      </c>
      <c r="L122" s="115">
        <v>20</v>
      </c>
      <c r="M122" s="115">
        <v>20.8</v>
      </c>
      <c r="N122" s="115">
        <v>20.5</v>
      </c>
      <c r="O122" s="115">
        <v>21.4</v>
      </c>
      <c r="P122" s="115">
        <v>22.4</v>
      </c>
      <c r="Q122" s="115">
        <v>8.5</v>
      </c>
      <c r="R122" s="115">
        <v>12</v>
      </c>
      <c r="S122" s="115">
        <v>4.9000000000000004</v>
      </c>
      <c r="T122" s="115">
        <v>2.2999999999999998</v>
      </c>
      <c r="U122" s="115">
        <v>6.5</v>
      </c>
      <c r="V122" s="115">
        <v>7.1</v>
      </c>
      <c r="W122" s="115">
        <v>18.2</v>
      </c>
      <c r="X122" s="115">
        <v>20</v>
      </c>
      <c r="Y122" s="115">
        <v>23</v>
      </c>
      <c r="Z122" s="115">
        <v>24</v>
      </c>
      <c r="AA122" s="115">
        <v>24.6</v>
      </c>
      <c r="AB122" s="115">
        <v>22.5</v>
      </c>
      <c r="AC122" s="115">
        <v>21</v>
      </c>
      <c r="AD122" s="115">
        <v>9.8000000000000007</v>
      </c>
      <c r="AE122" s="115">
        <v>8</v>
      </c>
      <c r="AF122" s="115">
        <v>3.3</v>
      </c>
      <c r="AG122" s="114">
        <v>60</v>
      </c>
      <c r="AH122" s="47">
        <f t="shared" si="82"/>
        <v>24.6</v>
      </c>
      <c r="AI122" s="48">
        <f t="shared" si="83"/>
        <v>-9.1</v>
      </c>
    </row>
    <row r="123" spans="1:35" x14ac:dyDescent="0.25">
      <c r="A123" s="172" t="s">
        <v>259</v>
      </c>
      <c r="B123" s="117">
        <v>85</v>
      </c>
      <c r="C123" s="117">
        <v>80</v>
      </c>
      <c r="D123" s="117">
        <v>80</v>
      </c>
      <c r="E123" s="117">
        <f>71*1.6</f>
        <v>113.60000000000001</v>
      </c>
      <c r="F123" s="117">
        <f>74*1.6</f>
        <v>118.4</v>
      </c>
      <c r="G123" s="117">
        <f>74*1.6</f>
        <v>118.4</v>
      </c>
      <c r="H123" s="117">
        <f>79*1.6</f>
        <v>126.4</v>
      </c>
      <c r="I123" s="117">
        <f>80*1.6</f>
        <v>128</v>
      </c>
      <c r="J123" s="117">
        <f>79*1.6</f>
        <v>126.4</v>
      </c>
      <c r="K123" s="117">
        <f>76*1.6</f>
        <v>121.60000000000001</v>
      </c>
      <c r="L123" s="117">
        <f>90*1.6</f>
        <v>144</v>
      </c>
      <c r="M123" s="117">
        <f>88.4*1.64</f>
        <v>144.976</v>
      </c>
      <c r="N123" s="117">
        <f>68.7*1.64</f>
        <v>112.66799999999999</v>
      </c>
      <c r="O123" s="117">
        <f>58*1.64</f>
        <v>95.11999999999999</v>
      </c>
      <c r="P123" s="117">
        <f>58*1.64</f>
        <v>95.11999999999999</v>
      </c>
      <c r="Q123" s="117">
        <f>76*1.64</f>
        <v>124.63999999999999</v>
      </c>
      <c r="R123" s="117">
        <f>75*1.64</f>
        <v>122.99999999999999</v>
      </c>
      <c r="S123" s="117">
        <f>77.7*1.63</f>
        <v>126.651</v>
      </c>
      <c r="T123" s="117">
        <f>81.5*1.6</f>
        <v>130.4</v>
      </c>
      <c r="U123" s="117">
        <f>73.7*1.63</f>
        <v>120.131</v>
      </c>
      <c r="V123" s="117">
        <f>70*1.6</f>
        <v>112</v>
      </c>
      <c r="W123" s="117">
        <f>77*1.6</f>
        <v>123.2</v>
      </c>
      <c r="X123" s="117">
        <f>78*1.6</f>
        <v>124.80000000000001</v>
      </c>
      <c r="Y123" s="117">
        <f>89*1.6</f>
        <v>142.4</v>
      </c>
      <c r="Z123" s="117">
        <f>68*1.6</f>
        <v>108.80000000000001</v>
      </c>
      <c r="AA123" s="117">
        <f>51*1.6</f>
        <v>81.600000000000009</v>
      </c>
      <c r="AB123" s="117">
        <f>43*1.64</f>
        <v>70.52</v>
      </c>
      <c r="AC123" s="117">
        <f>40.9*1.67</f>
        <v>68.302999999999997</v>
      </c>
      <c r="AD123" s="117">
        <f>60*1.64</f>
        <v>98.399999999999991</v>
      </c>
      <c r="AE123" s="117">
        <f>60*1.64</f>
        <v>98.399999999999991</v>
      </c>
      <c r="AF123" s="117">
        <f>54*1.64</f>
        <v>88.559999999999988</v>
      </c>
      <c r="AG123" s="118">
        <v>120</v>
      </c>
      <c r="AH123" s="47">
        <f t="shared" si="82"/>
        <v>144.976</v>
      </c>
      <c r="AI123" s="48">
        <f t="shared" si="83"/>
        <v>68.302999999999997</v>
      </c>
    </row>
    <row r="124" spans="1:35" x14ac:dyDescent="0.25">
      <c r="A124" s="173" t="s">
        <v>258</v>
      </c>
      <c r="B124" s="117">
        <v>74</v>
      </c>
      <c r="C124" s="117">
        <v>77</v>
      </c>
      <c r="D124" s="117">
        <v>77</v>
      </c>
      <c r="E124" s="117">
        <v>81</v>
      </c>
      <c r="F124" s="117">
        <v>83</v>
      </c>
      <c r="G124" s="117">
        <v>83</v>
      </c>
      <c r="H124" s="117">
        <v>86.3</v>
      </c>
      <c r="I124" s="117">
        <v>87</v>
      </c>
      <c r="J124" s="117">
        <v>86</v>
      </c>
      <c r="K124" s="117">
        <v>84</v>
      </c>
      <c r="L124" s="117">
        <v>95</v>
      </c>
      <c r="M124" s="117">
        <v>93.5</v>
      </c>
      <c r="N124" s="117">
        <v>77</v>
      </c>
      <c r="O124" s="117">
        <v>68.2</v>
      </c>
      <c r="P124" s="117">
        <v>68.2</v>
      </c>
      <c r="Q124" s="117">
        <v>82</v>
      </c>
      <c r="R124" s="117">
        <v>81</v>
      </c>
      <c r="S124" s="117">
        <v>85</v>
      </c>
      <c r="T124" s="117">
        <v>88.4</v>
      </c>
      <c r="U124" s="117">
        <v>82.4</v>
      </c>
      <c r="V124" s="117">
        <v>79.400000000000006</v>
      </c>
      <c r="W124" s="117">
        <v>84.2</v>
      </c>
      <c r="X124" s="117">
        <v>84</v>
      </c>
      <c r="Y124" s="117">
        <v>93.4</v>
      </c>
      <c r="Z124" s="117">
        <v>77</v>
      </c>
      <c r="AA124" s="117">
        <v>56.4</v>
      </c>
      <c r="AB124" s="117">
        <v>58</v>
      </c>
      <c r="AC124" s="117">
        <v>56.5</v>
      </c>
      <c r="AD124" s="117">
        <v>72</v>
      </c>
      <c r="AE124" s="117">
        <v>72</v>
      </c>
      <c r="AF124" s="117">
        <v>69</v>
      </c>
      <c r="AG124" s="118"/>
      <c r="AH124" s="47"/>
      <c r="AI124" s="48"/>
    </row>
    <row r="125" spans="1:35" x14ac:dyDescent="0.25">
      <c r="A125" s="173" t="s">
        <v>255</v>
      </c>
      <c r="B125" s="117">
        <v>59</v>
      </c>
      <c r="C125" s="117">
        <v>64</v>
      </c>
      <c r="D125" s="117">
        <v>64</v>
      </c>
      <c r="E125" s="117">
        <v>77</v>
      </c>
      <c r="F125" s="117">
        <v>75.099999999999994</v>
      </c>
      <c r="G125" s="117">
        <v>75.099999999999994</v>
      </c>
      <c r="H125" s="117">
        <v>65.3</v>
      </c>
      <c r="I125" s="117">
        <v>52</v>
      </c>
      <c r="J125" s="117">
        <v>34</v>
      </c>
      <c r="K125" s="117">
        <v>14</v>
      </c>
      <c r="L125" s="117">
        <v>12</v>
      </c>
      <c r="M125" s="117">
        <v>4.5</v>
      </c>
      <c r="N125" s="117">
        <v>-25</v>
      </c>
      <c r="O125" s="117">
        <v>-27</v>
      </c>
      <c r="P125" s="117">
        <v>-27</v>
      </c>
      <c r="Q125" s="117">
        <v>19</v>
      </c>
      <c r="R125" s="117">
        <v>51</v>
      </c>
      <c r="S125" s="117">
        <v>53.8</v>
      </c>
      <c r="T125" s="117">
        <v>34.4</v>
      </c>
      <c r="U125" s="117">
        <v>24.8</v>
      </c>
      <c r="V125" s="117">
        <v>16.399999999999999</v>
      </c>
      <c r="W125" s="117">
        <v>2.4</v>
      </c>
      <c r="X125" s="117">
        <v>-3.4</v>
      </c>
      <c r="Y125" s="117">
        <v>-12</v>
      </c>
      <c r="Z125" s="117">
        <v>-43</v>
      </c>
      <c r="AA125" s="117">
        <v>-63.6</v>
      </c>
      <c r="AB125" s="117">
        <v>-50</v>
      </c>
      <c r="AC125" s="117">
        <v>-44.5</v>
      </c>
      <c r="AD125" s="117">
        <v>8</v>
      </c>
      <c r="AE125" s="117">
        <v>30.9</v>
      </c>
      <c r="AF125" s="117">
        <v>45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80</v>
      </c>
      <c r="C126" s="117">
        <v>88</v>
      </c>
      <c r="D126" s="117">
        <v>88</v>
      </c>
      <c r="E126" s="117">
        <v>96</v>
      </c>
      <c r="F126" s="117">
        <v>94.1</v>
      </c>
      <c r="G126" s="117">
        <v>94.1</v>
      </c>
      <c r="H126" s="117">
        <v>100</v>
      </c>
      <c r="I126" s="117">
        <v>101</v>
      </c>
      <c r="J126" s="117">
        <v>89</v>
      </c>
      <c r="K126" s="117">
        <v>74</v>
      </c>
      <c r="L126" s="117">
        <v>79</v>
      </c>
      <c r="M126" s="117">
        <v>77.900000000000006</v>
      </c>
      <c r="N126" s="117">
        <v>51.3</v>
      </c>
      <c r="O126" s="117">
        <v>45.4</v>
      </c>
      <c r="P126" s="117">
        <v>45.4</v>
      </c>
      <c r="Q126" s="117">
        <v>72</v>
      </c>
      <c r="R126" s="117">
        <v>77</v>
      </c>
      <c r="S126" s="117">
        <v>76.7</v>
      </c>
      <c r="T126" s="117">
        <v>79</v>
      </c>
      <c r="U126" s="117">
        <v>85</v>
      </c>
      <c r="V126" s="117">
        <v>74.5</v>
      </c>
      <c r="W126" s="117">
        <v>80</v>
      </c>
      <c r="X126" s="117">
        <v>79</v>
      </c>
      <c r="Y126" s="117">
        <v>78.099999999999994</v>
      </c>
      <c r="Z126" s="117">
        <v>56</v>
      </c>
      <c r="AA126" s="117">
        <v>39</v>
      </c>
      <c r="AB126" s="117">
        <v>44</v>
      </c>
      <c r="AC126" s="117">
        <v>46.4</v>
      </c>
      <c r="AD126" s="117">
        <v>65</v>
      </c>
      <c r="AE126" s="117">
        <v>70</v>
      </c>
      <c r="AF126" s="117">
        <v>73</v>
      </c>
      <c r="AG126" s="114"/>
      <c r="AH126" s="47">
        <f>MAX(B126:AF126)</f>
        <v>101</v>
      </c>
      <c r="AI126" s="48">
        <f>MIN(B126:AF126)</f>
        <v>39</v>
      </c>
    </row>
    <row r="127" spans="1:35" x14ac:dyDescent="0.25">
      <c r="A127" s="172" t="s">
        <v>587</v>
      </c>
      <c r="B127" s="117">
        <v>28</v>
      </c>
      <c r="C127" s="117">
        <v>36</v>
      </c>
      <c r="D127" s="117">
        <v>36</v>
      </c>
      <c r="E127" s="117">
        <v>39</v>
      </c>
      <c r="F127" s="117">
        <v>45</v>
      </c>
      <c r="G127" s="117">
        <v>45</v>
      </c>
      <c r="H127" s="117">
        <v>38</v>
      </c>
      <c r="I127" s="117">
        <v>28</v>
      </c>
      <c r="J127" s="117">
        <v>15</v>
      </c>
      <c r="K127" s="117">
        <v>11</v>
      </c>
      <c r="L127" s="117">
        <v>12</v>
      </c>
      <c r="M127" s="117">
        <v>2.9</v>
      </c>
      <c r="N127" s="117">
        <v>-10.6</v>
      </c>
      <c r="O127" s="117">
        <v>-10.199999999999999</v>
      </c>
      <c r="P127" s="117">
        <v>-10.199999999999999</v>
      </c>
      <c r="Q127" s="117">
        <v>0</v>
      </c>
      <c r="R127" s="117">
        <v>18</v>
      </c>
      <c r="S127" s="117">
        <v>16.899999999999999</v>
      </c>
      <c r="T127" s="117">
        <v>12.7</v>
      </c>
      <c r="U127" s="117">
        <v>12.2</v>
      </c>
      <c r="V127" s="117">
        <v>18</v>
      </c>
      <c r="W127" s="117">
        <v>6</v>
      </c>
      <c r="X127" s="117">
        <v>2.4</v>
      </c>
      <c r="Y127" s="117">
        <v>-7</v>
      </c>
      <c r="Z127" s="117">
        <v>-16</v>
      </c>
      <c r="AA127" s="117">
        <v>-25.3</v>
      </c>
      <c r="AB127" s="117">
        <v>-21</v>
      </c>
      <c r="AC127" s="117">
        <v>-13</v>
      </c>
      <c r="AD127" s="117">
        <v>-1.7</v>
      </c>
      <c r="AE127" s="117">
        <v>10</v>
      </c>
      <c r="AF127" s="117">
        <v>21</v>
      </c>
      <c r="AG127" s="114"/>
      <c r="AH127" s="47">
        <f>MAX(B127:AF127)</f>
        <v>45</v>
      </c>
      <c r="AI127" s="48">
        <f>MIN(B127:AF127)</f>
        <v>-25.3</v>
      </c>
    </row>
    <row r="128" spans="1:35" x14ac:dyDescent="0.25">
      <c r="A128" s="173" t="s">
        <v>123</v>
      </c>
      <c r="B128" s="106">
        <v>-11</v>
      </c>
      <c r="C128" s="106">
        <v>-10</v>
      </c>
      <c r="D128" s="106">
        <v>-10</v>
      </c>
      <c r="E128" s="106">
        <v>-8</v>
      </c>
      <c r="F128" s="106">
        <v>-10</v>
      </c>
      <c r="G128" s="106">
        <v>-10</v>
      </c>
      <c r="H128" s="106">
        <v>-19</v>
      </c>
      <c r="I128" s="106">
        <v>-27.1</v>
      </c>
      <c r="J128" s="106">
        <v>-34</v>
      </c>
      <c r="K128" s="106">
        <v>-40</v>
      </c>
      <c r="L128" s="106">
        <v>-35</v>
      </c>
      <c r="M128" s="106">
        <v>-25.2</v>
      </c>
      <c r="N128" s="106">
        <v>-18</v>
      </c>
      <c r="O128" s="106">
        <v>-18.8</v>
      </c>
      <c r="P128" s="106">
        <v>-18.8</v>
      </c>
      <c r="Q128" s="106">
        <v>-18.2</v>
      </c>
      <c r="R128" s="106">
        <v>-15</v>
      </c>
      <c r="S128" s="106">
        <v>-24.2</v>
      </c>
      <c r="T128" s="106">
        <v>-21.9</v>
      </c>
      <c r="U128" s="106">
        <v>-27.1</v>
      </c>
      <c r="V128" s="106">
        <v>-33.5</v>
      </c>
      <c r="W128" s="106">
        <v>-48.5</v>
      </c>
      <c r="X128" s="106">
        <v>-50</v>
      </c>
      <c r="Y128" s="106">
        <v>-56</v>
      </c>
      <c r="Z128" s="106">
        <v>-46.3</v>
      </c>
      <c r="AA128" s="106">
        <v>-40.200000000000003</v>
      </c>
      <c r="AB128" s="106">
        <v>-33</v>
      </c>
      <c r="AC128" s="106">
        <v>-29</v>
      </c>
      <c r="AD128" s="106">
        <v>-23</v>
      </c>
      <c r="AE128" s="106">
        <v>-16</v>
      </c>
      <c r="AF128" s="106">
        <v>-12</v>
      </c>
      <c r="AG128" s="114"/>
      <c r="AH128" s="47">
        <f>MAX(B128:AF128)</f>
        <v>-8</v>
      </c>
      <c r="AI128" s="48">
        <f>MIN(B128:AF128)</f>
        <v>-56</v>
      </c>
    </row>
    <row r="129" spans="1:37" x14ac:dyDescent="0.25">
      <c r="A129" s="173" t="s">
        <v>260</v>
      </c>
      <c r="B129" s="106">
        <v>-24</v>
      </c>
      <c r="C129" s="106">
        <v>-30</v>
      </c>
      <c r="D129" s="106">
        <v>-30</v>
      </c>
      <c r="E129" s="106">
        <v>-34</v>
      </c>
      <c r="F129" s="106">
        <v>-34</v>
      </c>
      <c r="G129" s="106">
        <v>-34</v>
      </c>
      <c r="H129" s="106">
        <v>-43.7</v>
      </c>
      <c r="I129" s="106">
        <v>-39</v>
      </c>
      <c r="J129" s="106">
        <v>-31</v>
      </c>
      <c r="K129" s="106">
        <v>-29</v>
      </c>
      <c r="L129" s="106">
        <v>-35</v>
      </c>
      <c r="M129" s="106">
        <v>-30.6</v>
      </c>
      <c r="N129" s="106">
        <v>8.9</v>
      </c>
      <c r="O129" s="106">
        <v>8.9</v>
      </c>
      <c r="P129" s="106">
        <v>8.9</v>
      </c>
      <c r="Q129" s="106">
        <v>15.9</v>
      </c>
      <c r="R129" s="106">
        <v>25</v>
      </c>
      <c r="S129" s="106">
        <v>26.5</v>
      </c>
      <c r="T129" s="106">
        <v>27.2</v>
      </c>
      <c r="U129" s="106">
        <v>-30.4</v>
      </c>
      <c r="V129" s="106">
        <v>-33.1</v>
      </c>
      <c r="W129" s="106">
        <v>-40.200000000000003</v>
      </c>
      <c r="X129" s="106">
        <v>-39.4</v>
      </c>
      <c r="Y129" s="106">
        <v>-35</v>
      </c>
      <c r="Z129" s="106">
        <v>-12</v>
      </c>
      <c r="AA129" s="106">
        <v>2.7</v>
      </c>
      <c r="AB129" s="106">
        <v>-5.0999999999999996</v>
      </c>
      <c r="AC129" s="106">
        <v>-8.6999999999999993</v>
      </c>
      <c r="AD129" s="106">
        <v>-22</v>
      </c>
      <c r="AE129" s="106">
        <v>-21</v>
      </c>
      <c r="AF129" s="106">
        <v>-20</v>
      </c>
      <c r="AG129" s="114"/>
      <c r="AH129" s="47">
        <f>MAX(B129:AF129)</f>
        <v>27.2</v>
      </c>
      <c r="AI129" s="48">
        <f>MIN(B129:AF129)</f>
        <v>-43.7</v>
      </c>
    </row>
    <row r="130" spans="1:37" ht="15.75" thickBot="1" x14ac:dyDescent="0.3">
      <c r="A130" s="173" t="s">
        <v>257</v>
      </c>
      <c r="B130" s="106">
        <v>92</v>
      </c>
      <c r="C130" s="106">
        <v>85</v>
      </c>
      <c r="D130" s="106">
        <v>85</v>
      </c>
      <c r="E130" s="106">
        <v>91</v>
      </c>
      <c r="F130" s="106">
        <v>88</v>
      </c>
      <c r="G130" s="106">
        <v>88</v>
      </c>
      <c r="H130" s="106">
        <v>87.4</v>
      </c>
      <c r="I130" s="106">
        <v>95</v>
      </c>
      <c r="J130" s="106">
        <v>100</v>
      </c>
      <c r="K130" s="106">
        <v>92</v>
      </c>
      <c r="L130" s="106">
        <v>83</v>
      </c>
      <c r="M130" s="106">
        <v>79.400000000000006</v>
      </c>
      <c r="N130" s="106">
        <v>75.2</v>
      </c>
      <c r="O130" s="106">
        <v>93</v>
      </c>
      <c r="P130" s="106">
        <v>93</v>
      </c>
      <c r="Q130" s="106">
        <v>99</v>
      </c>
      <c r="R130" s="106">
        <v>93</v>
      </c>
      <c r="S130" s="106">
        <v>98.9</v>
      </c>
      <c r="T130" s="106">
        <v>95.8</v>
      </c>
      <c r="U130" s="106">
        <v>94.8</v>
      </c>
      <c r="V130" s="106">
        <v>103</v>
      </c>
      <c r="W130" s="106">
        <v>90</v>
      </c>
      <c r="X130" s="106">
        <v>95</v>
      </c>
      <c r="Y130" s="106">
        <v>111</v>
      </c>
      <c r="Z130" s="106">
        <v>103.1</v>
      </c>
      <c r="AA130" s="106">
        <v>94</v>
      </c>
      <c r="AB130" s="106">
        <v>93</v>
      </c>
      <c r="AC130" s="106">
        <v>103.3</v>
      </c>
      <c r="AD130" s="106">
        <v>101</v>
      </c>
      <c r="AE130" s="106">
        <v>90.7</v>
      </c>
      <c r="AF130" s="106">
        <v>83</v>
      </c>
      <c r="AG130" s="114"/>
      <c r="AH130" s="47">
        <f>MAX(B130:AF130)</f>
        <v>111</v>
      </c>
      <c r="AI130" s="48">
        <f>MIN(B130:AF130)</f>
        <v>75.2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17">
        <v>1984.18</v>
      </c>
      <c r="C132" s="117">
        <v>1984.42</v>
      </c>
      <c r="D132" s="117">
        <v>1984.6</v>
      </c>
      <c r="E132" s="117">
        <v>1984.87</v>
      </c>
      <c r="F132" s="117">
        <v>1985.09</v>
      </c>
      <c r="G132" s="117">
        <v>1985.3</v>
      </c>
      <c r="H132" s="117"/>
      <c r="I132" s="117">
        <v>1985.5</v>
      </c>
      <c r="J132" s="117"/>
      <c r="K132" s="117">
        <v>1985.5</v>
      </c>
      <c r="L132" s="117"/>
      <c r="M132" s="117">
        <v>1984.62</v>
      </c>
      <c r="N132" s="117">
        <v>1983.48</v>
      </c>
      <c r="O132" s="117">
        <v>1983.3</v>
      </c>
      <c r="P132" s="117">
        <v>1983.45</v>
      </c>
      <c r="Q132" s="117">
        <v>1983.69</v>
      </c>
      <c r="R132" s="117">
        <v>1983.9</v>
      </c>
      <c r="S132" s="117">
        <v>1984.1</v>
      </c>
      <c r="T132" s="117">
        <v>1984.3</v>
      </c>
      <c r="U132" s="117">
        <v>1984.42</v>
      </c>
      <c r="V132" s="117">
        <v>1984.49</v>
      </c>
      <c r="W132" s="117"/>
      <c r="X132" s="117">
        <v>1984.62</v>
      </c>
      <c r="Y132" s="117"/>
      <c r="Z132" s="117">
        <v>1984.28</v>
      </c>
      <c r="AA132" s="117"/>
      <c r="AB132" s="117">
        <v>1983.95</v>
      </c>
      <c r="AC132" s="117"/>
      <c r="AD132" s="117">
        <v>1984.15</v>
      </c>
      <c r="AE132" s="117">
        <v>1984.3</v>
      </c>
      <c r="AF132" s="117">
        <v>1984.5</v>
      </c>
      <c r="AG132" s="149"/>
      <c r="AH132" s="47"/>
      <c r="AI132" s="48"/>
    </row>
    <row r="133" spans="1:37" x14ac:dyDescent="0.25">
      <c r="A133" s="185" t="s">
        <v>238</v>
      </c>
      <c r="B133" s="117">
        <v>521.04</v>
      </c>
      <c r="C133" s="117">
        <v>521.33000000000004</v>
      </c>
      <c r="D133" s="117">
        <v>521.61</v>
      </c>
      <c r="E133" s="117">
        <v>521.94000000000005</v>
      </c>
      <c r="F133" s="117">
        <v>522.26</v>
      </c>
      <c r="G133" s="117">
        <v>522.52</v>
      </c>
      <c r="H133" s="117"/>
      <c r="I133" s="117">
        <v>522.70000000000005</v>
      </c>
      <c r="J133" s="117"/>
      <c r="K133" s="117">
        <v>522.64</v>
      </c>
      <c r="L133" s="117"/>
      <c r="M133" s="117">
        <v>522.54</v>
      </c>
      <c r="N133" s="117">
        <v>522.34</v>
      </c>
      <c r="O133" s="117">
        <v>522.04</v>
      </c>
      <c r="P133" s="117">
        <v>521.80999999999995</v>
      </c>
      <c r="Q133" s="117">
        <v>521.74</v>
      </c>
      <c r="R133" s="117"/>
      <c r="S133" s="117">
        <v>521.98</v>
      </c>
      <c r="T133" s="117">
        <v>522.04999999999995</v>
      </c>
      <c r="U133" s="117">
        <v>522.11</v>
      </c>
      <c r="V133" s="117">
        <v>522.20000000000005</v>
      </c>
      <c r="W133" s="117"/>
      <c r="X133" s="117">
        <v>522.32000000000005</v>
      </c>
      <c r="Y133" s="117"/>
      <c r="Z133" s="117">
        <v>522.02</v>
      </c>
      <c r="AA133" s="117"/>
      <c r="AB133" s="117">
        <v>521.41999999999996</v>
      </c>
      <c r="AC133" s="117"/>
      <c r="AD133" s="117">
        <v>521.26</v>
      </c>
      <c r="AE133" s="117">
        <v>521.4</v>
      </c>
      <c r="AF133" s="117">
        <v>521.74</v>
      </c>
      <c r="AG133" s="149"/>
      <c r="AH133" s="47"/>
      <c r="AI133" s="48"/>
    </row>
    <row r="134" spans="1:37" x14ac:dyDescent="0.25">
      <c r="A134" s="185" t="s">
        <v>239</v>
      </c>
      <c r="B134" s="117">
        <v>622.70000000000005</v>
      </c>
      <c r="C134" s="117">
        <v>622.79999999999995</v>
      </c>
      <c r="D134" s="117">
        <v>622.89</v>
      </c>
      <c r="E134" s="117">
        <v>623.12</v>
      </c>
      <c r="F134" s="117">
        <v>623.39</v>
      </c>
      <c r="G134" s="117">
        <v>623.4</v>
      </c>
      <c r="H134" s="117"/>
      <c r="I134" s="117">
        <v>623.38</v>
      </c>
      <c r="J134" s="117"/>
      <c r="K134" s="117">
        <v>623.4</v>
      </c>
      <c r="L134" s="117"/>
      <c r="M134" s="117">
        <v>623.4</v>
      </c>
      <c r="N134" s="117">
        <v>623.33000000000004</v>
      </c>
      <c r="O134" s="117">
        <v>623.34</v>
      </c>
      <c r="P134" s="117">
        <v>623.16</v>
      </c>
      <c r="Q134" s="117">
        <v>623.09</v>
      </c>
      <c r="R134" s="117">
        <v>622.78</v>
      </c>
      <c r="S134" s="117">
        <v>622.99</v>
      </c>
      <c r="T134" s="117">
        <v>622.91999999999996</v>
      </c>
      <c r="U134" s="117">
        <v>622.77</v>
      </c>
      <c r="V134" s="117">
        <v>622.71</v>
      </c>
      <c r="W134" s="117"/>
      <c r="X134" s="117">
        <v>622.66999999999996</v>
      </c>
      <c r="Y134" s="117"/>
      <c r="Z134" s="117">
        <v>622.65</v>
      </c>
      <c r="AA134" s="117"/>
      <c r="AB134" s="117">
        <v>622.54999999999995</v>
      </c>
      <c r="AC134" s="117"/>
      <c r="AD134" s="117">
        <v>622.65</v>
      </c>
      <c r="AE134" s="117">
        <v>622.70000000000005</v>
      </c>
      <c r="AF134" s="117">
        <v>622.69000000000005</v>
      </c>
      <c r="AG134" s="149"/>
      <c r="AH134" s="47"/>
      <c r="AI134" s="48"/>
    </row>
    <row r="135" spans="1:37" x14ac:dyDescent="0.25">
      <c r="A135" s="185" t="s">
        <v>240</v>
      </c>
      <c r="B135" s="117">
        <v>335.8</v>
      </c>
      <c r="C135" s="117">
        <v>336.18</v>
      </c>
      <c r="D135" s="117">
        <v>336.35</v>
      </c>
      <c r="E135" s="117">
        <v>336.57</v>
      </c>
      <c r="F135" s="117">
        <v>336.7</v>
      </c>
      <c r="G135" s="117">
        <v>336.81</v>
      </c>
      <c r="H135" s="117"/>
      <c r="I135" s="117">
        <v>336.89</v>
      </c>
      <c r="J135" s="117"/>
      <c r="K135" s="117">
        <v>336.85</v>
      </c>
      <c r="L135" s="117"/>
      <c r="M135" s="117">
        <v>336.75</v>
      </c>
      <c r="N135" s="117">
        <v>336.54</v>
      </c>
      <c r="O135" s="117">
        <v>336.25</v>
      </c>
      <c r="P135" s="117">
        <v>335.95</v>
      </c>
      <c r="Q135" s="117">
        <v>335.64</v>
      </c>
      <c r="R135" s="117">
        <v>335.6</v>
      </c>
      <c r="S135" s="117">
        <v>335.6</v>
      </c>
      <c r="T135" s="117">
        <v>335.59</v>
      </c>
      <c r="U135" s="117">
        <v>335.57</v>
      </c>
      <c r="V135" s="117">
        <v>335.58</v>
      </c>
      <c r="W135" s="117"/>
      <c r="X135" s="117">
        <v>335.62</v>
      </c>
      <c r="Y135" s="117"/>
      <c r="Z135" s="117">
        <v>335.53</v>
      </c>
      <c r="AA135" s="117"/>
      <c r="AB135" s="117">
        <v>335.75</v>
      </c>
      <c r="AC135" s="117"/>
      <c r="AD135" s="117">
        <v>334.91</v>
      </c>
      <c r="AE135" s="117">
        <v>335.02</v>
      </c>
      <c r="AF135" s="117">
        <v>335.37</v>
      </c>
      <c r="AG135" s="149"/>
      <c r="AH135" s="47"/>
      <c r="AI135" s="48"/>
    </row>
    <row r="136" spans="1:37" x14ac:dyDescent="0.25">
      <c r="A136" s="185" t="s">
        <v>384</v>
      </c>
      <c r="B136" s="117">
        <v>883.6</v>
      </c>
      <c r="C136" s="117">
        <v>884.3</v>
      </c>
      <c r="D136" s="117">
        <v>884.9</v>
      </c>
      <c r="E136" s="117">
        <v>885.5</v>
      </c>
      <c r="F136" s="117">
        <v>886.1</v>
      </c>
      <c r="G136" s="117">
        <v>886.5</v>
      </c>
      <c r="H136" s="117"/>
      <c r="I136" s="117">
        <v>886.6</v>
      </c>
      <c r="J136" s="117"/>
      <c r="K136" s="117">
        <v>886.5</v>
      </c>
      <c r="L136" s="117"/>
      <c r="M136" s="117">
        <v>886.4</v>
      </c>
      <c r="N136" s="117">
        <v>886.3</v>
      </c>
      <c r="O136" s="117">
        <v>886</v>
      </c>
      <c r="P136" s="117">
        <v>885.8</v>
      </c>
      <c r="Q136" s="117">
        <v>885.7</v>
      </c>
      <c r="R136" s="117"/>
      <c r="S136" s="117">
        <v>885.5</v>
      </c>
      <c r="T136" s="117">
        <v>885.4</v>
      </c>
      <c r="U136" s="117">
        <v>885.5</v>
      </c>
      <c r="V136" s="117">
        <v>885.4</v>
      </c>
      <c r="W136" s="117"/>
      <c r="X136" s="117">
        <v>885.4</v>
      </c>
      <c r="Y136" s="117"/>
      <c r="Z136" s="117">
        <v>884.3</v>
      </c>
      <c r="AA136" s="117"/>
      <c r="AB136" s="117">
        <v>883.3</v>
      </c>
      <c r="AC136" s="117"/>
      <c r="AD136" s="117">
        <v>883.2</v>
      </c>
      <c r="AE136" s="117">
        <v>883.2</v>
      </c>
      <c r="AF136" s="117">
        <v>883.2</v>
      </c>
      <c r="AG136" s="149"/>
      <c r="AH136" s="47"/>
      <c r="AI136" s="48"/>
    </row>
    <row r="137" spans="1:37" x14ac:dyDescent="0.25">
      <c r="A137" s="185" t="s">
        <v>241</v>
      </c>
      <c r="B137" s="117">
        <v>1519.62</v>
      </c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89">SUM(B139:B243)</f>
        <v>0</v>
      </c>
      <c r="C244" s="134">
        <f t="shared" si="89"/>
        <v>0</v>
      </c>
      <c r="D244" s="134">
        <f t="shared" si="89"/>
        <v>0</v>
      </c>
      <c r="E244" s="134">
        <f t="shared" si="89"/>
        <v>0</v>
      </c>
      <c r="F244" s="134">
        <f t="shared" si="89"/>
        <v>0</v>
      </c>
      <c r="G244" s="134">
        <f t="shared" si="89"/>
        <v>0</v>
      </c>
      <c r="H244" s="134">
        <f t="shared" si="89"/>
        <v>0</v>
      </c>
      <c r="I244" s="134">
        <f t="shared" si="89"/>
        <v>0</v>
      </c>
      <c r="J244" s="134">
        <f t="shared" si="89"/>
        <v>0</v>
      </c>
      <c r="K244" s="134">
        <f t="shared" si="89"/>
        <v>0</v>
      </c>
      <c r="L244" s="134">
        <f t="shared" si="89"/>
        <v>0</v>
      </c>
      <c r="M244" s="134">
        <f t="shared" si="89"/>
        <v>0</v>
      </c>
      <c r="N244" s="134">
        <f t="shared" si="89"/>
        <v>0</v>
      </c>
      <c r="O244" s="134">
        <f t="shared" si="89"/>
        <v>0</v>
      </c>
      <c r="P244" s="134">
        <f t="shared" si="89"/>
        <v>0</v>
      </c>
      <c r="Q244" s="134">
        <f t="shared" si="89"/>
        <v>0</v>
      </c>
      <c r="R244" s="134">
        <f t="shared" si="89"/>
        <v>0</v>
      </c>
      <c r="S244" s="134">
        <f t="shared" si="89"/>
        <v>0</v>
      </c>
      <c r="T244" s="134">
        <f t="shared" si="89"/>
        <v>0</v>
      </c>
      <c r="U244" s="134">
        <f t="shared" si="89"/>
        <v>0</v>
      </c>
      <c r="V244" s="134">
        <f t="shared" si="89"/>
        <v>0</v>
      </c>
      <c r="W244" s="134">
        <f t="shared" si="89"/>
        <v>0</v>
      </c>
      <c r="X244" s="134">
        <f t="shared" si="89"/>
        <v>0</v>
      </c>
      <c r="Y244" s="134">
        <f t="shared" si="89"/>
        <v>0</v>
      </c>
      <c r="Z244" s="134">
        <f t="shared" si="89"/>
        <v>0</v>
      </c>
      <c r="AA244" s="134">
        <f t="shared" si="89"/>
        <v>0</v>
      </c>
      <c r="AB244" s="134">
        <f t="shared" si="89"/>
        <v>0</v>
      </c>
      <c r="AC244" s="134">
        <f t="shared" si="89"/>
        <v>0</v>
      </c>
      <c r="AD244" s="134">
        <f t="shared" si="89"/>
        <v>0</v>
      </c>
      <c r="AE244" s="134">
        <f t="shared" si="89"/>
        <v>0</v>
      </c>
      <c r="AF244" s="135">
        <f t="shared" si="89"/>
        <v>0</v>
      </c>
      <c r="AG244" s="136">
        <f t="shared" si="89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90">AF246</f>
        <v>0.3</v>
      </c>
      <c r="C246" s="138">
        <v>0.3</v>
      </c>
      <c r="D246" s="138">
        <f t="shared" ref="D246:S251" si="91">C246</f>
        <v>0.3</v>
      </c>
      <c r="E246" s="138">
        <f t="shared" si="91"/>
        <v>0.3</v>
      </c>
      <c r="F246" s="138">
        <f t="shared" si="91"/>
        <v>0.3</v>
      </c>
      <c r="G246" s="138">
        <f t="shared" si="91"/>
        <v>0.3</v>
      </c>
      <c r="H246" s="138">
        <f t="shared" si="91"/>
        <v>0.3</v>
      </c>
      <c r="I246" s="138">
        <f t="shared" si="91"/>
        <v>0.3</v>
      </c>
      <c r="J246" s="138">
        <f t="shared" si="91"/>
        <v>0.3</v>
      </c>
      <c r="K246" s="138">
        <f t="shared" si="91"/>
        <v>0.3</v>
      </c>
      <c r="L246" s="138">
        <f t="shared" si="91"/>
        <v>0.3</v>
      </c>
      <c r="M246" s="138">
        <f t="shared" si="91"/>
        <v>0.3</v>
      </c>
      <c r="N246" s="138">
        <f t="shared" si="91"/>
        <v>0.3</v>
      </c>
      <c r="O246" s="138">
        <f t="shared" si="91"/>
        <v>0.3</v>
      </c>
      <c r="P246" s="138">
        <f t="shared" si="91"/>
        <v>0.3</v>
      </c>
      <c r="Q246" s="138">
        <f t="shared" si="91"/>
        <v>0.3</v>
      </c>
      <c r="R246" s="138">
        <f t="shared" si="91"/>
        <v>0.3</v>
      </c>
      <c r="S246" s="138">
        <f t="shared" si="91"/>
        <v>0.3</v>
      </c>
      <c r="T246" s="138">
        <f t="shared" ref="T246:AF251" si="92">S246</f>
        <v>0.3</v>
      </c>
      <c r="U246" s="138">
        <f t="shared" si="92"/>
        <v>0.3</v>
      </c>
      <c r="V246" s="138">
        <f t="shared" si="92"/>
        <v>0.3</v>
      </c>
      <c r="W246" s="138">
        <f t="shared" si="92"/>
        <v>0.3</v>
      </c>
      <c r="X246" s="138">
        <f t="shared" si="92"/>
        <v>0.3</v>
      </c>
      <c r="Y246" s="138">
        <f t="shared" si="92"/>
        <v>0.3</v>
      </c>
      <c r="Z246" s="138">
        <f t="shared" si="92"/>
        <v>0.3</v>
      </c>
      <c r="AA246" s="138">
        <f t="shared" si="92"/>
        <v>0.3</v>
      </c>
      <c r="AB246" s="138">
        <f t="shared" si="92"/>
        <v>0.3</v>
      </c>
      <c r="AC246" s="138">
        <f t="shared" si="92"/>
        <v>0.3</v>
      </c>
      <c r="AD246" s="138">
        <f t="shared" si="92"/>
        <v>0.3</v>
      </c>
      <c r="AE246" s="138">
        <f t="shared" si="92"/>
        <v>0.3</v>
      </c>
      <c r="AF246" s="138">
        <f t="shared" si="92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90"/>
        <v>0.4</v>
      </c>
      <c r="C247" s="126">
        <v>0.4</v>
      </c>
      <c r="D247" s="126">
        <f t="shared" si="91"/>
        <v>0.4</v>
      </c>
      <c r="E247" s="126">
        <f t="shared" si="91"/>
        <v>0.4</v>
      </c>
      <c r="F247" s="126">
        <f t="shared" si="91"/>
        <v>0.4</v>
      </c>
      <c r="G247" s="126">
        <f t="shared" si="91"/>
        <v>0.4</v>
      </c>
      <c r="H247" s="126">
        <f t="shared" si="91"/>
        <v>0.4</v>
      </c>
      <c r="I247" s="126">
        <f t="shared" si="91"/>
        <v>0.4</v>
      </c>
      <c r="J247" s="126">
        <f t="shared" si="91"/>
        <v>0.4</v>
      </c>
      <c r="K247" s="126">
        <f t="shared" si="91"/>
        <v>0.4</v>
      </c>
      <c r="L247" s="126">
        <f t="shared" si="91"/>
        <v>0.4</v>
      </c>
      <c r="M247" s="126">
        <f t="shared" si="91"/>
        <v>0.4</v>
      </c>
      <c r="N247" s="126">
        <f t="shared" si="91"/>
        <v>0.4</v>
      </c>
      <c r="O247" s="126">
        <f t="shared" si="91"/>
        <v>0.4</v>
      </c>
      <c r="P247" s="126">
        <f t="shared" si="91"/>
        <v>0.4</v>
      </c>
      <c r="Q247" s="126">
        <f t="shared" si="91"/>
        <v>0.4</v>
      </c>
      <c r="R247" s="126">
        <f t="shared" si="91"/>
        <v>0.4</v>
      </c>
      <c r="S247" s="126">
        <f t="shared" si="91"/>
        <v>0.4</v>
      </c>
      <c r="T247" s="126">
        <f t="shared" si="92"/>
        <v>0.4</v>
      </c>
      <c r="U247" s="126">
        <f t="shared" si="92"/>
        <v>0.4</v>
      </c>
      <c r="V247" s="126">
        <f t="shared" si="92"/>
        <v>0.4</v>
      </c>
      <c r="W247" s="126">
        <f t="shared" si="92"/>
        <v>0.4</v>
      </c>
      <c r="X247" s="126">
        <f t="shared" si="92"/>
        <v>0.4</v>
      </c>
      <c r="Y247" s="126">
        <f t="shared" si="92"/>
        <v>0.4</v>
      </c>
      <c r="Z247" s="126">
        <f t="shared" si="92"/>
        <v>0.4</v>
      </c>
      <c r="AA247" s="126">
        <f t="shared" si="92"/>
        <v>0.4</v>
      </c>
      <c r="AB247" s="126">
        <f t="shared" si="92"/>
        <v>0.4</v>
      </c>
      <c r="AC247" s="126">
        <f t="shared" si="92"/>
        <v>0.4</v>
      </c>
      <c r="AD247" s="126">
        <f t="shared" si="92"/>
        <v>0.4</v>
      </c>
      <c r="AE247" s="126">
        <f t="shared" si="92"/>
        <v>0.4</v>
      </c>
      <c r="AF247" s="126">
        <f t="shared" si="92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90"/>
        <v>1.5</v>
      </c>
      <c r="C248" s="126">
        <v>1.5</v>
      </c>
      <c r="D248" s="126">
        <f t="shared" si="91"/>
        <v>1.5</v>
      </c>
      <c r="E248" s="126">
        <f t="shared" si="91"/>
        <v>1.5</v>
      </c>
      <c r="F248" s="126">
        <f t="shared" si="91"/>
        <v>1.5</v>
      </c>
      <c r="G248" s="126">
        <f t="shared" si="91"/>
        <v>1.5</v>
      </c>
      <c r="H248" s="126">
        <f t="shared" si="91"/>
        <v>1.5</v>
      </c>
      <c r="I248" s="126">
        <f t="shared" si="91"/>
        <v>1.5</v>
      </c>
      <c r="J248" s="126">
        <f t="shared" si="91"/>
        <v>1.5</v>
      </c>
      <c r="K248" s="126">
        <f t="shared" si="91"/>
        <v>1.5</v>
      </c>
      <c r="L248" s="126">
        <f t="shared" si="91"/>
        <v>1.5</v>
      </c>
      <c r="M248" s="126">
        <f t="shared" si="91"/>
        <v>1.5</v>
      </c>
      <c r="N248" s="126">
        <f t="shared" si="91"/>
        <v>1.5</v>
      </c>
      <c r="O248" s="126">
        <f t="shared" si="91"/>
        <v>1.5</v>
      </c>
      <c r="P248" s="126">
        <f t="shared" si="91"/>
        <v>1.5</v>
      </c>
      <c r="Q248" s="126">
        <f t="shared" si="91"/>
        <v>1.5</v>
      </c>
      <c r="R248" s="126">
        <f t="shared" si="91"/>
        <v>1.5</v>
      </c>
      <c r="S248" s="126">
        <f t="shared" si="91"/>
        <v>1.5</v>
      </c>
      <c r="T248" s="126">
        <f t="shared" si="92"/>
        <v>1.5</v>
      </c>
      <c r="U248" s="126">
        <f t="shared" si="92"/>
        <v>1.5</v>
      </c>
      <c r="V248" s="126">
        <f t="shared" si="92"/>
        <v>1.5</v>
      </c>
      <c r="W248" s="126">
        <f t="shared" si="92"/>
        <v>1.5</v>
      </c>
      <c r="X248" s="126">
        <f t="shared" si="92"/>
        <v>1.5</v>
      </c>
      <c r="Y248" s="126">
        <f t="shared" si="92"/>
        <v>1.5</v>
      </c>
      <c r="Z248" s="126">
        <f t="shared" si="92"/>
        <v>1.5</v>
      </c>
      <c r="AA248" s="126">
        <f t="shared" si="92"/>
        <v>1.5</v>
      </c>
      <c r="AB248" s="126">
        <f t="shared" si="92"/>
        <v>1.5</v>
      </c>
      <c r="AC248" s="126">
        <f t="shared" si="92"/>
        <v>1.5</v>
      </c>
      <c r="AD248" s="126">
        <f t="shared" si="92"/>
        <v>1.5</v>
      </c>
      <c r="AE248" s="126">
        <f t="shared" si="92"/>
        <v>1.5</v>
      </c>
      <c r="AF248" s="126">
        <f t="shared" si="92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90"/>
        <v>0.3</v>
      </c>
      <c r="C249" s="126">
        <v>0.3</v>
      </c>
      <c r="D249" s="126">
        <f t="shared" si="91"/>
        <v>0.3</v>
      </c>
      <c r="E249" s="126">
        <f t="shared" si="91"/>
        <v>0.3</v>
      </c>
      <c r="F249" s="126">
        <f t="shared" si="91"/>
        <v>0.3</v>
      </c>
      <c r="G249" s="126">
        <f t="shared" si="91"/>
        <v>0.3</v>
      </c>
      <c r="H249" s="126">
        <f t="shared" si="91"/>
        <v>0.3</v>
      </c>
      <c r="I249" s="126">
        <f t="shared" si="91"/>
        <v>0.3</v>
      </c>
      <c r="J249" s="126">
        <f t="shared" si="91"/>
        <v>0.3</v>
      </c>
      <c r="K249" s="126">
        <f t="shared" si="91"/>
        <v>0.3</v>
      </c>
      <c r="L249" s="126">
        <f t="shared" si="91"/>
        <v>0.3</v>
      </c>
      <c r="M249" s="126">
        <f t="shared" si="91"/>
        <v>0.3</v>
      </c>
      <c r="N249" s="126">
        <f t="shared" si="91"/>
        <v>0.3</v>
      </c>
      <c r="O249" s="126">
        <f t="shared" si="91"/>
        <v>0.3</v>
      </c>
      <c r="P249" s="126">
        <f t="shared" si="91"/>
        <v>0.3</v>
      </c>
      <c r="Q249" s="126">
        <f t="shared" si="91"/>
        <v>0.3</v>
      </c>
      <c r="R249" s="126">
        <f t="shared" si="91"/>
        <v>0.3</v>
      </c>
      <c r="S249" s="126">
        <f t="shared" si="91"/>
        <v>0.3</v>
      </c>
      <c r="T249" s="126">
        <f t="shared" si="92"/>
        <v>0.3</v>
      </c>
      <c r="U249" s="126">
        <f t="shared" si="92"/>
        <v>0.3</v>
      </c>
      <c r="V249" s="126">
        <f t="shared" si="92"/>
        <v>0.3</v>
      </c>
      <c r="W249" s="126">
        <f t="shared" si="92"/>
        <v>0.3</v>
      </c>
      <c r="X249" s="126">
        <f t="shared" si="92"/>
        <v>0.3</v>
      </c>
      <c r="Y249" s="126">
        <f t="shared" si="92"/>
        <v>0.3</v>
      </c>
      <c r="Z249" s="126">
        <f t="shared" si="92"/>
        <v>0.3</v>
      </c>
      <c r="AA249" s="126">
        <f t="shared" si="92"/>
        <v>0.3</v>
      </c>
      <c r="AB249" s="126">
        <f t="shared" si="92"/>
        <v>0.3</v>
      </c>
      <c r="AC249" s="126">
        <f t="shared" si="92"/>
        <v>0.3</v>
      </c>
      <c r="AD249" s="126">
        <f t="shared" si="92"/>
        <v>0.3</v>
      </c>
      <c r="AE249" s="126">
        <f t="shared" si="92"/>
        <v>0.3</v>
      </c>
      <c r="AF249" s="126">
        <f t="shared" si="92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90"/>
        <v>0.4</v>
      </c>
      <c r="C250" s="126">
        <v>0.4</v>
      </c>
      <c r="D250" s="126">
        <f t="shared" si="91"/>
        <v>0.4</v>
      </c>
      <c r="E250" s="126">
        <f t="shared" si="91"/>
        <v>0.4</v>
      </c>
      <c r="F250" s="126">
        <f t="shared" si="91"/>
        <v>0.4</v>
      </c>
      <c r="G250" s="126">
        <f t="shared" si="91"/>
        <v>0.4</v>
      </c>
      <c r="H250" s="126">
        <f t="shared" si="91"/>
        <v>0.4</v>
      </c>
      <c r="I250" s="126">
        <f t="shared" si="91"/>
        <v>0.4</v>
      </c>
      <c r="J250" s="126">
        <f t="shared" si="91"/>
        <v>0.4</v>
      </c>
      <c r="K250" s="126">
        <f t="shared" si="91"/>
        <v>0.4</v>
      </c>
      <c r="L250" s="126">
        <f t="shared" si="91"/>
        <v>0.4</v>
      </c>
      <c r="M250" s="126">
        <f t="shared" si="91"/>
        <v>0.4</v>
      </c>
      <c r="N250" s="126">
        <f t="shared" si="91"/>
        <v>0.4</v>
      </c>
      <c r="O250" s="126">
        <f t="shared" si="91"/>
        <v>0.4</v>
      </c>
      <c r="P250" s="126">
        <f t="shared" si="91"/>
        <v>0.4</v>
      </c>
      <c r="Q250" s="126">
        <f t="shared" si="91"/>
        <v>0.4</v>
      </c>
      <c r="R250" s="126">
        <f t="shared" si="91"/>
        <v>0.4</v>
      </c>
      <c r="S250" s="126">
        <f t="shared" si="91"/>
        <v>0.4</v>
      </c>
      <c r="T250" s="126">
        <f t="shared" si="92"/>
        <v>0.4</v>
      </c>
      <c r="U250" s="126">
        <f t="shared" si="92"/>
        <v>0.4</v>
      </c>
      <c r="V250" s="126">
        <f t="shared" si="92"/>
        <v>0.4</v>
      </c>
      <c r="W250" s="126">
        <f t="shared" si="92"/>
        <v>0.4</v>
      </c>
      <c r="X250" s="126">
        <f t="shared" si="92"/>
        <v>0.4</v>
      </c>
      <c r="Y250" s="126">
        <f t="shared" si="92"/>
        <v>0.4</v>
      </c>
      <c r="Z250" s="126">
        <f t="shared" si="92"/>
        <v>0.4</v>
      </c>
      <c r="AA250" s="126">
        <f t="shared" si="92"/>
        <v>0.4</v>
      </c>
      <c r="AB250" s="126">
        <f t="shared" si="92"/>
        <v>0.4</v>
      </c>
      <c r="AC250" s="126">
        <f t="shared" si="92"/>
        <v>0.4</v>
      </c>
      <c r="AD250" s="126">
        <f t="shared" si="92"/>
        <v>0.4</v>
      </c>
      <c r="AE250" s="126">
        <f t="shared" si="92"/>
        <v>0.4</v>
      </c>
      <c r="AF250" s="126">
        <f t="shared" si="92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90"/>
        <v>0.64</v>
      </c>
      <c r="C251" s="130">
        <v>0.64</v>
      </c>
      <c r="D251" s="130">
        <f t="shared" si="91"/>
        <v>0.64</v>
      </c>
      <c r="E251" s="130">
        <f t="shared" si="91"/>
        <v>0.64</v>
      </c>
      <c r="F251" s="130">
        <f t="shared" si="91"/>
        <v>0.64</v>
      </c>
      <c r="G251" s="130">
        <f t="shared" si="91"/>
        <v>0.64</v>
      </c>
      <c r="H251" s="130">
        <f t="shared" si="91"/>
        <v>0.64</v>
      </c>
      <c r="I251" s="130">
        <f t="shared" si="91"/>
        <v>0.64</v>
      </c>
      <c r="J251" s="130">
        <f t="shared" si="91"/>
        <v>0.64</v>
      </c>
      <c r="K251" s="130">
        <f t="shared" si="91"/>
        <v>0.64</v>
      </c>
      <c r="L251" s="130">
        <f t="shared" si="91"/>
        <v>0.64</v>
      </c>
      <c r="M251" s="130">
        <f t="shared" si="91"/>
        <v>0.64</v>
      </c>
      <c r="N251" s="130">
        <f t="shared" si="91"/>
        <v>0.64</v>
      </c>
      <c r="O251" s="130">
        <f t="shared" si="91"/>
        <v>0.64</v>
      </c>
      <c r="P251" s="130">
        <f t="shared" si="91"/>
        <v>0.64</v>
      </c>
      <c r="Q251" s="130">
        <f t="shared" si="91"/>
        <v>0.64</v>
      </c>
      <c r="R251" s="130">
        <f t="shared" si="91"/>
        <v>0.64</v>
      </c>
      <c r="S251" s="130">
        <f t="shared" si="91"/>
        <v>0.64</v>
      </c>
      <c r="T251" s="130">
        <f t="shared" si="92"/>
        <v>0.64</v>
      </c>
      <c r="U251" s="130">
        <f t="shared" si="92"/>
        <v>0.64</v>
      </c>
      <c r="V251" s="130">
        <f t="shared" si="92"/>
        <v>0.64</v>
      </c>
      <c r="W251" s="130">
        <f t="shared" si="92"/>
        <v>0.64</v>
      </c>
      <c r="X251" s="130">
        <f t="shared" si="92"/>
        <v>0.64</v>
      </c>
      <c r="Y251" s="130">
        <f t="shared" si="92"/>
        <v>0.64</v>
      </c>
      <c r="Z251" s="130">
        <f t="shared" si="92"/>
        <v>0.64</v>
      </c>
      <c r="AA251" s="130">
        <f t="shared" si="92"/>
        <v>0.64</v>
      </c>
      <c r="AB251" s="130">
        <f t="shared" si="92"/>
        <v>0.64</v>
      </c>
      <c r="AC251" s="130">
        <f t="shared" si="92"/>
        <v>0.64</v>
      </c>
      <c r="AD251" s="130">
        <f t="shared" si="92"/>
        <v>0.64</v>
      </c>
      <c r="AE251" s="130">
        <f t="shared" si="92"/>
        <v>0.64</v>
      </c>
      <c r="AF251" s="130">
        <f t="shared" si="92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3">SUM(B246:B251)</f>
        <v>3.54</v>
      </c>
      <c r="C252" s="134">
        <f t="shared" si="93"/>
        <v>3.54</v>
      </c>
      <c r="D252" s="134">
        <f t="shared" si="93"/>
        <v>3.54</v>
      </c>
      <c r="E252" s="134">
        <f t="shared" si="93"/>
        <v>3.54</v>
      </c>
      <c r="F252" s="134">
        <f t="shared" si="93"/>
        <v>3.54</v>
      </c>
      <c r="G252" s="134">
        <f t="shared" si="93"/>
        <v>3.54</v>
      </c>
      <c r="H252" s="134">
        <f t="shared" si="93"/>
        <v>3.54</v>
      </c>
      <c r="I252" s="134">
        <f t="shared" si="93"/>
        <v>3.54</v>
      </c>
      <c r="J252" s="134">
        <f t="shared" si="93"/>
        <v>3.54</v>
      </c>
      <c r="K252" s="134">
        <f t="shared" si="93"/>
        <v>3.54</v>
      </c>
      <c r="L252" s="134">
        <f t="shared" si="93"/>
        <v>3.54</v>
      </c>
      <c r="M252" s="134">
        <f t="shared" si="93"/>
        <v>3.54</v>
      </c>
      <c r="N252" s="134">
        <f t="shared" si="93"/>
        <v>3.54</v>
      </c>
      <c r="O252" s="134">
        <f t="shared" si="93"/>
        <v>3.54</v>
      </c>
      <c r="P252" s="134">
        <f t="shared" si="93"/>
        <v>3.54</v>
      </c>
      <c r="Q252" s="134">
        <f t="shared" si="93"/>
        <v>3.54</v>
      </c>
      <c r="R252" s="134">
        <f t="shared" si="93"/>
        <v>3.54</v>
      </c>
      <c r="S252" s="134">
        <f t="shared" si="93"/>
        <v>3.54</v>
      </c>
      <c r="T252" s="134">
        <f t="shared" si="93"/>
        <v>3.54</v>
      </c>
      <c r="U252" s="134">
        <f t="shared" si="93"/>
        <v>3.54</v>
      </c>
      <c r="V252" s="134">
        <f t="shared" si="93"/>
        <v>3.54</v>
      </c>
      <c r="W252" s="134">
        <f t="shared" si="93"/>
        <v>3.54</v>
      </c>
      <c r="X252" s="134">
        <f t="shared" si="93"/>
        <v>3.54</v>
      </c>
      <c r="Y252" s="134">
        <f t="shared" si="93"/>
        <v>3.54</v>
      </c>
      <c r="Z252" s="134">
        <f t="shared" si="93"/>
        <v>3.54</v>
      </c>
      <c r="AA252" s="134">
        <f t="shared" si="93"/>
        <v>3.54</v>
      </c>
      <c r="AB252" s="134">
        <f t="shared" si="93"/>
        <v>3.54</v>
      </c>
      <c r="AC252" s="134">
        <f t="shared" si="93"/>
        <v>3.54</v>
      </c>
      <c r="AD252" s="134">
        <f t="shared" si="93"/>
        <v>3.54</v>
      </c>
      <c r="AE252" s="134">
        <f t="shared" si="93"/>
        <v>3.54</v>
      </c>
      <c r="AF252" s="134">
        <f t="shared" si="93"/>
        <v>3.54</v>
      </c>
      <c r="AG252" s="143">
        <f t="shared" si="93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1582.9899999999998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2080/10/19)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892" priority="118">
      <formula>$AH11=0</formula>
    </cfRule>
  </conditionalFormatting>
  <conditionalFormatting sqref="A132:A253">
    <cfRule type="expression" dxfId="1891" priority="119">
      <formula>$AH132=0</formula>
    </cfRule>
  </conditionalFormatting>
  <conditionalFormatting sqref="B8">
    <cfRule type="expression" dxfId="1890" priority="179">
      <formula>C$9&lt;8/24</formula>
    </cfRule>
    <cfRule type="expression" dxfId="1889" priority="178">
      <formula>AND(C$9&gt;=8/24,C$9&lt;14/24)</formula>
    </cfRule>
    <cfRule type="expression" dxfId="1888" priority="180">
      <formula>C$9&gt;=20/24</formula>
    </cfRule>
    <cfRule type="expression" dxfId="1887" priority="177">
      <formula>AND(C$9&gt;=14/24,C$9&lt;20/24)</formula>
    </cfRule>
  </conditionalFormatting>
  <conditionalFormatting sqref="B9:AF10 M11:AF52 B11:L57 E59:L61 B59:D74 E63:G74 H68:L74 E69:AF74 B77:AF99 B101:AF117 B119:AF137 B244:AF244 B246:B252">
    <cfRule type="expression" dxfId="1886" priority="72">
      <formula>B$9&lt;8/24</formula>
    </cfRule>
  </conditionalFormatting>
  <conditionalFormatting sqref="B9:AF52 E59:L61 B59:D74 E63:G74 H68:L74 E69:AF74 B77:AF99 B101:AF117 B119:AF137 B244:AF244 B246:B252">
    <cfRule type="expression" dxfId="1885" priority="69">
      <formula>B$9&gt;=20/24</formula>
    </cfRule>
    <cfRule type="expression" dxfId="1884" priority="70">
      <formula>AND(B$9&gt;=14/24,B$9&lt;20/24)</formula>
    </cfRule>
    <cfRule type="expression" dxfId="1883" priority="71">
      <formula>AND(B$9&gt;=8/24,B$9&lt;14/24)</formula>
    </cfRule>
  </conditionalFormatting>
  <conditionalFormatting sqref="D246:AF252">
    <cfRule type="expression" dxfId="1882" priority="162">
      <formula>D$9&gt;=20/24</formula>
    </cfRule>
    <cfRule type="expression" dxfId="1881" priority="165">
      <formula>D$9&lt;8/24</formula>
    </cfRule>
    <cfRule type="expression" dxfId="1880" priority="164">
      <formula>AND(D$9&gt;=8/24,D$9&lt;14/24)</formula>
    </cfRule>
    <cfRule type="expression" dxfId="1879" priority="163">
      <formula>AND(D$9&gt;=14/24,D$9&lt;20/24)</formula>
    </cfRule>
  </conditionalFormatting>
  <conditionalFormatting sqref="E63:L68">
    <cfRule type="expression" dxfId="1878" priority="77">
      <formula>E$9&gt;=20/24</formula>
    </cfRule>
    <cfRule type="expression" dxfId="1877" priority="78">
      <formula>AND(E$9&gt;=14/24,E$9&lt;20/24)</formula>
    </cfRule>
    <cfRule type="expression" dxfId="1876" priority="79">
      <formula>AND(E$9&gt;=8/24,E$9&lt;14/24)</formula>
    </cfRule>
    <cfRule type="expression" dxfId="1875" priority="80">
      <formula>E$9&lt;8/24</formula>
    </cfRule>
  </conditionalFormatting>
  <conditionalFormatting sqref="E11:AF61 B11:D80 E62:AG62 E63:AF80 AG80">
    <cfRule type="expression" dxfId="1874" priority="68">
      <formula>B11&gt;$AG11</formula>
    </cfRule>
  </conditionalFormatting>
  <conditionalFormatting sqref="E59:AF62 B61:D61">
    <cfRule type="expression" dxfId="1873" priority="98">
      <formula>AND(B$9&gt;=8/24,B$9&lt;14/24)</formula>
    </cfRule>
    <cfRule type="expression" dxfId="1872" priority="99">
      <formula>B$9&lt;8/24</formula>
    </cfRule>
    <cfRule type="expression" dxfId="1871" priority="97">
      <formula>AND(B$9&gt;=14/24,B$9&lt;20/24)</formula>
    </cfRule>
    <cfRule type="expression" dxfId="1870" priority="96">
      <formula>B$9&gt;=20/24</formula>
    </cfRule>
  </conditionalFormatting>
  <conditionalFormatting sqref="F63:L65">
    <cfRule type="expression" dxfId="1869" priority="113">
      <formula>F$9&lt;8/24</formula>
    </cfRule>
    <cfRule type="expression" dxfId="1868" priority="112">
      <formula>AND(F$9&gt;=8/24,F$9&lt;14/24)</formula>
    </cfRule>
    <cfRule type="expression" dxfId="1867" priority="111">
      <formula>AND(F$9&gt;=14/24,F$9&lt;20/24)</formula>
    </cfRule>
    <cfRule type="expression" dxfId="1866" priority="110">
      <formula>F$9&gt;=20/24</formula>
    </cfRule>
  </conditionalFormatting>
  <conditionalFormatting sqref="L68:AF68">
    <cfRule type="expression" dxfId="1865" priority="109">
      <formula>L$9&lt;8/24</formula>
    </cfRule>
    <cfRule type="expression" dxfId="1864" priority="106">
      <formula>L$9&gt;=20/24</formula>
    </cfRule>
    <cfRule type="expression" dxfId="1863" priority="107">
      <formula>AND(L$9&gt;=14/24,L$9&lt;20/24)</formula>
    </cfRule>
    <cfRule type="expression" dxfId="1862" priority="108">
      <formula>AND(L$9&gt;=8/24,L$9&lt;14/24)</formula>
    </cfRule>
  </conditionalFormatting>
  <conditionalFormatting sqref="M8 S8 AB8">
    <cfRule type="expression" dxfId="1861" priority="171">
      <formula>N$9&lt;8/24</formula>
    </cfRule>
    <cfRule type="expression" dxfId="1860" priority="170">
      <formula>AND(N$9&gt;=8/24,N$9&lt;14/24)</formula>
    </cfRule>
    <cfRule type="expression" dxfId="1859" priority="169">
      <formula>AND(N$9&gt;=14/24,N$9&lt;20/24)</formula>
    </cfRule>
  </conditionalFormatting>
  <conditionalFormatting sqref="M63:AA67">
    <cfRule type="expression" dxfId="1858" priority="117">
      <formula>M$9&lt;8/24</formula>
    </cfRule>
    <cfRule type="expression" dxfId="1857" priority="114">
      <formula>M$9&gt;=20/24</formula>
    </cfRule>
    <cfRule type="expression" dxfId="1856" priority="115">
      <formula>AND(M$9&gt;=14/24,M$9&lt;20/24)</formula>
    </cfRule>
    <cfRule type="expression" dxfId="1855" priority="116">
      <formula>AND(M$9&gt;=8/24,M$9&lt;14/24)</formula>
    </cfRule>
  </conditionalFormatting>
  <conditionalFormatting sqref="M53:AF56">
    <cfRule type="expression" dxfId="1854" priority="81">
      <formula>M$9&lt;8/24</formula>
    </cfRule>
  </conditionalFormatting>
  <conditionalFormatting sqref="M57:AF57">
    <cfRule type="expression" dxfId="1853" priority="95">
      <formula>M$9&lt;8/24</formula>
    </cfRule>
    <cfRule type="expression" dxfId="1852" priority="94">
      <formula>AND(M$9&gt;=8/24,M$9&lt;14/24)</formula>
    </cfRule>
    <cfRule type="expression" dxfId="1851" priority="93">
      <formula>AND(M$9&gt;=14/24,M$9&lt;20/24)</formula>
    </cfRule>
    <cfRule type="expression" dxfId="1850" priority="92">
      <formula>M$9&gt;=20/24</formula>
    </cfRule>
  </conditionalFormatting>
  <conditionalFormatting sqref="O3:P3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O53:AF55 M53:N56 B53:L57">
    <cfRule type="expression" dxfId="1849" priority="67">
      <formula>AND(B$9&gt;=8/24,B$9&lt;14/24)</formula>
    </cfRule>
    <cfRule type="expression" dxfId="1848" priority="65">
      <formula>B$9&gt;=20/24</formula>
    </cfRule>
    <cfRule type="expression" dxfId="1847" priority="66">
      <formula>AND(B$9&gt;=14/24,B$9&lt;20/24)</formula>
    </cfRule>
  </conditionalFormatting>
  <conditionalFormatting sqref="O56:AF56">
    <cfRule type="expression" dxfId="1846" priority="74">
      <formula>O$9&gt;=20/24</formula>
    </cfRule>
    <cfRule type="expression" dxfId="1845" priority="76">
      <formula>AND(O$9&gt;=8/24,O$9&lt;14/24)</formula>
    </cfRule>
    <cfRule type="expression" dxfId="1844" priority="75">
      <formula>AND(O$9&gt;=14/24,O$9&lt;20/24)</formula>
    </cfRule>
  </conditionalFormatting>
  <conditionalFormatting sqref="S8 AB8 M8">
    <cfRule type="expression" dxfId="1843" priority="168">
      <formula>N$9&gt;=20/24</formula>
    </cfRule>
  </conditionalFormatting>
  <conditionalFormatting sqref="S8">
    <cfRule type="expression" dxfId="1842" priority="156">
      <formula>AND(U$9&gt;=14/24,U$9&lt;20/24)</formula>
    </cfRule>
    <cfRule type="expression" dxfId="1841" priority="158">
      <formula>U$9&lt;8/24</formula>
    </cfRule>
    <cfRule type="expression" dxfId="1840" priority="157">
      <formula>AND(U$9&gt;=8/24,U$9&lt;14/24)</formula>
    </cfRule>
    <cfRule type="expression" dxfId="1839" priority="155">
      <formula>U$9&gt;=20/24</formula>
    </cfRule>
  </conditionalFormatting>
  <conditionalFormatting sqref="T63:AF68">
    <cfRule type="expression" dxfId="1838" priority="100">
      <formula>T$9&gt;=20/24</formula>
    </cfRule>
    <cfRule type="expression" dxfId="1837" priority="103">
      <formula>T$9&lt;8/24</formula>
    </cfRule>
    <cfRule type="expression" dxfId="1836" priority="102">
      <formula>AND(T$9&gt;=8/24,T$9&lt;14/24)</formula>
    </cfRule>
    <cfRule type="expression" dxfId="1835" priority="101">
      <formula>AND(T$9&gt;=14/24,T$9&lt;20/24)</formula>
    </cfRule>
  </conditionalFormatting>
  <conditionalFormatting sqref="V3 AB3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834" priority="154">
      <formula>AD$9&lt;8/24</formula>
    </cfRule>
    <cfRule type="expression" dxfId="1833" priority="153">
      <formula>AND(AD$9&gt;=8/24,AD$9&lt;14/24)</formula>
    </cfRule>
    <cfRule type="expression" dxfId="1832" priority="152">
      <formula>AND(AD$9&gt;=14/24,AD$9&lt;20/24)</formula>
    </cfRule>
    <cfRule type="expression" dxfId="1831" priority="151">
      <formula>AD$9&gt;=20/24</formula>
    </cfRule>
  </conditionalFormatting>
  <conditionalFormatting sqref="AG58">
    <cfRule type="expression" dxfId="1830" priority="146">
      <formula>AG58&gt;$AG58</formula>
    </cfRule>
  </conditionalFormatting>
  <conditionalFormatting sqref="AG62">
    <cfRule type="expression" dxfId="1829" priority="129">
      <formula>AG$9&gt;=20/24</formula>
    </cfRule>
    <cfRule type="expression" dxfId="1828" priority="130">
      <formula>AND(AG$9&gt;=14/24,AG$9&lt;20/24)</formula>
    </cfRule>
    <cfRule type="expression" dxfId="1827" priority="131">
      <formula>AND(AG$9&gt;=8/24,AG$9&lt;14/24)</formula>
    </cfRule>
    <cfRule type="expression" dxfId="1826" priority="132">
      <formula>AG$9&lt;8/24</formula>
    </cfRule>
  </conditionalFormatting>
  <conditionalFormatting sqref="AG75:AG76">
    <cfRule type="expression" dxfId="1825" priority="124">
      <formula>AG75&gt;$AG75</formula>
    </cfRule>
  </conditionalFormatting>
  <conditionalFormatting sqref="AG80">
    <cfRule type="expression" dxfId="1824" priority="128">
      <formula>AG$9&lt;8/24</formula>
    </cfRule>
    <cfRule type="expression" dxfId="1823" priority="125">
      <formula>AG$9&gt;=20/24</formula>
    </cfRule>
    <cfRule type="expression" dxfId="1822" priority="126">
      <formula>AND(AG$9&gt;=14/24,AG$9&lt;20/24)</formula>
    </cfRule>
    <cfRule type="expression" dxfId="1821" priority="127">
      <formula>AND(AG$9&gt;=8/24,AG$9&lt;14/24)</formula>
    </cfRule>
  </conditionalFormatting>
  <conditionalFormatting sqref="AG97">
    <cfRule type="expression" dxfId="1820" priority="149">
      <formula>AND(AG$9&gt;=8/24,AG$9&lt;14/24)</formula>
    </cfRule>
    <cfRule type="expression" dxfId="1819" priority="150">
      <formula>AG$9&lt;8/24</formula>
    </cfRule>
    <cfRule type="expression" dxfId="1818" priority="147">
      <formula>AG$9&gt;=20/24</formula>
    </cfRule>
    <cfRule type="expression" dxfId="1817" priority="148">
      <formula>AND(AG$9&gt;=14/24,AG$9&lt;20/24)</formula>
    </cfRule>
  </conditionalFormatting>
  <conditionalFormatting sqref="AL4:AL6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16" priority="174">
      <formula>AND(AJ$9&gt;=8/24,AJ$9&lt;14/24)</formula>
    </cfRule>
    <cfRule type="expression" dxfId="1815" priority="175">
      <formula>AJ$9&lt;8/24</formula>
    </cfRule>
    <cfRule type="expression" dxfId="1814" priority="173">
      <formula>AND(AJ$9&gt;=14/24,AJ$9&lt;20/24)</formula>
    </cfRule>
    <cfRule type="expression" dxfId="1813" priority="172">
      <formula>AJ$9&gt;=20/24</formula>
    </cfRule>
  </conditionalFormatting>
  <conditionalFormatting sqref="AL88:AN88 AL94:AN94">
    <cfRule type="expression" dxfId="1812" priority="141">
      <formula>AND(AL$9&gt;=8/24,AL$9&lt;14/24)</formula>
    </cfRule>
    <cfRule type="expression" dxfId="1811" priority="139">
      <formula>AL$9&gt;=20/24</formula>
    </cfRule>
    <cfRule type="expression" dxfId="1810" priority="140">
      <formula>AND(AL$9&gt;=14/24,AL$9&lt;20/24)</formula>
    </cfRule>
    <cfRule type="expression" dxfId="1809" priority="142">
      <formula>AL$9&lt;8/24</formula>
    </cfRule>
  </conditionalFormatting>
  <conditionalFormatting sqref="AM15:AM21 AN16:AR21">
    <cfRule type="expression" dxfId="1808" priority="14">
      <formula>AND(AX$9&gt;=14/24,AX$9&lt;20/24)</formula>
    </cfRule>
    <cfRule type="expression" dxfId="1807" priority="15">
      <formula>AND(AX$9&gt;=8/24,AX$9&lt;14/24)</formula>
    </cfRule>
    <cfRule type="expression" dxfId="1806" priority="13">
      <formula>AX$9&gt;=20/24</formula>
    </cfRule>
    <cfRule type="expression" dxfId="1805" priority="16">
      <formula>AX$9&lt;8/24</formula>
    </cfRule>
  </conditionalFormatting>
  <conditionalFormatting sqref="AN89:AN92">
    <cfRule type="expression" dxfId="1804" priority="136">
      <formula>AND(AN$9&gt;=14/24,AN$9&lt;20/24)</formula>
    </cfRule>
    <cfRule type="expression" dxfId="1803" priority="137">
      <formula>AND(AN$9&gt;=8/24,AN$9&lt;14/24)</formula>
    </cfRule>
    <cfRule type="expression" dxfId="1802" priority="138">
      <formula>AN$9&lt;8/24</formula>
    </cfRule>
    <cfRule type="expression" dxfId="1801" priority="135">
      <formula>AN$9&gt;=20/24</formula>
    </cfRule>
  </conditionalFormatting>
  <conditionalFormatting sqref="AN15:AR15">
    <cfRule type="expression" dxfId="1800" priority="2">
      <formula>AND(U$9&gt;=14/24,U$9&lt;20/24)</formula>
    </cfRule>
    <cfRule type="expression" dxfId="1799" priority="3">
      <formula>AND(U$9&gt;=8/24,U$9&lt;14/24)</formula>
    </cfRule>
    <cfRule type="expression" dxfId="1798" priority="4">
      <formula>U$9&lt;8/24</formula>
    </cfRule>
    <cfRule type="expression" dxfId="1797" priority="1">
      <formula>U$9&gt;=20/24</formula>
    </cfRule>
  </conditionalFormatting>
  <conditionalFormatting sqref="AS15">
    <cfRule type="expression" dxfId="1796" priority="11">
      <formula>AND(AA$9&gt;=8/24,AA$9&lt;14/24)</formula>
    </cfRule>
    <cfRule type="expression" dxfId="1795" priority="10">
      <formula>AND(AA$9&gt;=14/24,AA$9&lt;20/24)</formula>
    </cfRule>
    <cfRule type="expression" dxfId="1794" priority="9">
      <formula>AA$9&gt;=20/24</formula>
    </cfRule>
    <cfRule type="expression" dxfId="1793" priority="12">
      <formula>AA$9&lt;8/24</formula>
    </cfRule>
  </conditionalFormatting>
  <conditionalFormatting sqref="AS16:AS21">
    <cfRule type="expression" dxfId="1792" priority="19">
      <formula>AND(BE$9&gt;=8/24,BE$9&lt;14/24)</formula>
    </cfRule>
    <cfRule type="expression" dxfId="1791" priority="20">
      <formula>BE$9&lt;8/24</formula>
    </cfRule>
    <cfRule type="expression" dxfId="1790" priority="17">
      <formula>BE$9&gt;=20/24</formula>
    </cfRule>
    <cfRule type="expression" dxfId="1789" priority="18">
      <formula>AND(BE$9&gt;=14/24,BE$9&lt;20/24)</formula>
    </cfRule>
  </conditionalFormatting>
  <conditionalFormatting sqref="AT15 AX15">
    <cfRule type="expression" dxfId="1788" priority="21">
      <formula>AC$9&gt;=20/24</formula>
    </cfRule>
    <cfRule type="expression" dxfId="1787" priority="22">
      <formula>AND(AC$9&gt;=14/24,AC$9&lt;20/24)</formula>
    </cfRule>
    <cfRule type="expression" dxfId="1786" priority="23">
      <formula>AND(AC$9&gt;=8/24,AC$9&lt;14/24)</formula>
    </cfRule>
    <cfRule type="expression" dxfId="1785" priority="24">
      <formula>AC$9&lt;8/24</formula>
    </cfRule>
  </conditionalFormatting>
  <conditionalFormatting sqref="AT16:AT21">
    <cfRule type="expression" dxfId="1784" priority="25">
      <formula>BG$9&gt;=20/24</formula>
    </cfRule>
    <cfRule type="expression" dxfId="1783" priority="26">
      <formula>AND(BG$9&gt;=14/24,BG$9&lt;20/24)</formula>
    </cfRule>
    <cfRule type="expression" dxfId="1782" priority="27">
      <formula>AND(BG$9&gt;=8/24,BG$9&lt;14/24)</formula>
    </cfRule>
    <cfRule type="expression" dxfId="1781" priority="28">
      <formula>BG$9&lt;8/24</formula>
    </cfRule>
  </conditionalFormatting>
  <conditionalFormatting sqref="AU15:AV15">
    <cfRule type="expression" dxfId="1780" priority="30">
      <formula>AND(AE$9&gt;=14/24,AE$9&lt;20/24)</formula>
    </cfRule>
    <cfRule type="expression" dxfId="1779" priority="29">
      <formula>AE$9&gt;=20/24</formula>
    </cfRule>
    <cfRule type="expression" dxfId="1778" priority="32">
      <formula>AE$9&lt;8/24</formula>
    </cfRule>
    <cfRule type="expression" dxfId="1777" priority="31">
      <formula>AND(AE$9&gt;=8/24,AE$9&lt;14/24)</formula>
    </cfRule>
  </conditionalFormatting>
  <conditionalFormatting sqref="AU16:AX21">
    <cfRule type="expression" dxfId="1776" priority="36">
      <formula>BI$9&lt;8/24</formula>
    </cfRule>
    <cfRule type="expression" dxfId="1775" priority="35">
      <formula>AND(BI$9&gt;=8/24,BI$9&lt;14/24)</formula>
    </cfRule>
    <cfRule type="expression" dxfId="1774" priority="34">
      <formula>AND(BI$9&gt;=14/24,BI$9&lt;20/24)</formula>
    </cfRule>
    <cfRule type="expression" dxfId="1773" priority="33">
      <formula>BI$9&gt;=20/24</formula>
    </cfRule>
  </conditionalFormatting>
  <conditionalFormatting sqref="AW15">
    <cfRule type="expression" dxfId="1772" priority="5">
      <formula>B$9&gt;=20/24</formula>
    </cfRule>
    <cfRule type="expression" dxfId="1771" priority="8">
      <formula>B$9&lt;8/24</formula>
    </cfRule>
    <cfRule type="expression" dxfId="1770" priority="7">
      <formula>AND(B$9&gt;=8/24,B$9&lt;14/24)</formula>
    </cfRule>
    <cfRule type="expression" dxfId="1769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89A3-1CA9-4512-8846-75FE58BCE103}">
  <dimension ref="A1:CJ294"/>
  <sheetViews>
    <sheetView zoomScaleNormal="100" workbookViewId="0">
      <pane xSplit="1" ySplit="10" topLeftCell="B60" activePane="bottomRight" state="frozen"/>
      <selection activeCell="Z63" sqref="Z63"/>
      <selection pane="topRight" activeCell="Z63" sqref="Z63"/>
      <selection pane="bottomLeft" activeCell="Z63" sqref="Z63"/>
      <selection pane="bottomRight" activeCell="AF85" sqref="AF8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8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2080/10/20</v>
      </c>
      <c r="C4" s="272"/>
      <c r="D4" s="272"/>
      <c r="E4" s="273" t="str">
        <f ca="1">"2080/"&amp;"10/"&amp;INT(MID(CELL("filename",G6),FIND("]",CELL("filename",G6))+1,200))</f>
        <v>2080/10/20</v>
      </c>
      <c r="F4" s="273"/>
      <c r="G4" s="273"/>
      <c r="H4" s="273" t="str">
        <f ca="1">TEXT(E4,"dddd")</f>
        <v>Sunday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600.5</v>
      </c>
      <c r="C5" s="30">
        <f t="shared" ref="C5:AE5" si="0">D92</f>
        <v>498.90000000000003</v>
      </c>
      <c r="D5" s="30">
        <f t="shared" si="0"/>
        <v>475.1</v>
      </c>
      <c r="E5" s="30">
        <f t="shared" si="0"/>
        <v>490.8</v>
      </c>
      <c r="F5" s="30">
        <f t="shared" si="0"/>
        <v>536.6</v>
      </c>
      <c r="G5" s="30">
        <f t="shared" si="0"/>
        <v>565.80000000000007</v>
      </c>
      <c r="H5" s="30">
        <f t="shared" si="0"/>
        <v>540.1</v>
      </c>
      <c r="I5" s="30">
        <f t="shared" si="0"/>
        <v>551.70000000000005</v>
      </c>
      <c r="J5" s="30">
        <f t="shared" si="0"/>
        <v>358.4</v>
      </c>
      <c r="K5" s="30">
        <f t="shared" si="0"/>
        <v>178.5</v>
      </c>
      <c r="L5" s="30">
        <f t="shared" si="0"/>
        <v>126.49999999999999</v>
      </c>
      <c r="M5" s="30">
        <f t="shared" si="0"/>
        <v>224</v>
      </c>
      <c r="N5" s="30">
        <f t="shared" si="0"/>
        <v>481.1</v>
      </c>
      <c r="O5" s="30">
        <f t="shared" si="0"/>
        <v>556.5</v>
      </c>
      <c r="P5" s="30">
        <f t="shared" si="0"/>
        <v>559.29999999999995</v>
      </c>
      <c r="Q5" s="30">
        <f t="shared" si="0"/>
        <v>632</v>
      </c>
      <c r="R5" s="30">
        <f t="shared" si="0"/>
        <v>716.3</v>
      </c>
      <c r="S5" s="30">
        <f t="shared" si="0"/>
        <v>712</v>
      </c>
      <c r="T5" s="30">
        <f t="shared" si="0"/>
        <v>613.80000000000007</v>
      </c>
      <c r="U5" s="30">
        <f t="shared" si="0"/>
        <v>654.69999999999993</v>
      </c>
      <c r="V5" s="30">
        <f t="shared" si="0"/>
        <v>612.70000000000005</v>
      </c>
      <c r="W5" s="30">
        <f t="shared" si="0"/>
        <v>542.1</v>
      </c>
      <c r="X5" s="30">
        <f t="shared" si="0"/>
        <v>497.40000000000003</v>
      </c>
      <c r="Y5" s="30">
        <f t="shared" si="0"/>
        <v>445.8</v>
      </c>
      <c r="Z5" s="30">
        <f t="shared" si="0"/>
        <v>478.99999999999994</v>
      </c>
      <c r="AA5" s="30">
        <f t="shared" si="0"/>
        <v>520.5</v>
      </c>
      <c r="AB5" s="30">
        <f t="shared" si="0"/>
        <v>531.5</v>
      </c>
      <c r="AC5" s="30">
        <f t="shared" si="0"/>
        <v>604.1</v>
      </c>
      <c r="AD5" s="30">
        <f t="shared" si="0"/>
        <v>522.70000000000005</v>
      </c>
      <c r="AE5" s="30">
        <f t="shared" si="0"/>
        <v>529.9</v>
      </c>
      <c r="AF5" s="30">
        <f>B92</f>
        <v>547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1586MW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Load=1098</v>
      </c>
      <c r="B7" s="35">
        <f>B100</f>
        <v>1159.19</v>
      </c>
      <c r="C7" s="35">
        <f t="shared" ref="C7:AF7" si="1">C100</f>
        <v>1187.69</v>
      </c>
      <c r="D7" s="35">
        <f t="shared" si="1"/>
        <v>1111.0900000000001</v>
      </c>
      <c r="E7" s="35">
        <f t="shared" si="1"/>
        <v>1097.8900000000001</v>
      </c>
      <c r="F7" s="35">
        <f t="shared" si="1"/>
        <v>1107.5899999999999</v>
      </c>
      <c r="G7" s="35">
        <f t="shared" si="1"/>
        <v>1155.0900000000001</v>
      </c>
      <c r="H7" s="35">
        <f t="shared" si="1"/>
        <v>1246.99</v>
      </c>
      <c r="I7" s="35">
        <f t="shared" si="1"/>
        <v>1275.29</v>
      </c>
      <c r="J7" s="35">
        <f t="shared" si="1"/>
        <v>1362.69</v>
      </c>
      <c r="K7" s="35">
        <f t="shared" si="1"/>
        <v>1397.19</v>
      </c>
      <c r="L7" s="35">
        <f t="shared" si="1"/>
        <v>1555.39</v>
      </c>
      <c r="M7" s="35">
        <f t="shared" si="1"/>
        <v>1586.0900000000001</v>
      </c>
      <c r="N7" s="35">
        <f t="shared" si="1"/>
        <v>1508.19</v>
      </c>
      <c r="O7" s="35">
        <f t="shared" si="1"/>
        <v>1415.5900000000001</v>
      </c>
      <c r="P7" s="35">
        <f t="shared" si="1"/>
        <v>1547.2900000000002</v>
      </c>
      <c r="Q7" s="35">
        <f t="shared" si="1"/>
        <v>1470.0900000000001</v>
      </c>
      <c r="R7" s="35">
        <f t="shared" si="1"/>
        <v>1348.8899999999999</v>
      </c>
      <c r="S7" s="35">
        <f t="shared" si="1"/>
        <v>1459.09</v>
      </c>
      <c r="T7" s="35">
        <f t="shared" si="1"/>
        <v>1434.19</v>
      </c>
      <c r="U7" s="35">
        <f t="shared" si="1"/>
        <v>1395.79</v>
      </c>
      <c r="V7" s="35">
        <f t="shared" si="1"/>
        <v>1335.09</v>
      </c>
      <c r="W7" s="35">
        <f t="shared" si="1"/>
        <v>1443.0900000000001</v>
      </c>
      <c r="X7" s="35">
        <f t="shared" si="1"/>
        <v>1611.79</v>
      </c>
      <c r="Y7" s="35">
        <f t="shared" si="1"/>
        <v>1716.5900000000001</v>
      </c>
      <c r="Z7" s="35">
        <f t="shared" si="1"/>
        <v>1674.99</v>
      </c>
      <c r="AA7" s="35">
        <f t="shared" si="1"/>
        <v>1581.29</v>
      </c>
      <c r="AB7" s="35">
        <f t="shared" si="1"/>
        <v>1482.79</v>
      </c>
      <c r="AC7" s="35">
        <f t="shared" si="1"/>
        <v>1442.29</v>
      </c>
      <c r="AD7" s="35">
        <f t="shared" si="1"/>
        <v>1421.79</v>
      </c>
      <c r="AE7" s="35">
        <f t="shared" si="1"/>
        <v>1248.79</v>
      </c>
      <c r="AF7" s="35">
        <f t="shared" si="1"/>
        <v>1206.0899999999999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1586.09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2.7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1586.09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27.8</v>
      </c>
      <c r="C11" s="45">
        <v>27.8</v>
      </c>
      <c r="D11" s="45">
        <v>27.8</v>
      </c>
      <c r="E11" s="45">
        <v>27.8</v>
      </c>
      <c r="F11" s="45">
        <v>21.8</v>
      </c>
      <c r="G11" s="45">
        <v>22.6</v>
      </c>
      <c r="H11" s="45">
        <v>22.6</v>
      </c>
      <c r="I11" s="45">
        <v>24.7</v>
      </c>
      <c r="J11" s="45">
        <v>25</v>
      </c>
      <c r="K11" s="45">
        <v>25</v>
      </c>
      <c r="L11" s="45">
        <v>26.4</v>
      </c>
      <c r="M11" s="45">
        <v>26.4</v>
      </c>
      <c r="N11" s="45">
        <v>26.6</v>
      </c>
      <c r="O11" s="45">
        <v>25.2</v>
      </c>
      <c r="P11" s="45">
        <v>25.2</v>
      </c>
      <c r="Q11" s="45">
        <v>25.2</v>
      </c>
      <c r="R11" s="45">
        <v>25.2</v>
      </c>
      <c r="S11" s="45">
        <v>25.2</v>
      </c>
      <c r="T11" s="45">
        <v>25.2</v>
      </c>
      <c r="U11" s="45">
        <v>25.2</v>
      </c>
      <c r="V11" s="45">
        <v>25.2</v>
      </c>
      <c r="W11" s="45">
        <v>25.2</v>
      </c>
      <c r="X11" s="45">
        <v>25.2</v>
      </c>
      <c r="Y11" s="45">
        <v>25.2</v>
      </c>
      <c r="Z11" s="45">
        <v>25.2</v>
      </c>
      <c r="AA11" s="45">
        <v>25.2</v>
      </c>
      <c r="AB11" s="45">
        <v>26.1</v>
      </c>
      <c r="AC11" s="45">
        <v>26.1</v>
      </c>
      <c r="AD11" s="45">
        <v>26.1</v>
      </c>
      <c r="AE11" s="45">
        <v>26.1</v>
      </c>
      <c r="AF11" s="45">
        <v>26.1</v>
      </c>
      <c r="AG11" s="46">
        <v>86</v>
      </c>
      <c r="AH11" s="47">
        <f t="shared" ref="AH11:AH16" si="2">MAX(B11:AF11)</f>
        <v>27.8</v>
      </c>
      <c r="AI11" s="48">
        <f t="shared" ref="AI11:AI16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20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10.5</v>
      </c>
      <c r="C13" s="45">
        <v>10.5</v>
      </c>
      <c r="D13" s="45">
        <v>10.5</v>
      </c>
      <c r="E13" s="45">
        <v>10.5</v>
      </c>
      <c r="F13" s="45">
        <v>10.5</v>
      </c>
      <c r="G13" s="45">
        <v>10.5</v>
      </c>
      <c r="H13" s="45">
        <v>10.5</v>
      </c>
      <c r="I13" s="45">
        <v>10.5</v>
      </c>
      <c r="J13" s="45">
        <v>10.5</v>
      </c>
      <c r="K13" s="45">
        <v>10.5</v>
      </c>
      <c r="L13" s="45">
        <v>10.5</v>
      </c>
      <c r="M13" s="45">
        <v>10.5</v>
      </c>
      <c r="N13" s="45">
        <v>10.5</v>
      </c>
      <c r="O13" s="45">
        <v>10.5</v>
      </c>
      <c r="P13" s="45">
        <v>10.5</v>
      </c>
      <c r="Q13" s="45">
        <v>10.5</v>
      </c>
      <c r="R13" s="45">
        <v>10.5</v>
      </c>
      <c r="S13" s="45">
        <v>10.5</v>
      </c>
      <c r="T13" s="45">
        <v>10.5</v>
      </c>
      <c r="U13" s="45">
        <v>10.5</v>
      </c>
      <c r="V13" s="45">
        <v>10.5</v>
      </c>
      <c r="W13" s="45">
        <v>10.5</v>
      </c>
      <c r="X13" s="45">
        <v>10.5</v>
      </c>
      <c r="Y13" s="45">
        <v>10.5</v>
      </c>
      <c r="Z13" s="45">
        <v>10.5</v>
      </c>
      <c r="AA13" s="45">
        <v>10.5</v>
      </c>
      <c r="AB13" s="45">
        <v>10.5</v>
      </c>
      <c r="AC13" s="45">
        <v>10.5</v>
      </c>
      <c r="AD13" s="45">
        <v>10.5</v>
      </c>
      <c r="AE13" s="45">
        <v>10.5</v>
      </c>
      <c r="AF13" s="45">
        <v>10.5</v>
      </c>
      <c r="AG13" s="49">
        <v>54</v>
      </c>
      <c r="AH13" s="47">
        <f t="shared" si="2"/>
        <v>10.5</v>
      </c>
      <c r="AI13" s="48">
        <f t="shared" si="3"/>
        <v>10.5</v>
      </c>
      <c r="AK13" s="50"/>
      <c r="AL13" s="157" t="str">
        <f ca="1">"Daily Load Curve(Excluding of Export) of Nepal ("&amp;A4&amp;" "&amp;B4&amp;")"</f>
        <v>Daily Load Curve(Excluding of Export) of Nepal (Nepali Date: 2080/10/20)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14.5</v>
      </c>
      <c r="C14" s="45">
        <v>14.5</v>
      </c>
      <c r="D14" s="45">
        <v>14.5</v>
      </c>
      <c r="E14" s="45">
        <v>14.5</v>
      </c>
      <c r="F14" s="45">
        <v>14.5</v>
      </c>
      <c r="G14" s="45">
        <v>14.5</v>
      </c>
      <c r="H14" s="45">
        <v>14.5</v>
      </c>
      <c r="I14" s="45">
        <v>14.5</v>
      </c>
      <c r="J14" s="45">
        <v>14.5</v>
      </c>
      <c r="K14" s="45">
        <v>14.5</v>
      </c>
      <c r="L14" s="45">
        <v>14.5</v>
      </c>
      <c r="M14" s="45">
        <v>14.5</v>
      </c>
      <c r="N14" s="45">
        <v>14.5</v>
      </c>
      <c r="O14" s="45">
        <v>14.5</v>
      </c>
      <c r="P14" s="45">
        <v>14.5</v>
      </c>
      <c r="Q14" s="45">
        <v>14.5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14.5</v>
      </c>
      <c r="W14" s="45">
        <v>14.5</v>
      </c>
      <c r="X14" s="45">
        <v>14.5</v>
      </c>
      <c r="Y14" s="45">
        <v>14.5</v>
      </c>
      <c r="Z14" s="45">
        <v>14.5</v>
      </c>
      <c r="AA14" s="45">
        <v>14.5</v>
      </c>
      <c r="AB14" s="45">
        <v>14.8</v>
      </c>
      <c r="AC14" s="45">
        <v>14.8</v>
      </c>
      <c r="AD14" s="45">
        <v>14.8</v>
      </c>
      <c r="AE14" s="45">
        <v>14.8</v>
      </c>
      <c r="AF14" s="45">
        <v>14.8</v>
      </c>
      <c r="AG14" s="46">
        <v>52.4</v>
      </c>
      <c r="AH14" s="47">
        <f t="shared" si="2"/>
        <v>14.8</v>
      </c>
      <c r="AI14" s="48">
        <f t="shared" si="3"/>
        <v>14.5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28.7</v>
      </c>
      <c r="C15" s="45">
        <v>28.7</v>
      </c>
      <c r="D15" s="45">
        <v>28.7</v>
      </c>
      <c r="E15" s="45">
        <v>28.7</v>
      </c>
      <c r="F15" s="45">
        <v>28.7</v>
      </c>
      <c r="G15" s="45">
        <v>28.7</v>
      </c>
      <c r="H15" s="45">
        <v>28.7</v>
      </c>
      <c r="I15" s="45">
        <v>28.7</v>
      </c>
      <c r="J15" s="45">
        <v>28.7</v>
      </c>
      <c r="K15" s="45">
        <v>28.7</v>
      </c>
      <c r="L15" s="45">
        <v>28.7</v>
      </c>
      <c r="M15" s="45">
        <v>28.7</v>
      </c>
      <c r="N15" s="45">
        <v>28.7</v>
      </c>
      <c r="O15" s="45">
        <v>28.7</v>
      </c>
      <c r="P15" s="45">
        <v>28.7</v>
      </c>
      <c r="Q15" s="45">
        <v>28.7</v>
      </c>
      <c r="R15" s="45">
        <v>28.7</v>
      </c>
      <c r="S15" s="45">
        <v>28.7</v>
      </c>
      <c r="T15" s="45">
        <v>28.7</v>
      </c>
      <c r="U15" s="45">
        <v>28.7</v>
      </c>
      <c r="V15" s="45">
        <v>28.7</v>
      </c>
      <c r="W15" s="45">
        <v>28.7</v>
      </c>
      <c r="X15" s="45">
        <v>28.7</v>
      </c>
      <c r="Y15" s="45">
        <v>28.7</v>
      </c>
      <c r="Z15" s="51">
        <v>28.7</v>
      </c>
      <c r="AA15" s="51">
        <v>28.7</v>
      </c>
      <c r="AB15" s="51">
        <v>25.5</v>
      </c>
      <c r="AC15" s="51">
        <v>25.5</v>
      </c>
      <c r="AD15" s="51">
        <v>25.5</v>
      </c>
      <c r="AE15" s="51">
        <v>25.5</v>
      </c>
      <c r="AF15" s="51">
        <v>25.5</v>
      </c>
      <c r="AG15" s="49">
        <v>50</v>
      </c>
      <c r="AH15" s="47">
        <f t="shared" si="2"/>
        <v>28.7</v>
      </c>
      <c r="AI15" s="48">
        <f t="shared" si="3"/>
        <v>25.5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15.9</v>
      </c>
      <c r="C16" s="45">
        <v>15.9</v>
      </c>
      <c r="D16" s="45">
        <v>15.9</v>
      </c>
      <c r="E16" s="45">
        <v>15.9</v>
      </c>
      <c r="F16" s="45">
        <v>15.9</v>
      </c>
      <c r="G16" s="45">
        <v>15.9</v>
      </c>
      <c r="H16" s="45">
        <v>15.9</v>
      </c>
      <c r="I16" s="45">
        <v>15.9</v>
      </c>
      <c r="J16" s="45">
        <v>15.9</v>
      </c>
      <c r="K16" s="45">
        <v>15.9</v>
      </c>
      <c r="L16" s="45">
        <v>15.9</v>
      </c>
      <c r="M16" s="45">
        <v>15.9</v>
      </c>
      <c r="N16" s="45">
        <v>15.9</v>
      </c>
      <c r="O16" s="45">
        <v>15.9</v>
      </c>
      <c r="P16" s="45">
        <v>15.9</v>
      </c>
      <c r="Q16" s="45">
        <v>15.9</v>
      </c>
      <c r="R16" s="45">
        <v>15.9</v>
      </c>
      <c r="S16" s="45">
        <v>15.9</v>
      </c>
      <c r="T16" s="45">
        <v>15.9</v>
      </c>
      <c r="U16" s="45">
        <v>15.9</v>
      </c>
      <c r="V16" s="45">
        <v>15.9</v>
      </c>
      <c r="W16" s="45">
        <v>15.9</v>
      </c>
      <c r="X16" s="45">
        <v>15.9</v>
      </c>
      <c r="Y16" s="45">
        <v>15.9</v>
      </c>
      <c r="Z16" s="45">
        <v>15.9</v>
      </c>
      <c r="AA16" s="45">
        <v>15.9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49">
        <v>45</v>
      </c>
      <c r="AH16" s="47">
        <f t="shared" si="2"/>
        <v>17.100000000000001</v>
      </c>
      <c r="AI16" s="48">
        <f t="shared" si="3"/>
        <v>15.9</v>
      </c>
      <c r="AK16" s="50"/>
      <c r="AL16" s="160" t="s">
        <v>7</v>
      </c>
      <c r="AM16" s="227">
        <f>B58</f>
        <v>474.85</v>
      </c>
      <c r="AN16" s="227">
        <f t="shared" ref="AN16:AR16" si="4">C58</f>
        <v>474.85</v>
      </c>
      <c r="AO16" s="227">
        <f t="shared" si="4"/>
        <v>474.85</v>
      </c>
      <c r="AP16" s="227">
        <f t="shared" si="4"/>
        <v>474.85</v>
      </c>
      <c r="AQ16" s="227">
        <f t="shared" si="4"/>
        <v>468.85</v>
      </c>
      <c r="AR16" s="227">
        <f t="shared" si="4"/>
        <v>469.65</v>
      </c>
      <c r="AS16" s="227">
        <f>I58</f>
        <v>471.75</v>
      </c>
      <c r="AT16" s="227">
        <f>K58</f>
        <v>472.05</v>
      </c>
      <c r="AU16" s="227">
        <f t="shared" ref="AU16:AX16" si="5">M58</f>
        <v>473.45</v>
      </c>
      <c r="AV16" s="227">
        <f t="shared" si="5"/>
        <v>473.65</v>
      </c>
      <c r="AW16" s="227">
        <f t="shared" si="5"/>
        <v>472.25</v>
      </c>
      <c r="AX16" s="227">
        <f t="shared" si="5"/>
        <v>472.25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36.700000000000003</v>
      </c>
      <c r="AN17" s="227">
        <f t="shared" ref="AN17:AR17" si="6">C62</f>
        <v>36.700000000000003</v>
      </c>
      <c r="AO17" s="227">
        <f t="shared" si="6"/>
        <v>36.700000000000003</v>
      </c>
      <c r="AP17" s="227">
        <f t="shared" si="6"/>
        <v>37.200000000000003</v>
      </c>
      <c r="AQ17" s="227">
        <f t="shared" si="6"/>
        <v>37.200000000000003</v>
      </c>
      <c r="AR17" s="227">
        <f t="shared" si="6"/>
        <v>37.200000000000003</v>
      </c>
      <c r="AS17" s="227">
        <f>I62</f>
        <v>67.2</v>
      </c>
      <c r="AT17" s="227">
        <f>K62</f>
        <v>337.2</v>
      </c>
      <c r="AU17" s="227">
        <f t="shared" ref="AU17:AX17" si="7">M62</f>
        <v>493.2</v>
      </c>
      <c r="AV17" s="227">
        <f t="shared" si="7"/>
        <v>337.2</v>
      </c>
      <c r="AW17" s="227">
        <f t="shared" si="7"/>
        <v>52.2</v>
      </c>
      <c r="AX17" s="227">
        <f t="shared" si="7"/>
        <v>113.2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7.5</v>
      </c>
      <c r="C18" s="45">
        <v>7.5</v>
      </c>
      <c r="D18" s="45">
        <v>7.5</v>
      </c>
      <c r="E18" s="45">
        <v>7.5</v>
      </c>
      <c r="F18" s="45">
        <v>7.5</v>
      </c>
      <c r="G18" s="45">
        <v>7.5</v>
      </c>
      <c r="H18" s="45">
        <v>7.5</v>
      </c>
      <c r="I18" s="45">
        <v>7.5</v>
      </c>
      <c r="J18" s="45">
        <v>7.5</v>
      </c>
      <c r="K18" s="45">
        <v>7.5</v>
      </c>
      <c r="L18" s="45">
        <v>7.5</v>
      </c>
      <c r="M18" s="45">
        <v>7.5</v>
      </c>
      <c r="N18" s="45">
        <v>7.5</v>
      </c>
      <c r="O18" s="45">
        <v>7.5</v>
      </c>
      <c r="P18" s="45">
        <v>7.5</v>
      </c>
      <c r="Q18" s="45">
        <v>7.5</v>
      </c>
      <c r="R18" s="45">
        <v>7.5</v>
      </c>
      <c r="S18" s="45">
        <v>7.5</v>
      </c>
      <c r="T18" s="45">
        <v>7.5</v>
      </c>
      <c r="U18" s="45">
        <v>7.5</v>
      </c>
      <c r="V18" s="45">
        <v>7.5</v>
      </c>
      <c r="W18" s="45">
        <v>7.5</v>
      </c>
      <c r="X18" s="45">
        <v>7.5</v>
      </c>
      <c r="Y18" s="45">
        <v>7.5</v>
      </c>
      <c r="Z18" s="45">
        <v>7.5</v>
      </c>
      <c r="AA18" s="45">
        <v>7.5</v>
      </c>
      <c r="AB18" s="45">
        <v>6.5</v>
      </c>
      <c r="AC18" s="45">
        <v>6.5</v>
      </c>
      <c r="AD18" s="45">
        <v>6.5</v>
      </c>
      <c r="AE18" s="45">
        <v>6.5</v>
      </c>
      <c r="AF18" s="45">
        <v>6.5</v>
      </c>
      <c r="AG18" s="49">
        <v>42</v>
      </c>
      <c r="AH18" s="47">
        <f t="shared" ref="AH18:AH81" si="8">MAX(B18:AF18)</f>
        <v>7.5</v>
      </c>
      <c r="AI18" s="48">
        <f t="shared" ref="AI18:AI81" si="9">MIN(B18:AF18)</f>
        <v>6.5</v>
      </c>
      <c r="AK18" s="50"/>
      <c r="AL18" s="160" t="s">
        <v>593</v>
      </c>
      <c r="AM18" s="227">
        <f>B76</f>
        <v>100.64</v>
      </c>
      <c r="AN18" s="227">
        <f t="shared" ref="AN18:AR18" si="10">C76</f>
        <v>75.64</v>
      </c>
      <c r="AO18" s="227">
        <f t="shared" si="10"/>
        <v>100.64</v>
      </c>
      <c r="AP18" s="227">
        <f t="shared" si="10"/>
        <v>110.74000000000001</v>
      </c>
      <c r="AQ18" s="227">
        <f t="shared" si="10"/>
        <v>110.74</v>
      </c>
      <c r="AR18" s="227">
        <f t="shared" si="10"/>
        <v>111.64</v>
      </c>
      <c r="AS18" s="227">
        <f>I76</f>
        <v>196.23999999999998</v>
      </c>
      <c r="AT18" s="227">
        <f>K76</f>
        <v>229.54</v>
      </c>
      <c r="AU18" s="227">
        <f t="shared" ref="AU18:AX18" si="11">M76</f>
        <v>312.94000000000005</v>
      </c>
      <c r="AV18" s="227">
        <f t="shared" si="11"/>
        <v>293.34000000000003</v>
      </c>
      <c r="AW18" s="227">
        <f t="shared" si="11"/>
        <v>270.04000000000002</v>
      </c>
      <c r="AX18" s="227">
        <f t="shared" si="11"/>
        <v>285.34000000000009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547</v>
      </c>
      <c r="AN19" s="227">
        <f t="shared" ref="AN19:AR19" si="12">C92</f>
        <v>600.5</v>
      </c>
      <c r="AO19" s="227">
        <f t="shared" si="12"/>
        <v>498.90000000000003</v>
      </c>
      <c r="AP19" s="227">
        <f t="shared" si="12"/>
        <v>475.1</v>
      </c>
      <c r="AQ19" s="227">
        <f t="shared" si="12"/>
        <v>490.8</v>
      </c>
      <c r="AR19" s="227">
        <f t="shared" si="12"/>
        <v>536.6</v>
      </c>
      <c r="AS19" s="227">
        <f>I92</f>
        <v>540.1</v>
      </c>
      <c r="AT19" s="227">
        <f>K92</f>
        <v>358.4</v>
      </c>
      <c r="AU19" s="227">
        <f t="shared" ref="AU19:AX19" si="13">M92</f>
        <v>126.49999999999999</v>
      </c>
      <c r="AV19" s="227">
        <f t="shared" si="13"/>
        <v>224</v>
      </c>
      <c r="AW19" s="227">
        <f t="shared" si="13"/>
        <v>481.1</v>
      </c>
      <c r="AX19" s="227">
        <f t="shared" si="13"/>
        <v>556.5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0</v>
      </c>
      <c r="AU21" s="227">
        <f t="shared" ref="AU21:AX21" si="17">M98</f>
        <v>180</v>
      </c>
      <c r="AV21" s="227">
        <f t="shared" si="17"/>
        <v>180</v>
      </c>
      <c r="AW21" s="227">
        <f t="shared" si="17"/>
        <v>140</v>
      </c>
      <c r="AX21" s="227">
        <f t="shared" si="17"/>
        <v>120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7.8</v>
      </c>
      <c r="C22" s="45">
        <v>7.8</v>
      </c>
      <c r="D22" s="45">
        <v>7.8</v>
      </c>
      <c r="E22" s="45">
        <v>7.8</v>
      </c>
      <c r="F22" s="45">
        <v>7.8</v>
      </c>
      <c r="G22" s="45">
        <v>7.8</v>
      </c>
      <c r="H22" s="45">
        <v>7.8</v>
      </c>
      <c r="I22" s="45">
        <v>7.8</v>
      </c>
      <c r="J22" s="45">
        <v>7.8</v>
      </c>
      <c r="K22" s="45">
        <v>7.8</v>
      </c>
      <c r="L22" s="45">
        <v>7.8</v>
      </c>
      <c r="M22" s="45">
        <v>7.8</v>
      </c>
      <c r="N22" s="45">
        <v>7.8</v>
      </c>
      <c r="O22" s="45">
        <v>7.8</v>
      </c>
      <c r="P22" s="45">
        <v>7.8</v>
      </c>
      <c r="Q22" s="45">
        <v>7.8</v>
      </c>
      <c r="R22" s="45">
        <v>7.8</v>
      </c>
      <c r="S22" s="45">
        <v>7.8</v>
      </c>
      <c r="T22" s="45">
        <v>7.8</v>
      </c>
      <c r="U22" s="45">
        <v>7.8</v>
      </c>
      <c r="V22" s="45">
        <v>7.8</v>
      </c>
      <c r="W22" s="45">
        <v>7.8</v>
      </c>
      <c r="X22" s="45">
        <v>7.8</v>
      </c>
      <c r="Y22" s="45">
        <v>7.8</v>
      </c>
      <c r="Z22" s="45">
        <v>7.8</v>
      </c>
      <c r="AA22" s="45">
        <v>7.8</v>
      </c>
      <c r="AB22" s="45">
        <v>9.1</v>
      </c>
      <c r="AC22" s="45">
        <v>9.1</v>
      </c>
      <c r="AD22" s="45">
        <v>9.1</v>
      </c>
      <c r="AE22" s="45">
        <v>9.1</v>
      </c>
      <c r="AF22" s="45">
        <v>9.1</v>
      </c>
      <c r="AG22" s="52">
        <v>30</v>
      </c>
      <c r="AH22" s="47">
        <f t="shared" si="8"/>
        <v>9.1</v>
      </c>
      <c r="AI22" s="48">
        <f t="shared" si="9"/>
        <v>7.8</v>
      </c>
      <c r="AK22" s="50"/>
      <c r="AL22" s="229" t="s">
        <v>597</v>
      </c>
      <c r="AM22" s="228">
        <f>SUM(AM16:AM21)</f>
        <v>1159.19</v>
      </c>
      <c r="AN22" s="228">
        <f t="shared" ref="AN22:AX22" si="18">SUM(AN16:AN21)</f>
        <v>1187.69</v>
      </c>
      <c r="AO22" s="228">
        <f t="shared" si="18"/>
        <v>1111.0900000000001</v>
      </c>
      <c r="AP22" s="228">
        <f t="shared" si="18"/>
        <v>1097.8900000000001</v>
      </c>
      <c r="AQ22" s="228">
        <f t="shared" si="18"/>
        <v>1107.5899999999999</v>
      </c>
      <c r="AR22" s="228">
        <f t="shared" si="18"/>
        <v>1155.0900000000001</v>
      </c>
      <c r="AS22" s="228">
        <f t="shared" si="18"/>
        <v>1275.29</v>
      </c>
      <c r="AT22" s="228">
        <f t="shared" si="18"/>
        <v>1397.19</v>
      </c>
      <c r="AU22" s="228">
        <f t="shared" si="18"/>
        <v>1586.0900000000001</v>
      </c>
      <c r="AV22" s="228">
        <f t="shared" si="18"/>
        <v>1508.19</v>
      </c>
      <c r="AW22" s="228">
        <f t="shared" si="18"/>
        <v>1415.5900000000001</v>
      </c>
      <c r="AX22" s="228">
        <f t="shared" si="18"/>
        <v>1547.2900000000002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45">
        <v>7.2</v>
      </c>
      <c r="Z24" s="45">
        <v>7.2</v>
      </c>
      <c r="AA24" s="45">
        <v>7.2</v>
      </c>
      <c r="AB24" s="45">
        <v>7.3</v>
      </c>
      <c r="AC24" s="45">
        <v>7.3</v>
      </c>
      <c r="AD24" s="45">
        <v>7.3</v>
      </c>
      <c r="AE24" s="45">
        <v>7.3</v>
      </c>
      <c r="AF24" s="45">
        <v>7.3</v>
      </c>
      <c r="AG24" s="49">
        <v>28</v>
      </c>
      <c r="AH24" s="47">
        <f t="shared" si="8"/>
        <v>7.3</v>
      </c>
      <c r="AI24" s="48">
        <f t="shared" si="9"/>
        <v>7.2</v>
      </c>
      <c r="AK24" s="50"/>
      <c r="AL24" s="229" t="s">
        <v>598</v>
      </c>
      <c r="AM24" s="228">
        <f>AM22+AM23</f>
        <v>1159.19</v>
      </c>
      <c r="AN24" s="228">
        <f t="shared" ref="AN24:AX24" si="21">AN22+AN23</f>
        <v>1187.69</v>
      </c>
      <c r="AO24" s="228">
        <f t="shared" si="21"/>
        <v>1111.0900000000001</v>
      </c>
      <c r="AP24" s="228">
        <f t="shared" si="21"/>
        <v>1097.8900000000001</v>
      </c>
      <c r="AQ24" s="228">
        <f t="shared" si="21"/>
        <v>1107.5899999999999</v>
      </c>
      <c r="AR24" s="228">
        <f t="shared" si="21"/>
        <v>1155.0900000000001</v>
      </c>
      <c r="AS24" s="228">
        <f t="shared" si="21"/>
        <v>1275.29</v>
      </c>
      <c r="AT24" s="228">
        <f t="shared" si="21"/>
        <v>1397.19</v>
      </c>
      <c r="AU24" s="228">
        <f t="shared" si="21"/>
        <v>1586.0900000000001</v>
      </c>
      <c r="AV24" s="228">
        <f t="shared" si="21"/>
        <v>1508.19</v>
      </c>
      <c r="AW24" s="228">
        <f t="shared" si="21"/>
        <v>1415.5900000000001</v>
      </c>
      <c r="AX24" s="228">
        <f t="shared" si="21"/>
        <v>1547.2900000000002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6.5</v>
      </c>
      <c r="C25" s="45">
        <v>6.5</v>
      </c>
      <c r="D25" s="45">
        <v>6.5</v>
      </c>
      <c r="E25" s="45">
        <v>6.5</v>
      </c>
      <c r="F25" s="45">
        <v>6.5</v>
      </c>
      <c r="G25" s="45">
        <v>6.5</v>
      </c>
      <c r="H25" s="45">
        <v>6.5</v>
      </c>
      <c r="I25" s="45">
        <v>6.5</v>
      </c>
      <c r="J25" s="45">
        <v>6.5</v>
      </c>
      <c r="K25" s="45">
        <v>6.5</v>
      </c>
      <c r="L25" s="45">
        <v>6.5</v>
      </c>
      <c r="M25" s="45">
        <v>6.5</v>
      </c>
      <c r="N25" s="45">
        <v>6.5</v>
      </c>
      <c r="O25" s="45">
        <v>6.5</v>
      </c>
      <c r="P25" s="45">
        <v>6.5</v>
      </c>
      <c r="Q25" s="45">
        <v>6.5</v>
      </c>
      <c r="R25" s="45">
        <v>6.5</v>
      </c>
      <c r="S25" s="45">
        <v>6.5</v>
      </c>
      <c r="T25" s="45">
        <v>6.5</v>
      </c>
      <c r="U25" s="45">
        <v>6.5</v>
      </c>
      <c r="V25" s="45">
        <v>6.5</v>
      </c>
      <c r="W25" s="45">
        <v>6.5</v>
      </c>
      <c r="X25" s="45">
        <v>6.5</v>
      </c>
      <c r="Y25" s="45">
        <v>6.5</v>
      </c>
      <c r="Z25" s="45">
        <v>6.5</v>
      </c>
      <c r="AA25" s="45">
        <v>6.5</v>
      </c>
      <c r="AB25" s="45">
        <v>8.6999999999999993</v>
      </c>
      <c r="AC25" s="45">
        <v>8.6999999999999993</v>
      </c>
      <c r="AD25" s="45">
        <v>8.6999999999999993</v>
      </c>
      <c r="AE25" s="45">
        <v>8.6999999999999993</v>
      </c>
      <c r="AF25" s="45">
        <v>8.6999999999999993</v>
      </c>
      <c r="AG25" s="52">
        <v>30</v>
      </c>
      <c r="AH25" s="47">
        <f t="shared" si="8"/>
        <v>8.6999999999999993</v>
      </c>
      <c r="AI25" s="48">
        <f t="shared" si="9"/>
        <v>6.5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9.1999999999999993</v>
      </c>
      <c r="C26" s="45">
        <v>9.1999999999999993</v>
      </c>
      <c r="D26" s="45">
        <v>9.1999999999999993</v>
      </c>
      <c r="E26" s="45">
        <v>9.1999999999999993</v>
      </c>
      <c r="F26" s="45">
        <v>9.1999999999999993</v>
      </c>
      <c r="G26" s="45">
        <v>9.1999999999999993</v>
      </c>
      <c r="H26" s="45">
        <v>9.1999999999999993</v>
      </c>
      <c r="I26" s="45">
        <v>9.1999999999999993</v>
      </c>
      <c r="J26" s="45">
        <v>9.1999999999999993</v>
      </c>
      <c r="K26" s="45">
        <v>9.1999999999999993</v>
      </c>
      <c r="L26" s="45">
        <v>9.1999999999999993</v>
      </c>
      <c r="M26" s="45">
        <v>9.1999999999999993</v>
      </c>
      <c r="N26" s="45">
        <v>9.1999999999999993</v>
      </c>
      <c r="O26" s="45">
        <v>9.1999999999999993</v>
      </c>
      <c r="P26" s="45">
        <v>9.1999999999999993</v>
      </c>
      <c r="Q26" s="45">
        <v>9.1999999999999993</v>
      </c>
      <c r="R26" s="45">
        <v>9.1999999999999993</v>
      </c>
      <c r="S26" s="45">
        <v>9.1999999999999993</v>
      </c>
      <c r="T26" s="45">
        <v>9.1999999999999993</v>
      </c>
      <c r="U26" s="45">
        <v>9.1999999999999993</v>
      </c>
      <c r="V26" s="45">
        <v>9.1999999999999993</v>
      </c>
      <c r="W26" s="45">
        <v>9.1999999999999993</v>
      </c>
      <c r="X26" s="45">
        <v>9.1999999999999993</v>
      </c>
      <c r="Y26" s="45">
        <v>9.1999999999999993</v>
      </c>
      <c r="Z26" s="45">
        <v>9.1999999999999993</v>
      </c>
      <c r="AA26" s="45">
        <v>9.1999999999999993</v>
      </c>
      <c r="AB26" s="45">
        <v>11.1</v>
      </c>
      <c r="AC26" s="45">
        <v>11.1</v>
      </c>
      <c r="AD26" s="45">
        <v>11.1</v>
      </c>
      <c r="AE26" s="45">
        <v>11.1</v>
      </c>
      <c r="AF26" s="45">
        <v>11.1</v>
      </c>
      <c r="AG26" s="49">
        <v>25</v>
      </c>
      <c r="AH26" s="47">
        <f t="shared" si="8"/>
        <v>11.1</v>
      </c>
      <c r="AI26" s="48">
        <f t="shared" si="9"/>
        <v>9.1999999999999993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7.4</v>
      </c>
      <c r="C29" s="45">
        <v>7.4</v>
      </c>
      <c r="D29" s="45">
        <v>7.4</v>
      </c>
      <c r="E29" s="45">
        <v>7.4</v>
      </c>
      <c r="F29" s="45">
        <v>7.4</v>
      </c>
      <c r="G29" s="45">
        <v>7.4</v>
      </c>
      <c r="H29" s="45">
        <v>7.4</v>
      </c>
      <c r="I29" s="45">
        <v>7.4</v>
      </c>
      <c r="J29" s="45">
        <v>7.4</v>
      </c>
      <c r="K29" s="45">
        <v>7.4</v>
      </c>
      <c r="L29" s="45">
        <v>7.4</v>
      </c>
      <c r="M29" s="45">
        <v>7.4</v>
      </c>
      <c r="N29" s="45">
        <v>7.4</v>
      </c>
      <c r="O29" s="45">
        <v>7.4</v>
      </c>
      <c r="P29" s="45">
        <v>7.4</v>
      </c>
      <c r="Q29" s="45">
        <v>7.4</v>
      </c>
      <c r="R29" s="45">
        <v>7.4</v>
      </c>
      <c r="S29" s="45">
        <v>7.4</v>
      </c>
      <c r="T29" s="45">
        <v>7.4</v>
      </c>
      <c r="U29" s="45">
        <v>7.4</v>
      </c>
      <c r="V29" s="45">
        <v>7.4</v>
      </c>
      <c r="W29" s="45">
        <v>7.4</v>
      </c>
      <c r="X29" s="45">
        <v>7.4</v>
      </c>
      <c r="Y29" s="45">
        <v>7.4</v>
      </c>
      <c r="Z29" s="45">
        <v>7.4</v>
      </c>
      <c r="AA29" s="45">
        <v>7.4</v>
      </c>
      <c r="AB29" s="45">
        <v>8.6</v>
      </c>
      <c r="AC29" s="45">
        <v>8.6</v>
      </c>
      <c r="AD29" s="45">
        <v>8.6</v>
      </c>
      <c r="AE29" s="45">
        <v>8.6</v>
      </c>
      <c r="AF29" s="45">
        <v>8.6</v>
      </c>
      <c r="AG29" s="49">
        <v>25</v>
      </c>
      <c r="AH29" s="47">
        <f t="shared" si="8"/>
        <v>8.6</v>
      </c>
      <c r="AI29" s="48">
        <f t="shared" si="9"/>
        <v>7.4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6.7</v>
      </c>
      <c r="C30" s="45">
        <v>6.7</v>
      </c>
      <c r="D30" s="45">
        <v>6.7</v>
      </c>
      <c r="E30" s="45">
        <v>6.7</v>
      </c>
      <c r="F30" s="45">
        <v>6.7</v>
      </c>
      <c r="G30" s="45">
        <v>6.7</v>
      </c>
      <c r="H30" s="45">
        <v>6.7</v>
      </c>
      <c r="I30" s="45">
        <v>6.7</v>
      </c>
      <c r="J30" s="45">
        <v>6.7</v>
      </c>
      <c r="K30" s="45">
        <v>6.7</v>
      </c>
      <c r="L30" s="45">
        <v>6.7</v>
      </c>
      <c r="M30" s="45">
        <v>6.7</v>
      </c>
      <c r="N30" s="45">
        <v>6.7</v>
      </c>
      <c r="O30" s="45">
        <v>6.7</v>
      </c>
      <c r="P30" s="45">
        <v>6.7</v>
      </c>
      <c r="Q30" s="45">
        <v>6.7</v>
      </c>
      <c r="R30" s="45">
        <v>6.7</v>
      </c>
      <c r="S30" s="45">
        <v>6.7</v>
      </c>
      <c r="T30" s="45">
        <v>6.7</v>
      </c>
      <c r="U30" s="45">
        <v>6.7</v>
      </c>
      <c r="V30" s="45">
        <v>6.7</v>
      </c>
      <c r="W30" s="45">
        <v>6.7</v>
      </c>
      <c r="X30" s="45">
        <v>6.7</v>
      </c>
      <c r="Y30" s="45">
        <v>6.7</v>
      </c>
      <c r="Z30" s="45">
        <v>6.7</v>
      </c>
      <c r="AA30" s="45">
        <v>6.7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10.6</v>
      </c>
      <c r="C34" s="45">
        <v>10.6</v>
      </c>
      <c r="D34" s="45">
        <v>10.6</v>
      </c>
      <c r="E34" s="45">
        <v>10.6</v>
      </c>
      <c r="F34" s="45">
        <v>10.6</v>
      </c>
      <c r="G34" s="45">
        <v>10.6</v>
      </c>
      <c r="H34" s="45">
        <v>10.6</v>
      </c>
      <c r="I34" s="45">
        <v>10.6</v>
      </c>
      <c r="J34" s="45">
        <v>10.6</v>
      </c>
      <c r="K34" s="45">
        <v>10.6</v>
      </c>
      <c r="L34" s="45">
        <v>10.6</v>
      </c>
      <c r="M34" s="45">
        <v>10.6</v>
      </c>
      <c r="N34" s="45">
        <v>10.6</v>
      </c>
      <c r="O34" s="45">
        <v>10.6</v>
      </c>
      <c r="P34" s="45">
        <v>10.6</v>
      </c>
      <c r="Q34" s="45">
        <v>10.6</v>
      </c>
      <c r="R34" s="45">
        <v>10.6</v>
      </c>
      <c r="S34" s="45">
        <v>10.6</v>
      </c>
      <c r="T34" s="45">
        <v>10.6</v>
      </c>
      <c r="U34" s="45">
        <v>10.6</v>
      </c>
      <c r="V34" s="45">
        <v>10.6</v>
      </c>
      <c r="W34" s="45">
        <v>10.6</v>
      </c>
      <c r="X34" s="45">
        <v>10.6</v>
      </c>
      <c r="Y34" s="45">
        <v>10.6</v>
      </c>
      <c r="Z34" s="45">
        <v>10.6</v>
      </c>
      <c r="AA34" s="45">
        <v>10.6</v>
      </c>
      <c r="AB34" s="45">
        <v>19.8</v>
      </c>
      <c r="AC34" s="45">
        <v>19.8</v>
      </c>
      <c r="AD34" s="45">
        <v>19.8</v>
      </c>
      <c r="AE34" s="45">
        <v>19.8</v>
      </c>
      <c r="AF34" s="45">
        <v>19.8</v>
      </c>
      <c r="AG34" s="49">
        <v>22</v>
      </c>
      <c r="AH34" s="47">
        <f t="shared" si="8"/>
        <v>19.8</v>
      </c>
      <c r="AI34" s="48">
        <f t="shared" si="9"/>
        <v>10.6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1">
        <v>20</v>
      </c>
      <c r="C57" s="51">
        <v>20</v>
      </c>
      <c r="D57" s="51">
        <v>20</v>
      </c>
      <c r="E57" s="51">
        <v>20</v>
      </c>
      <c r="F57" s="57">
        <f>6.5+14.4</f>
        <v>20.9</v>
      </c>
      <c r="G57" s="57">
        <f>6.5+14.4</f>
        <v>20.9</v>
      </c>
      <c r="H57" s="57">
        <f>6.5+14.4</f>
        <v>20.9</v>
      </c>
      <c r="I57" s="57">
        <f>6.5+14.4</f>
        <v>20.9</v>
      </c>
      <c r="J57" s="57">
        <f>6.5+14.4</f>
        <v>20.9</v>
      </c>
      <c r="K57" s="57">
        <f t="shared" ref="K57:L57" si="22">6.5+14.4</f>
        <v>20.9</v>
      </c>
      <c r="L57" s="57">
        <f t="shared" si="22"/>
        <v>20.9</v>
      </c>
      <c r="M57" s="57">
        <v>17.7</v>
      </c>
      <c r="N57" s="51">
        <v>20.100000000000001</v>
      </c>
      <c r="O57" s="51">
        <f>13.7+5.6</f>
        <v>19.299999999999997</v>
      </c>
      <c r="P57" s="51">
        <f>14.5+6.5</f>
        <v>21</v>
      </c>
      <c r="Q57" s="51">
        <v>21.8</v>
      </c>
      <c r="R57" s="51">
        <v>21.8</v>
      </c>
      <c r="S57" s="51">
        <f t="shared" ref="S57:AA57" si="23">5.8+14.6</f>
        <v>20.399999999999999</v>
      </c>
      <c r="T57" s="51">
        <f t="shared" si="23"/>
        <v>20.399999999999999</v>
      </c>
      <c r="U57" s="51">
        <f t="shared" si="23"/>
        <v>20.399999999999999</v>
      </c>
      <c r="V57" s="51">
        <f t="shared" si="23"/>
        <v>20.399999999999999</v>
      </c>
      <c r="W57" s="51">
        <f t="shared" si="23"/>
        <v>20.399999999999999</v>
      </c>
      <c r="X57" s="51">
        <f t="shared" si="23"/>
        <v>20.399999999999999</v>
      </c>
      <c r="Y57" s="51">
        <f t="shared" si="23"/>
        <v>20.399999999999999</v>
      </c>
      <c r="Z57" s="57">
        <f t="shared" si="23"/>
        <v>20.399999999999999</v>
      </c>
      <c r="AA57" s="57">
        <f t="shared" si="23"/>
        <v>20.399999999999999</v>
      </c>
      <c r="AB57" s="57">
        <v>18.100000000000001</v>
      </c>
      <c r="AC57" s="57">
        <f>5.1+12.7</f>
        <v>17.799999999999997</v>
      </c>
      <c r="AD57" s="57">
        <f>5.1+12.7</f>
        <v>17.799999999999997</v>
      </c>
      <c r="AE57" s="57">
        <f>5.1+12.7</f>
        <v>17.799999999999997</v>
      </c>
      <c r="AF57" s="57">
        <f>5.1+12.7</f>
        <v>17.799999999999997</v>
      </c>
      <c r="AG57" s="55">
        <v>240</v>
      </c>
      <c r="AH57" s="47">
        <f t="shared" si="8"/>
        <v>21.8</v>
      </c>
      <c r="AI57" s="48">
        <f t="shared" si="9"/>
        <v>17.7</v>
      </c>
      <c r="AK57" s="50"/>
    </row>
    <row r="58" spans="1:88" ht="15.75" thickBot="1" x14ac:dyDescent="0.3">
      <c r="A58" s="59" t="s">
        <v>58</v>
      </c>
      <c r="B58" s="60">
        <f t="shared" ref="B58:AF58" si="24">SUM(B11:B56)</f>
        <v>474.85</v>
      </c>
      <c r="C58" s="60">
        <f t="shared" si="24"/>
        <v>474.85</v>
      </c>
      <c r="D58" s="60">
        <f t="shared" si="24"/>
        <v>474.85</v>
      </c>
      <c r="E58" s="60">
        <f t="shared" si="24"/>
        <v>474.85</v>
      </c>
      <c r="F58" s="60">
        <f t="shared" si="24"/>
        <v>468.85</v>
      </c>
      <c r="G58" s="60">
        <f t="shared" si="24"/>
        <v>469.65</v>
      </c>
      <c r="H58" s="60">
        <f t="shared" si="24"/>
        <v>469.65</v>
      </c>
      <c r="I58" s="60">
        <f t="shared" si="24"/>
        <v>471.75</v>
      </c>
      <c r="J58" s="60">
        <f t="shared" si="24"/>
        <v>472.05</v>
      </c>
      <c r="K58" s="60">
        <f t="shared" si="24"/>
        <v>472.05</v>
      </c>
      <c r="L58" s="60">
        <f t="shared" si="24"/>
        <v>473.45</v>
      </c>
      <c r="M58" s="60">
        <f t="shared" si="24"/>
        <v>473.45</v>
      </c>
      <c r="N58" s="60">
        <f t="shared" si="24"/>
        <v>473.65</v>
      </c>
      <c r="O58" s="60">
        <f t="shared" si="24"/>
        <v>472.25</v>
      </c>
      <c r="P58" s="60">
        <f t="shared" si="24"/>
        <v>472.25</v>
      </c>
      <c r="Q58" s="60">
        <f t="shared" si="24"/>
        <v>472.25</v>
      </c>
      <c r="R58" s="60">
        <f t="shared" si="24"/>
        <v>472.25</v>
      </c>
      <c r="S58" s="60">
        <f t="shared" si="24"/>
        <v>472.25</v>
      </c>
      <c r="T58" s="60">
        <f t="shared" ref="T58:U58" si="25">SUM(T11:T56)</f>
        <v>472.25</v>
      </c>
      <c r="U58" s="60">
        <f t="shared" si="25"/>
        <v>472.25</v>
      </c>
      <c r="V58" s="60">
        <f t="shared" ref="V58:W58" si="26">SUM(V11:V56)</f>
        <v>472.25</v>
      </c>
      <c r="W58" s="60">
        <f t="shared" si="26"/>
        <v>472.25</v>
      </c>
      <c r="X58" s="60">
        <f t="shared" ref="X58:Z58" si="27">SUM(X11:X56)</f>
        <v>472.25</v>
      </c>
      <c r="Y58" s="60">
        <f t="shared" si="27"/>
        <v>472.25</v>
      </c>
      <c r="Z58" s="60">
        <f t="shared" si="27"/>
        <v>472.25</v>
      </c>
      <c r="AA58" s="60">
        <f t="shared" ref="AA58" si="28">SUM(AA11:AA56)</f>
        <v>472.25</v>
      </c>
      <c r="AB58" s="60">
        <f t="shared" si="24"/>
        <v>486.55</v>
      </c>
      <c r="AC58" s="60">
        <f t="shared" si="24"/>
        <v>486.55</v>
      </c>
      <c r="AD58" s="60">
        <f t="shared" si="24"/>
        <v>486.55</v>
      </c>
      <c r="AE58" s="60">
        <f t="shared" si="24"/>
        <v>486.55</v>
      </c>
      <c r="AF58" s="60">
        <f t="shared" si="24"/>
        <v>486.55</v>
      </c>
      <c r="AG58" s="61">
        <f>SUM(AG14:AG56)</f>
        <v>1042.4000000000001</v>
      </c>
      <c r="AH58" s="47">
        <f t="shared" si="8"/>
        <v>486.55</v>
      </c>
      <c r="AI58" s="48">
        <f t="shared" si="9"/>
        <v>468.85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30</v>
      </c>
      <c r="J59" s="45">
        <v>80</v>
      </c>
      <c r="K59" s="45">
        <v>300</v>
      </c>
      <c r="L59" s="45">
        <v>400</v>
      </c>
      <c r="M59" s="45">
        <v>456</v>
      </c>
      <c r="N59" s="63">
        <v>300</v>
      </c>
      <c r="O59" s="63">
        <v>15</v>
      </c>
      <c r="P59" s="63">
        <v>76</v>
      </c>
      <c r="Q59" s="63">
        <v>80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80</v>
      </c>
      <c r="Z59" s="45">
        <v>90</v>
      </c>
      <c r="AA59" s="45">
        <v>110</v>
      </c>
      <c r="AB59" s="45">
        <v>120</v>
      </c>
      <c r="AC59" s="45">
        <v>120</v>
      </c>
      <c r="AD59" s="45">
        <v>75</v>
      </c>
      <c r="AE59" s="45">
        <v>20</v>
      </c>
      <c r="AF59" s="45">
        <v>0</v>
      </c>
      <c r="AG59" s="52">
        <v>456</v>
      </c>
      <c r="AH59" s="47">
        <f t="shared" si="8"/>
        <v>456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9.6999999999999993</v>
      </c>
      <c r="C61" s="67">
        <v>9.6999999999999993</v>
      </c>
      <c r="D61" s="67">
        <v>9.6999999999999993</v>
      </c>
      <c r="E61" s="67">
        <v>10.199999999999999</v>
      </c>
      <c r="F61" s="67">
        <v>10.199999999999999</v>
      </c>
      <c r="G61" s="67">
        <v>10.199999999999999</v>
      </c>
      <c r="H61" s="67">
        <v>10.199999999999999</v>
      </c>
      <c r="I61" s="67">
        <v>10.199999999999999</v>
      </c>
      <c r="J61" s="67">
        <v>10.199999999999999</v>
      </c>
      <c r="K61" s="67">
        <v>10.199999999999999</v>
      </c>
      <c r="L61" s="67">
        <v>10.199999999999999</v>
      </c>
      <c r="M61" s="67">
        <v>10.199999999999999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10.199999999999999</v>
      </c>
      <c r="S61" s="67">
        <v>9.6999999999999993</v>
      </c>
      <c r="T61" s="67">
        <v>9.6999999999999993</v>
      </c>
      <c r="U61" s="67">
        <v>9.6999999999999993</v>
      </c>
      <c r="V61" s="67">
        <v>9.6999999999999993</v>
      </c>
      <c r="W61" s="67">
        <v>9.6999999999999993</v>
      </c>
      <c r="X61" s="67">
        <v>9.6999999999999993</v>
      </c>
      <c r="Y61" s="67">
        <v>16.100000000000001</v>
      </c>
      <c r="Z61" s="67">
        <v>16.100000000000001</v>
      </c>
      <c r="AA61" s="67">
        <v>16.100000000000001</v>
      </c>
      <c r="AB61" s="67">
        <v>16.2</v>
      </c>
      <c r="AC61" s="67">
        <v>9.5</v>
      </c>
      <c r="AD61" s="67">
        <v>9.5</v>
      </c>
      <c r="AE61" s="67">
        <v>9.5</v>
      </c>
      <c r="AF61" s="67">
        <v>9.5</v>
      </c>
      <c r="AG61" s="68">
        <v>22.1</v>
      </c>
      <c r="AH61" s="47">
        <f t="shared" si="8"/>
        <v>16.2</v>
      </c>
      <c r="AI61" s="48">
        <f t="shared" si="9"/>
        <v>9.5</v>
      </c>
      <c r="AK61" s="50"/>
    </row>
    <row r="62" spans="1:88" ht="15.75" thickBot="1" x14ac:dyDescent="0.3">
      <c r="A62" s="69" t="s">
        <v>62</v>
      </c>
      <c r="B62" s="60">
        <f t="shared" ref="B62:AG62" si="29">SUM(B59:B61)</f>
        <v>36.700000000000003</v>
      </c>
      <c r="C62" s="60">
        <f t="shared" si="29"/>
        <v>36.700000000000003</v>
      </c>
      <c r="D62" s="60">
        <f t="shared" si="29"/>
        <v>36.700000000000003</v>
      </c>
      <c r="E62" s="60">
        <f t="shared" si="29"/>
        <v>37.200000000000003</v>
      </c>
      <c r="F62" s="60">
        <f t="shared" si="29"/>
        <v>37.200000000000003</v>
      </c>
      <c r="G62" s="60">
        <f t="shared" si="29"/>
        <v>37.200000000000003</v>
      </c>
      <c r="H62" s="60">
        <f t="shared" si="29"/>
        <v>37.200000000000003</v>
      </c>
      <c r="I62" s="60">
        <f t="shared" si="29"/>
        <v>67.2</v>
      </c>
      <c r="J62" s="60">
        <f t="shared" si="29"/>
        <v>117.2</v>
      </c>
      <c r="K62" s="60">
        <f t="shared" si="29"/>
        <v>337.2</v>
      </c>
      <c r="L62" s="60">
        <f t="shared" si="29"/>
        <v>437.2</v>
      </c>
      <c r="M62" s="60">
        <f t="shared" si="29"/>
        <v>493.2</v>
      </c>
      <c r="N62" s="60">
        <f t="shared" si="29"/>
        <v>337.2</v>
      </c>
      <c r="O62" s="60">
        <f t="shared" si="29"/>
        <v>52.2</v>
      </c>
      <c r="P62" s="60">
        <f t="shared" si="29"/>
        <v>113.2</v>
      </c>
      <c r="Q62" s="60">
        <f t="shared" si="29"/>
        <v>117.2</v>
      </c>
      <c r="R62" s="60">
        <f t="shared" si="29"/>
        <v>37.200000000000003</v>
      </c>
      <c r="S62" s="60">
        <f t="shared" si="29"/>
        <v>36.700000000000003</v>
      </c>
      <c r="T62" s="60">
        <f t="shared" ref="T62:U62" si="30">SUM(T59:T61)</f>
        <v>36.700000000000003</v>
      </c>
      <c r="U62" s="60">
        <f t="shared" si="30"/>
        <v>36.700000000000003</v>
      </c>
      <c r="V62" s="60">
        <f t="shared" ref="V62:W62" si="31">SUM(V59:V61)</f>
        <v>36.700000000000003</v>
      </c>
      <c r="W62" s="60">
        <f t="shared" si="31"/>
        <v>36.700000000000003</v>
      </c>
      <c r="X62" s="60">
        <f t="shared" ref="X62:Z62" si="32">SUM(X59:X61)</f>
        <v>36.700000000000003</v>
      </c>
      <c r="Y62" s="60">
        <f t="shared" si="32"/>
        <v>123.1</v>
      </c>
      <c r="Z62" s="60">
        <f t="shared" si="32"/>
        <v>133.1</v>
      </c>
      <c r="AA62" s="60">
        <f t="shared" ref="AA62" si="33">SUM(AA59:AA61)</f>
        <v>153.1</v>
      </c>
      <c r="AB62" s="60">
        <f t="shared" si="29"/>
        <v>163.19999999999999</v>
      </c>
      <c r="AC62" s="60">
        <f t="shared" si="29"/>
        <v>156.5</v>
      </c>
      <c r="AD62" s="60">
        <f t="shared" si="29"/>
        <v>111.5</v>
      </c>
      <c r="AE62" s="60">
        <f t="shared" si="29"/>
        <v>56.5</v>
      </c>
      <c r="AF62" s="60">
        <f t="shared" si="29"/>
        <v>36.5</v>
      </c>
      <c r="AG62" s="61">
        <f t="shared" si="29"/>
        <v>538.1</v>
      </c>
      <c r="AH62" s="47">
        <f t="shared" si="8"/>
        <v>493.2</v>
      </c>
      <c r="AI62" s="48">
        <f t="shared" si="9"/>
        <v>36.5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40</v>
      </c>
      <c r="I63" s="45">
        <v>62</v>
      </c>
      <c r="J63" s="45">
        <v>71.2</v>
      </c>
      <c r="K63" s="45">
        <v>71.2</v>
      </c>
      <c r="L63" s="45">
        <v>97.5</v>
      </c>
      <c r="M63" s="45">
        <v>120</v>
      </c>
      <c r="N63" s="45">
        <v>112</v>
      </c>
      <c r="O63" s="45">
        <v>91.7</v>
      </c>
      <c r="P63" s="45">
        <v>90</v>
      </c>
      <c r="Q63" s="45">
        <v>121.3</v>
      </c>
      <c r="R63" s="45">
        <v>61.3</v>
      </c>
      <c r="S63" s="45">
        <v>60.7</v>
      </c>
      <c r="T63" s="45">
        <v>60.8</v>
      </c>
      <c r="U63" s="45">
        <v>97.6</v>
      </c>
      <c r="V63" s="45">
        <v>29.8</v>
      </c>
      <c r="W63" s="45">
        <v>29.8</v>
      </c>
      <c r="X63" s="45">
        <v>104</v>
      </c>
      <c r="Y63" s="45">
        <v>143.9</v>
      </c>
      <c r="Z63" s="45">
        <v>143.9</v>
      </c>
      <c r="AA63" s="45">
        <v>125.3</v>
      </c>
      <c r="AB63" s="45">
        <v>121</v>
      </c>
      <c r="AC63" s="45">
        <v>81.099999999999994</v>
      </c>
      <c r="AD63" s="45">
        <v>40.1</v>
      </c>
      <c r="AE63" s="45">
        <v>30.4</v>
      </c>
      <c r="AF63" s="45">
        <v>0</v>
      </c>
      <c r="AG63" s="52">
        <v>144</v>
      </c>
      <c r="AH63" s="47">
        <f t="shared" si="8"/>
        <v>143.9</v>
      </c>
      <c r="AI63" s="48">
        <f t="shared" si="9"/>
        <v>0</v>
      </c>
      <c r="AK63" s="50"/>
    </row>
    <row r="64" spans="1:88" x14ac:dyDescent="0.25">
      <c r="A64" s="54" t="s">
        <v>64</v>
      </c>
      <c r="B64" s="45">
        <v>25</v>
      </c>
      <c r="C64" s="45">
        <v>0</v>
      </c>
      <c r="D64" s="45">
        <v>25</v>
      </c>
      <c r="E64" s="65">
        <v>34.799999999999997</v>
      </c>
      <c r="F64" s="65">
        <v>34.799999999999997</v>
      </c>
      <c r="G64" s="65">
        <v>34.799999999999997</v>
      </c>
      <c r="H64" s="65">
        <v>34.799999999999997</v>
      </c>
      <c r="I64" s="65">
        <v>34.799999999999997</v>
      </c>
      <c r="J64" s="65">
        <v>34.799999999999997</v>
      </c>
      <c r="K64" s="65">
        <v>34.799999999999997</v>
      </c>
      <c r="L64" s="65">
        <v>34.799999999999997</v>
      </c>
      <c r="M64" s="65">
        <v>34.799999999999997</v>
      </c>
      <c r="N64" s="65">
        <v>35.799999999999997</v>
      </c>
      <c r="O64" s="65">
        <v>35.799999999999997</v>
      </c>
      <c r="P64" s="65">
        <v>35.799999999999997</v>
      </c>
      <c r="Q64" s="65">
        <v>35.799999999999997</v>
      </c>
      <c r="R64" s="65">
        <v>35.799999999999997</v>
      </c>
      <c r="S64" s="65">
        <v>34.799999999999997</v>
      </c>
      <c r="T64" s="65">
        <v>34.799999999999997</v>
      </c>
      <c r="U64" s="65">
        <v>34.799999999999997</v>
      </c>
      <c r="V64" s="65">
        <v>34.799999999999997</v>
      </c>
      <c r="W64" s="65">
        <v>34.799999999999997</v>
      </c>
      <c r="X64" s="65">
        <v>35.200000000000003</v>
      </c>
      <c r="Y64" s="65">
        <v>35.200000000000003</v>
      </c>
      <c r="Z64" s="45">
        <v>35.200000000000003</v>
      </c>
      <c r="AA64" s="45">
        <v>35.200000000000003</v>
      </c>
      <c r="AB64" s="45">
        <v>35.200000000000003</v>
      </c>
      <c r="AC64" s="45">
        <v>35.200000000000003</v>
      </c>
      <c r="AD64" s="45">
        <v>35.200000000000003</v>
      </c>
      <c r="AE64" s="45">
        <v>35.200000000000003</v>
      </c>
      <c r="AF64" s="45">
        <v>35.200000000000003</v>
      </c>
      <c r="AG64" s="55">
        <v>70</v>
      </c>
      <c r="AH64" s="47">
        <f t="shared" si="8"/>
        <v>35.799999999999997</v>
      </c>
      <c r="AI64" s="48">
        <f t="shared" si="9"/>
        <v>0</v>
      </c>
      <c r="AK64" s="50"/>
    </row>
    <row r="65" spans="1:75" x14ac:dyDescent="0.25">
      <c r="A65" s="54" t="s">
        <v>65</v>
      </c>
      <c r="B65" s="45">
        <v>0</v>
      </c>
      <c r="C65" s="45">
        <v>0</v>
      </c>
      <c r="D65" s="45">
        <v>0</v>
      </c>
      <c r="E65" s="65">
        <v>0</v>
      </c>
      <c r="F65" s="65">
        <v>0</v>
      </c>
      <c r="G65" s="65">
        <v>0</v>
      </c>
      <c r="H65" s="65">
        <v>21.6</v>
      </c>
      <c r="I65" s="65">
        <v>22</v>
      </c>
      <c r="J65" s="65">
        <v>33.5</v>
      </c>
      <c r="K65" s="65">
        <v>45.3</v>
      </c>
      <c r="L65" s="65">
        <v>64.3</v>
      </c>
      <c r="M65" s="65">
        <v>64.3</v>
      </c>
      <c r="N65" s="65">
        <v>52.6</v>
      </c>
      <c r="O65" s="65">
        <v>52.6</v>
      </c>
      <c r="P65" s="65">
        <v>68</v>
      </c>
      <c r="Q65" s="65">
        <v>68</v>
      </c>
      <c r="R65" s="65">
        <v>50.3</v>
      </c>
      <c r="S65" s="65">
        <v>50</v>
      </c>
      <c r="T65" s="65">
        <v>16.7</v>
      </c>
      <c r="U65" s="65">
        <v>44.6</v>
      </c>
      <c r="V65" s="65">
        <v>18.3</v>
      </c>
      <c r="W65" s="65">
        <v>18.3</v>
      </c>
      <c r="X65" s="65">
        <v>64</v>
      </c>
      <c r="Y65" s="65">
        <v>68.5</v>
      </c>
      <c r="Z65" s="45">
        <v>68.5</v>
      </c>
      <c r="AA65" s="45">
        <v>62.5</v>
      </c>
      <c r="AB65" s="45">
        <v>52.4</v>
      </c>
      <c r="AC65" s="45">
        <v>35.200000000000003</v>
      </c>
      <c r="AD65" s="45">
        <v>52.3</v>
      </c>
      <c r="AE65" s="45">
        <v>33.299999999999997</v>
      </c>
      <c r="AF65" s="45">
        <v>34.299999999999997</v>
      </c>
      <c r="AG65" s="55">
        <v>69</v>
      </c>
      <c r="AH65" s="47">
        <f t="shared" si="8"/>
        <v>68.5</v>
      </c>
      <c r="AI65" s="48">
        <f t="shared" si="9"/>
        <v>0</v>
      </c>
      <c r="AK65" s="50"/>
    </row>
    <row r="66" spans="1:75" x14ac:dyDescent="0.25">
      <c r="A66" s="54" t="s">
        <v>66</v>
      </c>
      <c r="B66" s="45">
        <v>35.799999999999997</v>
      </c>
      <c r="C66" s="45">
        <v>35.799999999999997</v>
      </c>
      <c r="D66" s="45">
        <v>35.799999999999997</v>
      </c>
      <c r="E66" s="65">
        <v>36</v>
      </c>
      <c r="F66" s="65">
        <v>36</v>
      </c>
      <c r="G66" s="65">
        <v>37.299999999999997</v>
      </c>
      <c r="H66" s="65">
        <v>39.299999999999997</v>
      </c>
      <c r="I66" s="65">
        <v>38.799999999999997</v>
      </c>
      <c r="J66" s="65">
        <v>38</v>
      </c>
      <c r="K66" s="57">
        <v>40.1</v>
      </c>
      <c r="L66" s="57">
        <v>39.799999999999997</v>
      </c>
      <c r="M66" s="57">
        <v>39.799999999999997</v>
      </c>
      <c r="N66" s="65">
        <v>36.799999999999997</v>
      </c>
      <c r="O66" s="65">
        <v>36.799999999999997</v>
      </c>
      <c r="P66" s="65">
        <v>36.799999999999997</v>
      </c>
      <c r="Q66" s="65">
        <v>40</v>
      </c>
      <c r="R66" s="65">
        <v>40</v>
      </c>
      <c r="S66" s="65">
        <v>38.299999999999997</v>
      </c>
      <c r="T66" s="65">
        <v>39.299999999999997</v>
      </c>
      <c r="U66" s="65">
        <v>40.299999999999997</v>
      </c>
      <c r="V66" s="65">
        <v>40.299999999999997</v>
      </c>
      <c r="W66" s="65">
        <v>40.299999999999997</v>
      </c>
      <c r="X66" s="65">
        <v>40.299999999999997</v>
      </c>
      <c r="Y66" s="65">
        <v>40.299999999999997</v>
      </c>
      <c r="Z66" s="45">
        <v>40.299999999999997</v>
      </c>
      <c r="AA66" s="45">
        <v>40.299999999999997</v>
      </c>
      <c r="AB66" s="45">
        <v>40.1</v>
      </c>
      <c r="AC66" s="45">
        <v>52.5</v>
      </c>
      <c r="AD66" s="45">
        <v>41.3</v>
      </c>
      <c r="AE66" s="45">
        <v>43.3</v>
      </c>
      <c r="AF66" s="45">
        <v>42.8</v>
      </c>
      <c r="AG66" s="55">
        <v>60</v>
      </c>
      <c r="AH66" s="47">
        <f t="shared" si="8"/>
        <v>52.5</v>
      </c>
      <c r="AI66" s="48">
        <f t="shared" si="9"/>
        <v>35.799999999999997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57">
        <v>11</v>
      </c>
      <c r="M67" s="57">
        <v>15</v>
      </c>
      <c r="N67" s="65">
        <v>15</v>
      </c>
      <c r="O67" s="65">
        <v>10</v>
      </c>
      <c r="P67" s="65">
        <v>10</v>
      </c>
      <c r="Q67" s="65">
        <v>15.1</v>
      </c>
      <c r="R67" s="65">
        <v>9.8000000000000007</v>
      </c>
      <c r="S67" s="65">
        <v>10</v>
      </c>
      <c r="T67" s="65">
        <v>15</v>
      </c>
      <c r="U67" s="65">
        <v>15</v>
      </c>
      <c r="V67" s="65">
        <v>10.1</v>
      </c>
      <c r="W67" s="65">
        <v>10.1</v>
      </c>
      <c r="X67" s="65">
        <v>10.1</v>
      </c>
      <c r="Y67" s="65">
        <v>28.8</v>
      </c>
      <c r="Z67" s="45">
        <v>28.8</v>
      </c>
      <c r="AA67" s="45">
        <v>26.5</v>
      </c>
      <c r="AB67" s="45">
        <v>23</v>
      </c>
      <c r="AC67" s="45">
        <v>22.9</v>
      </c>
      <c r="AD67" s="45">
        <v>9.9</v>
      </c>
      <c r="AE67" s="45">
        <v>0</v>
      </c>
      <c r="AF67" s="45">
        <v>0</v>
      </c>
      <c r="AG67" s="55">
        <v>30</v>
      </c>
      <c r="AH67" s="47">
        <f t="shared" si="8"/>
        <v>28.8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65">
        <v>0</v>
      </c>
      <c r="C68" s="65">
        <v>0</v>
      </c>
      <c r="D68" s="6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0.7</v>
      </c>
      <c r="M68" s="65">
        <v>0.9</v>
      </c>
      <c r="N68" s="65">
        <v>3</v>
      </c>
      <c r="O68" s="65">
        <v>5</v>
      </c>
      <c r="P68" s="65">
        <v>6.6</v>
      </c>
      <c r="Q68" s="65">
        <v>3</v>
      </c>
      <c r="R68" s="65">
        <v>3.5</v>
      </c>
      <c r="S68" s="65">
        <v>1.9</v>
      </c>
      <c r="T68" s="65">
        <v>8.5</v>
      </c>
      <c r="U68" s="65">
        <v>2.6</v>
      </c>
      <c r="V68" s="65">
        <v>0</v>
      </c>
      <c r="W68" s="65">
        <v>0</v>
      </c>
      <c r="X68" s="65">
        <v>0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8.5</v>
      </c>
      <c r="AI68" s="48">
        <f t="shared" si="9"/>
        <v>0</v>
      </c>
      <c r="AK68" s="50"/>
      <c r="AY68" s="1" t="s">
        <v>377</v>
      </c>
      <c r="AZ68" s="233">
        <f>ROUND(C81,0)</f>
        <v>65</v>
      </c>
      <c r="BA68" s="232">
        <f t="shared" ref="BA68:BD72" si="34">D81</f>
        <v>51</v>
      </c>
      <c r="BB68" s="232">
        <f t="shared" si="34"/>
        <v>37.299999999999997</v>
      </c>
      <c r="BC68" s="232">
        <f t="shared" si="34"/>
        <v>34.700000000000003</v>
      </c>
      <c r="BD68" s="232">
        <f t="shared" si="34"/>
        <v>53</v>
      </c>
      <c r="BE68" s="233">
        <f>I81</f>
        <v>59.2</v>
      </c>
      <c r="BF68" s="233">
        <f>K81</f>
        <v>63.7</v>
      </c>
      <c r="BG68" s="233">
        <f t="shared" ref="BG68:BP72" si="35">M81</f>
        <v>59.3</v>
      </c>
      <c r="BH68" s="233">
        <f t="shared" si="35"/>
        <v>56.8</v>
      </c>
      <c r="BI68" s="233">
        <f t="shared" si="35"/>
        <v>58.8</v>
      </c>
      <c r="BJ68" s="233">
        <f t="shared" si="35"/>
        <v>59.9</v>
      </c>
      <c r="BK68" s="233">
        <f t="shared" si="35"/>
        <v>55</v>
      </c>
      <c r="BL68" s="233">
        <f t="shared" si="35"/>
        <v>-31.4</v>
      </c>
      <c r="BM68" s="233">
        <f t="shared" si="35"/>
        <v>40.200000000000003</v>
      </c>
      <c r="BN68" s="233">
        <f t="shared" si="35"/>
        <v>0</v>
      </c>
      <c r="BO68" s="233">
        <f t="shared" si="35"/>
        <v>0</v>
      </c>
      <c r="BP68" s="233">
        <f t="shared" si="35"/>
        <v>58.1</v>
      </c>
      <c r="BQ68" s="233">
        <f>X81</f>
        <v>0</v>
      </c>
      <c r="BR68" s="233">
        <f>Z81</f>
        <v>57.1</v>
      </c>
      <c r="BS68" s="232">
        <f>AB81</f>
        <v>63.8</v>
      </c>
      <c r="BT68" s="232">
        <f>AD81</f>
        <v>58.9</v>
      </c>
      <c r="BU68" s="232">
        <f>AE81</f>
        <v>43.7</v>
      </c>
      <c r="BV68" s="232">
        <f>AF81</f>
        <v>60.2</v>
      </c>
      <c r="BW68" s="232">
        <f>B81</f>
        <v>66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14</v>
      </c>
      <c r="Y69" s="65">
        <v>14</v>
      </c>
      <c r="Z69" s="65">
        <v>14</v>
      </c>
      <c r="AA69" s="65">
        <v>14</v>
      </c>
      <c r="AB69" s="65">
        <v>14</v>
      </c>
      <c r="AC69" s="65">
        <v>14</v>
      </c>
      <c r="AD69" s="65">
        <v>14</v>
      </c>
      <c r="AE69" s="65">
        <v>14</v>
      </c>
      <c r="AF69" s="65">
        <v>14</v>
      </c>
      <c r="AG69" s="55">
        <v>24</v>
      </c>
      <c r="AH69" s="47">
        <f t="shared" si="8"/>
        <v>15</v>
      </c>
      <c r="AI69" s="48">
        <f t="shared" si="9"/>
        <v>14</v>
      </c>
      <c r="AK69" s="50"/>
      <c r="AY69" s="1" t="s">
        <v>604</v>
      </c>
      <c r="AZ69" s="233">
        <f>ROUND(C82,0)</f>
        <v>0</v>
      </c>
      <c r="BA69" s="232">
        <f t="shared" si="34"/>
        <v>0</v>
      </c>
      <c r="BB69" s="232">
        <f t="shared" si="34"/>
        <v>0</v>
      </c>
      <c r="BC69" s="232">
        <f t="shared" si="34"/>
        <v>0</v>
      </c>
      <c r="BD69" s="232">
        <f t="shared" si="34"/>
        <v>0</v>
      </c>
      <c r="BE69" s="233">
        <f t="shared" ref="BE69:BE72" si="36">I82</f>
        <v>0</v>
      </c>
      <c r="BF69" s="233">
        <f t="shared" ref="BF69:BF72" si="37">K82</f>
        <v>0</v>
      </c>
      <c r="BG69" s="233">
        <f t="shared" si="35"/>
        <v>0</v>
      </c>
      <c r="BH69" s="233">
        <f t="shared" si="35"/>
        <v>0</v>
      </c>
      <c r="BI69" s="233">
        <f t="shared" si="35"/>
        <v>0</v>
      </c>
      <c r="BJ69" s="233">
        <f t="shared" si="35"/>
        <v>0</v>
      </c>
      <c r="BK69" s="233">
        <f t="shared" si="35"/>
        <v>0</v>
      </c>
      <c r="BL69" s="233">
        <f t="shared" si="35"/>
        <v>0</v>
      </c>
      <c r="BM69" s="233">
        <f t="shared" si="35"/>
        <v>0</v>
      </c>
      <c r="BN69" s="233">
        <f t="shared" si="35"/>
        <v>0</v>
      </c>
      <c r="BO69" s="233">
        <f t="shared" si="35"/>
        <v>0</v>
      </c>
      <c r="BP69" s="233">
        <f t="shared" si="35"/>
        <v>0</v>
      </c>
      <c r="BQ69" s="233">
        <f t="shared" ref="BQ69:BQ72" si="38">X82</f>
        <v>0</v>
      </c>
      <c r="BR69" s="233">
        <f t="shared" ref="BR69:BR72" si="39">Z82</f>
        <v>0</v>
      </c>
      <c r="BS69" s="232">
        <f t="shared" ref="BS69:BS72" si="40">AB82</f>
        <v>0</v>
      </c>
      <c r="BT69" s="232">
        <f t="shared" ref="BT69:BV72" si="41">AD82</f>
        <v>0</v>
      </c>
      <c r="BU69" s="232">
        <f t="shared" si="41"/>
        <v>0</v>
      </c>
      <c r="BV69" s="232">
        <f t="shared" si="41"/>
        <v>0</v>
      </c>
      <c r="BW69" s="232">
        <f t="shared" ref="BW69:BW72" si="42">B82</f>
        <v>0</v>
      </c>
    </row>
    <row r="70" spans="1:75" x14ac:dyDescent="0.25">
      <c r="A70" s="54" t="s">
        <v>70</v>
      </c>
      <c r="B70" s="65">
        <v>2.6</v>
      </c>
      <c r="C70" s="65">
        <v>2.6</v>
      </c>
      <c r="D70" s="65">
        <v>2.6</v>
      </c>
      <c r="E70" s="65">
        <v>2</v>
      </c>
      <c r="F70" s="65">
        <v>2</v>
      </c>
      <c r="G70" s="65">
        <v>2</v>
      </c>
      <c r="H70" s="65">
        <v>2</v>
      </c>
      <c r="I70" s="65">
        <v>2</v>
      </c>
      <c r="J70" s="65">
        <v>2.1</v>
      </c>
      <c r="K70" s="65">
        <v>2.1</v>
      </c>
      <c r="L70" s="65">
        <v>2.1</v>
      </c>
      <c r="M70" s="65">
        <v>2.1</v>
      </c>
      <c r="N70" s="65">
        <v>2.1</v>
      </c>
      <c r="O70" s="65">
        <v>2.1</v>
      </c>
      <c r="P70" s="65">
        <v>2.1</v>
      </c>
      <c r="Q70" s="65">
        <v>2.1</v>
      </c>
      <c r="R70" s="65">
        <v>2.1</v>
      </c>
      <c r="S70" s="65">
        <v>2.1</v>
      </c>
      <c r="T70" s="65">
        <v>2.1</v>
      </c>
      <c r="U70" s="65">
        <v>2.1</v>
      </c>
      <c r="V70" s="65">
        <v>2.1</v>
      </c>
      <c r="W70" s="65">
        <v>2.1</v>
      </c>
      <c r="X70" s="65">
        <v>2.1</v>
      </c>
      <c r="Y70" s="65">
        <v>2.1</v>
      </c>
      <c r="Z70" s="65">
        <v>2.1</v>
      </c>
      <c r="AA70" s="65">
        <v>2.1</v>
      </c>
      <c r="AB70" s="65">
        <v>2.2999999999999998</v>
      </c>
      <c r="AC70" s="65">
        <v>2.2999999999999998</v>
      </c>
      <c r="AD70" s="65">
        <v>2.2999999999999998</v>
      </c>
      <c r="AE70" s="65">
        <v>2.2999999999999998</v>
      </c>
      <c r="AF70" s="65">
        <v>2.2999999999999998</v>
      </c>
      <c r="AG70" s="55">
        <v>15</v>
      </c>
      <c r="AH70" s="47">
        <f t="shared" si="8"/>
        <v>2.6</v>
      </c>
      <c r="AI70" s="48">
        <f t="shared" si="9"/>
        <v>2</v>
      </c>
      <c r="AK70" s="50"/>
      <c r="AL70" s="70"/>
      <c r="AO70" s="70"/>
      <c r="AY70" s="1" t="s">
        <v>605</v>
      </c>
      <c r="AZ70" s="233">
        <f>ROUND(C83,0)</f>
        <v>370</v>
      </c>
      <c r="BA70" s="232">
        <f t="shared" si="34"/>
        <v>375</v>
      </c>
      <c r="BB70" s="232">
        <f t="shared" si="34"/>
        <v>385</v>
      </c>
      <c r="BC70" s="232">
        <f t="shared" si="34"/>
        <v>398</v>
      </c>
      <c r="BD70" s="232">
        <f t="shared" si="34"/>
        <v>435</v>
      </c>
      <c r="BE70" s="233">
        <f t="shared" si="36"/>
        <v>411.2</v>
      </c>
      <c r="BF70" s="233">
        <f t="shared" si="37"/>
        <v>200</v>
      </c>
      <c r="BG70" s="233">
        <f t="shared" si="35"/>
        <v>7.6</v>
      </c>
      <c r="BH70" s="233">
        <f t="shared" si="35"/>
        <v>113.2</v>
      </c>
      <c r="BI70" s="233">
        <f t="shared" si="35"/>
        <v>364.3</v>
      </c>
      <c r="BJ70" s="233">
        <f t="shared" si="35"/>
        <v>410</v>
      </c>
      <c r="BK70" s="233">
        <f t="shared" si="35"/>
        <v>412</v>
      </c>
      <c r="BL70" s="233">
        <f t="shared" si="35"/>
        <v>457</v>
      </c>
      <c r="BM70" s="233">
        <f t="shared" si="35"/>
        <v>480.8</v>
      </c>
      <c r="BN70" s="233">
        <f t="shared" si="35"/>
        <v>503</v>
      </c>
      <c r="BO70" s="233">
        <f t="shared" si="35"/>
        <v>449.3</v>
      </c>
      <c r="BP70" s="233">
        <f t="shared" si="35"/>
        <v>469</v>
      </c>
      <c r="BQ70" s="233">
        <f t="shared" si="38"/>
        <v>422</v>
      </c>
      <c r="BR70" s="233">
        <f t="shared" si="39"/>
        <v>284.5</v>
      </c>
      <c r="BS70" s="232">
        <f t="shared" si="40"/>
        <v>287</v>
      </c>
      <c r="BT70" s="232">
        <f t="shared" si="41"/>
        <v>360</v>
      </c>
      <c r="BU70" s="232">
        <f t="shared" si="41"/>
        <v>334</v>
      </c>
      <c r="BV70" s="232">
        <f t="shared" si="41"/>
        <v>410</v>
      </c>
      <c r="BW70" s="232">
        <f t="shared" si="42"/>
        <v>320</v>
      </c>
    </row>
    <row r="71" spans="1:75" s="70" customFormat="1" x14ac:dyDescent="0.25">
      <c r="A71" s="54" t="s">
        <v>71</v>
      </c>
      <c r="B71" s="65">
        <v>8.9</v>
      </c>
      <c r="C71" s="65">
        <v>8.9</v>
      </c>
      <c r="D71" s="65">
        <v>8.9</v>
      </c>
      <c r="E71" s="65">
        <v>9.4</v>
      </c>
      <c r="F71" s="65">
        <v>9.3000000000000007</v>
      </c>
      <c r="G71" s="65">
        <v>9</v>
      </c>
      <c r="H71" s="65">
        <v>8</v>
      </c>
      <c r="I71" s="65">
        <v>8</v>
      </c>
      <c r="J71" s="65">
        <v>7.5</v>
      </c>
      <c r="K71" s="65">
        <v>7.5</v>
      </c>
      <c r="L71" s="65">
        <v>7.5</v>
      </c>
      <c r="M71" s="65">
        <v>7.5</v>
      </c>
      <c r="N71" s="65">
        <v>7.5</v>
      </c>
      <c r="O71" s="65">
        <v>7.5</v>
      </c>
      <c r="P71" s="65">
        <v>7.5</v>
      </c>
      <c r="Q71" s="65">
        <v>7.5</v>
      </c>
      <c r="R71" s="65">
        <v>7.5</v>
      </c>
      <c r="S71" s="65">
        <v>7.5</v>
      </c>
      <c r="T71" s="65">
        <v>7.5</v>
      </c>
      <c r="U71" s="65">
        <v>7.5</v>
      </c>
      <c r="V71" s="65">
        <v>7.5</v>
      </c>
      <c r="W71" s="65">
        <v>7.5</v>
      </c>
      <c r="X71" s="65">
        <v>7.5</v>
      </c>
      <c r="Y71" s="65">
        <v>7.5</v>
      </c>
      <c r="Z71" s="65">
        <v>7.5</v>
      </c>
      <c r="AA71" s="65">
        <v>7.5</v>
      </c>
      <c r="AB71" s="65">
        <v>11</v>
      </c>
      <c r="AC71" s="65">
        <v>11</v>
      </c>
      <c r="AD71" s="65">
        <v>11</v>
      </c>
      <c r="AE71" s="65">
        <v>11</v>
      </c>
      <c r="AF71" s="65">
        <v>11</v>
      </c>
      <c r="AG71" s="55">
        <v>14.1</v>
      </c>
      <c r="AH71" s="47">
        <f t="shared" si="8"/>
        <v>11</v>
      </c>
      <c r="AI71" s="48">
        <f t="shared" si="9"/>
        <v>7.5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3</v>
      </c>
      <c r="BA71" s="232">
        <f t="shared" si="34"/>
        <v>3.1</v>
      </c>
      <c r="BB71" s="232">
        <f t="shared" si="34"/>
        <v>3.8</v>
      </c>
      <c r="BC71" s="232">
        <f t="shared" si="34"/>
        <v>3.1</v>
      </c>
      <c r="BD71" s="232">
        <f t="shared" si="34"/>
        <v>3.8</v>
      </c>
      <c r="BE71" s="233">
        <f t="shared" si="36"/>
        <v>9.3000000000000007</v>
      </c>
      <c r="BF71" s="233">
        <f t="shared" si="37"/>
        <v>39.5</v>
      </c>
      <c r="BG71" s="233">
        <f t="shared" si="35"/>
        <v>20.9</v>
      </c>
      <c r="BH71" s="233">
        <f t="shared" si="35"/>
        <v>18</v>
      </c>
      <c r="BI71" s="233">
        <f t="shared" si="35"/>
        <v>20</v>
      </c>
      <c r="BJ71" s="233">
        <f t="shared" si="35"/>
        <v>40</v>
      </c>
      <c r="BK71" s="233">
        <f t="shared" si="35"/>
        <v>43.2</v>
      </c>
      <c r="BL71" s="233">
        <f t="shared" si="35"/>
        <v>45.7</v>
      </c>
      <c r="BM71" s="233">
        <f t="shared" si="35"/>
        <v>41.8</v>
      </c>
      <c r="BN71" s="233">
        <f t="shared" si="35"/>
        <v>51.9</v>
      </c>
      <c r="BO71" s="233">
        <f t="shared" si="35"/>
        <v>28.2</v>
      </c>
      <c r="BP71" s="233">
        <f t="shared" si="35"/>
        <v>23.8</v>
      </c>
      <c r="BQ71" s="233">
        <f t="shared" si="38"/>
        <v>21</v>
      </c>
      <c r="BR71" s="233">
        <f t="shared" si="39"/>
        <v>17.7</v>
      </c>
      <c r="BS71" s="232">
        <f t="shared" si="40"/>
        <v>39.200000000000003</v>
      </c>
      <c r="BT71" s="232">
        <f t="shared" si="41"/>
        <v>45</v>
      </c>
      <c r="BU71" s="232">
        <f t="shared" si="41"/>
        <v>2.8</v>
      </c>
      <c r="BV71" s="232">
        <f t="shared" si="41"/>
        <v>17.100000000000001</v>
      </c>
      <c r="BW71" s="232">
        <f t="shared" si="42"/>
        <v>3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3.5</v>
      </c>
      <c r="F72" s="65">
        <v>3.6</v>
      </c>
      <c r="G72" s="65">
        <v>3.5</v>
      </c>
      <c r="H72" s="65">
        <v>3.6</v>
      </c>
      <c r="I72" s="65">
        <v>3.6</v>
      </c>
      <c r="J72" s="65">
        <v>3.5</v>
      </c>
      <c r="K72" s="65">
        <v>3.5</v>
      </c>
      <c r="L72" s="65">
        <v>3.5</v>
      </c>
      <c r="M72" s="65">
        <v>3.5</v>
      </c>
      <c r="N72" s="65">
        <v>3.5</v>
      </c>
      <c r="O72" s="65">
        <v>3.5</v>
      </c>
      <c r="P72" s="65">
        <v>3.5</v>
      </c>
      <c r="Q72" s="65">
        <v>3.5</v>
      </c>
      <c r="R72" s="65">
        <v>3.5</v>
      </c>
      <c r="S72" s="65">
        <v>3.5</v>
      </c>
      <c r="T72" s="65">
        <v>3.5</v>
      </c>
      <c r="U72" s="65">
        <v>3.5</v>
      </c>
      <c r="V72" s="65">
        <v>3.5</v>
      </c>
      <c r="W72" s="65">
        <v>3.5</v>
      </c>
      <c r="X72" s="65">
        <v>3.5</v>
      </c>
      <c r="Y72" s="65">
        <v>3.5</v>
      </c>
      <c r="Z72" s="65">
        <v>3.5</v>
      </c>
      <c r="AA72" s="65">
        <v>3.5</v>
      </c>
      <c r="AB72" s="65">
        <v>3.5</v>
      </c>
      <c r="AC72" s="65">
        <v>3.5</v>
      </c>
      <c r="AD72" s="65">
        <v>3.5</v>
      </c>
      <c r="AE72" s="65">
        <v>3.5</v>
      </c>
      <c r="AF72" s="65">
        <v>3.5</v>
      </c>
      <c r="AG72" s="55">
        <v>14</v>
      </c>
      <c r="AH72" s="47">
        <f t="shared" si="8"/>
        <v>3.6</v>
      </c>
      <c r="AI72" s="48">
        <f t="shared" si="9"/>
        <v>3.3</v>
      </c>
      <c r="AK72" s="50"/>
      <c r="AY72" s="1" t="s">
        <v>607</v>
      </c>
      <c r="AZ72" s="233">
        <f>ROUND(C85,0)</f>
        <v>108</v>
      </c>
      <c r="BA72" s="232">
        <f t="shared" si="34"/>
        <v>14</v>
      </c>
      <c r="BB72" s="232">
        <f t="shared" si="34"/>
        <v>0</v>
      </c>
      <c r="BC72" s="232">
        <f t="shared" si="34"/>
        <v>0</v>
      </c>
      <c r="BD72" s="232">
        <f t="shared" si="34"/>
        <v>0</v>
      </c>
      <c r="BE72" s="233">
        <f t="shared" si="36"/>
        <v>11</v>
      </c>
      <c r="BF72" s="233">
        <f t="shared" si="37"/>
        <v>16.7</v>
      </c>
      <c r="BG72" s="233">
        <f t="shared" si="35"/>
        <v>0</v>
      </c>
      <c r="BH72" s="233">
        <f t="shared" si="35"/>
        <v>0</v>
      </c>
      <c r="BI72" s="233">
        <f t="shared" si="35"/>
        <v>0</v>
      </c>
      <c r="BJ72" s="233">
        <f t="shared" si="35"/>
        <v>0</v>
      </c>
      <c r="BK72" s="233">
        <f t="shared" si="35"/>
        <v>0</v>
      </c>
      <c r="BL72" s="233">
        <f t="shared" si="35"/>
        <v>87</v>
      </c>
      <c r="BM72" s="233">
        <f t="shared" si="35"/>
        <v>107.6</v>
      </c>
      <c r="BN72" s="233">
        <f t="shared" si="35"/>
        <v>107.4</v>
      </c>
      <c r="BO72" s="233">
        <f t="shared" si="35"/>
        <v>91.6</v>
      </c>
      <c r="BP72" s="233">
        <f t="shared" si="35"/>
        <v>65.8</v>
      </c>
      <c r="BQ72" s="233">
        <f t="shared" si="38"/>
        <v>59.2</v>
      </c>
      <c r="BR72" s="233">
        <f t="shared" si="39"/>
        <v>59</v>
      </c>
      <c r="BS72" s="232">
        <f t="shared" si="40"/>
        <v>92</v>
      </c>
      <c r="BT72" s="232">
        <f t="shared" si="41"/>
        <v>91</v>
      </c>
      <c r="BU72" s="232">
        <f t="shared" si="41"/>
        <v>92</v>
      </c>
      <c r="BV72" s="232">
        <f t="shared" si="41"/>
        <v>0</v>
      </c>
      <c r="BW72" s="232">
        <f t="shared" si="42"/>
        <v>108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55</v>
      </c>
      <c r="BA73" s="233">
        <f>D91</f>
        <v>55.8</v>
      </c>
      <c r="BB73" s="233">
        <f>E91</f>
        <v>49</v>
      </c>
      <c r="BC73" s="233">
        <f>F91</f>
        <v>55</v>
      </c>
      <c r="BD73" s="233">
        <f>G91</f>
        <v>44.8</v>
      </c>
      <c r="BE73" s="233">
        <f>I91</f>
        <v>49.4</v>
      </c>
      <c r="BF73" s="233">
        <f>K91</f>
        <v>38.5</v>
      </c>
      <c r="BG73" s="233">
        <f t="shared" ref="BG73:BP73" si="43">M91</f>
        <v>38.700000000000003</v>
      </c>
      <c r="BH73" s="233">
        <f t="shared" si="43"/>
        <v>36</v>
      </c>
      <c r="BI73" s="233">
        <f t="shared" si="43"/>
        <v>38</v>
      </c>
      <c r="BJ73" s="233">
        <f t="shared" si="43"/>
        <v>46.6</v>
      </c>
      <c r="BK73" s="233">
        <f t="shared" si="43"/>
        <v>49.1</v>
      </c>
      <c r="BL73" s="233">
        <f t="shared" si="43"/>
        <v>42.3</v>
      </c>
      <c r="BM73" s="233">
        <f t="shared" si="43"/>
        <v>45.9</v>
      </c>
      <c r="BN73" s="233">
        <f t="shared" si="43"/>
        <v>49.7</v>
      </c>
      <c r="BO73" s="233">
        <f t="shared" si="43"/>
        <v>44.7</v>
      </c>
      <c r="BP73" s="233">
        <f t="shared" si="43"/>
        <v>38</v>
      </c>
      <c r="BQ73" s="233">
        <f>X91</f>
        <v>39.9</v>
      </c>
      <c r="BR73" s="233">
        <f>Z91</f>
        <v>27.5</v>
      </c>
      <c r="BS73" s="233">
        <f>AB91</f>
        <v>38.5</v>
      </c>
      <c r="BT73" s="233">
        <f>AD91</f>
        <v>49.2</v>
      </c>
      <c r="BU73" s="233">
        <f>AE91</f>
        <v>50.2</v>
      </c>
      <c r="BV73" s="233">
        <f>AF91</f>
        <v>42.6</v>
      </c>
      <c r="BW73" s="233">
        <f>B91</f>
        <v>50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8"/>
        <v>2</v>
      </c>
      <c r="AI74" s="48">
        <f t="shared" si="9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3.54</v>
      </c>
      <c r="AK75" s="50"/>
      <c r="AZ75" s="233">
        <f>VALUE(AZ68)</f>
        <v>65</v>
      </c>
      <c r="BA75" s="233">
        <f t="shared" ref="BA75:BW75" si="44">VALUE(BA68)</f>
        <v>51</v>
      </c>
      <c r="BB75" s="233">
        <f t="shared" si="44"/>
        <v>37.299999999999997</v>
      </c>
      <c r="BC75" s="233">
        <f t="shared" si="44"/>
        <v>34.700000000000003</v>
      </c>
      <c r="BD75" s="233">
        <f t="shared" si="44"/>
        <v>53</v>
      </c>
      <c r="BE75" s="233">
        <f t="shared" si="44"/>
        <v>59.2</v>
      </c>
      <c r="BF75" s="233">
        <f t="shared" si="44"/>
        <v>63.7</v>
      </c>
      <c r="BG75" s="233">
        <f t="shared" si="44"/>
        <v>59.3</v>
      </c>
      <c r="BH75" s="233">
        <f t="shared" si="44"/>
        <v>56.8</v>
      </c>
      <c r="BI75" s="233">
        <f t="shared" si="44"/>
        <v>58.8</v>
      </c>
      <c r="BJ75" s="233">
        <f t="shared" si="44"/>
        <v>59.9</v>
      </c>
      <c r="BK75" s="233">
        <f t="shared" si="44"/>
        <v>55</v>
      </c>
      <c r="BL75" s="233">
        <f t="shared" si="44"/>
        <v>-31.4</v>
      </c>
      <c r="BM75" s="233">
        <f t="shared" si="44"/>
        <v>40.200000000000003</v>
      </c>
      <c r="BN75" s="233">
        <f t="shared" si="44"/>
        <v>0</v>
      </c>
      <c r="BO75" s="233">
        <f t="shared" si="44"/>
        <v>0</v>
      </c>
      <c r="BP75" s="233">
        <f t="shared" si="44"/>
        <v>58.1</v>
      </c>
      <c r="BQ75" s="233">
        <f t="shared" si="44"/>
        <v>0</v>
      </c>
      <c r="BR75" s="233">
        <f t="shared" si="44"/>
        <v>57.1</v>
      </c>
      <c r="BS75" s="233">
        <f t="shared" si="44"/>
        <v>63.8</v>
      </c>
      <c r="BT75" s="233">
        <f t="shared" si="44"/>
        <v>58.9</v>
      </c>
      <c r="BU75" s="233">
        <f t="shared" si="44"/>
        <v>43.7</v>
      </c>
      <c r="BV75" s="233">
        <f t="shared" si="44"/>
        <v>60.2</v>
      </c>
      <c r="BW75" s="233">
        <f t="shared" si="44"/>
        <v>66</v>
      </c>
    </row>
    <row r="76" spans="1:75" ht="15.75" thickBot="1" x14ac:dyDescent="0.3">
      <c r="A76" s="74" t="s">
        <v>76</v>
      </c>
      <c r="B76" s="60">
        <f t="shared" ref="B76:AG76" si="45">SUM(B63:B75)</f>
        <v>100.64</v>
      </c>
      <c r="C76" s="60">
        <f t="shared" si="45"/>
        <v>75.64</v>
      </c>
      <c r="D76" s="60">
        <f t="shared" si="45"/>
        <v>100.64</v>
      </c>
      <c r="E76" s="60">
        <f t="shared" si="45"/>
        <v>110.74000000000001</v>
      </c>
      <c r="F76" s="60">
        <f t="shared" si="45"/>
        <v>110.74</v>
      </c>
      <c r="G76" s="60">
        <f t="shared" si="45"/>
        <v>111.64</v>
      </c>
      <c r="H76" s="60">
        <f t="shared" si="45"/>
        <v>174.33999999999997</v>
      </c>
      <c r="I76" s="60">
        <f t="shared" si="45"/>
        <v>196.23999999999998</v>
      </c>
      <c r="J76" s="60">
        <f t="shared" si="45"/>
        <v>215.64</v>
      </c>
      <c r="K76" s="60">
        <f t="shared" si="45"/>
        <v>229.54</v>
      </c>
      <c r="L76" s="60">
        <f t="shared" si="45"/>
        <v>286.24000000000007</v>
      </c>
      <c r="M76" s="60">
        <f t="shared" si="45"/>
        <v>312.94000000000005</v>
      </c>
      <c r="N76" s="60">
        <f t="shared" si="45"/>
        <v>293.34000000000003</v>
      </c>
      <c r="O76" s="60">
        <f t="shared" si="45"/>
        <v>270.04000000000002</v>
      </c>
      <c r="P76" s="60">
        <f t="shared" si="45"/>
        <v>285.34000000000009</v>
      </c>
      <c r="Q76" s="60">
        <f t="shared" si="45"/>
        <v>321.34000000000009</v>
      </c>
      <c r="R76" s="60">
        <f t="shared" si="45"/>
        <v>238.83999999999997</v>
      </c>
      <c r="S76" s="60">
        <f t="shared" si="45"/>
        <v>233.84</v>
      </c>
      <c r="T76" s="60">
        <f t="shared" ref="T76:U76" si="46">SUM(T63:T75)</f>
        <v>213.23999999999998</v>
      </c>
      <c r="U76" s="60">
        <f t="shared" si="46"/>
        <v>273.03999999999996</v>
      </c>
      <c r="V76" s="60">
        <f t="shared" ref="V76:W76" si="47">SUM(V63:V75)</f>
        <v>171.43999999999997</v>
      </c>
      <c r="W76" s="60">
        <f t="shared" si="47"/>
        <v>171.43999999999997</v>
      </c>
      <c r="X76" s="60">
        <f t="shared" ref="X76:Z76" si="48">SUM(X63:X75)</f>
        <v>290.74000000000007</v>
      </c>
      <c r="Y76" s="60">
        <f t="shared" si="48"/>
        <v>353.84000000000009</v>
      </c>
      <c r="Z76" s="60">
        <f t="shared" si="48"/>
        <v>353.84000000000009</v>
      </c>
      <c r="AA76" s="60">
        <f t="shared" ref="AA76" si="49">SUM(AA63:AA75)</f>
        <v>326.94000000000005</v>
      </c>
      <c r="AB76" s="60">
        <f t="shared" si="45"/>
        <v>312.54000000000002</v>
      </c>
      <c r="AC76" s="60">
        <f t="shared" si="45"/>
        <v>267.74000000000007</v>
      </c>
      <c r="AD76" s="60">
        <f t="shared" si="45"/>
        <v>219.64000000000001</v>
      </c>
      <c r="AE76" s="60">
        <f t="shared" si="45"/>
        <v>183.04</v>
      </c>
      <c r="AF76" s="60">
        <f t="shared" si="45"/>
        <v>153.13999999999999</v>
      </c>
      <c r="AG76" s="61">
        <f t="shared" si="45"/>
        <v>489.91</v>
      </c>
      <c r="AH76" s="47">
        <f t="shared" si="8"/>
        <v>353.84000000000009</v>
      </c>
      <c r="AI76" s="48">
        <f t="shared" si="9"/>
        <v>75.64</v>
      </c>
      <c r="AK76" s="50"/>
      <c r="AZ76" s="233">
        <f t="shared" ref="AZ76:BW80" si="50">VALUE(AZ69)</f>
        <v>0</v>
      </c>
      <c r="BA76" s="233">
        <f t="shared" si="50"/>
        <v>0</v>
      </c>
      <c r="BB76" s="233">
        <f t="shared" si="50"/>
        <v>0</v>
      </c>
      <c r="BC76" s="233">
        <f t="shared" si="50"/>
        <v>0</v>
      </c>
      <c r="BD76" s="233">
        <f t="shared" si="50"/>
        <v>0</v>
      </c>
      <c r="BE76" s="233">
        <f t="shared" si="50"/>
        <v>0</v>
      </c>
      <c r="BF76" s="233">
        <f t="shared" si="50"/>
        <v>0</v>
      </c>
      <c r="BG76" s="233">
        <f t="shared" si="50"/>
        <v>0</v>
      </c>
      <c r="BH76" s="233">
        <f t="shared" si="50"/>
        <v>0</v>
      </c>
      <c r="BI76" s="233">
        <f t="shared" si="50"/>
        <v>0</v>
      </c>
      <c r="BJ76" s="233">
        <f t="shared" si="50"/>
        <v>0</v>
      </c>
      <c r="BK76" s="233">
        <f t="shared" si="50"/>
        <v>0</v>
      </c>
      <c r="BL76" s="233">
        <f t="shared" si="50"/>
        <v>0</v>
      </c>
      <c r="BM76" s="233">
        <f t="shared" si="50"/>
        <v>0</v>
      </c>
      <c r="BN76" s="233">
        <f t="shared" si="50"/>
        <v>0</v>
      </c>
      <c r="BO76" s="233">
        <f t="shared" si="50"/>
        <v>0</v>
      </c>
      <c r="BP76" s="233">
        <f t="shared" si="50"/>
        <v>0</v>
      </c>
      <c r="BQ76" s="233">
        <f t="shared" si="50"/>
        <v>0</v>
      </c>
      <c r="BR76" s="233">
        <f t="shared" si="50"/>
        <v>0</v>
      </c>
      <c r="BS76" s="233">
        <f t="shared" si="50"/>
        <v>0</v>
      </c>
      <c r="BT76" s="233">
        <f t="shared" si="50"/>
        <v>0</v>
      </c>
      <c r="BU76" s="233">
        <f t="shared" si="50"/>
        <v>0</v>
      </c>
      <c r="BV76" s="233">
        <f t="shared" si="50"/>
        <v>0</v>
      </c>
      <c r="BW76" s="233">
        <f t="shared" si="50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8"/>
        <v>0</v>
      </c>
      <c r="AI77" s="48">
        <f t="shared" si="9"/>
        <v>0</v>
      </c>
      <c r="AK77" s="50"/>
      <c r="AZ77" s="233">
        <f t="shared" si="50"/>
        <v>370</v>
      </c>
      <c r="BA77" s="233">
        <f t="shared" si="50"/>
        <v>375</v>
      </c>
      <c r="BB77" s="233">
        <f t="shared" si="50"/>
        <v>385</v>
      </c>
      <c r="BC77" s="233">
        <f t="shared" si="50"/>
        <v>398</v>
      </c>
      <c r="BD77" s="233">
        <f t="shared" si="50"/>
        <v>435</v>
      </c>
      <c r="BE77" s="233">
        <f t="shared" si="50"/>
        <v>411.2</v>
      </c>
      <c r="BF77" s="233">
        <f t="shared" si="50"/>
        <v>200</v>
      </c>
      <c r="BG77" s="233">
        <f t="shared" si="50"/>
        <v>7.6</v>
      </c>
      <c r="BH77" s="233">
        <f t="shared" si="50"/>
        <v>113.2</v>
      </c>
      <c r="BI77" s="233">
        <f t="shared" si="50"/>
        <v>364.3</v>
      </c>
      <c r="BJ77" s="233">
        <f t="shared" si="50"/>
        <v>410</v>
      </c>
      <c r="BK77" s="233">
        <f t="shared" si="50"/>
        <v>412</v>
      </c>
      <c r="BL77" s="233">
        <f t="shared" si="50"/>
        <v>457</v>
      </c>
      <c r="BM77" s="233">
        <f t="shared" si="50"/>
        <v>480.8</v>
      </c>
      <c r="BN77" s="233">
        <f t="shared" si="50"/>
        <v>503</v>
      </c>
      <c r="BO77" s="233">
        <f t="shared" si="50"/>
        <v>449.3</v>
      </c>
      <c r="BP77" s="233">
        <f t="shared" si="50"/>
        <v>469</v>
      </c>
      <c r="BQ77" s="233">
        <f t="shared" si="50"/>
        <v>422</v>
      </c>
      <c r="BR77" s="233">
        <f t="shared" si="50"/>
        <v>284.5</v>
      </c>
      <c r="BS77" s="233">
        <f t="shared" si="50"/>
        <v>287</v>
      </c>
      <c r="BT77" s="233">
        <f t="shared" si="50"/>
        <v>360</v>
      </c>
      <c r="BU77" s="233">
        <f t="shared" si="50"/>
        <v>334</v>
      </c>
      <c r="BV77" s="233">
        <f t="shared" si="50"/>
        <v>410</v>
      </c>
      <c r="BW77" s="233">
        <f t="shared" si="50"/>
        <v>320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>
        <v>4.5</v>
      </c>
      <c r="K78" s="65">
        <v>0</v>
      </c>
      <c r="L78" s="65">
        <v>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8"/>
        <v>4.5</v>
      </c>
      <c r="AI78" s="48">
        <f t="shared" si="9"/>
        <v>0</v>
      </c>
      <c r="AK78" s="50"/>
      <c r="AZ78" s="233">
        <f t="shared" si="50"/>
        <v>3</v>
      </c>
      <c r="BA78" s="233">
        <f t="shared" si="50"/>
        <v>3.1</v>
      </c>
      <c r="BB78" s="233">
        <f t="shared" si="50"/>
        <v>3.8</v>
      </c>
      <c r="BC78" s="233">
        <f t="shared" si="50"/>
        <v>3.1</v>
      </c>
      <c r="BD78" s="233">
        <f t="shared" si="50"/>
        <v>3.8</v>
      </c>
      <c r="BE78" s="233">
        <f t="shared" si="50"/>
        <v>9.3000000000000007</v>
      </c>
      <c r="BF78" s="233">
        <f t="shared" si="50"/>
        <v>39.5</v>
      </c>
      <c r="BG78" s="233">
        <f t="shared" si="50"/>
        <v>20.9</v>
      </c>
      <c r="BH78" s="233">
        <f t="shared" si="50"/>
        <v>18</v>
      </c>
      <c r="BI78" s="233">
        <f t="shared" si="50"/>
        <v>20</v>
      </c>
      <c r="BJ78" s="233">
        <f t="shared" si="50"/>
        <v>40</v>
      </c>
      <c r="BK78" s="233">
        <f t="shared" si="50"/>
        <v>43.2</v>
      </c>
      <c r="BL78" s="233">
        <f t="shared" si="50"/>
        <v>45.7</v>
      </c>
      <c r="BM78" s="233">
        <f t="shared" si="50"/>
        <v>41.8</v>
      </c>
      <c r="BN78" s="233">
        <f t="shared" si="50"/>
        <v>51.9</v>
      </c>
      <c r="BO78" s="233">
        <f t="shared" si="50"/>
        <v>28.2</v>
      </c>
      <c r="BP78" s="233">
        <f t="shared" si="50"/>
        <v>23.8</v>
      </c>
      <c r="BQ78" s="233">
        <f t="shared" si="50"/>
        <v>21</v>
      </c>
      <c r="BR78" s="233">
        <f t="shared" si="50"/>
        <v>17.7</v>
      </c>
      <c r="BS78" s="233">
        <f t="shared" si="50"/>
        <v>39.200000000000003</v>
      </c>
      <c r="BT78" s="233">
        <f t="shared" si="50"/>
        <v>45</v>
      </c>
      <c r="BU78" s="233">
        <f t="shared" si="50"/>
        <v>2.8</v>
      </c>
      <c r="BV78" s="233">
        <f t="shared" si="50"/>
        <v>17.100000000000001</v>
      </c>
      <c r="BW78" s="233">
        <f t="shared" si="50"/>
        <v>3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>
        <v>1.6</v>
      </c>
      <c r="K79" s="67">
        <v>0</v>
      </c>
      <c r="L79" s="67">
        <v>0</v>
      </c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8"/>
        <v>1.6</v>
      </c>
      <c r="AI79" s="48">
        <f t="shared" si="9"/>
        <v>0</v>
      </c>
      <c r="AK79" s="50"/>
      <c r="AZ79" s="233">
        <f t="shared" si="50"/>
        <v>108</v>
      </c>
      <c r="BA79" s="233">
        <f t="shared" si="50"/>
        <v>14</v>
      </c>
      <c r="BB79" s="233">
        <f t="shared" si="50"/>
        <v>0</v>
      </c>
      <c r="BC79" s="233">
        <f t="shared" si="50"/>
        <v>0</v>
      </c>
      <c r="BD79" s="233">
        <f t="shared" si="50"/>
        <v>0</v>
      </c>
      <c r="BE79" s="233">
        <f t="shared" si="50"/>
        <v>11</v>
      </c>
      <c r="BF79" s="233">
        <f t="shared" si="50"/>
        <v>16.7</v>
      </c>
      <c r="BG79" s="233">
        <f t="shared" si="50"/>
        <v>0</v>
      </c>
      <c r="BH79" s="233">
        <f t="shared" si="50"/>
        <v>0</v>
      </c>
      <c r="BI79" s="233">
        <f t="shared" si="50"/>
        <v>0</v>
      </c>
      <c r="BJ79" s="233">
        <f t="shared" si="50"/>
        <v>0</v>
      </c>
      <c r="BK79" s="233">
        <f t="shared" si="50"/>
        <v>0</v>
      </c>
      <c r="BL79" s="233">
        <f t="shared" si="50"/>
        <v>87</v>
      </c>
      <c r="BM79" s="233">
        <f t="shared" si="50"/>
        <v>107.6</v>
      </c>
      <c r="BN79" s="233">
        <f t="shared" si="50"/>
        <v>107.4</v>
      </c>
      <c r="BO79" s="233">
        <f t="shared" si="50"/>
        <v>91.6</v>
      </c>
      <c r="BP79" s="233">
        <f t="shared" si="50"/>
        <v>65.8</v>
      </c>
      <c r="BQ79" s="233">
        <f t="shared" si="50"/>
        <v>59.2</v>
      </c>
      <c r="BR79" s="233">
        <f t="shared" si="50"/>
        <v>59</v>
      </c>
      <c r="BS79" s="233">
        <f t="shared" si="50"/>
        <v>92</v>
      </c>
      <c r="BT79" s="233">
        <f t="shared" si="50"/>
        <v>91</v>
      </c>
      <c r="BU79" s="233">
        <f t="shared" si="50"/>
        <v>92</v>
      </c>
      <c r="BV79" s="233">
        <f t="shared" si="50"/>
        <v>0</v>
      </c>
      <c r="BW79" s="233">
        <f t="shared" si="50"/>
        <v>108</v>
      </c>
    </row>
    <row r="80" spans="1:75" ht="15.75" thickBot="1" x14ac:dyDescent="0.3">
      <c r="A80" s="74" t="s">
        <v>80</v>
      </c>
      <c r="B80" s="60">
        <f t="shared" ref="B80:AF80" si="51">B77+B78+B79</f>
        <v>0</v>
      </c>
      <c r="C80" s="60">
        <f t="shared" si="51"/>
        <v>0</v>
      </c>
      <c r="D80" s="60">
        <f t="shared" si="51"/>
        <v>0</v>
      </c>
      <c r="E80" s="60">
        <f t="shared" si="51"/>
        <v>0</v>
      </c>
      <c r="F80" s="60">
        <f t="shared" si="51"/>
        <v>0</v>
      </c>
      <c r="G80" s="60">
        <f t="shared" si="51"/>
        <v>0</v>
      </c>
      <c r="H80" s="60">
        <f t="shared" si="51"/>
        <v>0</v>
      </c>
      <c r="I80" s="60">
        <f t="shared" si="51"/>
        <v>0</v>
      </c>
      <c r="J80" s="60">
        <f t="shared" si="51"/>
        <v>6.1</v>
      </c>
      <c r="K80" s="60">
        <f t="shared" si="51"/>
        <v>0</v>
      </c>
      <c r="L80" s="60">
        <f t="shared" si="51"/>
        <v>0</v>
      </c>
      <c r="M80" s="60">
        <f t="shared" si="51"/>
        <v>0</v>
      </c>
      <c r="N80" s="60">
        <f t="shared" si="51"/>
        <v>0</v>
      </c>
      <c r="O80" s="60">
        <f t="shared" si="51"/>
        <v>0</v>
      </c>
      <c r="P80" s="60">
        <f t="shared" si="51"/>
        <v>0</v>
      </c>
      <c r="Q80" s="60">
        <f t="shared" si="51"/>
        <v>0</v>
      </c>
      <c r="R80" s="60">
        <f t="shared" si="51"/>
        <v>0</v>
      </c>
      <c r="S80" s="60">
        <f t="shared" si="51"/>
        <v>0</v>
      </c>
      <c r="T80" s="60">
        <f t="shared" ref="T80:U80" si="52">T77+T78+T79</f>
        <v>0</v>
      </c>
      <c r="U80" s="60">
        <f t="shared" si="52"/>
        <v>0</v>
      </c>
      <c r="V80" s="60">
        <f t="shared" ref="V80:W80" si="53">V77+V78+V79</f>
        <v>0</v>
      </c>
      <c r="W80" s="60">
        <f t="shared" si="53"/>
        <v>0</v>
      </c>
      <c r="X80" s="60">
        <f t="shared" ref="X80:Z80" si="54">X77+X78+X79</f>
        <v>0</v>
      </c>
      <c r="Y80" s="60">
        <f t="shared" si="54"/>
        <v>0</v>
      </c>
      <c r="Z80" s="60">
        <f t="shared" si="54"/>
        <v>0</v>
      </c>
      <c r="AA80" s="60">
        <f t="shared" ref="AA80" si="55">AA77+AA78+AA79</f>
        <v>0</v>
      </c>
      <c r="AB80" s="60">
        <f t="shared" si="51"/>
        <v>0</v>
      </c>
      <c r="AC80" s="60">
        <f t="shared" si="51"/>
        <v>0</v>
      </c>
      <c r="AD80" s="60">
        <f t="shared" si="51"/>
        <v>0</v>
      </c>
      <c r="AE80" s="60">
        <f t="shared" si="51"/>
        <v>0</v>
      </c>
      <c r="AF80" s="60">
        <f t="shared" si="51"/>
        <v>0</v>
      </c>
      <c r="AG80" s="61">
        <f>SUM(AG77:AG79)</f>
        <v>106</v>
      </c>
      <c r="AH80" s="47">
        <f t="shared" si="8"/>
        <v>6.1</v>
      </c>
      <c r="AI80" s="48">
        <f t="shared" si="9"/>
        <v>0</v>
      </c>
      <c r="AK80" s="50"/>
      <c r="AZ80" s="233">
        <f t="shared" si="50"/>
        <v>55</v>
      </c>
      <c r="BA80" s="233">
        <f t="shared" si="50"/>
        <v>55.8</v>
      </c>
      <c r="BB80" s="233">
        <f t="shared" si="50"/>
        <v>49</v>
      </c>
      <c r="BC80" s="233">
        <f t="shared" si="50"/>
        <v>55</v>
      </c>
      <c r="BD80" s="233">
        <f t="shared" si="50"/>
        <v>44.8</v>
      </c>
      <c r="BE80" s="233">
        <f t="shared" si="50"/>
        <v>49.4</v>
      </c>
      <c r="BF80" s="233">
        <f t="shared" si="50"/>
        <v>38.5</v>
      </c>
      <c r="BG80" s="233">
        <f t="shared" si="50"/>
        <v>38.700000000000003</v>
      </c>
      <c r="BH80" s="233">
        <f t="shared" si="50"/>
        <v>36</v>
      </c>
      <c r="BI80" s="233">
        <f t="shared" si="50"/>
        <v>38</v>
      </c>
      <c r="BJ80" s="233">
        <f t="shared" si="50"/>
        <v>46.6</v>
      </c>
      <c r="BK80" s="233">
        <f t="shared" si="50"/>
        <v>49.1</v>
      </c>
      <c r="BL80" s="233">
        <f t="shared" si="50"/>
        <v>42.3</v>
      </c>
      <c r="BM80" s="233">
        <f t="shared" si="50"/>
        <v>45.9</v>
      </c>
      <c r="BN80" s="233">
        <f t="shared" si="50"/>
        <v>49.7</v>
      </c>
      <c r="BO80" s="233">
        <f t="shared" si="50"/>
        <v>44.7</v>
      </c>
      <c r="BP80" s="233">
        <f t="shared" si="50"/>
        <v>38</v>
      </c>
      <c r="BQ80" s="233">
        <f t="shared" si="50"/>
        <v>39.9</v>
      </c>
      <c r="BR80" s="233">
        <f t="shared" si="50"/>
        <v>27.5</v>
      </c>
      <c r="BS80" s="233">
        <f t="shared" si="50"/>
        <v>38.5</v>
      </c>
      <c r="BT80" s="233">
        <f t="shared" si="50"/>
        <v>49.2</v>
      </c>
      <c r="BU80" s="233">
        <f t="shared" si="50"/>
        <v>50.2</v>
      </c>
      <c r="BV80" s="233">
        <f t="shared" si="50"/>
        <v>42.6</v>
      </c>
      <c r="BW80" s="233">
        <f t="shared" si="50"/>
        <v>50</v>
      </c>
    </row>
    <row r="81" spans="1:64" x14ac:dyDescent="0.25">
      <c r="A81" s="44" t="s">
        <v>81</v>
      </c>
      <c r="B81" s="45">
        <v>66</v>
      </c>
      <c r="C81" s="45">
        <v>65</v>
      </c>
      <c r="D81" s="45">
        <v>51</v>
      </c>
      <c r="E81" s="45">
        <v>37.299999999999997</v>
      </c>
      <c r="F81" s="45">
        <v>34.700000000000003</v>
      </c>
      <c r="G81" s="45">
        <v>53</v>
      </c>
      <c r="H81" s="45">
        <v>57.2</v>
      </c>
      <c r="I81" s="45">
        <v>59.2</v>
      </c>
      <c r="J81" s="45">
        <v>51.7</v>
      </c>
      <c r="K81" s="45">
        <v>63.7</v>
      </c>
      <c r="L81" s="45">
        <v>56.2</v>
      </c>
      <c r="M81" s="45">
        <v>59.3</v>
      </c>
      <c r="N81" s="45">
        <v>56.8</v>
      </c>
      <c r="O81" s="45">
        <v>58.8</v>
      </c>
      <c r="P81" s="45">
        <v>59.9</v>
      </c>
      <c r="Q81" s="45">
        <v>55</v>
      </c>
      <c r="R81" s="45">
        <v>-31.4</v>
      </c>
      <c r="S81" s="45">
        <v>40.200000000000003</v>
      </c>
      <c r="T81" s="45">
        <v>0</v>
      </c>
      <c r="U81" s="45">
        <v>0</v>
      </c>
      <c r="V81" s="45">
        <v>58.1</v>
      </c>
      <c r="W81" s="45">
        <v>57.8</v>
      </c>
      <c r="X81" s="45">
        <v>0</v>
      </c>
      <c r="Y81" s="45">
        <v>0</v>
      </c>
      <c r="Z81" s="45">
        <v>57.1</v>
      </c>
      <c r="AA81" s="45">
        <v>62.5</v>
      </c>
      <c r="AB81" s="45">
        <v>63.8</v>
      </c>
      <c r="AC81" s="45">
        <v>59.3</v>
      </c>
      <c r="AD81" s="45">
        <v>58.9</v>
      </c>
      <c r="AE81" s="45">
        <v>43.7</v>
      </c>
      <c r="AF81" s="45">
        <v>60.2</v>
      </c>
      <c r="AG81" s="52"/>
      <c r="AH81" s="47">
        <f t="shared" si="8"/>
        <v>66</v>
      </c>
      <c r="AI81" s="48">
        <f t="shared" si="9"/>
        <v>-31.4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5" si="56">MAX(B82:AF82)</f>
        <v>0</v>
      </c>
      <c r="AI82" s="48">
        <f t="shared" ref="AI82:AI125" si="57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320</v>
      </c>
      <c r="C83" s="65">
        <v>370</v>
      </c>
      <c r="D83" s="65">
        <v>375</v>
      </c>
      <c r="E83" s="65">
        <v>385</v>
      </c>
      <c r="F83" s="65">
        <v>398</v>
      </c>
      <c r="G83" s="65">
        <v>435</v>
      </c>
      <c r="H83" s="65">
        <v>455</v>
      </c>
      <c r="I83" s="65">
        <v>411.2</v>
      </c>
      <c r="J83" s="65">
        <v>404.8</v>
      </c>
      <c r="K83" s="65">
        <v>200</v>
      </c>
      <c r="L83" s="65">
        <v>62.2</v>
      </c>
      <c r="M83" s="65">
        <v>7.6</v>
      </c>
      <c r="N83" s="65">
        <v>113.2</v>
      </c>
      <c r="O83" s="65">
        <v>364.3</v>
      </c>
      <c r="P83" s="65">
        <v>410</v>
      </c>
      <c r="Q83" s="65">
        <v>412</v>
      </c>
      <c r="R83" s="65">
        <v>457</v>
      </c>
      <c r="S83" s="65">
        <v>480.8</v>
      </c>
      <c r="T83" s="65">
        <v>503</v>
      </c>
      <c r="U83" s="65">
        <v>449.3</v>
      </c>
      <c r="V83" s="65">
        <v>469</v>
      </c>
      <c r="W83" s="65">
        <v>434.1</v>
      </c>
      <c r="X83" s="65">
        <v>422</v>
      </c>
      <c r="Y83" s="65">
        <v>387.3</v>
      </c>
      <c r="Z83" s="65">
        <v>284.5</v>
      </c>
      <c r="AA83" s="65">
        <v>270.89999999999998</v>
      </c>
      <c r="AB83" s="65">
        <v>287</v>
      </c>
      <c r="AC83" s="65">
        <v>285</v>
      </c>
      <c r="AD83" s="65">
        <v>360</v>
      </c>
      <c r="AE83" s="65">
        <v>334</v>
      </c>
      <c r="AF83" s="65">
        <v>410</v>
      </c>
      <c r="AG83" s="75"/>
      <c r="AH83" s="47">
        <f t="shared" si="56"/>
        <v>503</v>
      </c>
      <c r="AI83" s="48">
        <f t="shared" si="57"/>
        <v>7.6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3</v>
      </c>
      <c r="C84" s="65">
        <v>3</v>
      </c>
      <c r="D84" s="65">
        <v>3.1</v>
      </c>
      <c r="E84" s="76">
        <v>3.8</v>
      </c>
      <c r="F84" s="76">
        <v>3.1</v>
      </c>
      <c r="G84" s="76">
        <v>3.8</v>
      </c>
      <c r="H84" s="76">
        <v>2.9</v>
      </c>
      <c r="I84" s="76">
        <v>9.3000000000000007</v>
      </c>
      <c r="J84" s="76">
        <v>32.6</v>
      </c>
      <c r="K84" s="76">
        <v>39.5</v>
      </c>
      <c r="L84" s="76">
        <v>22.8</v>
      </c>
      <c r="M84" s="76">
        <v>20.9</v>
      </c>
      <c r="N84" s="76">
        <v>18</v>
      </c>
      <c r="O84" s="76">
        <v>20</v>
      </c>
      <c r="P84" s="76">
        <v>40</v>
      </c>
      <c r="Q84" s="76">
        <v>43.2</v>
      </c>
      <c r="R84" s="76">
        <v>45.7</v>
      </c>
      <c r="S84" s="76">
        <v>41.8</v>
      </c>
      <c r="T84" s="76">
        <v>51.9</v>
      </c>
      <c r="U84" s="76">
        <v>28.2</v>
      </c>
      <c r="V84" s="76">
        <v>23.8</v>
      </c>
      <c r="W84" s="76">
        <v>21.7</v>
      </c>
      <c r="X84" s="76">
        <v>21</v>
      </c>
      <c r="Y84" s="76">
        <v>18</v>
      </c>
      <c r="Z84" s="76">
        <v>17.7</v>
      </c>
      <c r="AA84" s="76">
        <v>29</v>
      </c>
      <c r="AB84" s="76">
        <v>39.200000000000003</v>
      </c>
      <c r="AC84" s="76">
        <v>50.2</v>
      </c>
      <c r="AD84" s="76">
        <v>45</v>
      </c>
      <c r="AE84" s="76">
        <v>2.8</v>
      </c>
      <c r="AF84" s="76">
        <v>17.100000000000001</v>
      </c>
      <c r="AG84" s="75"/>
      <c r="AH84" s="47">
        <f t="shared" si="56"/>
        <v>51.9</v>
      </c>
      <c r="AI84" s="48">
        <f t="shared" si="57"/>
        <v>2.8</v>
      </c>
      <c r="AK84" s="50"/>
      <c r="AY84" s="233"/>
      <c r="BF84" s="232"/>
      <c r="BG84" s="233">
        <f t="array" ref="BG84:BL107">TRANSPOSE(AZ68:BW73)</f>
        <v>65</v>
      </c>
      <c r="BH84" s="233">
        <v>0</v>
      </c>
      <c r="BI84" s="233">
        <v>370</v>
      </c>
      <c r="BJ84" s="233">
        <v>3</v>
      </c>
      <c r="BK84" s="233">
        <v>108</v>
      </c>
      <c r="BL84" s="233">
        <v>55</v>
      </c>
    </row>
    <row r="85" spans="1:64" x14ac:dyDescent="0.25">
      <c r="A85" s="54" t="s">
        <v>85</v>
      </c>
      <c r="B85" s="45">
        <v>108</v>
      </c>
      <c r="C85" s="45">
        <v>108</v>
      </c>
      <c r="D85" s="45">
        <v>14</v>
      </c>
      <c r="E85" s="45">
        <v>0</v>
      </c>
      <c r="F85" s="45">
        <v>0</v>
      </c>
      <c r="G85" s="45">
        <v>0</v>
      </c>
      <c r="H85" s="45">
        <v>0</v>
      </c>
      <c r="I85" s="45">
        <v>11</v>
      </c>
      <c r="J85" s="45">
        <v>16.8</v>
      </c>
      <c r="K85" s="45">
        <v>16.7</v>
      </c>
      <c r="L85" s="45">
        <v>0</v>
      </c>
      <c r="M85" s="45"/>
      <c r="N85" s="45"/>
      <c r="O85" s="45"/>
      <c r="P85" s="45"/>
      <c r="Q85" s="45"/>
      <c r="R85" s="45">
        <v>87</v>
      </c>
      <c r="S85" s="45">
        <v>107.6</v>
      </c>
      <c r="T85" s="45">
        <v>107.4</v>
      </c>
      <c r="U85" s="45">
        <v>91.6</v>
      </c>
      <c r="V85" s="45">
        <v>65.8</v>
      </c>
      <c r="W85" s="45">
        <v>59.2</v>
      </c>
      <c r="X85" s="45">
        <v>59.2</v>
      </c>
      <c r="Y85" s="45">
        <v>60</v>
      </c>
      <c r="Z85" s="45">
        <v>59</v>
      </c>
      <c r="AA85" s="45">
        <v>88.2</v>
      </c>
      <c r="AB85" s="45">
        <v>92</v>
      </c>
      <c r="AC85" s="45">
        <v>93</v>
      </c>
      <c r="AD85" s="45">
        <v>91</v>
      </c>
      <c r="AE85" s="45">
        <v>92</v>
      </c>
      <c r="AF85" s="45">
        <v>0</v>
      </c>
      <c r="AG85" s="75"/>
      <c r="AH85" s="47">
        <f t="shared" si="56"/>
        <v>108</v>
      </c>
      <c r="AI85" s="48">
        <f t="shared" si="57"/>
        <v>0</v>
      </c>
      <c r="AK85" s="50"/>
      <c r="AY85" s="233"/>
      <c r="BF85" s="232"/>
      <c r="BG85" s="233">
        <v>51</v>
      </c>
      <c r="BH85" s="233">
        <v>0</v>
      </c>
      <c r="BI85" s="233">
        <v>375</v>
      </c>
      <c r="BJ85" s="233">
        <v>3.1</v>
      </c>
      <c r="BK85" s="233">
        <v>14</v>
      </c>
      <c r="BL85" s="233">
        <v>55.8</v>
      </c>
    </row>
    <row r="86" spans="1:64" x14ac:dyDescent="0.25">
      <c r="A86" s="54" t="s">
        <v>86</v>
      </c>
      <c r="B86" s="77"/>
      <c r="C86" s="77"/>
      <c r="D86" s="77"/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6"/>
        <v>0</v>
      </c>
      <c r="AI86" s="48">
        <f t="shared" si="57"/>
        <v>0</v>
      </c>
      <c r="AK86" s="50"/>
      <c r="AY86" s="233"/>
      <c r="BF86" s="232"/>
      <c r="BG86" s="233">
        <v>37.299999999999997</v>
      </c>
      <c r="BH86" s="233">
        <v>0</v>
      </c>
      <c r="BI86" s="233">
        <v>385</v>
      </c>
      <c r="BJ86" s="233">
        <v>3.8</v>
      </c>
      <c r="BK86" s="233">
        <v>0</v>
      </c>
      <c r="BL86" s="233">
        <v>49</v>
      </c>
    </row>
    <row r="87" spans="1:64" ht="15.75" thickBot="1" x14ac:dyDescent="0.3">
      <c r="A87" s="54" t="s">
        <v>87</v>
      </c>
      <c r="B87" s="77"/>
      <c r="C87" s="77"/>
      <c r="D87" s="77"/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6"/>
        <v>0</v>
      </c>
      <c r="AI87" s="48">
        <f t="shared" si="57"/>
        <v>0</v>
      </c>
      <c r="AK87" s="50"/>
      <c r="AL87" s="78" t="s">
        <v>88</v>
      </c>
      <c r="AM87" s="78"/>
      <c r="AY87" s="233"/>
      <c r="BF87" s="233"/>
      <c r="BG87" s="233">
        <v>34.700000000000003</v>
      </c>
      <c r="BH87" s="233">
        <v>0</v>
      </c>
      <c r="BI87" s="233">
        <v>398</v>
      </c>
      <c r="BJ87" s="233">
        <v>3.1</v>
      </c>
      <c r="BK87" s="233">
        <v>0</v>
      </c>
      <c r="BL87" s="233">
        <v>55</v>
      </c>
    </row>
    <row r="88" spans="1:64" x14ac:dyDescent="0.25">
      <c r="A88" s="54" t="s">
        <v>89</v>
      </c>
      <c r="B88" s="77"/>
      <c r="C88" s="77"/>
      <c r="D88" s="77"/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6"/>
        <v>0</v>
      </c>
      <c r="AI88" s="48">
        <f t="shared" si="57"/>
        <v>0</v>
      </c>
      <c r="AK88" s="79"/>
      <c r="AL88" s="80"/>
      <c r="AM88" s="80"/>
      <c r="AN88" s="81"/>
      <c r="AY88" s="233"/>
      <c r="BF88" s="233"/>
      <c r="BG88" s="233">
        <v>53</v>
      </c>
      <c r="BH88" s="233">
        <v>0</v>
      </c>
      <c r="BI88" s="233">
        <v>435</v>
      </c>
      <c r="BJ88" s="233">
        <v>3.8</v>
      </c>
      <c r="BK88" s="233">
        <v>0</v>
      </c>
      <c r="BL88" s="233">
        <v>44.8</v>
      </c>
    </row>
    <row r="89" spans="1:64" x14ac:dyDescent="0.25">
      <c r="A89" s="54" t="s">
        <v>90</v>
      </c>
      <c r="B89" s="77"/>
      <c r="C89" s="77"/>
      <c r="D89" s="77"/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6"/>
        <v>0</v>
      </c>
      <c r="AI89" s="48">
        <f t="shared" si="57"/>
        <v>0</v>
      </c>
      <c r="AK89" s="82" t="s">
        <v>91</v>
      </c>
      <c r="AL89" s="65"/>
      <c r="AM89" s="76"/>
      <c r="AN89" s="83"/>
      <c r="AY89" s="233"/>
      <c r="BF89" s="233"/>
      <c r="BG89" s="233">
        <v>59.2</v>
      </c>
      <c r="BH89" s="233">
        <v>0</v>
      </c>
      <c r="BI89" s="233">
        <v>411.2</v>
      </c>
      <c r="BJ89" s="233">
        <v>9.3000000000000007</v>
      </c>
      <c r="BK89" s="233">
        <v>11</v>
      </c>
      <c r="BL89" s="233">
        <v>49.4</v>
      </c>
    </row>
    <row r="90" spans="1:64" x14ac:dyDescent="0.25">
      <c r="A90" s="84" t="s">
        <v>92</v>
      </c>
      <c r="B90" s="77"/>
      <c r="C90" s="77"/>
      <c r="D90" s="77"/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6"/>
        <v>0</v>
      </c>
      <c r="AI90" s="48">
        <f t="shared" si="57"/>
        <v>0</v>
      </c>
      <c r="AK90" s="82" t="s">
        <v>93</v>
      </c>
      <c r="AL90" s="76"/>
      <c r="AM90" s="76"/>
      <c r="AN90" s="83"/>
      <c r="AY90" s="233"/>
      <c r="BF90" s="233"/>
      <c r="BG90" s="233">
        <v>63.7</v>
      </c>
      <c r="BH90" s="233">
        <v>0</v>
      </c>
      <c r="BI90" s="233">
        <v>200</v>
      </c>
      <c r="BJ90" s="233">
        <v>39.5</v>
      </c>
      <c r="BK90" s="233">
        <v>16.7</v>
      </c>
      <c r="BL90" s="233">
        <v>38.5</v>
      </c>
    </row>
    <row r="91" spans="1:64" ht="15.75" thickBot="1" x14ac:dyDescent="0.3">
      <c r="A91" s="84" t="s">
        <v>394</v>
      </c>
      <c r="B91" s="77">
        <v>50</v>
      </c>
      <c r="C91" s="77">
        <v>54.5</v>
      </c>
      <c r="D91" s="77">
        <v>55.8</v>
      </c>
      <c r="E91" s="77">
        <v>49</v>
      </c>
      <c r="F91" s="77">
        <v>55</v>
      </c>
      <c r="G91" s="77">
        <v>44.8</v>
      </c>
      <c r="H91" s="77">
        <v>50.7</v>
      </c>
      <c r="I91" s="77">
        <v>49.4</v>
      </c>
      <c r="J91" s="77">
        <v>45.8</v>
      </c>
      <c r="K91" s="77">
        <v>38.5</v>
      </c>
      <c r="L91" s="77">
        <v>37.299999999999997</v>
      </c>
      <c r="M91" s="77">
        <v>38.700000000000003</v>
      </c>
      <c r="N91" s="77">
        <v>36</v>
      </c>
      <c r="O91" s="77">
        <v>38</v>
      </c>
      <c r="P91" s="77">
        <v>46.6</v>
      </c>
      <c r="Q91" s="77">
        <v>49.1</v>
      </c>
      <c r="R91" s="77">
        <v>42.3</v>
      </c>
      <c r="S91" s="77">
        <v>45.9</v>
      </c>
      <c r="T91" s="77">
        <v>49.7</v>
      </c>
      <c r="U91" s="77">
        <v>44.7</v>
      </c>
      <c r="V91" s="77">
        <v>38</v>
      </c>
      <c r="W91" s="77">
        <v>39.9</v>
      </c>
      <c r="X91" s="77">
        <v>39.9</v>
      </c>
      <c r="Y91" s="77">
        <v>32.1</v>
      </c>
      <c r="Z91" s="77">
        <v>27.5</v>
      </c>
      <c r="AA91" s="77">
        <v>28.4</v>
      </c>
      <c r="AB91" s="77">
        <v>38.5</v>
      </c>
      <c r="AC91" s="77">
        <v>44</v>
      </c>
      <c r="AD91" s="77">
        <v>49.2</v>
      </c>
      <c r="AE91" s="77">
        <v>50.2</v>
      </c>
      <c r="AF91" s="77">
        <v>42.6</v>
      </c>
      <c r="AG91" s="85"/>
      <c r="AH91" s="47">
        <f t="shared" si="56"/>
        <v>55.8</v>
      </c>
      <c r="AI91" s="48">
        <f t="shared" si="57"/>
        <v>27.5</v>
      </c>
      <c r="AK91" s="86"/>
      <c r="AL91" s="45"/>
      <c r="AM91" s="45"/>
      <c r="AN91" s="87"/>
      <c r="AY91" s="233"/>
      <c r="BF91" s="233"/>
      <c r="BG91" s="233">
        <v>59.3</v>
      </c>
      <c r="BH91" s="233">
        <v>0</v>
      </c>
      <c r="BI91" s="233">
        <v>7.6</v>
      </c>
      <c r="BJ91" s="233">
        <v>20.9</v>
      </c>
      <c r="BK91" s="233">
        <v>0</v>
      </c>
      <c r="BL91" s="233">
        <v>38.700000000000003</v>
      </c>
    </row>
    <row r="92" spans="1:64" ht="15.75" thickBot="1" x14ac:dyDescent="0.3">
      <c r="A92" s="74" t="s">
        <v>94</v>
      </c>
      <c r="B92" s="60">
        <f t="shared" ref="B92:AF92" si="58">SUMIF(B81:B91,"&gt;0")</f>
        <v>547</v>
      </c>
      <c r="C92" s="60">
        <f t="shared" si="58"/>
        <v>600.5</v>
      </c>
      <c r="D92" s="60">
        <f t="shared" si="58"/>
        <v>498.90000000000003</v>
      </c>
      <c r="E92" s="60">
        <f t="shared" si="58"/>
        <v>475.1</v>
      </c>
      <c r="F92" s="60">
        <f t="shared" si="58"/>
        <v>490.8</v>
      </c>
      <c r="G92" s="60">
        <f t="shared" si="58"/>
        <v>536.6</v>
      </c>
      <c r="H92" s="60">
        <f t="shared" si="58"/>
        <v>565.80000000000007</v>
      </c>
      <c r="I92" s="60">
        <f t="shared" si="58"/>
        <v>540.1</v>
      </c>
      <c r="J92" s="60">
        <f t="shared" si="58"/>
        <v>551.70000000000005</v>
      </c>
      <c r="K92" s="60">
        <f t="shared" si="58"/>
        <v>358.4</v>
      </c>
      <c r="L92" s="60">
        <f t="shared" si="58"/>
        <v>178.5</v>
      </c>
      <c r="M92" s="60">
        <f t="shared" si="58"/>
        <v>126.49999999999999</v>
      </c>
      <c r="N92" s="60">
        <f t="shared" si="58"/>
        <v>224</v>
      </c>
      <c r="O92" s="60">
        <f t="shared" si="58"/>
        <v>481.1</v>
      </c>
      <c r="P92" s="60">
        <f t="shared" si="58"/>
        <v>556.5</v>
      </c>
      <c r="Q92" s="60">
        <f t="shared" si="58"/>
        <v>559.29999999999995</v>
      </c>
      <c r="R92" s="60">
        <f t="shared" si="58"/>
        <v>632</v>
      </c>
      <c r="S92" s="60">
        <f t="shared" si="58"/>
        <v>716.3</v>
      </c>
      <c r="T92" s="60">
        <f t="shared" ref="T92:U92" si="59">SUMIF(T81:T91,"&gt;0")</f>
        <v>712</v>
      </c>
      <c r="U92" s="60">
        <f t="shared" si="59"/>
        <v>613.80000000000007</v>
      </c>
      <c r="V92" s="60">
        <f t="shared" ref="V92:W92" si="60">SUMIF(V81:V91,"&gt;0")</f>
        <v>654.69999999999993</v>
      </c>
      <c r="W92" s="60">
        <f t="shared" si="60"/>
        <v>612.70000000000005</v>
      </c>
      <c r="X92" s="60">
        <f t="shared" ref="X92:Z92" si="61">SUMIF(X81:X91,"&gt;0")</f>
        <v>542.1</v>
      </c>
      <c r="Y92" s="60">
        <f t="shared" si="61"/>
        <v>497.40000000000003</v>
      </c>
      <c r="Z92" s="60">
        <f t="shared" si="61"/>
        <v>445.8</v>
      </c>
      <c r="AA92" s="60">
        <f t="shared" ref="AA92" si="62">SUMIF(AA81:AA91,"&gt;0")</f>
        <v>478.99999999999994</v>
      </c>
      <c r="AB92" s="60">
        <f t="shared" si="58"/>
        <v>520.5</v>
      </c>
      <c r="AC92" s="60">
        <f t="shared" si="58"/>
        <v>531.5</v>
      </c>
      <c r="AD92" s="60">
        <f t="shared" si="58"/>
        <v>604.1</v>
      </c>
      <c r="AE92" s="60">
        <f t="shared" si="58"/>
        <v>522.70000000000005</v>
      </c>
      <c r="AF92" s="60">
        <f t="shared" si="58"/>
        <v>529.9</v>
      </c>
      <c r="AG92" s="88">
        <f>SUM(AG81:AG91)</f>
        <v>0</v>
      </c>
      <c r="AH92" s="47">
        <f t="shared" si="56"/>
        <v>716.3</v>
      </c>
      <c r="AI92" s="48">
        <f t="shared" si="57"/>
        <v>126.49999999999999</v>
      </c>
      <c r="AK92" s="86"/>
      <c r="AL92" s="77"/>
      <c r="AM92" s="89"/>
      <c r="AN92" s="257"/>
      <c r="AY92" s="233"/>
      <c r="BF92" s="233"/>
      <c r="BG92" s="233">
        <v>56.8</v>
      </c>
      <c r="BH92" s="233">
        <v>0</v>
      </c>
      <c r="BI92" s="233">
        <v>113.2</v>
      </c>
      <c r="BJ92" s="233">
        <v>18</v>
      </c>
      <c r="BK92" s="233">
        <v>0</v>
      </c>
      <c r="BL92" s="233">
        <v>36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6"/>
        <v>0</v>
      </c>
      <c r="AI93" s="48">
        <f t="shared" si="57"/>
        <v>0</v>
      </c>
      <c r="AK93" s="86"/>
      <c r="AL93" s="77"/>
      <c r="AM93" s="77"/>
      <c r="AN93" s="258"/>
      <c r="BF93" s="233"/>
      <c r="BG93" s="233">
        <v>58.8</v>
      </c>
      <c r="BH93" s="233">
        <v>0</v>
      </c>
      <c r="BI93" s="233">
        <v>364.3</v>
      </c>
      <c r="BJ93" s="233">
        <v>20</v>
      </c>
      <c r="BK93" s="233">
        <v>0</v>
      </c>
      <c r="BL93" s="233">
        <v>38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6"/>
        <v>0</v>
      </c>
      <c r="AI94" s="48">
        <f t="shared" si="57"/>
        <v>0</v>
      </c>
      <c r="AK94" s="91"/>
      <c r="AL94" s="92"/>
      <c r="AM94" s="92"/>
      <c r="AN94" s="93"/>
      <c r="BF94" s="233"/>
      <c r="BG94" s="233">
        <v>59.9</v>
      </c>
      <c r="BH94" s="233">
        <v>0</v>
      </c>
      <c r="BI94" s="233">
        <v>410</v>
      </c>
      <c r="BJ94" s="233">
        <v>40</v>
      </c>
      <c r="BK94" s="233">
        <v>0</v>
      </c>
      <c r="BL94" s="233">
        <v>46.6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6"/>
        <v>0</v>
      </c>
      <c r="AI95" s="48">
        <f t="shared" si="57"/>
        <v>0</v>
      </c>
      <c r="BF95" s="233"/>
      <c r="BG95" s="233">
        <v>55</v>
      </c>
      <c r="BH95" s="233">
        <v>0</v>
      </c>
      <c r="BI95" s="233">
        <v>412</v>
      </c>
      <c r="BJ95" s="233">
        <v>43.2</v>
      </c>
      <c r="BK95" s="233">
        <v>0</v>
      </c>
      <c r="BL95" s="233">
        <v>49.1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6"/>
        <v>0</v>
      </c>
      <c r="AI96" s="48">
        <f t="shared" si="57"/>
        <v>0</v>
      </c>
      <c r="BF96" s="233"/>
      <c r="BG96" s="233">
        <v>-31.4</v>
      </c>
      <c r="BH96" s="233">
        <v>0</v>
      </c>
      <c r="BI96" s="233">
        <v>457</v>
      </c>
      <c r="BJ96" s="233">
        <v>45.7</v>
      </c>
      <c r="BK96" s="233">
        <v>87</v>
      </c>
      <c r="BL96" s="233">
        <v>42.3</v>
      </c>
    </row>
    <row r="97" spans="1:64" ht="15.75" thickBot="1" x14ac:dyDescent="0.3">
      <c r="A97" s="74" t="s">
        <v>99</v>
      </c>
      <c r="B97" s="95">
        <f t="shared" ref="B97:AG97" si="63">B58+B62+B80+B76+B92+B96</f>
        <v>1159.19</v>
      </c>
      <c r="C97" s="95">
        <f t="shared" si="63"/>
        <v>1187.69</v>
      </c>
      <c r="D97" s="95">
        <f t="shared" si="63"/>
        <v>1111.0900000000001</v>
      </c>
      <c r="E97" s="95">
        <f t="shared" si="63"/>
        <v>1097.8900000000001</v>
      </c>
      <c r="F97" s="95">
        <f t="shared" si="63"/>
        <v>1107.5899999999999</v>
      </c>
      <c r="G97" s="95">
        <f t="shared" si="63"/>
        <v>1155.0900000000001</v>
      </c>
      <c r="H97" s="95">
        <f t="shared" si="63"/>
        <v>1246.99</v>
      </c>
      <c r="I97" s="95">
        <f t="shared" si="63"/>
        <v>1275.29</v>
      </c>
      <c r="J97" s="95">
        <f t="shared" si="63"/>
        <v>1362.69</v>
      </c>
      <c r="K97" s="95">
        <f t="shared" si="63"/>
        <v>1397.19</v>
      </c>
      <c r="L97" s="95">
        <f t="shared" si="63"/>
        <v>1375.39</v>
      </c>
      <c r="M97" s="95">
        <f t="shared" si="63"/>
        <v>1406.0900000000001</v>
      </c>
      <c r="N97" s="95">
        <f t="shared" si="63"/>
        <v>1328.19</v>
      </c>
      <c r="O97" s="95">
        <f t="shared" si="63"/>
        <v>1275.5900000000001</v>
      </c>
      <c r="P97" s="95">
        <f t="shared" si="63"/>
        <v>1427.2900000000002</v>
      </c>
      <c r="Q97" s="95">
        <f t="shared" si="63"/>
        <v>1470.0900000000001</v>
      </c>
      <c r="R97" s="95">
        <f t="shared" si="63"/>
        <v>1380.29</v>
      </c>
      <c r="S97" s="95">
        <f t="shared" si="63"/>
        <v>1459.09</v>
      </c>
      <c r="T97" s="95">
        <f t="shared" ref="T97:U97" si="64">T58+T62+T80+T76+T92+T96</f>
        <v>1434.19</v>
      </c>
      <c r="U97" s="95">
        <f t="shared" si="64"/>
        <v>1395.79</v>
      </c>
      <c r="V97" s="95">
        <f t="shared" ref="V97:W97" si="65">V58+V62+V80+V76+V92+V96</f>
        <v>1335.09</v>
      </c>
      <c r="W97" s="95">
        <f t="shared" si="65"/>
        <v>1293.0900000000001</v>
      </c>
      <c r="X97" s="95">
        <f t="shared" ref="X97:Z97" si="66">X58+X62+X80+X76+X92+X96</f>
        <v>1341.79</v>
      </c>
      <c r="Y97" s="95">
        <f t="shared" si="66"/>
        <v>1446.5900000000001</v>
      </c>
      <c r="Z97" s="95">
        <f t="shared" si="66"/>
        <v>1404.99</v>
      </c>
      <c r="AA97" s="95">
        <f t="shared" ref="AA97" si="67">AA58+AA62+AA80+AA76+AA92+AA96</f>
        <v>1431.29</v>
      </c>
      <c r="AB97" s="95">
        <f t="shared" si="63"/>
        <v>1482.79</v>
      </c>
      <c r="AC97" s="95">
        <f t="shared" si="63"/>
        <v>1442.29</v>
      </c>
      <c r="AD97" s="95">
        <f t="shared" si="63"/>
        <v>1421.79</v>
      </c>
      <c r="AE97" s="95">
        <f t="shared" si="63"/>
        <v>1248.79</v>
      </c>
      <c r="AF97" s="95">
        <f t="shared" si="63"/>
        <v>1206.0899999999999</v>
      </c>
      <c r="AG97" s="61">
        <f t="shared" si="63"/>
        <v>2231.81</v>
      </c>
      <c r="AH97" s="47">
        <f t="shared" si="56"/>
        <v>1482.79</v>
      </c>
      <c r="AI97" s="48">
        <f t="shared" si="57"/>
        <v>1097.8900000000001</v>
      </c>
      <c r="BF97" s="233"/>
      <c r="BG97" s="233">
        <v>40.200000000000003</v>
      </c>
      <c r="BH97" s="233">
        <v>0</v>
      </c>
      <c r="BI97" s="233">
        <v>480.8</v>
      </c>
      <c r="BJ97" s="233">
        <v>41.8</v>
      </c>
      <c r="BK97" s="233">
        <v>107.6</v>
      </c>
      <c r="BL97" s="233">
        <v>45.9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>
        <v>180</v>
      </c>
      <c r="M98" s="97">
        <v>180</v>
      </c>
      <c r="N98" s="97">
        <v>180</v>
      </c>
      <c r="O98" s="97">
        <v>140</v>
      </c>
      <c r="P98" s="97">
        <v>120</v>
      </c>
      <c r="Q98" s="97"/>
      <c r="R98" s="97"/>
      <c r="S98" s="97"/>
      <c r="T98" s="97"/>
      <c r="U98" s="97"/>
      <c r="V98" s="97"/>
      <c r="W98" s="97">
        <v>150</v>
      </c>
      <c r="X98" s="97">
        <v>270</v>
      </c>
      <c r="Y98" s="97">
        <v>270</v>
      </c>
      <c r="Z98" s="97">
        <v>270</v>
      </c>
      <c r="AA98" s="97">
        <v>150</v>
      </c>
      <c r="AB98" s="97">
        <v>0</v>
      </c>
      <c r="AC98" s="97"/>
      <c r="AD98" s="97"/>
      <c r="AE98" s="97"/>
      <c r="AF98" s="97"/>
      <c r="AG98" s="88"/>
      <c r="AH98" s="47">
        <f t="shared" si="56"/>
        <v>270</v>
      </c>
      <c r="AI98" s="48">
        <f t="shared" si="57"/>
        <v>0</v>
      </c>
      <c r="BF98" s="233"/>
      <c r="BG98" s="233">
        <v>0</v>
      </c>
      <c r="BH98" s="233">
        <v>0</v>
      </c>
      <c r="BI98" s="233">
        <v>503</v>
      </c>
      <c r="BJ98" s="233">
        <v>51.9</v>
      </c>
      <c r="BK98" s="233">
        <v>107.4</v>
      </c>
      <c r="BL98" s="233">
        <v>49.7</v>
      </c>
    </row>
    <row r="99" spans="1:64" ht="15.75" thickBot="1" x14ac:dyDescent="0.3">
      <c r="A99" s="74" t="s">
        <v>101</v>
      </c>
      <c r="B99" s="95">
        <f t="shared" ref="B99:AF99" si="68">B97+B98</f>
        <v>1159.19</v>
      </c>
      <c r="C99" s="95">
        <f t="shared" si="68"/>
        <v>1187.69</v>
      </c>
      <c r="D99" s="95">
        <f t="shared" si="68"/>
        <v>1111.0900000000001</v>
      </c>
      <c r="E99" s="95">
        <f t="shared" si="68"/>
        <v>1097.8900000000001</v>
      </c>
      <c r="F99" s="95">
        <f t="shared" si="68"/>
        <v>1107.5899999999999</v>
      </c>
      <c r="G99" s="95">
        <f t="shared" si="68"/>
        <v>1155.0900000000001</v>
      </c>
      <c r="H99" s="95">
        <f t="shared" si="68"/>
        <v>1246.99</v>
      </c>
      <c r="I99" s="95">
        <f t="shared" si="68"/>
        <v>1275.29</v>
      </c>
      <c r="J99" s="95">
        <f t="shared" si="68"/>
        <v>1362.69</v>
      </c>
      <c r="K99" s="95">
        <f t="shared" si="68"/>
        <v>1397.19</v>
      </c>
      <c r="L99" s="95">
        <f t="shared" si="68"/>
        <v>1555.39</v>
      </c>
      <c r="M99" s="95">
        <f t="shared" si="68"/>
        <v>1586.0900000000001</v>
      </c>
      <c r="N99" s="95">
        <f t="shared" si="68"/>
        <v>1508.19</v>
      </c>
      <c r="O99" s="95">
        <f t="shared" si="68"/>
        <v>1415.5900000000001</v>
      </c>
      <c r="P99" s="95">
        <f t="shared" si="68"/>
        <v>1547.2900000000002</v>
      </c>
      <c r="Q99" s="95">
        <f t="shared" si="68"/>
        <v>1470.0900000000001</v>
      </c>
      <c r="R99" s="95">
        <f t="shared" si="68"/>
        <v>1380.29</v>
      </c>
      <c r="S99" s="95">
        <f t="shared" si="68"/>
        <v>1459.09</v>
      </c>
      <c r="T99" s="95">
        <f t="shared" ref="T99:U99" si="69">T97+T98</f>
        <v>1434.19</v>
      </c>
      <c r="U99" s="95">
        <f t="shared" si="69"/>
        <v>1395.79</v>
      </c>
      <c r="V99" s="95">
        <f t="shared" ref="V99:W99" si="70">V97+V98</f>
        <v>1335.09</v>
      </c>
      <c r="W99" s="95">
        <f t="shared" si="70"/>
        <v>1443.0900000000001</v>
      </c>
      <c r="X99" s="95">
        <f t="shared" ref="X99:Z99" si="71">X97+X98</f>
        <v>1611.79</v>
      </c>
      <c r="Y99" s="95">
        <f t="shared" si="71"/>
        <v>1716.5900000000001</v>
      </c>
      <c r="Z99" s="95">
        <f t="shared" si="71"/>
        <v>1674.99</v>
      </c>
      <c r="AA99" s="95">
        <f t="shared" ref="AA99" si="72">AA97+AA98</f>
        <v>1581.29</v>
      </c>
      <c r="AB99" s="95">
        <f t="shared" si="68"/>
        <v>1482.79</v>
      </c>
      <c r="AC99" s="95">
        <f t="shared" si="68"/>
        <v>1442.29</v>
      </c>
      <c r="AD99" s="95">
        <f t="shared" si="68"/>
        <v>1421.79</v>
      </c>
      <c r="AE99" s="95">
        <f t="shared" si="68"/>
        <v>1248.79</v>
      </c>
      <c r="AF99" s="95">
        <f t="shared" si="68"/>
        <v>1206.0899999999999</v>
      </c>
      <c r="AG99" s="88">
        <f>AG96+AG92+AG80+AG76+AG58+AG98</f>
        <v>1693.71</v>
      </c>
      <c r="AH99" s="47">
        <f t="shared" si="56"/>
        <v>1716.5900000000001</v>
      </c>
      <c r="AI99" s="48">
        <f t="shared" si="57"/>
        <v>1097.8900000000001</v>
      </c>
      <c r="BF99" s="233"/>
      <c r="BG99" s="233">
        <v>0</v>
      </c>
      <c r="BH99" s="233">
        <v>0</v>
      </c>
      <c r="BI99" s="233">
        <v>449.3</v>
      </c>
      <c r="BJ99" s="233">
        <v>28.2</v>
      </c>
      <c r="BK99" s="233">
        <v>91.6</v>
      </c>
      <c r="BL99" s="233">
        <v>44.7</v>
      </c>
    </row>
    <row r="100" spans="1:64" ht="15.75" thickBot="1" x14ac:dyDescent="0.3">
      <c r="A100" s="74" t="s">
        <v>102</v>
      </c>
      <c r="B100" s="95">
        <f t="shared" ref="B100:M100" si="73">B99-(B107)</f>
        <v>1159.19</v>
      </c>
      <c r="C100" s="95">
        <f t="shared" si="73"/>
        <v>1187.69</v>
      </c>
      <c r="D100" s="95">
        <f t="shared" si="73"/>
        <v>1111.0900000000001</v>
      </c>
      <c r="E100" s="95">
        <f t="shared" si="73"/>
        <v>1097.8900000000001</v>
      </c>
      <c r="F100" s="95">
        <f t="shared" si="73"/>
        <v>1107.5899999999999</v>
      </c>
      <c r="G100" s="95">
        <f t="shared" si="73"/>
        <v>1155.0900000000001</v>
      </c>
      <c r="H100" s="95">
        <f t="shared" si="73"/>
        <v>1246.99</v>
      </c>
      <c r="I100" s="95">
        <f t="shared" si="73"/>
        <v>1275.29</v>
      </c>
      <c r="J100" s="95">
        <f t="shared" si="73"/>
        <v>1362.69</v>
      </c>
      <c r="K100" s="95">
        <f t="shared" si="73"/>
        <v>1397.19</v>
      </c>
      <c r="L100" s="95">
        <f t="shared" si="73"/>
        <v>1555.39</v>
      </c>
      <c r="M100" s="95">
        <f t="shared" si="73"/>
        <v>1586.0900000000001</v>
      </c>
      <c r="N100" s="95">
        <f>N99-(N107)</f>
        <v>1508.19</v>
      </c>
      <c r="O100" s="95">
        <f t="shared" ref="O100:AF100" si="74">O99-(O107)</f>
        <v>1415.5900000000001</v>
      </c>
      <c r="P100" s="95">
        <f t="shared" si="74"/>
        <v>1547.2900000000002</v>
      </c>
      <c r="Q100" s="95">
        <f t="shared" si="74"/>
        <v>1470.0900000000001</v>
      </c>
      <c r="R100" s="95">
        <f t="shared" si="74"/>
        <v>1348.8899999999999</v>
      </c>
      <c r="S100" s="95">
        <f t="shared" si="74"/>
        <v>1459.09</v>
      </c>
      <c r="T100" s="95">
        <f t="shared" ref="T100:U100" si="75">T99-(T107)</f>
        <v>1434.19</v>
      </c>
      <c r="U100" s="95">
        <f t="shared" si="75"/>
        <v>1395.79</v>
      </c>
      <c r="V100" s="95">
        <f t="shared" ref="V100:W100" si="76">V99-(V107)</f>
        <v>1335.09</v>
      </c>
      <c r="W100" s="95">
        <f t="shared" si="76"/>
        <v>1443.0900000000001</v>
      </c>
      <c r="X100" s="95">
        <f t="shared" ref="X100:Z100" si="77">X99-(X107)</f>
        <v>1611.79</v>
      </c>
      <c r="Y100" s="95">
        <f t="shared" si="77"/>
        <v>1716.5900000000001</v>
      </c>
      <c r="Z100" s="95">
        <f t="shared" si="77"/>
        <v>1674.99</v>
      </c>
      <c r="AA100" s="95">
        <f t="shared" ref="AA100" si="78">AA99-(AA107)</f>
        <v>1581.29</v>
      </c>
      <c r="AB100" s="95">
        <f t="shared" si="74"/>
        <v>1482.79</v>
      </c>
      <c r="AC100" s="95">
        <f t="shared" si="74"/>
        <v>1442.29</v>
      </c>
      <c r="AD100" s="95">
        <f t="shared" si="74"/>
        <v>1421.79</v>
      </c>
      <c r="AE100" s="95">
        <f t="shared" si="74"/>
        <v>1248.79</v>
      </c>
      <c r="AF100" s="95">
        <f t="shared" si="74"/>
        <v>1206.0899999999999</v>
      </c>
      <c r="AG100" s="88"/>
      <c r="AH100" s="47">
        <f t="shared" si="56"/>
        <v>1716.5900000000001</v>
      </c>
      <c r="AI100" s="48">
        <f t="shared" si="57"/>
        <v>1097.8900000000001</v>
      </c>
      <c r="BF100" s="233"/>
      <c r="BG100" s="233">
        <v>58.1</v>
      </c>
      <c r="BH100" s="233">
        <v>0</v>
      </c>
      <c r="BI100" s="233">
        <v>469</v>
      </c>
      <c r="BJ100" s="233">
        <v>23.8</v>
      </c>
      <c r="BK100" s="233">
        <v>65.8</v>
      </c>
      <c r="BL100" s="233">
        <v>38</v>
      </c>
    </row>
    <row r="101" spans="1:64" x14ac:dyDescent="0.25">
      <c r="A101" s="44" t="s">
        <v>84</v>
      </c>
      <c r="B101" s="76">
        <f t="shared" ref="B101:AF101" si="79">IF(B84&lt;0,B84*-1,0)</f>
        <v>0</v>
      </c>
      <c r="C101" s="76">
        <f t="shared" si="79"/>
        <v>0</v>
      </c>
      <c r="D101" s="76">
        <f t="shared" si="79"/>
        <v>0</v>
      </c>
      <c r="E101" s="76">
        <f t="shared" si="79"/>
        <v>0</v>
      </c>
      <c r="F101" s="76">
        <f t="shared" si="79"/>
        <v>0</v>
      </c>
      <c r="G101" s="76">
        <f t="shared" si="79"/>
        <v>0</v>
      </c>
      <c r="H101" s="76">
        <f t="shared" si="79"/>
        <v>0</v>
      </c>
      <c r="I101" s="76">
        <f t="shared" si="79"/>
        <v>0</v>
      </c>
      <c r="J101" s="76">
        <f t="shared" si="79"/>
        <v>0</v>
      </c>
      <c r="K101" s="76">
        <f t="shared" si="79"/>
        <v>0</v>
      </c>
      <c r="L101" s="76">
        <f t="shared" si="79"/>
        <v>0</v>
      </c>
      <c r="M101" s="76">
        <f t="shared" si="79"/>
        <v>0</v>
      </c>
      <c r="N101" s="76">
        <f t="shared" si="79"/>
        <v>0</v>
      </c>
      <c r="O101" s="76">
        <f t="shared" si="79"/>
        <v>0</v>
      </c>
      <c r="P101" s="76">
        <f t="shared" si="79"/>
        <v>0</v>
      </c>
      <c r="Q101" s="76">
        <f t="shared" si="79"/>
        <v>0</v>
      </c>
      <c r="R101" s="76">
        <f t="shared" si="79"/>
        <v>0</v>
      </c>
      <c r="S101" s="76">
        <f t="shared" si="79"/>
        <v>0</v>
      </c>
      <c r="T101" s="76">
        <f t="shared" ref="T101:U101" si="80">IF(T84&lt;0,T84*-1,0)</f>
        <v>0</v>
      </c>
      <c r="U101" s="76">
        <f t="shared" si="80"/>
        <v>0</v>
      </c>
      <c r="V101" s="76">
        <f t="shared" ref="V101:W101" si="81">IF(V84&lt;0,V84*-1,0)</f>
        <v>0</v>
      </c>
      <c r="W101" s="76">
        <f t="shared" si="81"/>
        <v>0</v>
      </c>
      <c r="X101" s="76">
        <f t="shared" ref="X101:Z101" si="82">IF(X84&lt;0,X84*-1,0)</f>
        <v>0</v>
      </c>
      <c r="Y101" s="76">
        <f t="shared" si="82"/>
        <v>0</v>
      </c>
      <c r="Z101" s="76">
        <f t="shared" si="82"/>
        <v>0</v>
      </c>
      <c r="AA101" s="76">
        <f t="shared" ref="AA101" si="83">IF(AA84&lt;0,AA84*-1,0)</f>
        <v>0</v>
      </c>
      <c r="AB101" s="76">
        <f t="shared" si="79"/>
        <v>0</v>
      </c>
      <c r="AC101" s="76">
        <f t="shared" si="79"/>
        <v>0</v>
      </c>
      <c r="AD101" s="76">
        <f t="shared" si="79"/>
        <v>0</v>
      </c>
      <c r="AE101" s="76">
        <f t="shared" si="79"/>
        <v>0</v>
      </c>
      <c r="AF101" s="76">
        <f t="shared" si="79"/>
        <v>0</v>
      </c>
      <c r="AG101" s="52"/>
      <c r="AH101" s="47">
        <f t="shared" si="56"/>
        <v>0</v>
      </c>
      <c r="AI101" s="48">
        <f t="shared" si="57"/>
        <v>0</v>
      </c>
      <c r="BF101" s="232"/>
      <c r="BG101" s="233">
        <v>0</v>
      </c>
      <c r="BH101" s="233">
        <v>0</v>
      </c>
      <c r="BI101" s="233">
        <v>422</v>
      </c>
      <c r="BJ101" s="233">
        <v>21</v>
      </c>
      <c r="BK101" s="233">
        <v>59.2</v>
      </c>
      <c r="BL101" s="233">
        <v>39.9</v>
      </c>
    </row>
    <row r="102" spans="1:64" x14ac:dyDescent="0.25">
      <c r="A102" s="54" t="s">
        <v>82</v>
      </c>
      <c r="B102" s="76">
        <f t="shared" ref="B102:AF102" si="84">IF(B82&lt;0,B82*-1,0)</f>
        <v>0</v>
      </c>
      <c r="C102" s="76">
        <f t="shared" si="84"/>
        <v>0</v>
      </c>
      <c r="D102" s="76">
        <f t="shared" si="84"/>
        <v>0</v>
      </c>
      <c r="E102" s="76">
        <f t="shared" si="84"/>
        <v>0</v>
      </c>
      <c r="F102" s="76">
        <f t="shared" si="84"/>
        <v>0</v>
      </c>
      <c r="G102" s="76">
        <f t="shared" si="84"/>
        <v>0</v>
      </c>
      <c r="H102" s="76">
        <f t="shared" si="84"/>
        <v>0</v>
      </c>
      <c r="I102" s="76">
        <f t="shared" si="84"/>
        <v>0</v>
      </c>
      <c r="J102" s="76">
        <f t="shared" si="84"/>
        <v>0</v>
      </c>
      <c r="K102" s="76">
        <f t="shared" si="84"/>
        <v>0</v>
      </c>
      <c r="L102" s="76">
        <f t="shared" si="84"/>
        <v>0</v>
      </c>
      <c r="M102" s="76">
        <f t="shared" si="84"/>
        <v>0</v>
      </c>
      <c r="N102" s="76">
        <f t="shared" si="84"/>
        <v>0</v>
      </c>
      <c r="O102" s="76">
        <f t="shared" si="84"/>
        <v>0</v>
      </c>
      <c r="P102" s="76">
        <f t="shared" si="84"/>
        <v>0</v>
      </c>
      <c r="Q102" s="76">
        <f t="shared" si="84"/>
        <v>0</v>
      </c>
      <c r="R102" s="76">
        <f t="shared" si="84"/>
        <v>0</v>
      </c>
      <c r="S102" s="76">
        <f t="shared" si="84"/>
        <v>0</v>
      </c>
      <c r="T102" s="76">
        <f t="shared" ref="T102:U102" si="85">IF(T82&lt;0,T82*-1,0)</f>
        <v>0</v>
      </c>
      <c r="U102" s="76">
        <f t="shared" si="85"/>
        <v>0</v>
      </c>
      <c r="V102" s="76">
        <f t="shared" ref="V102:W102" si="86">IF(V82&lt;0,V82*-1,0)</f>
        <v>0</v>
      </c>
      <c r="W102" s="76">
        <f t="shared" si="86"/>
        <v>0</v>
      </c>
      <c r="X102" s="76">
        <f t="shared" ref="X102:Z102" si="87">IF(X82&lt;0,X82*-1,0)</f>
        <v>0</v>
      </c>
      <c r="Y102" s="76">
        <f t="shared" si="87"/>
        <v>0</v>
      </c>
      <c r="Z102" s="76">
        <f t="shared" si="87"/>
        <v>0</v>
      </c>
      <c r="AA102" s="76">
        <f t="shared" ref="AA102" si="88">IF(AA82&lt;0,AA82*-1,0)</f>
        <v>0</v>
      </c>
      <c r="AB102" s="76">
        <f t="shared" si="84"/>
        <v>0</v>
      </c>
      <c r="AC102" s="76">
        <f t="shared" si="84"/>
        <v>0</v>
      </c>
      <c r="AD102" s="76">
        <f t="shared" si="84"/>
        <v>0</v>
      </c>
      <c r="AE102" s="76">
        <f t="shared" si="84"/>
        <v>0</v>
      </c>
      <c r="AF102" s="76">
        <f t="shared" si="84"/>
        <v>0</v>
      </c>
      <c r="AG102" s="55"/>
      <c r="AH102" s="47">
        <f t="shared" si="56"/>
        <v>0</v>
      </c>
      <c r="AI102" s="48">
        <f t="shared" si="57"/>
        <v>0</v>
      </c>
      <c r="BF102" s="232"/>
      <c r="BG102" s="233">
        <v>57.1</v>
      </c>
      <c r="BH102" s="233">
        <v>0</v>
      </c>
      <c r="BI102" s="233">
        <v>284.5</v>
      </c>
      <c r="BJ102" s="233">
        <v>17.7</v>
      </c>
      <c r="BK102" s="233">
        <v>59</v>
      </c>
      <c r="BL102" s="233">
        <v>27.5</v>
      </c>
    </row>
    <row r="103" spans="1:64" x14ac:dyDescent="0.25">
      <c r="A103" s="84" t="s">
        <v>103</v>
      </c>
      <c r="B103" s="76">
        <f t="shared" ref="B103:AF103" si="89">IF(B85&lt;0,B85*-1,0)</f>
        <v>0</v>
      </c>
      <c r="C103" s="76">
        <f t="shared" si="89"/>
        <v>0</v>
      </c>
      <c r="D103" s="76">
        <f t="shared" si="89"/>
        <v>0</v>
      </c>
      <c r="E103" s="76">
        <f t="shared" si="89"/>
        <v>0</v>
      </c>
      <c r="F103" s="76">
        <f t="shared" si="89"/>
        <v>0</v>
      </c>
      <c r="G103" s="76">
        <f t="shared" si="89"/>
        <v>0</v>
      </c>
      <c r="H103" s="76">
        <f t="shared" si="89"/>
        <v>0</v>
      </c>
      <c r="I103" s="76">
        <f t="shared" si="89"/>
        <v>0</v>
      </c>
      <c r="J103" s="76">
        <f t="shared" si="89"/>
        <v>0</v>
      </c>
      <c r="K103" s="76">
        <f t="shared" si="89"/>
        <v>0</v>
      </c>
      <c r="L103" s="76">
        <f t="shared" si="89"/>
        <v>0</v>
      </c>
      <c r="M103" s="76">
        <f t="shared" si="89"/>
        <v>0</v>
      </c>
      <c r="N103" s="76">
        <f t="shared" si="89"/>
        <v>0</v>
      </c>
      <c r="O103" s="76">
        <f t="shared" si="89"/>
        <v>0</v>
      </c>
      <c r="P103" s="76">
        <f t="shared" si="89"/>
        <v>0</v>
      </c>
      <c r="Q103" s="76">
        <f t="shared" si="89"/>
        <v>0</v>
      </c>
      <c r="R103" s="76">
        <f t="shared" si="89"/>
        <v>0</v>
      </c>
      <c r="S103" s="76">
        <f t="shared" si="89"/>
        <v>0</v>
      </c>
      <c r="T103" s="76">
        <f t="shared" ref="T103:U103" si="90">IF(T85&lt;0,T85*-1,0)</f>
        <v>0</v>
      </c>
      <c r="U103" s="76">
        <f t="shared" si="90"/>
        <v>0</v>
      </c>
      <c r="V103" s="76">
        <f t="shared" ref="V103:W103" si="91">IF(V85&lt;0,V85*-1,0)</f>
        <v>0</v>
      </c>
      <c r="W103" s="76">
        <f t="shared" si="91"/>
        <v>0</v>
      </c>
      <c r="X103" s="76">
        <f t="shared" ref="X103:Z103" si="92">IF(X85&lt;0,X85*-1,0)</f>
        <v>0</v>
      </c>
      <c r="Y103" s="76">
        <f t="shared" si="92"/>
        <v>0</v>
      </c>
      <c r="Z103" s="76">
        <f t="shared" si="92"/>
        <v>0</v>
      </c>
      <c r="AA103" s="76">
        <f t="shared" ref="AA103" si="93">IF(AA85&lt;0,AA85*-1,0)</f>
        <v>0</v>
      </c>
      <c r="AB103" s="76">
        <f t="shared" si="89"/>
        <v>0</v>
      </c>
      <c r="AC103" s="76">
        <f t="shared" si="89"/>
        <v>0</v>
      </c>
      <c r="AD103" s="76">
        <f t="shared" si="89"/>
        <v>0</v>
      </c>
      <c r="AE103" s="76">
        <f t="shared" si="89"/>
        <v>0</v>
      </c>
      <c r="AF103" s="76">
        <f t="shared" si="89"/>
        <v>0</v>
      </c>
      <c r="AG103" s="98"/>
      <c r="AH103" s="47">
        <f t="shared" si="56"/>
        <v>0</v>
      </c>
      <c r="AI103" s="48">
        <f t="shared" si="57"/>
        <v>0</v>
      </c>
      <c r="BF103" s="232"/>
      <c r="BG103" s="233">
        <v>63.8</v>
      </c>
      <c r="BH103" s="233">
        <v>0</v>
      </c>
      <c r="BI103" s="233">
        <v>287</v>
      </c>
      <c r="BJ103" s="233">
        <v>39.200000000000003</v>
      </c>
      <c r="BK103" s="233">
        <v>92</v>
      </c>
      <c r="BL103" s="233">
        <v>38.5</v>
      </c>
    </row>
    <row r="104" spans="1:64" x14ac:dyDescent="0.25">
      <c r="A104" s="84" t="s">
        <v>104</v>
      </c>
      <c r="B104" s="76">
        <f t="shared" ref="B104:AF104" si="94">IF(B83&lt;0,B83*-1,0)</f>
        <v>0</v>
      </c>
      <c r="C104" s="76">
        <f t="shared" si="94"/>
        <v>0</v>
      </c>
      <c r="D104" s="76">
        <f t="shared" si="94"/>
        <v>0</v>
      </c>
      <c r="E104" s="76">
        <f t="shared" si="94"/>
        <v>0</v>
      </c>
      <c r="F104" s="76">
        <f t="shared" si="94"/>
        <v>0</v>
      </c>
      <c r="G104" s="76">
        <f t="shared" si="94"/>
        <v>0</v>
      </c>
      <c r="H104" s="76">
        <f t="shared" si="94"/>
        <v>0</v>
      </c>
      <c r="I104" s="76">
        <f t="shared" si="94"/>
        <v>0</v>
      </c>
      <c r="J104" s="76">
        <f t="shared" si="94"/>
        <v>0</v>
      </c>
      <c r="K104" s="76">
        <f t="shared" si="94"/>
        <v>0</v>
      </c>
      <c r="L104" s="76">
        <f t="shared" si="94"/>
        <v>0</v>
      </c>
      <c r="M104" s="76">
        <f t="shared" si="94"/>
        <v>0</v>
      </c>
      <c r="N104" s="76">
        <f t="shared" si="94"/>
        <v>0</v>
      </c>
      <c r="O104" s="76">
        <f t="shared" si="94"/>
        <v>0</v>
      </c>
      <c r="P104" s="76">
        <f t="shared" si="94"/>
        <v>0</v>
      </c>
      <c r="Q104" s="76">
        <f t="shared" si="94"/>
        <v>0</v>
      </c>
      <c r="R104" s="76">
        <f t="shared" si="94"/>
        <v>0</v>
      </c>
      <c r="S104" s="76">
        <f t="shared" si="94"/>
        <v>0</v>
      </c>
      <c r="T104" s="76">
        <f t="shared" ref="T104:U104" si="95">IF(T83&lt;0,T83*-1,0)</f>
        <v>0</v>
      </c>
      <c r="U104" s="76">
        <f t="shared" si="95"/>
        <v>0</v>
      </c>
      <c r="V104" s="76">
        <f t="shared" ref="V104:W104" si="96">IF(V83&lt;0,V83*-1,0)</f>
        <v>0</v>
      </c>
      <c r="W104" s="76">
        <f t="shared" si="96"/>
        <v>0</v>
      </c>
      <c r="X104" s="76">
        <f t="shared" ref="X104:Z104" si="97">IF(X83&lt;0,X83*-1,0)</f>
        <v>0</v>
      </c>
      <c r="Y104" s="76">
        <f t="shared" si="97"/>
        <v>0</v>
      </c>
      <c r="Z104" s="76">
        <f t="shared" si="97"/>
        <v>0</v>
      </c>
      <c r="AA104" s="76">
        <f t="shared" ref="AA104" si="98">IF(AA83&lt;0,AA83*-1,0)</f>
        <v>0</v>
      </c>
      <c r="AB104" s="76">
        <f t="shared" si="94"/>
        <v>0</v>
      </c>
      <c r="AC104" s="76">
        <f t="shared" si="94"/>
        <v>0</v>
      </c>
      <c r="AD104" s="76">
        <f t="shared" si="94"/>
        <v>0</v>
      </c>
      <c r="AE104" s="76">
        <f t="shared" si="94"/>
        <v>0</v>
      </c>
      <c r="AF104" s="76">
        <f t="shared" si="94"/>
        <v>0</v>
      </c>
      <c r="AG104" s="98"/>
      <c r="AH104" s="47">
        <f t="shared" si="56"/>
        <v>0</v>
      </c>
      <c r="AI104" s="48">
        <f t="shared" si="57"/>
        <v>0</v>
      </c>
      <c r="BF104" s="232"/>
      <c r="BG104" s="233">
        <v>58.9</v>
      </c>
      <c r="BH104" s="233">
        <v>0</v>
      </c>
      <c r="BI104" s="233">
        <v>360</v>
      </c>
      <c r="BJ104" s="233">
        <v>45</v>
      </c>
      <c r="BK104" s="233">
        <v>91</v>
      </c>
      <c r="BL104" s="233">
        <v>49.2</v>
      </c>
    </row>
    <row r="105" spans="1:64" x14ac:dyDescent="0.25">
      <c r="A105" s="84" t="s">
        <v>81</v>
      </c>
      <c r="B105" s="76">
        <f t="shared" ref="B105:AF105" si="99">IF(B81&lt;0,B81*-1,0)</f>
        <v>0</v>
      </c>
      <c r="C105" s="76">
        <f t="shared" si="99"/>
        <v>0</v>
      </c>
      <c r="D105" s="76">
        <f t="shared" si="99"/>
        <v>0</v>
      </c>
      <c r="E105" s="76">
        <f t="shared" si="99"/>
        <v>0</v>
      </c>
      <c r="F105" s="76">
        <f t="shared" si="99"/>
        <v>0</v>
      </c>
      <c r="G105" s="76">
        <f t="shared" si="99"/>
        <v>0</v>
      </c>
      <c r="H105" s="76">
        <f t="shared" si="99"/>
        <v>0</v>
      </c>
      <c r="I105" s="76">
        <f t="shared" si="99"/>
        <v>0</v>
      </c>
      <c r="J105" s="76">
        <f t="shared" si="99"/>
        <v>0</v>
      </c>
      <c r="K105" s="76">
        <f t="shared" si="99"/>
        <v>0</v>
      </c>
      <c r="L105" s="76">
        <f t="shared" si="99"/>
        <v>0</v>
      </c>
      <c r="M105" s="76">
        <f t="shared" si="99"/>
        <v>0</v>
      </c>
      <c r="N105" s="76">
        <f t="shared" si="99"/>
        <v>0</v>
      </c>
      <c r="O105" s="76">
        <f t="shared" si="99"/>
        <v>0</v>
      </c>
      <c r="P105" s="76">
        <f t="shared" si="99"/>
        <v>0</v>
      </c>
      <c r="Q105" s="76">
        <f t="shared" si="99"/>
        <v>0</v>
      </c>
      <c r="R105" s="76">
        <f t="shared" si="99"/>
        <v>31.4</v>
      </c>
      <c r="S105" s="76">
        <f t="shared" si="99"/>
        <v>0</v>
      </c>
      <c r="T105" s="76">
        <f t="shared" ref="T105:U105" si="100">IF(T81&lt;0,T81*-1,0)</f>
        <v>0</v>
      </c>
      <c r="U105" s="76">
        <f t="shared" si="100"/>
        <v>0</v>
      </c>
      <c r="V105" s="76">
        <f t="shared" ref="V105:W105" si="101">IF(V81&lt;0,V81*-1,0)</f>
        <v>0</v>
      </c>
      <c r="W105" s="76">
        <f t="shared" si="101"/>
        <v>0</v>
      </c>
      <c r="X105" s="76">
        <f t="shared" ref="X105:Z105" si="102">IF(X81&lt;0,X81*-1,0)</f>
        <v>0</v>
      </c>
      <c r="Y105" s="76">
        <f t="shared" si="102"/>
        <v>0</v>
      </c>
      <c r="Z105" s="76">
        <f t="shared" si="102"/>
        <v>0</v>
      </c>
      <c r="AA105" s="76">
        <f t="shared" ref="AA105" si="103">IF(AA81&lt;0,AA81*-1,0)</f>
        <v>0</v>
      </c>
      <c r="AB105" s="76">
        <f t="shared" si="99"/>
        <v>0</v>
      </c>
      <c r="AC105" s="76">
        <f t="shared" si="99"/>
        <v>0</v>
      </c>
      <c r="AD105" s="76">
        <f t="shared" si="99"/>
        <v>0</v>
      </c>
      <c r="AE105" s="76">
        <f t="shared" si="99"/>
        <v>0</v>
      </c>
      <c r="AF105" s="76">
        <f t="shared" si="99"/>
        <v>0</v>
      </c>
      <c r="AG105" s="98"/>
      <c r="AH105" s="47">
        <f t="shared" si="56"/>
        <v>31.4</v>
      </c>
      <c r="AI105" s="48">
        <f t="shared" si="57"/>
        <v>0</v>
      </c>
      <c r="BF105" s="232"/>
      <c r="BG105" s="233">
        <v>43.7</v>
      </c>
      <c r="BH105" s="233">
        <v>0</v>
      </c>
      <c r="BI105" s="233">
        <v>334</v>
      </c>
      <c r="BJ105" s="233">
        <v>2.8</v>
      </c>
      <c r="BK105" s="233">
        <v>92</v>
      </c>
      <c r="BL105" s="233">
        <v>50.2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6"/>
        <v>0</v>
      </c>
      <c r="AI106" s="48">
        <f t="shared" si="57"/>
        <v>0</v>
      </c>
      <c r="BG106" s="233">
        <v>60.2</v>
      </c>
      <c r="BH106" s="233">
        <v>0</v>
      </c>
      <c r="BI106" s="233">
        <v>410</v>
      </c>
      <c r="BJ106" s="233">
        <v>17.100000000000001</v>
      </c>
      <c r="BK106" s="233">
        <v>0</v>
      </c>
      <c r="BL106" s="233">
        <v>42.6</v>
      </c>
    </row>
    <row r="107" spans="1:64" ht="15.75" thickBot="1" x14ac:dyDescent="0.3">
      <c r="A107" s="99" t="s">
        <v>106</v>
      </c>
      <c r="B107" s="60">
        <f t="shared" ref="B107:C107" si="104">SUM(B101:B106)</f>
        <v>0</v>
      </c>
      <c r="C107" s="60">
        <f t="shared" si="104"/>
        <v>0</v>
      </c>
      <c r="D107" s="60">
        <f t="shared" ref="D107:AF107" si="105">SUM(D101:D106)</f>
        <v>0</v>
      </c>
      <c r="E107" s="60">
        <f t="shared" si="105"/>
        <v>0</v>
      </c>
      <c r="F107" s="60">
        <f t="shared" si="105"/>
        <v>0</v>
      </c>
      <c r="G107" s="60">
        <f t="shared" si="105"/>
        <v>0</v>
      </c>
      <c r="H107" s="60">
        <f t="shared" si="105"/>
        <v>0</v>
      </c>
      <c r="I107" s="60">
        <f t="shared" si="105"/>
        <v>0</v>
      </c>
      <c r="J107" s="60">
        <f t="shared" si="105"/>
        <v>0</v>
      </c>
      <c r="K107" s="60">
        <f t="shared" si="105"/>
        <v>0</v>
      </c>
      <c r="L107" s="60">
        <f t="shared" si="105"/>
        <v>0</v>
      </c>
      <c r="M107" s="60">
        <f t="shared" si="105"/>
        <v>0</v>
      </c>
      <c r="N107" s="60">
        <f t="shared" si="105"/>
        <v>0</v>
      </c>
      <c r="O107" s="60">
        <f t="shared" si="105"/>
        <v>0</v>
      </c>
      <c r="P107" s="60">
        <f t="shared" si="105"/>
        <v>0</v>
      </c>
      <c r="Q107" s="60">
        <f t="shared" si="105"/>
        <v>0</v>
      </c>
      <c r="R107" s="60">
        <f t="shared" si="105"/>
        <v>31.4</v>
      </c>
      <c r="S107" s="60">
        <f t="shared" si="105"/>
        <v>0</v>
      </c>
      <c r="T107" s="60">
        <f t="shared" ref="T107:U107" si="106">SUM(T101:T106)</f>
        <v>0</v>
      </c>
      <c r="U107" s="60">
        <f t="shared" si="106"/>
        <v>0</v>
      </c>
      <c r="V107" s="60">
        <f t="shared" ref="V107:W107" si="107">SUM(V101:V106)</f>
        <v>0</v>
      </c>
      <c r="W107" s="60">
        <f t="shared" si="107"/>
        <v>0</v>
      </c>
      <c r="X107" s="60">
        <f t="shared" ref="X107:Y107" si="108">SUM(X101:X106)</f>
        <v>0</v>
      </c>
      <c r="Y107" s="60">
        <f t="shared" si="108"/>
        <v>0</v>
      </c>
      <c r="Z107" s="60">
        <v>0</v>
      </c>
      <c r="AA107" s="60">
        <v>0</v>
      </c>
      <c r="AB107" s="60">
        <f t="shared" si="105"/>
        <v>0</v>
      </c>
      <c r="AC107" s="60">
        <f t="shared" si="105"/>
        <v>0</v>
      </c>
      <c r="AD107" s="60">
        <f t="shared" si="105"/>
        <v>0</v>
      </c>
      <c r="AE107" s="60">
        <f t="shared" si="105"/>
        <v>0</v>
      </c>
      <c r="AF107" s="60">
        <f t="shared" si="105"/>
        <v>0</v>
      </c>
      <c r="AG107" s="88"/>
      <c r="AH107" s="47">
        <f t="shared" si="56"/>
        <v>31.4</v>
      </c>
      <c r="AI107" s="48">
        <f t="shared" si="57"/>
        <v>0</v>
      </c>
      <c r="AK107" s="50"/>
      <c r="BG107" s="233">
        <v>66</v>
      </c>
      <c r="BH107" s="233">
        <v>0</v>
      </c>
      <c r="BI107" s="233">
        <v>320</v>
      </c>
      <c r="BJ107" s="233">
        <v>3</v>
      </c>
      <c r="BK107" s="233">
        <v>108</v>
      </c>
      <c r="BL107" s="233">
        <v>50</v>
      </c>
    </row>
    <row r="108" spans="1:64" ht="15.75" thickBot="1" x14ac:dyDescent="0.3">
      <c r="A108" s="74" t="s">
        <v>107</v>
      </c>
      <c r="B108" s="60">
        <f t="shared" ref="B108:AF108" si="109">B92-B107</f>
        <v>547</v>
      </c>
      <c r="C108" s="60">
        <f t="shared" si="109"/>
        <v>600.5</v>
      </c>
      <c r="D108" s="60">
        <f t="shared" si="109"/>
        <v>498.90000000000003</v>
      </c>
      <c r="E108" s="60">
        <f t="shared" si="109"/>
        <v>475.1</v>
      </c>
      <c r="F108" s="60">
        <f t="shared" si="109"/>
        <v>490.8</v>
      </c>
      <c r="G108" s="60">
        <f t="shared" si="109"/>
        <v>536.6</v>
      </c>
      <c r="H108" s="60">
        <f t="shared" si="109"/>
        <v>565.80000000000007</v>
      </c>
      <c r="I108" s="60">
        <f t="shared" si="109"/>
        <v>540.1</v>
      </c>
      <c r="J108" s="60">
        <f t="shared" si="109"/>
        <v>551.70000000000005</v>
      </c>
      <c r="K108" s="60">
        <f t="shared" si="109"/>
        <v>358.4</v>
      </c>
      <c r="L108" s="60">
        <f t="shared" si="109"/>
        <v>178.5</v>
      </c>
      <c r="M108" s="60">
        <f t="shared" si="109"/>
        <v>126.49999999999999</v>
      </c>
      <c r="N108" s="60">
        <f t="shared" si="109"/>
        <v>224</v>
      </c>
      <c r="O108" s="60">
        <f t="shared" si="109"/>
        <v>481.1</v>
      </c>
      <c r="P108" s="60">
        <f t="shared" si="109"/>
        <v>556.5</v>
      </c>
      <c r="Q108" s="60">
        <f t="shared" si="109"/>
        <v>559.29999999999995</v>
      </c>
      <c r="R108" s="60">
        <f t="shared" si="109"/>
        <v>600.6</v>
      </c>
      <c r="S108" s="60">
        <f t="shared" si="109"/>
        <v>716.3</v>
      </c>
      <c r="T108" s="60">
        <f t="shared" ref="T108:U108" si="110">T92-T107</f>
        <v>712</v>
      </c>
      <c r="U108" s="60">
        <f t="shared" si="110"/>
        <v>613.80000000000007</v>
      </c>
      <c r="V108" s="60">
        <f t="shared" ref="V108:W108" si="111">V92-V107</f>
        <v>654.69999999999993</v>
      </c>
      <c r="W108" s="60">
        <f t="shared" si="111"/>
        <v>612.70000000000005</v>
      </c>
      <c r="X108" s="60">
        <f t="shared" ref="X108:Z108" si="112">X92-X107</f>
        <v>542.1</v>
      </c>
      <c r="Y108" s="60">
        <f t="shared" si="112"/>
        <v>497.40000000000003</v>
      </c>
      <c r="Z108" s="60">
        <f t="shared" si="112"/>
        <v>445.8</v>
      </c>
      <c r="AA108" s="60">
        <f t="shared" ref="AA108" si="113">AA92-AA107</f>
        <v>478.99999999999994</v>
      </c>
      <c r="AB108" s="60">
        <f t="shared" si="109"/>
        <v>520.5</v>
      </c>
      <c r="AC108" s="60">
        <f t="shared" si="109"/>
        <v>531.5</v>
      </c>
      <c r="AD108" s="60">
        <f t="shared" si="109"/>
        <v>604.1</v>
      </c>
      <c r="AE108" s="60">
        <f t="shared" si="109"/>
        <v>522.70000000000005</v>
      </c>
      <c r="AF108" s="60">
        <f t="shared" si="109"/>
        <v>529.9</v>
      </c>
      <c r="AG108" s="88"/>
      <c r="AH108" s="47">
        <f t="shared" si="56"/>
        <v>716.3</v>
      </c>
      <c r="AI108" s="48">
        <f t="shared" si="57"/>
        <v>126.49999999999999</v>
      </c>
    </row>
    <row r="109" spans="1:64" x14ac:dyDescent="0.25">
      <c r="A109" s="100" t="s">
        <v>108</v>
      </c>
      <c r="B109" s="101">
        <v>50.087000000000003</v>
      </c>
      <c r="C109" s="101">
        <v>50.087000000000003</v>
      </c>
      <c r="D109" s="101">
        <v>49.999000000000002</v>
      </c>
      <c r="E109" s="101">
        <v>50.061999999999998</v>
      </c>
      <c r="F109" s="101">
        <v>50.021999999999998</v>
      </c>
      <c r="G109" s="101">
        <v>50.036999999999999</v>
      </c>
      <c r="H109" s="101">
        <v>50.073999999999998</v>
      </c>
      <c r="I109" s="101">
        <v>50.097000000000001</v>
      </c>
      <c r="J109" s="101">
        <v>49.978000000000002</v>
      </c>
      <c r="K109" s="101">
        <v>50.003999999999998</v>
      </c>
      <c r="L109" s="101">
        <v>50.048999999999999</v>
      </c>
      <c r="M109" s="101">
        <v>50.107999999999997</v>
      </c>
      <c r="N109" s="101">
        <v>50.162999999999997</v>
      </c>
      <c r="O109" s="101">
        <v>50.015999999999998</v>
      </c>
      <c r="P109" s="101">
        <v>50.075000000000003</v>
      </c>
      <c r="Q109" s="101">
        <v>50.021000000000001</v>
      </c>
      <c r="R109" s="101">
        <v>50.162999999999997</v>
      </c>
      <c r="S109" s="101">
        <v>50.231000000000002</v>
      </c>
      <c r="T109" s="101">
        <v>50.04</v>
      </c>
      <c r="U109" s="101">
        <v>49.93</v>
      </c>
      <c r="V109" s="101">
        <v>49.94</v>
      </c>
      <c r="W109" s="101">
        <v>50.11</v>
      </c>
      <c r="X109" s="101">
        <v>50.02</v>
      </c>
      <c r="Y109" s="101">
        <v>50</v>
      </c>
      <c r="Z109" s="101">
        <v>50.01</v>
      </c>
      <c r="AA109" s="101">
        <v>50.04</v>
      </c>
      <c r="AB109" s="101">
        <v>50.08</v>
      </c>
      <c r="AC109" s="101">
        <v>49.957000000000001</v>
      </c>
      <c r="AD109" s="101">
        <v>50.067999999999998</v>
      </c>
      <c r="AE109" s="101">
        <v>50.033000000000001</v>
      </c>
      <c r="AF109" s="101">
        <v>50.005000000000003</v>
      </c>
      <c r="AG109" s="102"/>
      <c r="AH109" s="47">
        <f t="shared" si="56"/>
        <v>50.231000000000002</v>
      </c>
      <c r="AI109" s="48">
        <f t="shared" si="57"/>
        <v>49.93</v>
      </c>
    </row>
    <row r="110" spans="1:64" x14ac:dyDescent="0.25">
      <c r="A110" s="103" t="s">
        <v>109</v>
      </c>
      <c r="B110" s="65">
        <v>132.69999999999999</v>
      </c>
      <c r="C110" s="65">
        <v>132.69999999999999</v>
      </c>
      <c r="D110" s="65">
        <v>129.69999999999999</v>
      </c>
      <c r="E110" s="65">
        <v>128</v>
      </c>
      <c r="F110" s="65">
        <v>129</v>
      </c>
      <c r="G110" s="65">
        <v>126.8</v>
      </c>
      <c r="H110" s="65">
        <v>125.8</v>
      </c>
      <c r="I110" s="65">
        <v>128.80000000000001</v>
      </c>
      <c r="J110" s="65">
        <v>126.6</v>
      </c>
      <c r="K110" s="65">
        <v>130.80000000000001</v>
      </c>
      <c r="L110" s="65">
        <v>125.7</v>
      </c>
      <c r="M110" s="65">
        <v>124.8</v>
      </c>
      <c r="N110" s="65">
        <v>125.4</v>
      </c>
      <c r="O110" s="65">
        <v>125.4</v>
      </c>
      <c r="P110" s="65">
        <v>122.9</v>
      </c>
      <c r="Q110" s="65">
        <v>123.2</v>
      </c>
      <c r="R110" s="65">
        <v>124.9</v>
      </c>
      <c r="S110" s="65">
        <v>125.6</v>
      </c>
      <c r="T110" s="65">
        <v>125.4</v>
      </c>
      <c r="U110" s="65">
        <v>125.8</v>
      </c>
      <c r="V110" s="65">
        <v>126.8</v>
      </c>
      <c r="W110" s="65">
        <v>127.8</v>
      </c>
      <c r="X110" s="65">
        <v>129</v>
      </c>
      <c r="Y110" s="65">
        <v>127.5</v>
      </c>
      <c r="Z110" s="65">
        <v>127.7</v>
      </c>
      <c r="AA110" s="65">
        <v>129.6</v>
      </c>
      <c r="AB110" s="65">
        <v>129.5</v>
      </c>
      <c r="AC110" s="65">
        <v>130.1</v>
      </c>
      <c r="AD110" s="65">
        <v>129.80000000000001</v>
      </c>
      <c r="AE110" s="65">
        <v>130.4</v>
      </c>
      <c r="AF110" s="65">
        <v>127.5</v>
      </c>
      <c r="AG110" s="104"/>
      <c r="AH110" s="47">
        <f t="shared" si="56"/>
        <v>132.69999999999999</v>
      </c>
      <c r="AI110" s="48">
        <f t="shared" si="57"/>
        <v>122.9</v>
      </c>
    </row>
    <row r="111" spans="1:64" x14ac:dyDescent="0.25">
      <c r="A111" s="103" t="s">
        <v>110</v>
      </c>
      <c r="B111" s="65">
        <v>135.69999999999999</v>
      </c>
      <c r="C111" s="65">
        <v>135.69999999999999</v>
      </c>
      <c r="D111" s="65">
        <v>133.6</v>
      </c>
      <c r="E111" s="65">
        <v>132.6</v>
      </c>
      <c r="F111" s="65">
        <v>132.9</v>
      </c>
      <c r="G111" s="65">
        <v>130.9</v>
      </c>
      <c r="H111" s="65">
        <v>130.4</v>
      </c>
      <c r="I111" s="65">
        <v>132.19999999999999</v>
      </c>
      <c r="J111" s="65">
        <v>129.69999999999999</v>
      </c>
      <c r="K111" s="65">
        <v>132</v>
      </c>
      <c r="L111" s="65">
        <v>127.8</v>
      </c>
      <c r="M111" s="65">
        <v>127</v>
      </c>
      <c r="N111" s="65">
        <v>127.8</v>
      </c>
      <c r="O111" s="65">
        <v>127.7</v>
      </c>
      <c r="P111" s="65">
        <v>126.1</v>
      </c>
      <c r="Q111" s="65">
        <v>126.2</v>
      </c>
      <c r="R111" s="65">
        <v>128.6</v>
      </c>
      <c r="S111" s="65">
        <v>128.5</v>
      </c>
      <c r="T111" s="65">
        <v>127.9</v>
      </c>
      <c r="U111" s="65">
        <v>128.30000000000001</v>
      </c>
      <c r="V111" s="65">
        <v>128.9</v>
      </c>
      <c r="W111" s="65">
        <v>129.4</v>
      </c>
      <c r="X111" s="65">
        <v>129.80000000000001</v>
      </c>
      <c r="Y111" s="65">
        <v>128.30000000000001</v>
      </c>
      <c r="Z111" s="65">
        <v>128.5</v>
      </c>
      <c r="AA111" s="65">
        <v>129.5</v>
      </c>
      <c r="AB111" s="65">
        <v>131</v>
      </c>
      <c r="AC111" s="65">
        <v>131.69999999999999</v>
      </c>
      <c r="AD111" s="65">
        <v>132.1</v>
      </c>
      <c r="AE111" s="65">
        <v>133.1</v>
      </c>
      <c r="AF111" s="65">
        <v>131.69999999999999</v>
      </c>
      <c r="AG111" s="104"/>
      <c r="AH111" s="47">
        <f t="shared" si="56"/>
        <v>135.69999999999999</v>
      </c>
      <c r="AI111" s="48">
        <f t="shared" si="57"/>
        <v>126.1</v>
      </c>
    </row>
    <row r="112" spans="1:64" x14ac:dyDescent="0.25">
      <c r="A112" s="103" t="s">
        <v>111</v>
      </c>
      <c r="B112" s="65">
        <v>131.4</v>
      </c>
      <c r="C112" s="65">
        <v>131.4</v>
      </c>
      <c r="D112" s="65">
        <v>131.19999999999999</v>
      </c>
      <c r="E112" s="65">
        <v>131.19999999999999</v>
      </c>
      <c r="F112" s="65">
        <v>131.4</v>
      </c>
      <c r="G112" s="65">
        <v>128.19999999999999</v>
      </c>
      <c r="H112" s="65">
        <v>125.3</v>
      </c>
      <c r="I112" s="65">
        <v>128.80000000000001</v>
      </c>
      <c r="J112" s="65">
        <v>126</v>
      </c>
      <c r="K112" s="65">
        <v>129.69999999999999</v>
      </c>
      <c r="L112" s="65">
        <v>126.2</v>
      </c>
      <c r="M112" s="65">
        <v>126.8</v>
      </c>
      <c r="N112" s="65">
        <v>127.2</v>
      </c>
      <c r="O112" s="65">
        <v>126.8</v>
      </c>
      <c r="P112" s="65">
        <v>122</v>
      </c>
      <c r="Q112" s="65">
        <v>127.4</v>
      </c>
      <c r="R112" s="65">
        <v>127.7</v>
      </c>
      <c r="S112" s="65">
        <v>124.5</v>
      </c>
      <c r="T112" s="65">
        <v>126.9</v>
      </c>
      <c r="U112" s="65">
        <v>125.7</v>
      </c>
      <c r="V112" s="65">
        <v>129.1</v>
      </c>
      <c r="W112" s="65">
        <v>131.6</v>
      </c>
      <c r="X112" s="65">
        <v>129.30000000000001</v>
      </c>
      <c r="Y112" s="65">
        <v>127.7</v>
      </c>
      <c r="Z112" s="65">
        <v>128.69999999999999</v>
      </c>
      <c r="AA112" s="65">
        <v>126.3</v>
      </c>
      <c r="AB112" s="65">
        <v>128.5</v>
      </c>
      <c r="AC112" s="65">
        <v>128.69999999999999</v>
      </c>
      <c r="AD112" s="65">
        <v>127.6</v>
      </c>
      <c r="AE112" s="65">
        <v>129.1</v>
      </c>
      <c r="AF112" s="65">
        <v>128</v>
      </c>
      <c r="AG112" s="104"/>
      <c r="AH112" s="47">
        <f t="shared" si="56"/>
        <v>131.6</v>
      </c>
      <c r="AI112" s="48">
        <f t="shared" si="57"/>
        <v>122</v>
      </c>
    </row>
    <row r="113" spans="1:35" x14ac:dyDescent="0.25">
      <c r="A113" s="105" t="s">
        <v>112</v>
      </c>
      <c r="B113" s="65">
        <v>133.1</v>
      </c>
      <c r="C113" s="65">
        <v>133.1</v>
      </c>
      <c r="D113" s="65">
        <v>132.9</v>
      </c>
      <c r="E113" s="65">
        <v>133.6</v>
      </c>
      <c r="F113" s="65">
        <v>133.19999999999999</v>
      </c>
      <c r="G113" s="65">
        <v>130.19999999999999</v>
      </c>
      <c r="H113" s="65">
        <v>127.2</v>
      </c>
      <c r="I113" s="65">
        <v>130.80000000000001</v>
      </c>
      <c r="J113" s="65">
        <v>127</v>
      </c>
      <c r="K113" s="65">
        <v>127.6</v>
      </c>
      <c r="L113" s="65">
        <v>124.3</v>
      </c>
      <c r="M113" s="65">
        <v>124.5</v>
      </c>
      <c r="N113" s="65">
        <v>124.5</v>
      </c>
      <c r="O113" s="65">
        <v>125</v>
      </c>
      <c r="P113" s="65">
        <v>121.6</v>
      </c>
      <c r="Q113" s="65">
        <v>126.3</v>
      </c>
      <c r="R113" s="65">
        <v>127.5</v>
      </c>
      <c r="S113" s="65">
        <v>123.9</v>
      </c>
      <c r="T113" s="65">
        <v>125.9</v>
      </c>
      <c r="U113" s="65">
        <v>126</v>
      </c>
      <c r="V113" s="65">
        <v>128</v>
      </c>
      <c r="W113" s="65">
        <v>130.9</v>
      </c>
      <c r="X113" s="65">
        <v>127.7</v>
      </c>
      <c r="Y113" s="65">
        <v>126</v>
      </c>
      <c r="Z113" s="65">
        <v>127.6</v>
      </c>
      <c r="AA113" s="65">
        <v>127</v>
      </c>
      <c r="AB113" s="65">
        <v>130</v>
      </c>
      <c r="AC113" s="65">
        <v>131.19999999999999</v>
      </c>
      <c r="AD113" s="65">
        <v>130.6</v>
      </c>
      <c r="AE113" s="65">
        <v>132.19999999999999</v>
      </c>
      <c r="AF113" s="65">
        <v>131.5</v>
      </c>
      <c r="AG113" s="104"/>
      <c r="AH113" s="47">
        <f t="shared" si="56"/>
        <v>133.6</v>
      </c>
      <c r="AI113" s="48">
        <f t="shared" si="57"/>
        <v>121.6</v>
      </c>
    </row>
    <row r="114" spans="1:35" x14ac:dyDescent="0.25">
      <c r="A114" s="105" t="s">
        <v>113</v>
      </c>
      <c r="B114" s="106">
        <v>135</v>
      </c>
      <c r="C114" s="106">
        <v>135</v>
      </c>
      <c r="D114" s="106">
        <v>135</v>
      </c>
      <c r="E114" s="106">
        <v>132.9</v>
      </c>
      <c r="F114" s="106">
        <v>132.6</v>
      </c>
      <c r="G114" s="106">
        <v>132.1</v>
      </c>
      <c r="H114" s="106">
        <v>133.6</v>
      </c>
      <c r="I114" s="106">
        <v>136.80000000000001</v>
      </c>
      <c r="J114" s="106">
        <v>136</v>
      </c>
      <c r="K114" s="106">
        <v>136</v>
      </c>
      <c r="L114" s="106">
        <v>130.6</v>
      </c>
      <c r="M114" s="106">
        <v>131.69999999999999</v>
      </c>
      <c r="N114" s="106">
        <v>131.69999999999999</v>
      </c>
      <c r="O114" s="106">
        <v>130.69999999999999</v>
      </c>
      <c r="P114" s="106">
        <v>131.30000000000001</v>
      </c>
      <c r="Q114" s="106">
        <v>132.19999999999999</v>
      </c>
      <c r="R114" s="106">
        <v>131.1</v>
      </c>
      <c r="S114" s="106">
        <v>131.1</v>
      </c>
      <c r="T114" s="106">
        <v>133.1</v>
      </c>
      <c r="U114" s="106">
        <v>133</v>
      </c>
      <c r="V114" s="106">
        <v>134.30000000000001</v>
      </c>
      <c r="W114" s="106">
        <v>135.5</v>
      </c>
      <c r="X114" s="106">
        <v>135.80000000000001</v>
      </c>
      <c r="Y114" s="106">
        <v>132.30000000000001</v>
      </c>
      <c r="Z114" s="106">
        <v>132.19999999999999</v>
      </c>
      <c r="AA114" s="106">
        <v>132.19999999999999</v>
      </c>
      <c r="AB114" s="106">
        <v>134.80000000000001</v>
      </c>
      <c r="AC114" s="106">
        <v>134.9</v>
      </c>
      <c r="AD114" s="106">
        <v>133.69999999999999</v>
      </c>
      <c r="AE114" s="106">
        <v>132.9</v>
      </c>
      <c r="AF114" s="106">
        <v>131.69999999999999</v>
      </c>
      <c r="AG114" s="107"/>
      <c r="AH114" s="47">
        <f t="shared" si="56"/>
        <v>136.80000000000001</v>
      </c>
      <c r="AI114" s="48">
        <f t="shared" si="57"/>
        <v>130.6</v>
      </c>
    </row>
    <row r="115" spans="1:35" x14ac:dyDescent="0.25">
      <c r="A115" s="103" t="s">
        <v>114</v>
      </c>
      <c r="B115" s="65">
        <v>130.6</v>
      </c>
      <c r="C115" s="65">
        <v>130.6</v>
      </c>
      <c r="D115" s="65">
        <v>130.6</v>
      </c>
      <c r="E115" s="65">
        <v>131.5</v>
      </c>
      <c r="F115" s="65">
        <v>134.6</v>
      </c>
      <c r="G115" s="65">
        <v>129.30000000000001</v>
      </c>
      <c r="H115" s="65">
        <v>134.5</v>
      </c>
      <c r="I115" s="65">
        <v>128</v>
      </c>
      <c r="J115" s="65">
        <v>134.6</v>
      </c>
      <c r="K115" s="65">
        <v>131.80000000000001</v>
      </c>
      <c r="L115" s="65">
        <v>135.4</v>
      </c>
      <c r="M115" s="65">
        <v>133.80000000000001</v>
      </c>
      <c r="N115" s="65">
        <v>130.30000000000001</v>
      </c>
      <c r="O115" s="65">
        <v>126.4</v>
      </c>
      <c r="P115" s="65">
        <v>124.1</v>
      </c>
      <c r="Q115" s="65">
        <v>132</v>
      </c>
      <c r="R115" s="65"/>
      <c r="S115" s="65">
        <v>129.19999999999999</v>
      </c>
      <c r="T115" s="65">
        <v>130.30000000000001</v>
      </c>
      <c r="U115" s="65">
        <v>127</v>
      </c>
      <c r="V115" s="65">
        <v>132</v>
      </c>
      <c r="W115" s="65">
        <v>132.5</v>
      </c>
      <c r="X115" s="65">
        <v>0</v>
      </c>
      <c r="Y115" s="65">
        <v>131.4</v>
      </c>
      <c r="Z115" s="65">
        <v>132.4</v>
      </c>
      <c r="AA115" s="65">
        <v>132.4</v>
      </c>
      <c r="AB115" s="65">
        <v>134.6</v>
      </c>
      <c r="AC115" s="65">
        <v>134.5</v>
      </c>
      <c r="AD115" s="65">
        <v>131.80000000000001</v>
      </c>
      <c r="AE115" s="65">
        <v>134.19999999999999</v>
      </c>
      <c r="AF115" s="65">
        <v>130.69999999999999</v>
      </c>
      <c r="AG115" s="104"/>
      <c r="AH115" s="47">
        <f t="shared" si="56"/>
        <v>135.4</v>
      </c>
      <c r="AI115" s="48">
        <f t="shared" si="57"/>
        <v>0</v>
      </c>
    </row>
    <row r="116" spans="1:35" ht="15.75" thickBot="1" x14ac:dyDescent="0.3">
      <c r="A116" s="103" t="s">
        <v>115</v>
      </c>
      <c r="B116" s="92">
        <v>68.3</v>
      </c>
      <c r="C116" s="92">
        <v>68.3</v>
      </c>
      <c r="D116" s="92">
        <v>68.3</v>
      </c>
      <c r="E116" s="92">
        <v>66.900000000000006</v>
      </c>
      <c r="F116" s="92">
        <v>67</v>
      </c>
      <c r="G116" s="92">
        <v>66.099999999999994</v>
      </c>
      <c r="H116" s="92">
        <v>65.7</v>
      </c>
      <c r="I116" s="92">
        <v>66.599999999999994</v>
      </c>
      <c r="J116" s="92">
        <v>65.3</v>
      </c>
      <c r="K116" s="92">
        <v>65.5</v>
      </c>
      <c r="L116" s="92">
        <v>64</v>
      </c>
      <c r="M116" s="92">
        <v>63.7</v>
      </c>
      <c r="N116" s="92">
        <v>64</v>
      </c>
      <c r="O116" s="92">
        <v>64</v>
      </c>
      <c r="P116" s="92">
        <v>63.7</v>
      </c>
      <c r="Q116" s="92">
        <v>63.2</v>
      </c>
      <c r="R116" s="92">
        <v>64.2</v>
      </c>
      <c r="S116" s="92">
        <v>64.599999999999994</v>
      </c>
      <c r="T116" s="92">
        <v>64.2</v>
      </c>
      <c r="U116" s="92">
        <v>64.3</v>
      </c>
      <c r="V116" s="92">
        <v>64.400000000000006</v>
      </c>
      <c r="W116" s="92">
        <v>64.900000000000006</v>
      </c>
      <c r="X116" s="92">
        <v>65.3</v>
      </c>
      <c r="Y116" s="92">
        <v>64.400000000000006</v>
      </c>
      <c r="Z116" s="92">
        <v>64.5</v>
      </c>
      <c r="AA116" s="92">
        <v>64.5</v>
      </c>
      <c r="AB116" s="92">
        <v>65.7</v>
      </c>
      <c r="AC116" s="92">
        <v>66.099999999999994</v>
      </c>
      <c r="AD116" s="92">
        <v>66.3</v>
      </c>
      <c r="AE116" s="92">
        <v>66.900000000000006</v>
      </c>
      <c r="AF116" s="92">
        <v>66.2</v>
      </c>
      <c r="AG116" s="108"/>
      <c r="AH116" s="47">
        <f t="shared" si="56"/>
        <v>68.3</v>
      </c>
      <c r="AI116" s="48">
        <f t="shared" si="57"/>
        <v>63.2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6"/>
        <v>0</v>
      </c>
      <c r="AI117" s="48">
        <f t="shared" si="57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138.44</v>
      </c>
      <c r="C118" s="111">
        <f>SUM(C22,C28,C31:C32,C66,C68:C69,C71,C73,C119:C123,C155,C161,C167,C176,C178,C190,C197,C200:C201,C208,C210,C212,C216:C218,C220:C222,C227,C233:C234,C236:C238,C246,C251)</f>
        <v>149.44</v>
      </c>
      <c r="D118" s="111">
        <f t="shared" ref="D118:O118" si="114">SUM(D22,D28,D31:D32,D66,D68:D69,D71,D73,D119:D123,D155,D161,D167,D176,D178,D190,D197,D200:D201,D208,D210,D212,D216:D218,D220:D222,D227,D233:D234,D236:D238,D246,D251)</f>
        <v>116.14</v>
      </c>
      <c r="E118" s="111">
        <f t="shared" si="114"/>
        <v>124.19399999999999</v>
      </c>
      <c r="F118" s="111">
        <f t="shared" si="114"/>
        <v>133.46899999999999</v>
      </c>
      <c r="G118" s="111">
        <f t="shared" si="114"/>
        <v>157.459</v>
      </c>
      <c r="H118" s="111">
        <f t="shared" si="114"/>
        <v>186.19499999999999</v>
      </c>
      <c r="I118" s="111">
        <f t="shared" si="114"/>
        <v>220.78899999999999</v>
      </c>
      <c r="J118" s="111">
        <f t="shared" si="114"/>
        <v>266.87900000000008</v>
      </c>
      <c r="K118" s="111">
        <f t="shared" si="114"/>
        <v>311.14999999999998</v>
      </c>
      <c r="L118" s="111">
        <f t="shared" si="114"/>
        <v>351.51499999999999</v>
      </c>
      <c r="M118" s="111">
        <f t="shared" si="114"/>
        <v>357.24</v>
      </c>
      <c r="N118" s="111">
        <f t="shared" si="114"/>
        <v>345.7</v>
      </c>
      <c r="O118" s="111">
        <f t="shared" si="114"/>
        <v>331.66</v>
      </c>
      <c r="P118" s="111">
        <v>42</v>
      </c>
      <c r="Q118" s="111">
        <f t="shared" ref="Q118:AF118" si="115">SUM(Q22,Q28,Q31:Q32,Q66,Q68:Q69,Q71,Q73,Q119:Q123,Q155,Q161,Q167,Q176,Q178,Q190,Q197,Q200:Q201,Q208,Q210,Q212,Q216:Q218,Q220:Q222,Q227,Q233:Q234,Q236:Q238,Q246,Q251)</f>
        <v>314.33999999999997</v>
      </c>
      <c r="R118" s="111">
        <f t="shared" si="115"/>
        <v>306.38</v>
      </c>
      <c r="S118" s="111">
        <f t="shared" si="115"/>
        <v>286.32099999999997</v>
      </c>
      <c r="T118" s="111">
        <f t="shared" ref="T118:U118" si="116">SUM(T22,T28,T31:T32,T66,T68:T69,T71,T73,T119:T123,T155,T161,T167,T176,T178,T190,T197,T200:T201,T208,T210,T212,T216:T218,T220:T222,T227,T233:T234,T236:T238,T246,T251)</f>
        <v>302.8</v>
      </c>
      <c r="U118" s="111">
        <f t="shared" si="116"/>
        <v>299.04000000000002</v>
      </c>
      <c r="V118" s="111">
        <f t="shared" ref="V118:W118" si="117">SUM(V22,V28,V31:V32,V66,V68:V69,V71,V73,V119:V123,V155,V161,V167,V176,V178,V190,V197,V200:V201,V208,V210,V212,V216:V218,V220:V222,V227,V233:V234,V236:V238,V246,V251)</f>
        <v>311.33999999999997</v>
      </c>
      <c r="W118" s="111">
        <f t="shared" si="117"/>
        <v>351.32</v>
      </c>
      <c r="X118" s="111">
        <f t="shared" ref="X118:Z118" si="118">SUM(X22,X28,X31:X32,X66,X68:X69,X71,X73,X119:X123,X155,X161,X167,X176,X178,X190,X197,X200:X201,X208,X210,X212,X216:X218,X220:X222,X227,X233:X234,X236:X238,X246,X251)</f>
        <v>369.9</v>
      </c>
      <c r="Y118" s="111">
        <f t="shared" si="118"/>
        <v>396.64</v>
      </c>
      <c r="Z118" s="111">
        <f t="shared" si="118"/>
        <v>390.34</v>
      </c>
      <c r="AA118" s="111">
        <f t="shared" ref="AA118" si="119">SUM(AA22,AA28,AA31:AA32,AA66,AA68:AA69,AA71,AA73,AA119:AA123,AA155,AA161,AA167,AA176,AA178,AA190,AA197,AA200:AA201,AA208,AA210,AA212,AA216:AA218,AA220:AA222,AA227,AA233:AA234,AA236:AA238,AA246,AA251)</f>
        <v>374.74</v>
      </c>
      <c r="AB118" s="111">
        <f t="shared" si="115"/>
        <v>351.04</v>
      </c>
      <c r="AC118" s="111">
        <f t="shared" si="115"/>
        <v>333.29299999999995</v>
      </c>
      <c r="AD118" s="111">
        <f t="shared" si="115"/>
        <v>275.37599999999998</v>
      </c>
      <c r="AE118" s="111">
        <f t="shared" si="115"/>
        <v>209.113</v>
      </c>
      <c r="AF118" s="111">
        <f t="shared" si="115"/>
        <v>171.99700000000001</v>
      </c>
      <c r="AG118" s="112"/>
      <c r="AH118" s="47">
        <f t="shared" si="56"/>
        <v>396.64</v>
      </c>
      <c r="AI118" s="48">
        <f t="shared" si="57"/>
        <v>42</v>
      </c>
    </row>
    <row r="119" spans="1:35" x14ac:dyDescent="0.25">
      <c r="A119" s="172" t="s">
        <v>118</v>
      </c>
      <c r="B119" s="113">
        <v>-8.1</v>
      </c>
      <c r="C119" s="113">
        <v>-5</v>
      </c>
      <c r="D119" s="113">
        <v>-4.3</v>
      </c>
      <c r="E119" s="113">
        <v>-1.9</v>
      </c>
      <c r="F119" s="113">
        <v>-2.2000000000000002</v>
      </c>
      <c r="G119" s="113">
        <v>-1.3</v>
      </c>
      <c r="H119" s="113">
        <v>14.4</v>
      </c>
      <c r="I119" s="113">
        <v>17.100000000000001</v>
      </c>
      <c r="J119" s="113">
        <v>29.6</v>
      </c>
      <c r="K119" s="113">
        <v>34.6</v>
      </c>
      <c r="L119" s="113">
        <v>37.4</v>
      </c>
      <c r="M119" s="113">
        <v>43.9</v>
      </c>
      <c r="N119" s="113">
        <v>41.1</v>
      </c>
      <c r="O119" s="113">
        <v>40</v>
      </c>
      <c r="P119" s="113">
        <v>45.3</v>
      </c>
      <c r="Q119" s="113">
        <v>48.2</v>
      </c>
      <c r="R119" s="113">
        <v>27.2</v>
      </c>
      <c r="S119" s="113">
        <v>30</v>
      </c>
      <c r="T119" s="113">
        <v>19.2</v>
      </c>
      <c r="U119" s="113">
        <v>27.2</v>
      </c>
      <c r="V119" s="113">
        <v>24.5</v>
      </c>
      <c r="W119" s="113">
        <v>24.2</v>
      </c>
      <c r="X119" s="113">
        <v>42.1</v>
      </c>
      <c r="Y119" s="113">
        <v>41.5</v>
      </c>
      <c r="Z119" s="113">
        <v>55.4</v>
      </c>
      <c r="AA119" s="113">
        <v>48.3</v>
      </c>
      <c r="AB119" s="113">
        <v>41.2</v>
      </c>
      <c r="AC119" s="113">
        <v>34.799999999999997</v>
      </c>
      <c r="AD119" s="113">
        <v>24.2</v>
      </c>
      <c r="AE119" s="113">
        <v>12.1</v>
      </c>
      <c r="AF119" s="113">
        <v>6.9</v>
      </c>
      <c r="AG119" s="114">
        <v>75</v>
      </c>
      <c r="AH119" s="47">
        <f t="shared" si="56"/>
        <v>55.4</v>
      </c>
      <c r="AI119" s="48">
        <f t="shared" si="57"/>
        <v>-8.1</v>
      </c>
    </row>
    <row r="120" spans="1:35" x14ac:dyDescent="0.25">
      <c r="A120" s="173" t="s">
        <v>119</v>
      </c>
      <c r="B120" s="115">
        <v>-15</v>
      </c>
      <c r="C120" s="115">
        <v>-10</v>
      </c>
      <c r="D120" s="115">
        <v>-7</v>
      </c>
      <c r="E120" s="115">
        <v>-3</v>
      </c>
      <c r="F120" s="115">
        <v>-4.3</v>
      </c>
      <c r="G120" s="115">
        <v>-2.8</v>
      </c>
      <c r="H120" s="115">
        <v>17.100000000000001</v>
      </c>
      <c r="I120" s="115">
        <v>19.5</v>
      </c>
      <c r="J120" s="115">
        <v>35.700000000000003</v>
      </c>
      <c r="K120" s="115">
        <v>47.6</v>
      </c>
      <c r="L120" s="115">
        <v>49.5</v>
      </c>
      <c r="M120" s="115">
        <v>60</v>
      </c>
      <c r="N120" s="115">
        <v>58.3</v>
      </c>
      <c r="O120" s="115">
        <v>56</v>
      </c>
      <c r="P120" s="115">
        <v>57.7</v>
      </c>
      <c r="Q120" s="115">
        <v>62.1</v>
      </c>
      <c r="R120" s="115">
        <v>33.799999999999997</v>
      </c>
      <c r="S120" s="115">
        <v>37.5</v>
      </c>
      <c r="T120" s="115">
        <v>27.8</v>
      </c>
      <c r="U120" s="115">
        <v>36.4</v>
      </c>
      <c r="V120" s="115">
        <v>34.9</v>
      </c>
      <c r="W120" s="115">
        <v>34.1</v>
      </c>
      <c r="X120" s="115">
        <v>56.7</v>
      </c>
      <c r="Y120" s="115">
        <v>55.9</v>
      </c>
      <c r="Z120" s="115">
        <v>74.3</v>
      </c>
      <c r="AA120" s="115">
        <v>65</v>
      </c>
      <c r="AB120" s="115">
        <v>56.8</v>
      </c>
      <c r="AC120" s="115">
        <v>48</v>
      </c>
      <c r="AD120" s="115">
        <v>27.4</v>
      </c>
      <c r="AE120" s="115">
        <v>13.4</v>
      </c>
      <c r="AF120" s="115">
        <v>6.1</v>
      </c>
      <c r="AG120" s="114">
        <v>240</v>
      </c>
      <c r="AH120" s="47">
        <f t="shared" si="56"/>
        <v>74.3</v>
      </c>
      <c r="AI120" s="48">
        <f t="shared" si="57"/>
        <v>-15</v>
      </c>
    </row>
    <row r="121" spans="1:35" x14ac:dyDescent="0.25">
      <c r="A121" s="173" t="s">
        <v>120</v>
      </c>
      <c r="B121" s="115">
        <v>-7</v>
      </c>
      <c r="C121" s="115">
        <v>-10</v>
      </c>
      <c r="D121" s="115">
        <v>-32</v>
      </c>
      <c r="E121" s="115">
        <v>-44</v>
      </c>
      <c r="F121" s="115">
        <v>-37.1</v>
      </c>
      <c r="G121" s="115">
        <v>-31</v>
      </c>
      <c r="H121" s="115">
        <v>-36</v>
      </c>
      <c r="I121" s="115">
        <v>-16.2</v>
      </c>
      <c r="J121" s="115">
        <v>-14.2</v>
      </c>
      <c r="K121" s="115">
        <v>14</v>
      </c>
      <c r="L121" s="115">
        <v>16.5</v>
      </c>
      <c r="M121" s="115">
        <v>14</v>
      </c>
      <c r="N121" s="115">
        <f>7.4+8.2</f>
        <v>15.6</v>
      </c>
      <c r="O121" s="115">
        <f>9.8+10</f>
        <v>19.8</v>
      </c>
      <c r="P121" s="115">
        <f>-2-2.6</f>
        <v>-4.5999999999999996</v>
      </c>
      <c r="Q121" s="115">
        <v>-10</v>
      </c>
      <c r="R121" s="115">
        <f>10+11.8</f>
        <v>21.8</v>
      </c>
      <c r="S121" s="115">
        <v>8.9</v>
      </c>
      <c r="T121" s="115">
        <v>25</v>
      </c>
      <c r="U121" s="115">
        <v>19</v>
      </c>
      <c r="V121" s="115">
        <v>32</v>
      </c>
      <c r="W121" s="115">
        <v>51</v>
      </c>
      <c r="X121" s="115">
        <v>53</v>
      </c>
      <c r="Y121" s="115">
        <v>59</v>
      </c>
      <c r="Z121" s="115">
        <v>49</v>
      </c>
      <c r="AA121" s="115">
        <v>46</v>
      </c>
      <c r="AB121" s="115">
        <v>29.3</v>
      </c>
      <c r="AC121" s="115">
        <v>23</v>
      </c>
      <c r="AD121" s="115">
        <v>13</v>
      </c>
      <c r="AE121" s="115">
        <v>-6</v>
      </c>
      <c r="AF121" s="115">
        <v>-31</v>
      </c>
      <c r="AG121" s="114">
        <v>240</v>
      </c>
      <c r="AH121" s="47">
        <f t="shared" si="56"/>
        <v>59</v>
      </c>
      <c r="AI121" s="48">
        <f t="shared" si="57"/>
        <v>-44</v>
      </c>
    </row>
    <row r="122" spans="1:35" ht="15.75" thickBot="1" x14ac:dyDescent="0.3">
      <c r="A122" s="173" t="s">
        <v>121</v>
      </c>
      <c r="B122" s="115">
        <v>1.1000000000000001</v>
      </c>
      <c r="C122" s="115">
        <v>2</v>
      </c>
      <c r="D122" s="115">
        <v>-8</v>
      </c>
      <c r="E122" s="115">
        <v>-8.9</v>
      </c>
      <c r="F122" s="115">
        <v>-9</v>
      </c>
      <c r="G122" s="115">
        <v>-6.2</v>
      </c>
      <c r="H122" s="115">
        <v>-10.4</v>
      </c>
      <c r="I122" s="115">
        <v>2.8</v>
      </c>
      <c r="J122" s="115">
        <v>7.8</v>
      </c>
      <c r="K122" s="115">
        <v>19.399999999999999</v>
      </c>
      <c r="L122" s="115">
        <v>19.600000000000001</v>
      </c>
      <c r="M122" s="115">
        <v>20.399999999999999</v>
      </c>
      <c r="N122" s="115">
        <v>19.3</v>
      </c>
      <c r="O122" s="115">
        <v>20.5</v>
      </c>
      <c r="P122" s="115">
        <v>9.9</v>
      </c>
      <c r="Q122" s="115">
        <v>4</v>
      </c>
      <c r="R122" s="115">
        <v>5.2</v>
      </c>
      <c r="S122" s="115">
        <v>7.5</v>
      </c>
      <c r="T122" s="115">
        <v>9.4</v>
      </c>
      <c r="U122" s="115">
        <v>10.5</v>
      </c>
      <c r="V122" s="115">
        <v>11</v>
      </c>
      <c r="W122" s="115">
        <v>26.2</v>
      </c>
      <c r="X122" s="115">
        <v>28.4</v>
      </c>
      <c r="Y122" s="115">
        <v>30.7</v>
      </c>
      <c r="Z122" s="115">
        <v>30.9</v>
      </c>
      <c r="AA122" s="115">
        <v>32.299999999999997</v>
      </c>
      <c r="AB122" s="115">
        <v>29.6</v>
      </c>
      <c r="AC122" s="115">
        <v>27.6</v>
      </c>
      <c r="AD122" s="115">
        <v>13.9</v>
      </c>
      <c r="AE122" s="115">
        <v>5.6</v>
      </c>
      <c r="AF122" s="115">
        <v>-2.2000000000000002</v>
      </c>
      <c r="AG122" s="114">
        <v>60</v>
      </c>
      <c r="AH122" s="47">
        <f t="shared" si="56"/>
        <v>32.299999999999997</v>
      </c>
      <c r="AI122" s="48">
        <f t="shared" si="57"/>
        <v>-10.4</v>
      </c>
    </row>
    <row r="123" spans="1:35" x14ac:dyDescent="0.25">
      <c r="A123" s="172" t="s">
        <v>259</v>
      </c>
      <c r="B123" s="117">
        <v>80</v>
      </c>
      <c r="C123" s="117">
        <v>85</v>
      </c>
      <c r="D123" s="117">
        <v>80</v>
      </c>
      <c r="E123" s="117">
        <f>56.2*1.67</f>
        <v>93.853999999999999</v>
      </c>
      <c r="F123" s="117">
        <f>58.7*1.67</f>
        <v>98.028999999999996</v>
      </c>
      <c r="G123" s="117">
        <f>65.7*1.67</f>
        <v>109.71899999999999</v>
      </c>
      <c r="H123" s="117">
        <f>66.5*1.67</f>
        <v>111.05499999999999</v>
      </c>
      <c r="I123" s="117">
        <f>64.7*1.67</f>
        <v>108.04900000000001</v>
      </c>
      <c r="J123" s="117">
        <f>71.7*1.67</f>
        <v>119.739</v>
      </c>
      <c r="K123" s="117">
        <f>63*1.67</f>
        <v>105.21</v>
      </c>
      <c r="L123" s="117">
        <f>82.5*1.67</f>
        <v>137.77500000000001</v>
      </c>
      <c r="M123" s="117">
        <f>80*1.6</f>
        <v>128</v>
      </c>
      <c r="N123" s="117">
        <f>74*1.64</f>
        <v>121.36</v>
      </c>
      <c r="O123" s="117">
        <f>63*1.64</f>
        <v>103.32</v>
      </c>
      <c r="P123" s="117">
        <f>65*1.64</f>
        <v>106.6</v>
      </c>
      <c r="Q123" s="117">
        <f>73*1.6</f>
        <v>116.80000000000001</v>
      </c>
      <c r="R123" s="117">
        <f>76*1.64</f>
        <v>124.63999999999999</v>
      </c>
      <c r="S123" s="117">
        <f>68.7*1.63</f>
        <v>111.98099999999999</v>
      </c>
      <c r="T123" s="117">
        <f>77.1*1.6</f>
        <v>123.36</v>
      </c>
      <c r="U123" s="117">
        <f>70.5*1.6</f>
        <v>112.80000000000001</v>
      </c>
      <c r="V123" s="117">
        <f>74*1.6</f>
        <v>118.4</v>
      </c>
      <c r="W123" s="117">
        <f>78.3*1.6</f>
        <v>125.28</v>
      </c>
      <c r="X123" s="117">
        <f>62.6*1.6</f>
        <v>100.16000000000001</v>
      </c>
      <c r="Y123" s="117">
        <f>75*1.6</f>
        <v>120</v>
      </c>
      <c r="Z123" s="117">
        <f>57*1.6</f>
        <v>91.2</v>
      </c>
      <c r="AA123" s="117">
        <f>58.5*1.6</f>
        <v>93.600000000000009</v>
      </c>
      <c r="AB123" s="117">
        <v>100</v>
      </c>
      <c r="AC123" s="117">
        <f>55.9*1.67</f>
        <v>93.352999999999994</v>
      </c>
      <c r="AD123" s="117">
        <f>60.8*1.67</f>
        <v>101.53599999999999</v>
      </c>
      <c r="AE123" s="117">
        <f>51.9*1.67</f>
        <v>86.672999999999988</v>
      </c>
      <c r="AF123" s="117">
        <f>57.1*1.67</f>
        <v>95.356999999999999</v>
      </c>
      <c r="AG123" s="118">
        <v>120</v>
      </c>
      <c r="AH123" s="47">
        <f t="shared" si="56"/>
        <v>137.77500000000001</v>
      </c>
      <c r="AI123" s="48">
        <f t="shared" si="57"/>
        <v>80</v>
      </c>
    </row>
    <row r="124" spans="1:35" x14ac:dyDescent="0.25">
      <c r="A124" s="173" t="s">
        <v>258</v>
      </c>
      <c r="B124" s="117">
        <v>65</v>
      </c>
      <c r="C124" s="117">
        <v>70</v>
      </c>
      <c r="D124" s="117">
        <v>72</v>
      </c>
      <c r="E124" s="117">
        <v>69.5</v>
      </c>
      <c r="F124" s="117">
        <v>71.400000000000006</v>
      </c>
      <c r="G124" s="117">
        <v>77.5</v>
      </c>
      <c r="H124" s="117">
        <v>77.3</v>
      </c>
      <c r="I124" s="117">
        <v>75.400000000000006</v>
      </c>
      <c r="J124" s="117">
        <v>82.9</v>
      </c>
      <c r="K124" s="117">
        <v>74.7</v>
      </c>
      <c r="L124" s="117">
        <v>90.2</v>
      </c>
      <c r="M124" s="117">
        <v>89</v>
      </c>
      <c r="N124" s="117">
        <v>82.7</v>
      </c>
      <c r="O124" s="117">
        <v>74.400000000000006</v>
      </c>
      <c r="P124" s="117">
        <v>77</v>
      </c>
      <c r="Q124" s="117">
        <v>84.1</v>
      </c>
      <c r="R124" s="117">
        <v>85.6</v>
      </c>
      <c r="S124" s="117">
        <v>80</v>
      </c>
      <c r="T124" s="117">
        <v>85.5</v>
      </c>
      <c r="U124" s="117">
        <v>80.2</v>
      </c>
      <c r="V124" s="117">
        <v>83.7</v>
      </c>
      <c r="W124" s="117">
        <v>87.3</v>
      </c>
      <c r="X124" s="117">
        <v>73.8</v>
      </c>
      <c r="Y124" s="117">
        <v>83.2</v>
      </c>
      <c r="Z124" s="117">
        <v>68.8</v>
      </c>
      <c r="AA124" s="117">
        <v>71.099999999999994</v>
      </c>
      <c r="AB124" s="117">
        <v>71.7</v>
      </c>
      <c r="AC124" s="117">
        <v>69.400000000000006</v>
      </c>
      <c r="AD124" s="117">
        <v>74.2</v>
      </c>
      <c r="AE124" s="117">
        <v>67.3</v>
      </c>
      <c r="AF124" s="117">
        <v>72.5</v>
      </c>
      <c r="AG124" s="118"/>
      <c r="AH124" s="47">
        <f t="shared" si="56"/>
        <v>90.2</v>
      </c>
      <c r="AI124" s="48">
        <f t="shared" si="57"/>
        <v>65</v>
      </c>
    </row>
    <row r="125" spans="1:35" x14ac:dyDescent="0.25">
      <c r="A125" s="173" t="s">
        <v>255</v>
      </c>
      <c r="B125" s="117">
        <v>50</v>
      </c>
      <c r="C125" s="117">
        <v>60</v>
      </c>
      <c r="D125" s="117">
        <v>58</v>
      </c>
      <c r="E125" s="117">
        <v>58.3</v>
      </c>
      <c r="F125" s="117">
        <v>57.3</v>
      </c>
      <c r="G125" s="117">
        <v>53</v>
      </c>
      <c r="H125" s="117">
        <v>33.299999999999997</v>
      </c>
      <c r="I125" s="117">
        <v>27.2</v>
      </c>
      <c r="J125" s="117">
        <v>8</v>
      </c>
      <c r="K125" s="117">
        <v>-22.8</v>
      </c>
      <c r="L125" s="117">
        <v>-14.1</v>
      </c>
      <c r="M125" s="117">
        <v>-23</v>
      </c>
      <c r="N125" s="117">
        <v>-22.5</v>
      </c>
      <c r="O125" s="117">
        <v>-25.5</v>
      </c>
      <c r="P125" s="117">
        <v>-1.3</v>
      </c>
      <c r="Q125" s="117">
        <v>-7</v>
      </c>
      <c r="R125" s="117">
        <v>2.2000000000000002</v>
      </c>
      <c r="S125" s="117">
        <v>-2.4</v>
      </c>
      <c r="T125" s="117">
        <v>9.8000000000000007</v>
      </c>
      <c r="U125" s="117">
        <v>0</v>
      </c>
      <c r="V125" s="117">
        <v>-6.3</v>
      </c>
      <c r="W125" s="117">
        <v>-15.6</v>
      </c>
      <c r="X125" s="117">
        <v>-48.8</v>
      </c>
      <c r="Y125" s="117">
        <v>-47.2</v>
      </c>
      <c r="Z125" s="117">
        <v>-68.900000000000006</v>
      </c>
      <c r="AA125" s="117">
        <v>-57.9</v>
      </c>
      <c r="AB125" s="117">
        <v>-36.9</v>
      </c>
      <c r="AC125" s="117">
        <v>-30.2</v>
      </c>
      <c r="AD125" s="117">
        <v>-1.4</v>
      </c>
      <c r="AE125" s="117">
        <v>21.1</v>
      </c>
      <c r="AF125" s="117">
        <v>47.1</v>
      </c>
      <c r="AG125" s="118"/>
      <c r="AH125" s="47">
        <f t="shared" si="56"/>
        <v>60</v>
      </c>
      <c r="AI125" s="48">
        <f t="shared" si="57"/>
        <v>-68.900000000000006</v>
      </c>
    </row>
    <row r="126" spans="1:35" ht="15.75" thickBot="1" x14ac:dyDescent="0.3">
      <c r="A126" s="173" t="s">
        <v>254</v>
      </c>
      <c r="B126" s="117">
        <v>66</v>
      </c>
      <c r="C126" s="117">
        <v>86</v>
      </c>
      <c r="D126" s="117">
        <v>66</v>
      </c>
      <c r="E126" s="117">
        <v>89.1</v>
      </c>
      <c r="F126" s="117">
        <v>83.3</v>
      </c>
      <c r="G126" s="117">
        <v>102</v>
      </c>
      <c r="H126" s="117">
        <v>98</v>
      </c>
      <c r="I126" s="117">
        <v>86.8</v>
      </c>
      <c r="J126" s="117">
        <v>92.3</v>
      </c>
      <c r="K126" s="117">
        <v>61.7</v>
      </c>
      <c r="L126" s="117">
        <v>76</v>
      </c>
      <c r="M126" s="117">
        <v>71</v>
      </c>
      <c r="N126" s="117">
        <v>70.2</v>
      </c>
      <c r="O126" s="117">
        <v>75.7</v>
      </c>
      <c r="P126" s="117">
        <v>88.6</v>
      </c>
      <c r="Q126" s="117">
        <v>91</v>
      </c>
      <c r="R126" s="117">
        <v>86.4</v>
      </c>
      <c r="S126" s="117">
        <v>75.8</v>
      </c>
      <c r="T126" s="117">
        <v>84</v>
      </c>
      <c r="U126" s="117">
        <v>74.7</v>
      </c>
      <c r="V126" s="117">
        <v>81.5</v>
      </c>
      <c r="W126" s="117">
        <v>88.7</v>
      </c>
      <c r="X126" s="117">
        <v>85.4</v>
      </c>
      <c r="Y126" s="117">
        <v>58.9</v>
      </c>
      <c r="Z126" s="117">
        <v>47.3</v>
      </c>
      <c r="AA126" s="117">
        <v>47.1</v>
      </c>
      <c r="AB126" s="117">
        <v>59.5</v>
      </c>
      <c r="AC126" s="117">
        <v>52.4</v>
      </c>
      <c r="AD126" s="117">
        <v>61</v>
      </c>
      <c r="AE126" s="117">
        <v>55.8</v>
      </c>
      <c r="AF126" s="117">
        <v>85</v>
      </c>
      <c r="AG126" s="114"/>
      <c r="AH126" s="47">
        <f>MAX(B126:AF126)</f>
        <v>102</v>
      </c>
      <c r="AI126" s="48">
        <f>MIN(B126:AF126)</f>
        <v>47.1</v>
      </c>
    </row>
    <row r="127" spans="1:35" x14ac:dyDescent="0.25">
      <c r="A127" s="172" t="s">
        <v>587</v>
      </c>
      <c r="B127" s="117">
        <v>20</v>
      </c>
      <c r="C127" s="117">
        <v>15</v>
      </c>
      <c r="D127" s="117">
        <v>18</v>
      </c>
      <c r="E127" s="117">
        <v>14.6</v>
      </c>
      <c r="F127" s="117">
        <v>14</v>
      </c>
      <c r="G127" s="117">
        <v>10.5</v>
      </c>
      <c r="H127" s="117">
        <v>-1.3</v>
      </c>
      <c r="I127" s="117">
        <v>-3.8</v>
      </c>
      <c r="J127" s="117">
        <v>-13.6</v>
      </c>
      <c r="K127" s="117">
        <v>-11.4</v>
      </c>
      <c r="L127" s="117">
        <v>-12.1</v>
      </c>
      <c r="M127" s="117">
        <v>-17</v>
      </c>
      <c r="N127" s="117">
        <v>-14.8</v>
      </c>
      <c r="O127" s="117">
        <v>-12.7</v>
      </c>
      <c r="P127" s="117">
        <v>-17.5</v>
      </c>
      <c r="Q127" s="117">
        <v>-24</v>
      </c>
      <c r="R127" s="117">
        <v>-1.8</v>
      </c>
      <c r="S127" s="117">
        <v>-3.6</v>
      </c>
      <c r="T127" s="117">
        <v>5.4</v>
      </c>
      <c r="U127" s="117">
        <v>0</v>
      </c>
      <c r="V127" s="117">
        <v>-1.2</v>
      </c>
      <c r="W127" s="117">
        <v>0</v>
      </c>
      <c r="X127" s="117">
        <v>1.7</v>
      </c>
      <c r="Y127" s="117">
        <v>-6.1</v>
      </c>
      <c r="Z127" s="117">
        <v>-22.6</v>
      </c>
      <c r="AA127" s="117">
        <v>-20.3</v>
      </c>
      <c r="AB127" s="117">
        <v>-9.8000000000000007</v>
      </c>
      <c r="AC127" s="117">
        <v>-3.4</v>
      </c>
      <c r="AD127" s="117">
        <v>4.9000000000000004</v>
      </c>
      <c r="AE127" s="117">
        <v>13.6</v>
      </c>
      <c r="AF127" s="117">
        <v>19.5</v>
      </c>
      <c r="AG127" s="114"/>
      <c r="AH127" s="47">
        <f>MAX(B127:AF127)</f>
        <v>20</v>
      </c>
      <c r="AI127" s="48">
        <f>MIN(B127:AF127)</f>
        <v>-24</v>
      </c>
    </row>
    <row r="128" spans="1:35" x14ac:dyDescent="0.25">
      <c r="A128" s="173" t="s">
        <v>123</v>
      </c>
      <c r="B128" s="106">
        <v>-10</v>
      </c>
      <c r="C128" s="106">
        <v>-8</v>
      </c>
      <c r="D128" s="106">
        <v>-7</v>
      </c>
      <c r="E128" s="106">
        <v>-6.9</v>
      </c>
      <c r="F128" s="106">
        <v>-8.6</v>
      </c>
      <c r="G128" s="106">
        <v>-12.5</v>
      </c>
      <c r="H128" s="106">
        <v>-17.100000000000001</v>
      </c>
      <c r="I128" s="106">
        <v>-26.1</v>
      </c>
      <c r="J128" s="106">
        <v>-38.299999999999997</v>
      </c>
      <c r="K128" s="106">
        <v>-44.4</v>
      </c>
      <c r="L128" s="106">
        <v>-50.5</v>
      </c>
      <c r="M128" s="106">
        <v>-48.7</v>
      </c>
      <c r="N128" s="106">
        <v>-43.1</v>
      </c>
      <c r="O128" s="106">
        <v>-36.9</v>
      </c>
      <c r="P128" s="106">
        <v>-27.6</v>
      </c>
      <c r="Q128" s="106">
        <v>-25</v>
      </c>
      <c r="R128" s="106">
        <v>-24.8</v>
      </c>
      <c r="S128" s="106">
        <v>-26.8</v>
      </c>
      <c r="T128" s="106">
        <v>-29.4</v>
      </c>
      <c r="U128" s="106">
        <v>-27.8</v>
      </c>
      <c r="V128" s="106">
        <v>-35.1</v>
      </c>
      <c r="W128" s="106">
        <v>-35.200000000000003</v>
      </c>
      <c r="X128" s="106">
        <v>-46.7</v>
      </c>
      <c r="Y128" s="106">
        <v>-56</v>
      </c>
      <c r="Z128" s="106">
        <v>-46</v>
      </c>
      <c r="AA128" s="106">
        <v>-41.1</v>
      </c>
      <c r="AB128" s="106">
        <v>-34.6</v>
      </c>
      <c r="AC128" s="106">
        <v>-30.1</v>
      </c>
      <c r="AD128" s="106">
        <v>-23.8</v>
      </c>
      <c r="AE128" s="106">
        <v>-17.600000000000001</v>
      </c>
      <c r="AF128" s="106">
        <v>-12.1</v>
      </c>
      <c r="AG128" s="114"/>
      <c r="AH128" s="47">
        <f>MAX(B128:AF128)</f>
        <v>-6.9</v>
      </c>
      <c r="AI128" s="48">
        <f>MIN(B128:AF128)</f>
        <v>-56</v>
      </c>
    </row>
    <row r="129" spans="1:37" x14ac:dyDescent="0.25">
      <c r="A129" s="173" t="s">
        <v>260</v>
      </c>
      <c r="B129" s="106">
        <v>-18</v>
      </c>
      <c r="C129" s="106">
        <v>2</v>
      </c>
      <c r="D129" s="106">
        <v>1.6</v>
      </c>
      <c r="E129" s="106">
        <v>11.8</v>
      </c>
      <c r="F129" s="106">
        <v>6.5</v>
      </c>
      <c r="G129" s="106">
        <v>4.7</v>
      </c>
      <c r="H129" s="106">
        <v>16.3</v>
      </c>
      <c r="I129" s="106">
        <v>6.1</v>
      </c>
      <c r="J129" s="106">
        <v>13.4</v>
      </c>
      <c r="K129" s="106">
        <v>0</v>
      </c>
      <c r="L129" s="106">
        <v>-1</v>
      </c>
      <c r="M129" s="106">
        <v>3.1</v>
      </c>
      <c r="N129" s="106">
        <v>0</v>
      </c>
      <c r="O129" s="106">
        <v>-5.3</v>
      </c>
      <c r="P129" s="106">
        <v>12.4</v>
      </c>
      <c r="Q129" s="106">
        <v>18</v>
      </c>
      <c r="R129" s="106">
        <v>-20.5</v>
      </c>
      <c r="S129" s="106">
        <v>-19.3</v>
      </c>
      <c r="T129" s="106">
        <v>-30.9</v>
      </c>
      <c r="U129" s="106">
        <v>-16.3</v>
      </c>
      <c r="V129" s="106">
        <v>-32.1</v>
      </c>
      <c r="W129" s="106">
        <v>-37.5</v>
      </c>
      <c r="X129" s="106">
        <v>-38.9</v>
      </c>
      <c r="Y129" s="106">
        <v>-33.700000000000003</v>
      </c>
      <c r="Z129" s="106">
        <v>-15.3</v>
      </c>
      <c r="AA129" s="106">
        <v>-13.7</v>
      </c>
      <c r="AB129" s="106">
        <v>-9.1999999999999993</v>
      </c>
      <c r="AC129" s="106">
        <v>-5.7</v>
      </c>
      <c r="AD129" s="106">
        <v>-18.600000000000001</v>
      </c>
      <c r="AE129" s="106">
        <v>-10.7</v>
      </c>
      <c r="AF129" s="106">
        <v>4.7</v>
      </c>
      <c r="AG129" s="114"/>
      <c r="AH129" s="47">
        <f>MAX(B129:AF129)</f>
        <v>18</v>
      </c>
      <c r="AI129" s="48">
        <f>MIN(B129:AF129)</f>
        <v>-38.9</v>
      </c>
    </row>
    <row r="130" spans="1:37" ht="15.75" thickBot="1" x14ac:dyDescent="0.3">
      <c r="A130" s="173" t="s">
        <v>257</v>
      </c>
      <c r="B130" s="106">
        <v>82</v>
      </c>
      <c r="C130" s="106">
        <v>80</v>
      </c>
      <c r="D130" s="106">
        <v>82</v>
      </c>
      <c r="E130" s="106">
        <v>82.5</v>
      </c>
      <c r="F130" s="106">
        <v>80.400000000000006</v>
      </c>
      <c r="G130" s="106">
        <v>91.8</v>
      </c>
      <c r="H130" s="106">
        <v>98.9</v>
      </c>
      <c r="I130" s="106">
        <v>97</v>
      </c>
      <c r="J130" s="106">
        <v>116.7</v>
      </c>
      <c r="K130" s="106">
        <v>99.6</v>
      </c>
      <c r="L130" s="106">
        <v>111.3</v>
      </c>
      <c r="M130" s="106">
        <v>106</v>
      </c>
      <c r="N130" s="106">
        <v>99.5</v>
      </c>
      <c r="O130" s="106">
        <v>98.8</v>
      </c>
      <c r="P130" s="106">
        <v>120.3</v>
      </c>
      <c r="Q130" s="106">
        <v>112</v>
      </c>
      <c r="R130" s="106">
        <v>114.7</v>
      </c>
      <c r="S130" s="106">
        <v>115.4</v>
      </c>
      <c r="T130" s="106">
        <v>108.3</v>
      </c>
      <c r="U130" s="106">
        <v>111</v>
      </c>
      <c r="V130" s="106">
        <v>102.9</v>
      </c>
      <c r="W130" s="106">
        <v>102.1</v>
      </c>
      <c r="X130" s="106">
        <v>100.6</v>
      </c>
      <c r="Y130" s="106">
        <v>119</v>
      </c>
      <c r="Z130" s="106">
        <v>108.4</v>
      </c>
      <c r="AA130" s="106">
        <v>113</v>
      </c>
      <c r="AB130" s="106">
        <v>119.5</v>
      </c>
      <c r="AC130" s="106">
        <v>120.9</v>
      </c>
      <c r="AD130" s="106">
        <v>116.1</v>
      </c>
      <c r="AE130" s="106">
        <v>107</v>
      </c>
      <c r="AF130" s="106">
        <v>90.9</v>
      </c>
      <c r="AG130" s="114"/>
      <c r="AH130" s="47">
        <f>MAX(B130:AF130)</f>
        <v>120.9</v>
      </c>
      <c r="AI130" s="48">
        <f>MIN(B130:AF130)</f>
        <v>80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1984.7</v>
      </c>
      <c r="C132" s="147">
        <v>1984.92</v>
      </c>
      <c r="D132" s="147">
        <v>1985.15</v>
      </c>
      <c r="E132" s="147">
        <v>1985.39</v>
      </c>
      <c r="F132" s="147">
        <v>1985.57</v>
      </c>
      <c r="G132" s="147">
        <v>1985.79</v>
      </c>
      <c r="H132" s="147"/>
      <c r="I132" s="147">
        <v>1985.95</v>
      </c>
      <c r="J132" s="147"/>
      <c r="K132" s="147">
        <v>1985.88</v>
      </c>
      <c r="L132" s="147"/>
      <c r="M132" s="147">
        <v>1985.12</v>
      </c>
      <c r="N132" s="147">
        <v>1984.05</v>
      </c>
      <c r="O132" s="147">
        <v>1983.6</v>
      </c>
      <c r="P132" s="147">
        <v>1983.7</v>
      </c>
      <c r="Q132" s="117">
        <v>1983.7</v>
      </c>
      <c r="R132" s="117">
        <v>1983.8</v>
      </c>
      <c r="S132" s="147">
        <v>1984.02</v>
      </c>
      <c r="T132" s="147">
        <v>1984.28</v>
      </c>
      <c r="U132" s="147">
        <v>1984.5</v>
      </c>
      <c r="V132" s="147">
        <v>1984.71</v>
      </c>
      <c r="W132" s="147"/>
      <c r="X132" s="147">
        <v>1984.94</v>
      </c>
      <c r="Y132" s="147"/>
      <c r="Z132" s="147">
        <v>1984.9</v>
      </c>
      <c r="AA132" s="147"/>
      <c r="AB132" s="147">
        <v>1984.5</v>
      </c>
      <c r="AC132" s="147"/>
      <c r="AD132" s="147">
        <v>1984.7</v>
      </c>
      <c r="AE132" s="147">
        <v>1984.79</v>
      </c>
      <c r="AF132" s="148">
        <v>1984.98</v>
      </c>
      <c r="AG132" s="149"/>
      <c r="AH132" s="47"/>
      <c r="AI132" s="48"/>
    </row>
    <row r="133" spans="1:37" x14ac:dyDescent="0.25">
      <c r="A133" s="185" t="s">
        <v>238</v>
      </c>
      <c r="B133" s="150">
        <v>522.04</v>
      </c>
      <c r="C133" s="150">
        <v>522.36</v>
      </c>
      <c r="D133" s="150">
        <v>522.63</v>
      </c>
      <c r="E133" s="150">
        <v>522.96</v>
      </c>
      <c r="F133" s="150">
        <v>523.23</v>
      </c>
      <c r="G133" s="150">
        <v>523.54</v>
      </c>
      <c r="H133" s="150"/>
      <c r="I133" s="150">
        <v>523.62</v>
      </c>
      <c r="J133" s="150"/>
      <c r="K133" s="150">
        <v>523.57000000000005</v>
      </c>
      <c r="L133" s="150"/>
      <c r="M133" s="150">
        <v>523.41999999999996</v>
      </c>
      <c r="N133" s="150">
        <v>523.14</v>
      </c>
      <c r="O133" s="150">
        <v>522.87</v>
      </c>
      <c r="P133" s="150">
        <v>522.66</v>
      </c>
      <c r="Q133" s="117">
        <v>522.35</v>
      </c>
      <c r="R133" s="117">
        <v>522.14</v>
      </c>
      <c r="S133" s="150">
        <v>522.11</v>
      </c>
      <c r="T133" s="150">
        <v>522.02</v>
      </c>
      <c r="U133" s="150">
        <v>521.9</v>
      </c>
      <c r="V133" s="150">
        <v>521.69000000000005</v>
      </c>
      <c r="W133" s="150"/>
      <c r="X133" s="150">
        <v>521.79999999999995</v>
      </c>
      <c r="Y133" s="150"/>
      <c r="Z133" s="150">
        <v>521.35</v>
      </c>
      <c r="AA133" s="150"/>
      <c r="AB133" s="150">
        <v>520.82000000000005</v>
      </c>
      <c r="AC133" s="150"/>
      <c r="AD133" s="150">
        <v>520.70000000000005</v>
      </c>
      <c r="AE133" s="150">
        <v>520.82000000000005</v>
      </c>
      <c r="AF133" s="151">
        <v>520.94000000000005</v>
      </c>
      <c r="AG133" s="149"/>
      <c r="AH133" s="47"/>
      <c r="AI133" s="48"/>
    </row>
    <row r="134" spans="1:37" x14ac:dyDescent="0.25">
      <c r="A134" s="185" t="s">
        <v>239</v>
      </c>
      <c r="B134" s="150">
        <v>622.77</v>
      </c>
      <c r="C134" s="150">
        <v>623.01</v>
      </c>
      <c r="D134" s="150">
        <v>623.14</v>
      </c>
      <c r="E134" s="150">
        <v>623.1</v>
      </c>
      <c r="F134" s="150">
        <v>623.1</v>
      </c>
      <c r="G134" s="150">
        <v>623.09</v>
      </c>
      <c r="H134" s="150"/>
      <c r="I134" s="150">
        <v>623</v>
      </c>
      <c r="J134" s="150"/>
      <c r="K134" s="150">
        <v>623.02</v>
      </c>
      <c r="L134" s="150"/>
      <c r="M134" s="150">
        <v>623.02</v>
      </c>
      <c r="N134" s="150">
        <v>623.03</v>
      </c>
      <c r="O134" s="150">
        <v>623.01</v>
      </c>
      <c r="P134" s="150">
        <v>622.99</v>
      </c>
      <c r="Q134" s="117">
        <v>623</v>
      </c>
      <c r="R134" s="117">
        <v>622.99</v>
      </c>
      <c r="S134" s="150">
        <v>623.04</v>
      </c>
      <c r="T134" s="150"/>
      <c r="U134" s="150">
        <v>623.21</v>
      </c>
      <c r="V134" s="150">
        <v>623.29999999999995</v>
      </c>
      <c r="W134" s="150"/>
      <c r="X134" s="150">
        <v>623.35</v>
      </c>
      <c r="Y134" s="150"/>
      <c r="Z134" s="150">
        <v>623.41999999999996</v>
      </c>
      <c r="AA134" s="150"/>
      <c r="AB134" s="150">
        <v>623.42999999999995</v>
      </c>
      <c r="AC134" s="150"/>
      <c r="AD134" s="150">
        <v>623.41</v>
      </c>
      <c r="AE134" s="150">
        <v>623.41</v>
      </c>
      <c r="AF134" s="151">
        <v>623.41</v>
      </c>
      <c r="AG134" s="149"/>
      <c r="AH134" s="47"/>
      <c r="AI134" s="48"/>
    </row>
    <row r="135" spans="1:37" x14ac:dyDescent="0.25">
      <c r="A135" s="185" t="s">
        <v>240</v>
      </c>
      <c r="B135" s="150">
        <v>335.64</v>
      </c>
      <c r="C135" s="150">
        <v>335.95</v>
      </c>
      <c r="D135" s="150">
        <v>336.27</v>
      </c>
      <c r="E135" s="150">
        <v>336.54</v>
      </c>
      <c r="F135" s="150">
        <v>336.8</v>
      </c>
      <c r="G135" s="150">
        <v>337.02</v>
      </c>
      <c r="H135" s="150"/>
      <c r="I135" s="150">
        <v>337.17</v>
      </c>
      <c r="J135" s="150"/>
      <c r="K135" s="150">
        <v>337.12</v>
      </c>
      <c r="L135" s="150"/>
      <c r="M135" s="150">
        <v>336.89</v>
      </c>
      <c r="N135" s="150">
        <v>336.7</v>
      </c>
      <c r="O135" s="150">
        <v>336.56</v>
      </c>
      <c r="P135" s="150">
        <v>336.38</v>
      </c>
      <c r="Q135" s="117">
        <v>336.04</v>
      </c>
      <c r="R135" s="117">
        <v>335.8</v>
      </c>
      <c r="S135" s="150">
        <v>335.68</v>
      </c>
      <c r="T135" s="150">
        <v>335.49</v>
      </c>
      <c r="U135" s="150">
        <v>335.54</v>
      </c>
      <c r="V135" s="150">
        <v>335.49</v>
      </c>
      <c r="W135" s="150"/>
      <c r="X135" s="150">
        <v>335.6</v>
      </c>
      <c r="Y135" s="150"/>
      <c r="Z135" s="150">
        <v>335.37</v>
      </c>
      <c r="AA135" s="150"/>
      <c r="AB135" s="150">
        <v>335.2</v>
      </c>
      <c r="AC135" s="150"/>
      <c r="AD135" s="150">
        <v>334.95</v>
      </c>
      <c r="AE135" s="150">
        <v>334.87</v>
      </c>
      <c r="AF135" s="151">
        <v>334.85</v>
      </c>
      <c r="AG135" s="149"/>
      <c r="AH135" s="47"/>
      <c r="AI135" s="48"/>
    </row>
    <row r="136" spans="1:37" x14ac:dyDescent="0.25">
      <c r="A136" s="185" t="s">
        <v>384</v>
      </c>
      <c r="B136" s="150">
        <v>883.8</v>
      </c>
      <c r="C136" s="150">
        <v>884.5</v>
      </c>
      <c r="D136" s="150">
        <v>885.1</v>
      </c>
      <c r="E136" s="150">
        <v>885.7</v>
      </c>
      <c r="F136" s="150">
        <v>886.4</v>
      </c>
      <c r="G136" s="150">
        <v>886.4</v>
      </c>
      <c r="H136" s="150"/>
      <c r="I136" s="150">
        <v>886.8</v>
      </c>
      <c r="J136" s="150"/>
      <c r="K136" s="150">
        <v>887.8</v>
      </c>
      <c r="L136" s="150"/>
      <c r="M136" s="150">
        <v>887.8</v>
      </c>
      <c r="N136" s="150">
        <v>887.5</v>
      </c>
      <c r="O136" s="150">
        <v>887.3</v>
      </c>
      <c r="P136" s="150">
        <v>887.2</v>
      </c>
      <c r="Q136" s="117">
        <v>887</v>
      </c>
      <c r="R136" s="117">
        <v>886.8</v>
      </c>
      <c r="S136" s="150">
        <v>886.8</v>
      </c>
      <c r="T136" s="150">
        <v>886.9</v>
      </c>
      <c r="U136" s="150">
        <v>886.7</v>
      </c>
      <c r="V136" s="150">
        <v>886.3</v>
      </c>
      <c r="W136" s="150"/>
      <c r="X136" s="150">
        <v>886.4</v>
      </c>
      <c r="Y136" s="150"/>
      <c r="Z136" s="150">
        <v>885.9</v>
      </c>
      <c r="AA136" s="150"/>
      <c r="AB136" s="150">
        <v>884.6</v>
      </c>
      <c r="AC136" s="150">
        <v>883.6</v>
      </c>
      <c r="AD136" s="150">
        <v>883.6</v>
      </c>
      <c r="AE136" s="150">
        <v>883.8</v>
      </c>
      <c r="AF136" s="151">
        <v>884.9</v>
      </c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1519.69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>
        <f>Q132-P132</f>
        <v>0</v>
      </c>
      <c r="R139" s="123">
        <f t="shared" ref="R139:U139" si="120">R132-Q132</f>
        <v>9.9999999999909051E-2</v>
      </c>
      <c r="S139" s="123">
        <f t="shared" si="120"/>
        <v>0.22000000000002728</v>
      </c>
      <c r="T139" s="123">
        <f t="shared" si="120"/>
        <v>0.25999999999999091</v>
      </c>
      <c r="U139" s="123">
        <f t="shared" si="120"/>
        <v>0.22000000000002728</v>
      </c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>
        <v>378</v>
      </c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>
        <v>250</v>
      </c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21">SUM(B139:B243)</f>
        <v>0</v>
      </c>
      <c r="C244" s="134">
        <f t="shared" si="121"/>
        <v>0</v>
      </c>
      <c r="D244" s="134">
        <f t="shared" si="121"/>
        <v>0</v>
      </c>
      <c r="E244" s="134">
        <f t="shared" si="121"/>
        <v>0</v>
      </c>
      <c r="F244" s="134">
        <f t="shared" si="121"/>
        <v>0</v>
      </c>
      <c r="G244" s="134">
        <f t="shared" si="121"/>
        <v>0</v>
      </c>
      <c r="H244" s="134">
        <f t="shared" si="121"/>
        <v>0</v>
      </c>
      <c r="I244" s="134">
        <f t="shared" si="121"/>
        <v>0</v>
      </c>
      <c r="J244" s="134">
        <f t="shared" si="121"/>
        <v>628</v>
      </c>
      <c r="K244" s="134">
        <f t="shared" si="121"/>
        <v>0</v>
      </c>
      <c r="L244" s="134">
        <f t="shared" si="121"/>
        <v>0</v>
      </c>
      <c r="M244" s="134">
        <f t="shared" si="121"/>
        <v>0</v>
      </c>
      <c r="N244" s="134">
        <f t="shared" si="121"/>
        <v>0</v>
      </c>
      <c r="O244" s="134">
        <f t="shared" si="121"/>
        <v>0</v>
      </c>
      <c r="P244" s="134">
        <f t="shared" si="121"/>
        <v>0</v>
      </c>
      <c r="Q244" s="134">
        <f t="shared" si="121"/>
        <v>0</v>
      </c>
      <c r="R244" s="134">
        <f t="shared" si="121"/>
        <v>9.9999999999909051E-2</v>
      </c>
      <c r="S244" s="134">
        <f t="shared" si="121"/>
        <v>0.22000000000002728</v>
      </c>
      <c r="T244" s="134">
        <f t="shared" si="121"/>
        <v>0.25999999999999091</v>
      </c>
      <c r="U244" s="134">
        <f t="shared" si="121"/>
        <v>0.22000000000002728</v>
      </c>
      <c r="V244" s="134">
        <f t="shared" si="121"/>
        <v>0</v>
      </c>
      <c r="W244" s="134">
        <f t="shared" si="121"/>
        <v>0</v>
      </c>
      <c r="X244" s="134">
        <f t="shared" si="121"/>
        <v>0</v>
      </c>
      <c r="Y244" s="134">
        <f t="shared" si="121"/>
        <v>0</v>
      </c>
      <c r="Z244" s="134">
        <f t="shared" si="121"/>
        <v>0</v>
      </c>
      <c r="AA244" s="134">
        <f t="shared" si="121"/>
        <v>0</v>
      </c>
      <c r="AB244" s="134">
        <f t="shared" si="121"/>
        <v>0</v>
      </c>
      <c r="AC244" s="134">
        <f t="shared" si="121"/>
        <v>0</v>
      </c>
      <c r="AD244" s="134">
        <f t="shared" si="121"/>
        <v>0</v>
      </c>
      <c r="AE244" s="134">
        <f t="shared" si="121"/>
        <v>0</v>
      </c>
      <c r="AF244" s="135">
        <f t="shared" si="121"/>
        <v>0</v>
      </c>
      <c r="AG244" s="136">
        <f t="shared" si="12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22">AF246</f>
        <v>0.3</v>
      </c>
      <c r="C246" s="138">
        <v>0.3</v>
      </c>
      <c r="D246" s="138">
        <f t="shared" ref="D246:S251" si="123">C246</f>
        <v>0.3</v>
      </c>
      <c r="E246" s="138">
        <f t="shared" si="123"/>
        <v>0.3</v>
      </c>
      <c r="F246" s="138">
        <f t="shared" si="123"/>
        <v>0.3</v>
      </c>
      <c r="G246" s="138">
        <f t="shared" si="123"/>
        <v>0.3</v>
      </c>
      <c r="H246" s="138">
        <f t="shared" si="123"/>
        <v>0.3</v>
      </c>
      <c r="I246" s="138">
        <f t="shared" si="123"/>
        <v>0.3</v>
      </c>
      <c r="J246" s="138">
        <f t="shared" si="123"/>
        <v>0.3</v>
      </c>
      <c r="K246" s="138">
        <f t="shared" si="123"/>
        <v>0.3</v>
      </c>
      <c r="L246" s="138">
        <f t="shared" si="123"/>
        <v>0.3</v>
      </c>
      <c r="M246" s="138">
        <f t="shared" si="123"/>
        <v>0.3</v>
      </c>
      <c r="N246" s="138">
        <f t="shared" si="123"/>
        <v>0.3</v>
      </c>
      <c r="O246" s="138">
        <f t="shared" si="123"/>
        <v>0.3</v>
      </c>
      <c r="P246" s="138">
        <f t="shared" si="123"/>
        <v>0.3</v>
      </c>
      <c r="Q246" s="138">
        <f t="shared" si="123"/>
        <v>0.3</v>
      </c>
      <c r="R246" s="138">
        <f t="shared" si="123"/>
        <v>0.3</v>
      </c>
      <c r="S246" s="138">
        <f t="shared" si="123"/>
        <v>0.3</v>
      </c>
      <c r="T246" s="138">
        <f t="shared" ref="T246:AF251" si="124">S246</f>
        <v>0.3</v>
      </c>
      <c r="U246" s="138">
        <f t="shared" si="124"/>
        <v>0.3</v>
      </c>
      <c r="V246" s="138">
        <f t="shared" si="124"/>
        <v>0.3</v>
      </c>
      <c r="W246" s="138">
        <f t="shared" si="124"/>
        <v>0.3</v>
      </c>
      <c r="X246" s="138">
        <f t="shared" si="124"/>
        <v>0.3</v>
      </c>
      <c r="Y246" s="138">
        <f t="shared" si="124"/>
        <v>0.3</v>
      </c>
      <c r="Z246" s="138">
        <f t="shared" si="124"/>
        <v>0.3</v>
      </c>
      <c r="AA246" s="138">
        <f t="shared" si="124"/>
        <v>0.3</v>
      </c>
      <c r="AB246" s="138">
        <f t="shared" si="124"/>
        <v>0.3</v>
      </c>
      <c r="AC246" s="138">
        <f t="shared" si="124"/>
        <v>0.3</v>
      </c>
      <c r="AD246" s="138">
        <f t="shared" si="124"/>
        <v>0.3</v>
      </c>
      <c r="AE246" s="138">
        <f t="shared" si="124"/>
        <v>0.3</v>
      </c>
      <c r="AF246" s="138">
        <f t="shared" si="12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22"/>
        <v>0.4</v>
      </c>
      <c r="C247" s="126">
        <v>0.4</v>
      </c>
      <c r="D247" s="126">
        <f t="shared" si="123"/>
        <v>0.4</v>
      </c>
      <c r="E247" s="126">
        <f t="shared" si="123"/>
        <v>0.4</v>
      </c>
      <c r="F247" s="126">
        <f t="shared" si="123"/>
        <v>0.4</v>
      </c>
      <c r="G247" s="126">
        <f t="shared" si="123"/>
        <v>0.4</v>
      </c>
      <c r="H247" s="126">
        <f t="shared" si="123"/>
        <v>0.4</v>
      </c>
      <c r="I247" s="126">
        <f t="shared" si="123"/>
        <v>0.4</v>
      </c>
      <c r="J247" s="126">
        <f t="shared" si="123"/>
        <v>0.4</v>
      </c>
      <c r="K247" s="126">
        <f t="shared" si="123"/>
        <v>0.4</v>
      </c>
      <c r="L247" s="126">
        <f t="shared" si="123"/>
        <v>0.4</v>
      </c>
      <c r="M247" s="126">
        <f t="shared" si="123"/>
        <v>0.4</v>
      </c>
      <c r="N247" s="126">
        <f t="shared" si="123"/>
        <v>0.4</v>
      </c>
      <c r="O247" s="126">
        <f t="shared" si="123"/>
        <v>0.4</v>
      </c>
      <c r="P247" s="126">
        <f t="shared" si="123"/>
        <v>0.4</v>
      </c>
      <c r="Q247" s="126">
        <f t="shared" si="123"/>
        <v>0.4</v>
      </c>
      <c r="R247" s="126">
        <f t="shared" si="123"/>
        <v>0.4</v>
      </c>
      <c r="S247" s="126">
        <f t="shared" si="123"/>
        <v>0.4</v>
      </c>
      <c r="T247" s="126">
        <f t="shared" si="124"/>
        <v>0.4</v>
      </c>
      <c r="U247" s="126">
        <f t="shared" si="124"/>
        <v>0.4</v>
      </c>
      <c r="V247" s="126">
        <f t="shared" si="124"/>
        <v>0.4</v>
      </c>
      <c r="W247" s="126">
        <f t="shared" si="124"/>
        <v>0.4</v>
      </c>
      <c r="X247" s="126">
        <f t="shared" si="124"/>
        <v>0.4</v>
      </c>
      <c r="Y247" s="126">
        <f t="shared" si="124"/>
        <v>0.4</v>
      </c>
      <c r="Z247" s="126">
        <f t="shared" si="124"/>
        <v>0.4</v>
      </c>
      <c r="AA247" s="126">
        <f t="shared" si="124"/>
        <v>0.4</v>
      </c>
      <c r="AB247" s="126">
        <f t="shared" si="124"/>
        <v>0.4</v>
      </c>
      <c r="AC247" s="126">
        <f t="shared" si="124"/>
        <v>0.4</v>
      </c>
      <c r="AD247" s="126">
        <f t="shared" si="124"/>
        <v>0.4</v>
      </c>
      <c r="AE247" s="126">
        <f t="shared" si="124"/>
        <v>0.4</v>
      </c>
      <c r="AF247" s="126">
        <f t="shared" si="12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22"/>
        <v>1.5</v>
      </c>
      <c r="C248" s="126">
        <v>1.5</v>
      </c>
      <c r="D248" s="126">
        <f t="shared" si="123"/>
        <v>1.5</v>
      </c>
      <c r="E248" s="126">
        <f t="shared" si="123"/>
        <v>1.5</v>
      </c>
      <c r="F248" s="126">
        <f t="shared" si="123"/>
        <v>1.5</v>
      </c>
      <c r="G248" s="126">
        <f t="shared" si="123"/>
        <v>1.5</v>
      </c>
      <c r="H248" s="126">
        <f t="shared" si="123"/>
        <v>1.5</v>
      </c>
      <c r="I248" s="126">
        <f t="shared" si="123"/>
        <v>1.5</v>
      </c>
      <c r="J248" s="126">
        <f t="shared" si="123"/>
        <v>1.5</v>
      </c>
      <c r="K248" s="126">
        <f t="shared" si="123"/>
        <v>1.5</v>
      </c>
      <c r="L248" s="126">
        <f t="shared" si="123"/>
        <v>1.5</v>
      </c>
      <c r="M248" s="126">
        <f t="shared" si="123"/>
        <v>1.5</v>
      </c>
      <c r="N248" s="126">
        <f t="shared" si="123"/>
        <v>1.5</v>
      </c>
      <c r="O248" s="126">
        <f t="shared" si="123"/>
        <v>1.5</v>
      </c>
      <c r="P248" s="126">
        <f t="shared" si="123"/>
        <v>1.5</v>
      </c>
      <c r="Q248" s="126">
        <f t="shared" si="123"/>
        <v>1.5</v>
      </c>
      <c r="R248" s="126">
        <f t="shared" si="123"/>
        <v>1.5</v>
      </c>
      <c r="S248" s="126">
        <f t="shared" si="123"/>
        <v>1.5</v>
      </c>
      <c r="T248" s="126">
        <f t="shared" si="124"/>
        <v>1.5</v>
      </c>
      <c r="U248" s="126">
        <f t="shared" si="124"/>
        <v>1.5</v>
      </c>
      <c r="V248" s="126">
        <f t="shared" si="124"/>
        <v>1.5</v>
      </c>
      <c r="W248" s="126">
        <f t="shared" si="124"/>
        <v>1.5</v>
      </c>
      <c r="X248" s="126">
        <f t="shared" si="124"/>
        <v>1.5</v>
      </c>
      <c r="Y248" s="126">
        <f t="shared" si="124"/>
        <v>1.5</v>
      </c>
      <c r="Z248" s="126">
        <f t="shared" si="124"/>
        <v>1.5</v>
      </c>
      <c r="AA248" s="126">
        <f t="shared" si="124"/>
        <v>1.5</v>
      </c>
      <c r="AB248" s="126">
        <f t="shared" si="124"/>
        <v>1.5</v>
      </c>
      <c r="AC248" s="126">
        <f t="shared" si="124"/>
        <v>1.5</v>
      </c>
      <c r="AD248" s="126">
        <f t="shared" si="124"/>
        <v>1.5</v>
      </c>
      <c r="AE248" s="126">
        <f t="shared" si="124"/>
        <v>1.5</v>
      </c>
      <c r="AF248" s="126">
        <f t="shared" si="12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22"/>
        <v>0.3</v>
      </c>
      <c r="C249" s="126">
        <v>0.3</v>
      </c>
      <c r="D249" s="126">
        <f t="shared" si="123"/>
        <v>0.3</v>
      </c>
      <c r="E249" s="126">
        <f t="shared" si="123"/>
        <v>0.3</v>
      </c>
      <c r="F249" s="126">
        <f t="shared" si="123"/>
        <v>0.3</v>
      </c>
      <c r="G249" s="126">
        <f t="shared" si="123"/>
        <v>0.3</v>
      </c>
      <c r="H249" s="126">
        <f t="shared" si="123"/>
        <v>0.3</v>
      </c>
      <c r="I249" s="126">
        <f t="shared" si="123"/>
        <v>0.3</v>
      </c>
      <c r="J249" s="126">
        <f t="shared" si="123"/>
        <v>0.3</v>
      </c>
      <c r="K249" s="126">
        <f t="shared" si="123"/>
        <v>0.3</v>
      </c>
      <c r="L249" s="126">
        <f t="shared" si="123"/>
        <v>0.3</v>
      </c>
      <c r="M249" s="126">
        <f t="shared" si="123"/>
        <v>0.3</v>
      </c>
      <c r="N249" s="126">
        <f t="shared" si="123"/>
        <v>0.3</v>
      </c>
      <c r="O249" s="126">
        <f t="shared" si="123"/>
        <v>0.3</v>
      </c>
      <c r="P249" s="126">
        <f t="shared" si="123"/>
        <v>0.3</v>
      </c>
      <c r="Q249" s="126">
        <f t="shared" si="123"/>
        <v>0.3</v>
      </c>
      <c r="R249" s="126">
        <f t="shared" si="123"/>
        <v>0.3</v>
      </c>
      <c r="S249" s="126">
        <f t="shared" si="123"/>
        <v>0.3</v>
      </c>
      <c r="T249" s="126">
        <f t="shared" si="124"/>
        <v>0.3</v>
      </c>
      <c r="U249" s="126">
        <f t="shared" si="124"/>
        <v>0.3</v>
      </c>
      <c r="V249" s="126">
        <f t="shared" si="124"/>
        <v>0.3</v>
      </c>
      <c r="W249" s="126">
        <f t="shared" si="124"/>
        <v>0.3</v>
      </c>
      <c r="X249" s="126">
        <f t="shared" si="124"/>
        <v>0.3</v>
      </c>
      <c r="Y249" s="126">
        <f t="shared" si="124"/>
        <v>0.3</v>
      </c>
      <c r="Z249" s="126">
        <f t="shared" si="124"/>
        <v>0.3</v>
      </c>
      <c r="AA249" s="126">
        <f t="shared" si="124"/>
        <v>0.3</v>
      </c>
      <c r="AB249" s="126">
        <f t="shared" si="124"/>
        <v>0.3</v>
      </c>
      <c r="AC249" s="126">
        <f t="shared" si="124"/>
        <v>0.3</v>
      </c>
      <c r="AD249" s="126">
        <f t="shared" si="124"/>
        <v>0.3</v>
      </c>
      <c r="AE249" s="126">
        <f t="shared" si="124"/>
        <v>0.3</v>
      </c>
      <c r="AF249" s="126">
        <f t="shared" si="12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22"/>
        <v>0.4</v>
      </c>
      <c r="C250" s="126">
        <v>0.4</v>
      </c>
      <c r="D250" s="126">
        <f t="shared" si="123"/>
        <v>0.4</v>
      </c>
      <c r="E250" s="126">
        <f t="shared" si="123"/>
        <v>0.4</v>
      </c>
      <c r="F250" s="126">
        <f t="shared" si="123"/>
        <v>0.4</v>
      </c>
      <c r="G250" s="126">
        <f t="shared" si="123"/>
        <v>0.4</v>
      </c>
      <c r="H250" s="126">
        <f t="shared" si="123"/>
        <v>0.4</v>
      </c>
      <c r="I250" s="126">
        <f t="shared" si="123"/>
        <v>0.4</v>
      </c>
      <c r="J250" s="126">
        <f t="shared" si="123"/>
        <v>0.4</v>
      </c>
      <c r="K250" s="126">
        <f t="shared" si="123"/>
        <v>0.4</v>
      </c>
      <c r="L250" s="126">
        <f t="shared" si="123"/>
        <v>0.4</v>
      </c>
      <c r="M250" s="126">
        <f t="shared" si="123"/>
        <v>0.4</v>
      </c>
      <c r="N250" s="126">
        <f t="shared" si="123"/>
        <v>0.4</v>
      </c>
      <c r="O250" s="126">
        <f t="shared" si="123"/>
        <v>0.4</v>
      </c>
      <c r="P250" s="126">
        <f t="shared" si="123"/>
        <v>0.4</v>
      </c>
      <c r="Q250" s="126">
        <f t="shared" si="123"/>
        <v>0.4</v>
      </c>
      <c r="R250" s="126">
        <f t="shared" si="123"/>
        <v>0.4</v>
      </c>
      <c r="S250" s="126">
        <f t="shared" si="123"/>
        <v>0.4</v>
      </c>
      <c r="T250" s="126">
        <f t="shared" si="124"/>
        <v>0.4</v>
      </c>
      <c r="U250" s="126">
        <f t="shared" si="124"/>
        <v>0.4</v>
      </c>
      <c r="V250" s="126">
        <f t="shared" si="124"/>
        <v>0.4</v>
      </c>
      <c r="W250" s="126">
        <f t="shared" si="124"/>
        <v>0.4</v>
      </c>
      <c r="X250" s="126">
        <f t="shared" si="124"/>
        <v>0.4</v>
      </c>
      <c r="Y250" s="126">
        <f t="shared" si="124"/>
        <v>0.4</v>
      </c>
      <c r="Z250" s="126">
        <f t="shared" si="124"/>
        <v>0.4</v>
      </c>
      <c r="AA250" s="126">
        <f t="shared" si="124"/>
        <v>0.4</v>
      </c>
      <c r="AB250" s="126">
        <f t="shared" si="124"/>
        <v>0.4</v>
      </c>
      <c r="AC250" s="126">
        <f t="shared" si="124"/>
        <v>0.4</v>
      </c>
      <c r="AD250" s="126">
        <f t="shared" si="124"/>
        <v>0.4</v>
      </c>
      <c r="AE250" s="126">
        <f t="shared" si="124"/>
        <v>0.4</v>
      </c>
      <c r="AF250" s="126">
        <f t="shared" si="12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22"/>
        <v>0.64</v>
      </c>
      <c r="C251" s="130">
        <v>0.64</v>
      </c>
      <c r="D251" s="130">
        <f t="shared" si="123"/>
        <v>0.64</v>
      </c>
      <c r="E251" s="130">
        <f t="shared" si="123"/>
        <v>0.64</v>
      </c>
      <c r="F251" s="130">
        <f t="shared" si="123"/>
        <v>0.64</v>
      </c>
      <c r="G251" s="130">
        <f t="shared" si="123"/>
        <v>0.64</v>
      </c>
      <c r="H251" s="130">
        <f t="shared" si="123"/>
        <v>0.64</v>
      </c>
      <c r="I251" s="130">
        <f t="shared" si="123"/>
        <v>0.64</v>
      </c>
      <c r="J251" s="130">
        <f t="shared" si="123"/>
        <v>0.64</v>
      </c>
      <c r="K251" s="130">
        <f t="shared" si="123"/>
        <v>0.64</v>
      </c>
      <c r="L251" s="130">
        <f t="shared" si="123"/>
        <v>0.64</v>
      </c>
      <c r="M251" s="130">
        <f t="shared" si="123"/>
        <v>0.64</v>
      </c>
      <c r="N251" s="130">
        <f t="shared" si="123"/>
        <v>0.64</v>
      </c>
      <c r="O251" s="130">
        <f t="shared" si="123"/>
        <v>0.64</v>
      </c>
      <c r="P251" s="130">
        <f t="shared" si="123"/>
        <v>0.64</v>
      </c>
      <c r="Q251" s="130">
        <f t="shared" si="123"/>
        <v>0.64</v>
      </c>
      <c r="R251" s="130">
        <f t="shared" si="123"/>
        <v>0.64</v>
      </c>
      <c r="S251" s="130">
        <f t="shared" si="123"/>
        <v>0.64</v>
      </c>
      <c r="T251" s="130">
        <f t="shared" si="124"/>
        <v>0.64</v>
      </c>
      <c r="U251" s="130">
        <f t="shared" si="124"/>
        <v>0.64</v>
      </c>
      <c r="V251" s="130">
        <f t="shared" si="124"/>
        <v>0.64</v>
      </c>
      <c r="W251" s="130">
        <f t="shared" si="124"/>
        <v>0.64</v>
      </c>
      <c r="X251" s="130">
        <f t="shared" si="124"/>
        <v>0.64</v>
      </c>
      <c r="Y251" s="130">
        <f t="shared" si="124"/>
        <v>0.64</v>
      </c>
      <c r="Z251" s="130">
        <f t="shared" si="124"/>
        <v>0.64</v>
      </c>
      <c r="AA251" s="130">
        <f t="shared" si="124"/>
        <v>0.64</v>
      </c>
      <c r="AB251" s="130">
        <f t="shared" si="124"/>
        <v>0.64</v>
      </c>
      <c r="AC251" s="130">
        <f t="shared" si="124"/>
        <v>0.64</v>
      </c>
      <c r="AD251" s="130">
        <f t="shared" si="124"/>
        <v>0.64</v>
      </c>
      <c r="AE251" s="130">
        <f t="shared" si="124"/>
        <v>0.64</v>
      </c>
      <c r="AF251" s="130">
        <f t="shared" si="12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5">SUM(B246:B251)</f>
        <v>3.54</v>
      </c>
      <c r="C252" s="134">
        <f t="shared" si="125"/>
        <v>3.54</v>
      </c>
      <c r="D252" s="134">
        <f t="shared" si="125"/>
        <v>3.54</v>
      </c>
      <c r="E252" s="134">
        <f t="shared" si="125"/>
        <v>3.54</v>
      </c>
      <c r="F252" s="134">
        <f t="shared" si="125"/>
        <v>3.54</v>
      </c>
      <c r="G252" s="134">
        <f t="shared" si="125"/>
        <v>3.54</v>
      </c>
      <c r="H252" s="134">
        <f t="shared" si="125"/>
        <v>3.54</v>
      </c>
      <c r="I252" s="134">
        <f t="shared" si="125"/>
        <v>3.54</v>
      </c>
      <c r="J252" s="134">
        <f t="shared" si="125"/>
        <v>3.54</v>
      </c>
      <c r="K252" s="134">
        <f t="shared" si="125"/>
        <v>3.54</v>
      </c>
      <c r="L252" s="134">
        <f t="shared" si="125"/>
        <v>3.54</v>
      </c>
      <c r="M252" s="134">
        <f t="shared" si="125"/>
        <v>3.54</v>
      </c>
      <c r="N252" s="134">
        <f t="shared" si="125"/>
        <v>3.54</v>
      </c>
      <c r="O252" s="134">
        <f t="shared" si="125"/>
        <v>3.54</v>
      </c>
      <c r="P252" s="134">
        <f t="shared" si="125"/>
        <v>3.54</v>
      </c>
      <c r="Q252" s="134">
        <f t="shared" si="125"/>
        <v>3.54</v>
      </c>
      <c r="R252" s="134">
        <f t="shared" si="125"/>
        <v>3.54</v>
      </c>
      <c r="S252" s="134">
        <f t="shared" si="125"/>
        <v>3.54</v>
      </c>
      <c r="T252" s="134">
        <f t="shared" si="125"/>
        <v>3.54</v>
      </c>
      <c r="U252" s="134">
        <f t="shared" si="125"/>
        <v>3.54</v>
      </c>
      <c r="V252" s="134">
        <f t="shared" si="125"/>
        <v>3.54</v>
      </c>
      <c r="W252" s="134">
        <f t="shared" si="125"/>
        <v>3.54</v>
      </c>
      <c r="X252" s="134">
        <f t="shared" si="125"/>
        <v>3.54</v>
      </c>
      <c r="Y252" s="134">
        <f t="shared" si="125"/>
        <v>3.54</v>
      </c>
      <c r="Z252" s="134">
        <f t="shared" si="125"/>
        <v>3.54</v>
      </c>
      <c r="AA252" s="134">
        <f t="shared" si="125"/>
        <v>3.54</v>
      </c>
      <c r="AB252" s="134">
        <f t="shared" si="125"/>
        <v>3.54</v>
      </c>
      <c r="AC252" s="134">
        <f t="shared" si="125"/>
        <v>3.54</v>
      </c>
      <c r="AD252" s="134">
        <f t="shared" si="125"/>
        <v>3.54</v>
      </c>
      <c r="AE252" s="134">
        <f t="shared" si="125"/>
        <v>3.54</v>
      </c>
      <c r="AF252" s="134">
        <f t="shared" si="125"/>
        <v>3.54</v>
      </c>
      <c r="AG252" s="143">
        <f t="shared" si="12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1586.0900000000001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autoFilter ref="A1:AI252" xr:uid="{730789A3-1CA9-4512-8846-75FE58BCE103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2" showButton="0"/>
    <filterColumn colId="33" showButton="0"/>
  </autoFilter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768" priority="133">
      <formula>$AH11=0</formula>
    </cfRule>
  </conditionalFormatting>
  <conditionalFormatting sqref="A132:A253">
    <cfRule type="expression" dxfId="1767" priority="134">
      <formula>$AH132=0</formula>
    </cfRule>
  </conditionalFormatting>
  <conditionalFormatting sqref="B8">
    <cfRule type="expression" dxfId="1766" priority="192">
      <formula>AND(C$9&gt;=14/24,C$9&lt;20/24)</formula>
    </cfRule>
    <cfRule type="expression" dxfId="1765" priority="193">
      <formula>AND(C$9&gt;=8/24,C$9&lt;14/24)</formula>
    </cfRule>
    <cfRule type="expression" dxfId="1764" priority="194">
      <formula>C$9&lt;8/24</formula>
    </cfRule>
    <cfRule type="expression" dxfId="1763" priority="195">
      <formula>C$9&gt;=20/24</formula>
    </cfRule>
  </conditionalFormatting>
  <conditionalFormatting sqref="B63:D74">
    <cfRule type="expression" dxfId="1762" priority="12">
      <formula>AND(B$9&gt;=8/24,B$9&lt;14/24)</formula>
    </cfRule>
    <cfRule type="expression" dxfId="1761" priority="10">
      <formula>B$9&gt;=20/24</formula>
    </cfRule>
    <cfRule type="expression" dxfId="1760" priority="11">
      <formula>AND(B$9&gt;=14/24,B$9&lt;20/24)</formula>
    </cfRule>
    <cfRule type="expression" dxfId="1759" priority="13">
      <formula>B$9&lt;8/24</formula>
    </cfRule>
  </conditionalFormatting>
  <conditionalFormatting sqref="B12:O52 P13:Y52">
    <cfRule type="expression" dxfId="1758" priority="29">
      <formula>B$9&lt;8/24</formula>
    </cfRule>
    <cfRule type="expression" dxfId="1757" priority="28">
      <formula>AND(B$9&gt;=8/24,B$9&lt;14/24)</formula>
    </cfRule>
    <cfRule type="expression" dxfId="1756" priority="26">
      <formula>B$9&gt;=20/24</formula>
    </cfRule>
    <cfRule type="expression" dxfId="1755" priority="27">
      <formula>AND(B$9&gt;=14/24,B$9&lt;20/24)</formula>
    </cfRule>
  </conditionalFormatting>
  <conditionalFormatting sqref="B12:O55 P13:Y55">
    <cfRule type="expression" dxfId="1754" priority="25">
      <formula>B12&gt;$AG12</formula>
    </cfRule>
  </conditionalFormatting>
  <conditionalFormatting sqref="B11:P11">
    <cfRule type="expression" dxfId="1753" priority="35">
      <formula>B11&gt;$AG11</formula>
    </cfRule>
    <cfRule type="expression" dxfId="1752" priority="36">
      <formula>B$9&gt;=20/24</formula>
    </cfRule>
    <cfRule type="expression" dxfId="1751" priority="37">
      <formula>AND(B$9&gt;=14/24,B$9&lt;20/24)</formula>
    </cfRule>
    <cfRule type="expression" dxfId="1750" priority="38">
      <formula>AND(B$9&gt;=8/24,B$9&lt;14/24)</formula>
    </cfRule>
    <cfRule type="expression" dxfId="1749" priority="39">
      <formula>B$9&lt;8/24</formula>
    </cfRule>
  </conditionalFormatting>
  <conditionalFormatting sqref="B53:Y57">
    <cfRule type="expression" dxfId="1748" priority="34">
      <formula>B$9&lt;8/24</formula>
    </cfRule>
    <cfRule type="expression" dxfId="1747" priority="22">
      <formula>B$9&gt;=20/24</formula>
    </cfRule>
    <cfRule type="expression" dxfId="1746" priority="23">
      <formula>AND(B$9&gt;=14/24,B$9&lt;20/24)</formula>
    </cfRule>
    <cfRule type="expression" dxfId="1745" priority="24">
      <formula>AND(B$9&gt;=8/24,B$9&lt;14/24)</formula>
    </cfRule>
  </conditionalFormatting>
  <conditionalFormatting sqref="B56:Y80">
    <cfRule type="expression" dxfId="1744" priority="9">
      <formula>B56&gt;$AG56</formula>
    </cfRule>
  </conditionalFormatting>
  <conditionalFormatting sqref="B68:Y68">
    <cfRule type="expression" dxfId="1743" priority="19">
      <formula>AND(B$9&gt;=14/24,B$9&lt;20/24)</formula>
    </cfRule>
    <cfRule type="expression" dxfId="1742" priority="18">
      <formula>B$9&gt;=20/24</formula>
    </cfRule>
    <cfRule type="expression" dxfId="1741" priority="20">
      <formula>AND(B$9&gt;=8/24,B$9&lt;14/24)</formula>
    </cfRule>
    <cfRule type="expression" dxfId="1740" priority="21">
      <formula>B$9&lt;8/24</formula>
    </cfRule>
  </conditionalFormatting>
  <conditionalFormatting sqref="B9:AF10 B59:AF62 E69:AF74 B77:AF99 B101:AF117 B244:AF244 B246:B252">
    <cfRule type="expression" dxfId="1739" priority="87">
      <formula>B$9&lt;8/24</formula>
    </cfRule>
    <cfRule type="expression" dxfId="1738" priority="86">
      <formula>AND(B$9&gt;=8/24,B$9&lt;14/24)</formula>
    </cfRule>
    <cfRule type="expression" dxfId="1737" priority="85">
      <formula>AND(B$9&gt;=14/24,B$9&lt;20/24)</formula>
    </cfRule>
  </conditionalFormatting>
  <conditionalFormatting sqref="B59:AF62 E69:AF74 B77:AF99 B9:AF10 B101:AF117 B244:AF244 B246:B252">
    <cfRule type="expression" dxfId="1736" priority="84">
      <formula>B$9&gt;=20/24</formula>
    </cfRule>
  </conditionalFormatting>
  <conditionalFormatting sqref="B119:AF137">
    <cfRule type="expression" dxfId="1735" priority="3">
      <formula>AND(B$9&gt;=8/24,B$9&lt;14/24)</formula>
    </cfRule>
    <cfRule type="expression" dxfId="1734" priority="4">
      <formula>B$9&lt;8/24</formula>
    </cfRule>
    <cfRule type="expression" dxfId="1733" priority="1">
      <formula>B$9&gt;=20/24</formula>
    </cfRule>
    <cfRule type="expression" dxfId="1732" priority="2">
      <formula>AND(B$9&gt;=14/24,B$9&lt;20/24)</formula>
    </cfRule>
  </conditionalFormatting>
  <conditionalFormatting sqref="D246:AF252">
    <cfRule type="expression" dxfId="1731" priority="180">
      <formula>D$9&lt;8/24</formula>
    </cfRule>
    <cfRule type="expression" dxfId="1730" priority="179">
      <formula>AND(D$9&gt;=8/24,D$9&lt;14/24)</formula>
    </cfRule>
    <cfRule type="expression" dxfId="1729" priority="178">
      <formula>AND(D$9&gt;=14/24,D$9&lt;20/24)</formula>
    </cfRule>
    <cfRule type="expression" dxfId="1728" priority="177">
      <formula>D$9&gt;=20/24</formula>
    </cfRule>
  </conditionalFormatting>
  <conditionalFormatting sqref="E63:I67 J64:J67 K67">
    <cfRule type="expression" dxfId="1727" priority="97">
      <formula>E$9&gt;=20/24</formula>
    </cfRule>
    <cfRule type="expression" dxfId="1726" priority="99">
      <formula>AND(E$9&gt;=8/24,E$9&lt;14/24)</formula>
    </cfRule>
    <cfRule type="expression" dxfId="1725" priority="100">
      <formula>E$9&lt;8/24</formula>
    </cfRule>
    <cfRule type="expression" dxfId="1724" priority="98">
      <formula>AND(E$9&gt;=14/24,E$9&lt;20/24)</formula>
    </cfRule>
  </conditionalFormatting>
  <conditionalFormatting sqref="F63:M65">
    <cfRule type="expression" dxfId="1723" priority="128">
      <formula>F$9&lt;8/24</formula>
    </cfRule>
    <cfRule type="expression" dxfId="1722" priority="125">
      <formula>F$9&gt;=20/24</formula>
    </cfRule>
    <cfRule type="expression" dxfId="1721" priority="126">
      <formula>AND(F$9&gt;=14/24,F$9&lt;20/24)</formula>
    </cfRule>
    <cfRule type="expression" dxfId="1720" priority="127">
      <formula>AND(F$9&gt;=8/24,F$9&lt;14/24)</formula>
    </cfRule>
  </conditionalFormatting>
  <conditionalFormatting sqref="M8 S8 AB8">
    <cfRule type="expression" dxfId="1719" priority="186">
      <formula>N$9&lt;8/24</formula>
    </cfRule>
    <cfRule type="expression" dxfId="1718" priority="184">
      <formula>AND(N$9&gt;=14/24,N$9&lt;20/24)</formula>
    </cfRule>
    <cfRule type="expression" dxfId="1717" priority="185">
      <formula>AND(N$9&gt;=8/24,N$9&lt;14/24)</formula>
    </cfRule>
  </conditionalFormatting>
  <conditionalFormatting sqref="M63:Y67">
    <cfRule type="expression" dxfId="1716" priority="132">
      <formula>M$9&lt;8/24</formula>
    </cfRule>
    <cfRule type="expression" dxfId="1715" priority="131">
      <formula>AND(M$9&gt;=8/24,M$9&lt;14/24)</formula>
    </cfRule>
    <cfRule type="expression" dxfId="1714" priority="130">
      <formula>AND(M$9&gt;=14/24,M$9&lt;20/24)</formula>
    </cfRule>
    <cfRule type="expression" dxfId="1713" priority="129">
      <formula>M$9&gt;=20/24</formula>
    </cfRule>
  </conditionalFormatting>
  <conditionalFormatting sqref="O3:P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Q11:Y12 Z11:AF52 P12">
    <cfRule type="expression" dxfId="1712" priority="103">
      <formula>AND(P$9&gt;=14/24,P$9&lt;20/24)</formula>
    </cfRule>
    <cfRule type="expression" dxfId="1711" priority="104">
      <formula>AND(P$9&gt;=8/24,P$9&lt;14/24)</formula>
    </cfRule>
    <cfRule type="expression" dxfId="1710" priority="105">
      <formula>P$9&lt;8/24</formula>
    </cfRule>
    <cfRule type="expression" dxfId="1709" priority="101">
      <formula>P11&gt;$AG11</formula>
    </cfRule>
    <cfRule type="expression" dxfId="1708" priority="102">
      <formula>P$9&gt;=20/24</formula>
    </cfRule>
  </conditionalFormatting>
  <conditionalFormatting sqref="S8 AB8 M8">
    <cfRule type="expression" dxfId="1707" priority="183">
      <formula>N$9&gt;=20/24</formula>
    </cfRule>
  </conditionalFormatting>
  <conditionalFormatting sqref="S8">
    <cfRule type="expression" dxfId="1706" priority="173">
      <formula>U$9&lt;8/24</formula>
    </cfRule>
    <cfRule type="expression" dxfId="1705" priority="172">
      <formula>AND(U$9&gt;=8/24,U$9&lt;14/24)</formula>
    </cfRule>
    <cfRule type="expression" dxfId="1704" priority="171">
      <formula>AND(U$9&gt;=14/24,U$9&lt;20/24)</formula>
    </cfRule>
    <cfRule type="expression" dxfId="1703" priority="170">
      <formula>U$9&gt;=20/24</formula>
    </cfRule>
  </conditionalFormatting>
  <conditionalFormatting sqref="V3 AB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Z53:AF54">
    <cfRule type="expression" dxfId="1702" priority="80">
      <formula>Z$9&gt;=20/24</formula>
    </cfRule>
    <cfRule type="expression" dxfId="1701" priority="81">
      <formula>AND(Z$9&gt;=14/24,Z$9&lt;20/24)</formula>
    </cfRule>
    <cfRule type="expression" dxfId="1700" priority="82">
      <formula>AND(Z$9&gt;=8/24,Z$9&lt;14/24)</formula>
    </cfRule>
  </conditionalFormatting>
  <conditionalFormatting sqref="Z53:AF55">
    <cfRule type="expression" dxfId="1699" priority="120">
      <formula>Z53&gt;$AG53</formula>
    </cfRule>
  </conditionalFormatting>
  <conditionalFormatting sqref="Z53:AF57">
    <cfRule type="expression" dxfId="1698" priority="119">
      <formula>Z$9&lt;8/24</formula>
    </cfRule>
  </conditionalFormatting>
  <conditionalFormatting sqref="Z55:AF57">
    <cfRule type="expression" dxfId="1697" priority="108">
      <formula>AND(Z$9&gt;=14/24,Z$9&lt;20/24)</formula>
    </cfRule>
    <cfRule type="expression" dxfId="1696" priority="109">
      <formula>AND(Z$9&gt;=8/24,Z$9&lt;14/24)</formula>
    </cfRule>
    <cfRule type="expression" dxfId="1695" priority="107">
      <formula>Z$9&gt;=20/24</formula>
    </cfRule>
  </conditionalFormatting>
  <conditionalFormatting sqref="Z56:AF57">
    <cfRule type="expression" dxfId="1694" priority="106">
      <formula>Z56&gt;$AG56</formula>
    </cfRule>
  </conditionalFormatting>
  <conditionalFormatting sqref="Z63:AF68">
    <cfRule type="expression" dxfId="1693" priority="115">
      <formula>Z$9&gt;=20/24</formula>
    </cfRule>
    <cfRule type="expression" dxfId="1692" priority="118">
      <formula>Z$9&lt;8/24</formula>
    </cfRule>
    <cfRule type="expression" dxfId="1691" priority="116">
      <formula>AND(Z$9&gt;=14/24,Z$9&lt;20/24)</formula>
    </cfRule>
    <cfRule type="expression" dxfId="1690" priority="117">
      <formula>AND(Z$9&gt;=8/24,Z$9&lt;14/24)</formula>
    </cfRule>
  </conditionalFormatting>
  <conditionalFormatting sqref="AB8">
    <cfRule type="expression" dxfId="1689" priority="167">
      <formula>AND(AD$9&gt;=14/24,AD$9&lt;20/24)</formula>
    </cfRule>
    <cfRule type="expression" dxfId="1688" priority="166">
      <formula>AD$9&gt;=20/24</formula>
    </cfRule>
    <cfRule type="expression" dxfId="1687" priority="169">
      <formula>AD$9&lt;8/24</formula>
    </cfRule>
    <cfRule type="expression" dxfId="1686" priority="168">
      <formula>AND(AD$9&gt;=8/24,AD$9&lt;14/24)</formula>
    </cfRule>
  </conditionalFormatting>
  <conditionalFormatting sqref="AB58:AF61 Z58:AA80 AB62:AG62 AB63:AF80 Y69:AA69 AG80">
    <cfRule type="expression" dxfId="1685" priority="83">
      <formula>Y58&gt;$AG58</formula>
    </cfRule>
  </conditionalFormatting>
  <conditionalFormatting sqref="AG58">
    <cfRule type="expression" dxfId="1684" priority="161">
      <formula>AG58&gt;$AG58</formula>
    </cfRule>
  </conditionalFormatting>
  <conditionalFormatting sqref="AG62">
    <cfRule type="expression" dxfId="1683" priority="145">
      <formula>AND(AG$9&gt;=14/24,AG$9&lt;20/24)</formula>
    </cfRule>
    <cfRule type="expression" dxfId="1682" priority="144">
      <formula>AG$9&gt;=20/24</formula>
    </cfRule>
    <cfRule type="expression" dxfId="1681" priority="146">
      <formula>AND(AG$9&gt;=8/24,AG$9&lt;14/24)</formula>
    </cfRule>
    <cfRule type="expression" dxfId="1680" priority="147">
      <formula>AG$9&lt;8/24</formula>
    </cfRule>
  </conditionalFormatting>
  <conditionalFormatting sqref="AG75:AG76">
    <cfRule type="expression" dxfId="1679" priority="139">
      <formula>AG75&gt;$AG75</formula>
    </cfRule>
  </conditionalFormatting>
  <conditionalFormatting sqref="AG80">
    <cfRule type="expression" dxfId="1678" priority="140">
      <formula>AG$9&gt;=20/24</formula>
    </cfRule>
    <cfRule type="expression" dxfId="1677" priority="141">
      <formula>AND(AG$9&gt;=14/24,AG$9&lt;20/24)</formula>
    </cfRule>
    <cfRule type="expression" dxfId="1676" priority="142">
      <formula>AND(AG$9&gt;=8/24,AG$9&lt;14/24)</formula>
    </cfRule>
    <cfRule type="expression" dxfId="1675" priority="143">
      <formula>AG$9&lt;8/24</formula>
    </cfRule>
  </conditionalFormatting>
  <conditionalFormatting sqref="AG97">
    <cfRule type="expression" dxfId="1674" priority="163">
      <formula>AND(AG$9&gt;=14/24,AG$9&lt;20/24)</formula>
    </cfRule>
    <cfRule type="expression" dxfId="1673" priority="164">
      <formula>AND(AG$9&gt;=8/24,AG$9&lt;14/24)</formula>
    </cfRule>
    <cfRule type="expression" dxfId="1672" priority="165">
      <formula>AG$9&lt;8/24</formula>
    </cfRule>
    <cfRule type="expression" dxfId="1671" priority="162">
      <formula>AG$9&gt;=20/24</formula>
    </cfRule>
  </conditionalFormatting>
  <conditionalFormatting sqref="AL4:AL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670" priority="187">
      <formula>AJ$9&gt;=20/24</formula>
    </cfRule>
    <cfRule type="expression" dxfId="1669" priority="188">
      <formula>AND(AJ$9&gt;=14/24,AJ$9&lt;20/24)</formula>
    </cfRule>
    <cfRule type="expression" dxfId="1668" priority="189">
      <formula>AND(AJ$9&gt;=8/24,AJ$9&lt;14/24)</formula>
    </cfRule>
    <cfRule type="expression" dxfId="1667" priority="190">
      <formula>AJ$9&lt;8/24</formula>
    </cfRule>
  </conditionalFormatting>
  <conditionalFormatting sqref="AL88:AN88 AL94:AN94">
    <cfRule type="expression" dxfId="1666" priority="157">
      <formula>AL$9&lt;8/24</formula>
    </cfRule>
    <cfRule type="expression" dxfId="1665" priority="154">
      <formula>AL$9&gt;=20/24</formula>
    </cfRule>
    <cfRule type="expression" dxfId="1664" priority="155">
      <formula>AND(AL$9&gt;=14/24,AL$9&lt;20/24)</formula>
    </cfRule>
    <cfRule type="expression" dxfId="1663" priority="156">
      <formula>AND(AL$9&gt;=8/24,AL$9&lt;14/24)</formula>
    </cfRule>
  </conditionalFormatting>
  <conditionalFormatting sqref="AM15:AM21 AN16:AR21">
    <cfRule type="expression" dxfId="1662" priority="59">
      <formula>AX$9&lt;8/24</formula>
    </cfRule>
    <cfRule type="expression" dxfId="1661" priority="58">
      <formula>AND(AX$9&gt;=8/24,AX$9&lt;14/24)</formula>
    </cfRule>
    <cfRule type="expression" dxfId="1660" priority="57">
      <formula>AND(AX$9&gt;=14/24,AX$9&lt;20/24)</formula>
    </cfRule>
    <cfRule type="expression" dxfId="1659" priority="56">
      <formula>AX$9&gt;=20/24</formula>
    </cfRule>
  </conditionalFormatting>
  <conditionalFormatting sqref="AN89:AN92">
    <cfRule type="expression" dxfId="1658" priority="151">
      <formula>AND(AN$9&gt;=14/24,AN$9&lt;20/24)</formula>
    </cfRule>
    <cfRule type="expression" dxfId="1657" priority="150">
      <formula>AN$9&gt;=20/24</formula>
    </cfRule>
    <cfRule type="expression" dxfId="1656" priority="153">
      <formula>AN$9&lt;8/24</formula>
    </cfRule>
    <cfRule type="expression" dxfId="1655" priority="152">
      <formula>AND(AN$9&gt;=8/24,AN$9&lt;14/24)</formula>
    </cfRule>
  </conditionalFormatting>
  <conditionalFormatting sqref="AN15:AR15">
    <cfRule type="expression" dxfId="1654" priority="45">
      <formula>AND(U$9&gt;=14/24,U$9&lt;20/24)</formula>
    </cfRule>
    <cfRule type="expression" dxfId="1653" priority="44">
      <formula>U$9&gt;=20/24</formula>
    </cfRule>
    <cfRule type="expression" dxfId="1652" priority="46">
      <formula>AND(U$9&gt;=8/24,U$9&lt;14/24)</formula>
    </cfRule>
    <cfRule type="expression" dxfId="1651" priority="47">
      <formula>U$9&lt;8/24</formula>
    </cfRule>
  </conditionalFormatting>
  <conditionalFormatting sqref="AS15">
    <cfRule type="expression" dxfId="1650" priority="55">
      <formula>AA$9&lt;8/24</formula>
    </cfRule>
    <cfRule type="expression" dxfId="1649" priority="54">
      <formula>AND(AA$9&gt;=8/24,AA$9&lt;14/24)</formula>
    </cfRule>
    <cfRule type="expression" dxfId="1648" priority="53">
      <formula>AND(AA$9&gt;=14/24,AA$9&lt;20/24)</formula>
    </cfRule>
    <cfRule type="expression" dxfId="1647" priority="52">
      <formula>AA$9&gt;=20/24</formula>
    </cfRule>
  </conditionalFormatting>
  <conditionalFormatting sqref="AS16:AS21">
    <cfRule type="expression" dxfId="1646" priority="62">
      <formula>AND(BE$9&gt;=8/24,BE$9&lt;14/24)</formula>
    </cfRule>
    <cfRule type="expression" dxfId="1645" priority="63">
      <formula>BE$9&lt;8/24</formula>
    </cfRule>
    <cfRule type="expression" dxfId="1644" priority="61">
      <formula>AND(BE$9&gt;=14/24,BE$9&lt;20/24)</formula>
    </cfRule>
    <cfRule type="expression" dxfId="1643" priority="60">
      <formula>BE$9&gt;=20/24</formula>
    </cfRule>
  </conditionalFormatting>
  <conditionalFormatting sqref="AT15 AX15">
    <cfRule type="expression" dxfId="1642" priority="67">
      <formula>AC$9&lt;8/24</formula>
    </cfRule>
    <cfRule type="expression" dxfId="1641" priority="66">
      <formula>AND(AC$9&gt;=8/24,AC$9&lt;14/24)</formula>
    </cfRule>
    <cfRule type="expression" dxfId="1640" priority="65">
      <formula>AND(AC$9&gt;=14/24,AC$9&lt;20/24)</formula>
    </cfRule>
    <cfRule type="expression" dxfId="1639" priority="64">
      <formula>AC$9&gt;=20/24</formula>
    </cfRule>
  </conditionalFormatting>
  <conditionalFormatting sqref="AT16:AT21">
    <cfRule type="expression" dxfId="1638" priority="69">
      <formula>AND(BG$9&gt;=14/24,BG$9&lt;20/24)</formula>
    </cfRule>
    <cfRule type="expression" dxfId="1637" priority="68">
      <formula>BG$9&gt;=20/24</formula>
    </cfRule>
    <cfRule type="expression" dxfId="1636" priority="71">
      <formula>BG$9&lt;8/24</formula>
    </cfRule>
    <cfRule type="expression" dxfId="1635" priority="70">
      <formula>AND(BG$9&gt;=8/24,BG$9&lt;14/24)</formula>
    </cfRule>
  </conditionalFormatting>
  <conditionalFormatting sqref="AU15:AV15">
    <cfRule type="expression" dxfId="1634" priority="72">
      <formula>AE$9&gt;=20/24</formula>
    </cfRule>
    <cfRule type="expression" dxfId="1633" priority="74">
      <formula>AND(AE$9&gt;=8/24,AE$9&lt;14/24)</formula>
    </cfRule>
    <cfRule type="expression" dxfId="1632" priority="75">
      <formula>AE$9&lt;8/24</formula>
    </cfRule>
    <cfRule type="expression" dxfId="1631" priority="73">
      <formula>AND(AE$9&gt;=14/24,AE$9&lt;20/24)</formula>
    </cfRule>
  </conditionalFormatting>
  <conditionalFormatting sqref="AU16:AX21">
    <cfRule type="expression" dxfId="1630" priority="79">
      <formula>BI$9&lt;8/24</formula>
    </cfRule>
    <cfRule type="expression" dxfId="1629" priority="78">
      <formula>AND(BI$9&gt;=8/24,BI$9&lt;14/24)</formula>
    </cfRule>
    <cfRule type="expression" dxfId="1628" priority="77">
      <formula>AND(BI$9&gt;=14/24,BI$9&lt;20/24)</formula>
    </cfRule>
    <cfRule type="expression" dxfId="1627" priority="76">
      <formula>BI$9&gt;=20/24</formula>
    </cfRule>
  </conditionalFormatting>
  <conditionalFormatting sqref="AW15">
    <cfRule type="expression" dxfId="1626" priority="49">
      <formula>AND(B$9&gt;=14/24,B$9&lt;20/24)</formula>
    </cfRule>
    <cfRule type="expression" dxfId="1625" priority="50">
      <formula>AND(B$9&gt;=8/24,B$9&lt;14/24)</formula>
    </cfRule>
    <cfRule type="expression" dxfId="1624" priority="51">
      <formula>B$9&lt;8/24</formula>
    </cfRule>
    <cfRule type="expression" dxfId="1623" priority="48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9FCF-53D2-4276-83E3-FDC07265027C}">
  <dimension ref="A1:CJ294"/>
  <sheetViews>
    <sheetView zoomScale="110" zoomScaleNormal="110" workbookViewId="0">
      <pane xSplit="1" ySplit="10" topLeftCell="G107" activePane="bottomRight" state="frozen"/>
      <selection activeCell="Z63" sqref="Z63"/>
      <selection pane="topRight" activeCell="Z63" sqref="Z63"/>
      <selection pane="bottomLeft" activeCell="Z63" sqref="Z63"/>
      <selection pane="bottomRight" activeCell="AE83" sqref="AE83"/>
    </sheetView>
  </sheetViews>
  <sheetFormatPr defaultColWidth="9.140625" defaultRowHeight="15" x14ac:dyDescent="0.25"/>
  <cols>
    <col min="1" max="1" width="35.28515625" style="1" bestFit="1" customWidth="1"/>
    <col min="2" max="2" width="7.42578125" style="1" bestFit="1" customWidth="1"/>
    <col min="3" max="3" width="6.85546875" style="1" customWidth="1"/>
    <col min="4" max="4" width="7" style="1" customWidth="1"/>
    <col min="5" max="7" width="7.42578125" style="1" bestFit="1" customWidth="1"/>
    <col min="8" max="8" width="6.42578125" style="1" bestFit="1" customWidth="1"/>
    <col min="9" max="9" width="7.42578125" style="1" bestFit="1" customWidth="1"/>
    <col min="10" max="10" width="6.28515625" style="1" bestFit="1" customWidth="1"/>
    <col min="11" max="11" width="7.42578125" style="1" bestFit="1" customWidth="1"/>
    <col min="12" max="12" width="6" style="1" bestFit="1" customWidth="1"/>
    <col min="13" max="15" width="7.42578125" style="1" bestFit="1" customWidth="1"/>
    <col min="16" max="16" width="8.140625" style="1" customWidth="1"/>
    <col min="17" max="17" width="7.140625" style="1" customWidth="1"/>
    <col min="18" max="18" width="7.42578125" style="1" bestFit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2080/10/21</v>
      </c>
      <c r="C4" s="272"/>
      <c r="D4" s="272"/>
      <c r="E4" s="273" t="str">
        <f ca="1">"2080/"&amp;"10/"&amp;INT(MID(CELL("filename",G6),FIND("]",CELL("filename",G6))+1,200))</f>
        <v>2080/10/21</v>
      </c>
      <c r="F4" s="273"/>
      <c r="G4" s="273"/>
      <c r="H4" s="273" t="str">
        <f ca="1">TEXT(E4,"dddd")</f>
        <v>Monday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522.90000000000009</v>
      </c>
      <c r="C5" s="30">
        <f t="shared" ref="C5:AE5" si="0">D92</f>
        <v>504.70000000000005</v>
      </c>
      <c r="D5" s="30">
        <f t="shared" si="0"/>
        <v>513.70000000000005</v>
      </c>
      <c r="E5" s="30">
        <f t="shared" si="0"/>
        <v>528</v>
      </c>
      <c r="F5" s="30">
        <f t="shared" si="0"/>
        <v>549.29999999999995</v>
      </c>
      <c r="G5" s="30">
        <f t="shared" si="0"/>
        <v>535.79999999999995</v>
      </c>
      <c r="H5" s="30">
        <f t="shared" si="0"/>
        <v>561.6</v>
      </c>
      <c r="I5" s="30">
        <f t="shared" si="0"/>
        <v>546.20000000000005</v>
      </c>
      <c r="J5" s="30">
        <f t="shared" si="0"/>
        <v>280.60000000000002</v>
      </c>
      <c r="K5" s="30">
        <f t="shared" si="0"/>
        <v>184.2</v>
      </c>
      <c r="L5" s="30">
        <f t="shared" si="0"/>
        <v>140.6</v>
      </c>
      <c r="M5" s="30">
        <f t="shared" si="0"/>
        <v>286.20000000000005</v>
      </c>
      <c r="N5" s="30">
        <f t="shared" si="0"/>
        <v>520.20000000000005</v>
      </c>
      <c r="O5" s="30">
        <f t="shared" si="0"/>
        <v>516.29999999999995</v>
      </c>
      <c r="P5" s="30">
        <f t="shared" si="0"/>
        <v>624.6</v>
      </c>
      <c r="Q5" s="30">
        <f t="shared" si="0"/>
        <v>695.2</v>
      </c>
      <c r="R5" s="30">
        <f t="shared" si="0"/>
        <v>719</v>
      </c>
      <c r="S5" s="30">
        <f t="shared" si="0"/>
        <v>731.00000000000011</v>
      </c>
      <c r="T5" s="30">
        <f t="shared" si="0"/>
        <v>733.49999999999989</v>
      </c>
      <c r="U5" s="30">
        <f t="shared" si="0"/>
        <v>748.9</v>
      </c>
      <c r="V5" s="30">
        <f t="shared" si="0"/>
        <v>710.09999999999991</v>
      </c>
      <c r="W5" s="30">
        <f t="shared" si="0"/>
        <v>750</v>
      </c>
      <c r="X5" s="30">
        <f t="shared" si="0"/>
        <v>725.4</v>
      </c>
      <c r="Y5" s="30">
        <f t="shared" si="0"/>
        <v>577.40000000000009</v>
      </c>
      <c r="Z5" s="30">
        <f t="shared" si="0"/>
        <v>421.4</v>
      </c>
      <c r="AA5" s="30">
        <f t="shared" si="0"/>
        <v>398.79999999999995</v>
      </c>
      <c r="AB5" s="30">
        <f t="shared" si="0"/>
        <v>562.30000000000007</v>
      </c>
      <c r="AC5" s="30">
        <f t="shared" si="0"/>
        <v>548.9</v>
      </c>
      <c r="AD5" s="30">
        <f t="shared" si="0"/>
        <v>649.70000000000005</v>
      </c>
      <c r="AE5" s="30">
        <f t="shared" si="0"/>
        <v>661.1</v>
      </c>
      <c r="AF5" s="30">
        <f>B92</f>
        <v>487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Load=1111</v>
      </c>
      <c r="B7" s="35">
        <f>B100</f>
        <v>1111.1399999999999</v>
      </c>
      <c r="C7" s="35">
        <f t="shared" ref="C7:AF7" si="1">C100</f>
        <v>1164.29</v>
      </c>
      <c r="D7" s="35">
        <f t="shared" si="1"/>
        <v>1145.0900000000001</v>
      </c>
      <c r="E7" s="35">
        <f t="shared" si="1"/>
        <v>1154.0900000000001</v>
      </c>
      <c r="F7" s="35">
        <f t="shared" si="1"/>
        <v>1182.3899999999999</v>
      </c>
      <c r="G7" s="35">
        <f t="shared" si="1"/>
        <v>1230.69</v>
      </c>
      <c r="H7" s="35">
        <f t="shared" si="1"/>
        <v>1255.5899999999999</v>
      </c>
      <c r="I7" s="35">
        <f t="shared" si="1"/>
        <v>1347.3899999999999</v>
      </c>
      <c r="J7" s="35">
        <f t="shared" si="1"/>
        <v>1444.39</v>
      </c>
      <c r="K7" s="35">
        <f t="shared" si="1"/>
        <v>1474.69</v>
      </c>
      <c r="L7" s="35">
        <f t="shared" si="1"/>
        <v>1674.7300000000002</v>
      </c>
      <c r="M7" s="35">
        <f t="shared" si="1"/>
        <v>1628.73</v>
      </c>
      <c r="N7" s="35">
        <f t="shared" si="1"/>
        <v>1567.2900000000002</v>
      </c>
      <c r="O7" s="35">
        <f t="shared" si="1"/>
        <v>1477.19</v>
      </c>
      <c r="P7" s="35">
        <f t="shared" si="1"/>
        <v>1428.3899999999999</v>
      </c>
      <c r="Q7" s="35">
        <f t="shared" si="1"/>
        <v>1379.5900000000001</v>
      </c>
      <c r="R7" s="35">
        <f t="shared" si="1"/>
        <v>1451.59</v>
      </c>
      <c r="S7" s="35">
        <f t="shared" si="1"/>
        <v>1420.4900000000002</v>
      </c>
      <c r="T7" s="35">
        <f t="shared" si="1"/>
        <v>1424.4900000000002</v>
      </c>
      <c r="U7" s="35">
        <f t="shared" si="1"/>
        <v>1441.4899999999998</v>
      </c>
      <c r="V7" s="35">
        <f t="shared" si="1"/>
        <v>1466.99</v>
      </c>
      <c r="W7" s="35">
        <f t="shared" si="1"/>
        <v>1431.69</v>
      </c>
      <c r="X7" s="35">
        <f t="shared" si="1"/>
        <v>1507.19</v>
      </c>
      <c r="Y7" s="35">
        <f t="shared" si="1"/>
        <v>1704.85</v>
      </c>
      <c r="Z7" s="35">
        <f t="shared" si="1"/>
        <v>1747.1500000000003</v>
      </c>
      <c r="AA7" s="35">
        <f t="shared" si="1"/>
        <v>1675.9900000000002</v>
      </c>
      <c r="AB7" s="35">
        <f t="shared" si="1"/>
        <v>1601.99</v>
      </c>
      <c r="AC7" s="35">
        <f t="shared" si="1"/>
        <v>1525.2900000000002</v>
      </c>
      <c r="AD7" s="35">
        <f t="shared" si="1"/>
        <v>1489.0900000000001</v>
      </c>
      <c r="AE7" s="35">
        <f t="shared" si="1"/>
        <v>1394.79</v>
      </c>
      <c r="AF7" s="35">
        <f t="shared" si="1"/>
        <v>1302.69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1628.73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1628.73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26.1</v>
      </c>
      <c r="C11" s="45">
        <v>27.8</v>
      </c>
      <c r="D11" s="45">
        <v>27.8</v>
      </c>
      <c r="E11" s="45">
        <v>27.8</v>
      </c>
      <c r="F11" s="45">
        <v>27.8</v>
      </c>
      <c r="G11" s="45">
        <v>27.8</v>
      </c>
      <c r="H11" s="45">
        <v>27.8</v>
      </c>
      <c r="I11" s="45">
        <v>27.8</v>
      </c>
      <c r="J11" s="45">
        <v>27.8</v>
      </c>
      <c r="K11" s="45">
        <v>27.8</v>
      </c>
      <c r="L11" s="45">
        <v>27.8</v>
      </c>
      <c r="M11" s="45">
        <v>28.5</v>
      </c>
      <c r="N11" s="45">
        <v>28.4</v>
      </c>
      <c r="O11" s="45">
        <v>27.2</v>
      </c>
      <c r="P11" s="45">
        <v>27.2</v>
      </c>
      <c r="Q11" s="45">
        <v>27.2</v>
      </c>
      <c r="R11" s="45">
        <v>27.2</v>
      </c>
      <c r="S11" s="45">
        <v>30.4</v>
      </c>
      <c r="T11" s="45">
        <v>30.4</v>
      </c>
      <c r="U11" s="45">
        <v>30.4</v>
      </c>
      <c r="V11" s="45">
        <v>30.4</v>
      </c>
      <c r="W11" s="45">
        <v>30.4</v>
      </c>
      <c r="X11" s="45">
        <v>30.4</v>
      </c>
      <c r="Y11" s="45">
        <v>30.4</v>
      </c>
      <c r="Z11" s="45">
        <v>30.4</v>
      </c>
      <c r="AA11" s="45">
        <v>30.4</v>
      </c>
      <c r="AB11" s="45">
        <v>30.4</v>
      </c>
      <c r="AC11" s="45">
        <v>30.4</v>
      </c>
      <c r="AD11" s="45">
        <v>30.4</v>
      </c>
      <c r="AE11" s="45">
        <v>30.4</v>
      </c>
      <c r="AF11" s="45">
        <v>30.4</v>
      </c>
      <c r="AG11" s="46">
        <v>86</v>
      </c>
      <c r="AH11" s="47">
        <f t="shared" ref="AH11:AH16" si="2">MAX(B11:AF11)</f>
        <v>30.4</v>
      </c>
      <c r="AI11" s="48">
        <f t="shared" ref="AI11:AI16" si="3">MIN(B11:AF11)</f>
        <v>26.1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21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10.5</v>
      </c>
      <c r="C13" s="45">
        <v>10.5</v>
      </c>
      <c r="D13" s="45">
        <v>10.5</v>
      </c>
      <c r="E13" s="45">
        <v>10.5</v>
      </c>
      <c r="F13" s="45">
        <v>10.5</v>
      </c>
      <c r="G13" s="45">
        <v>10.5</v>
      </c>
      <c r="H13" s="45">
        <v>10.5</v>
      </c>
      <c r="I13" s="45">
        <v>10.5</v>
      </c>
      <c r="J13" s="45">
        <v>10.5</v>
      </c>
      <c r="K13" s="45">
        <v>10.5</v>
      </c>
      <c r="L13" s="45">
        <v>10.5</v>
      </c>
      <c r="M13" s="45">
        <v>10.5</v>
      </c>
      <c r="N13" s="45">
        <v>10.5</v>
      </c>
      <c r="O13" s="45">
        <v>10.5</v>
      </c>
      <c r="P13" s="45">
        <v>10.5</v>
      </c>
      <c r="Q13" s="45">
        <v>10.5</v>
      </c>
      <c r="R13" s="45">
        <v>10.5</v>
      </c>
      <c r="S13" s="45">
        <v>9.6999999999999993</v>
      </c>
      <c r="T13" s="45">
        <v>9.6999999999999993</v>
      </c>
      <c r="U13" s="45">
        <v>9.6999999999999993</v>
      </c>
      <c r="V13" s="45">
        <v>9.6999999999999993</v>
      </c>
      <c r="W13" s="45">
        <v>9.6999999999999993</v>
      </c>
      <c r="X13" s="45">
        <v>9.6999999999999993</v>
      </c>
      <c r="Y13" s="45">
        <v>9.6999999999999993</v>
      </c>
      <c r="Z13" s="45">
        <v>9.6999999999999993</v>
      </c>
      <c r="AA13" s="45">
        <v>9.6999999999999993</v>
      </c>
      <c r="AB13" s="45">
        <v>9.6999999999999993</v>
      </c>
      <c r="AC13" s="45">
        <v>9.6999999999999993</v>
      </c>
      <c r="AD13" s="45">
        <v>9.6999999999999993</v>
      </c>
      <c r="AE13" s="45">
        <v>9.6999999999999993</v>
      </c>
      <c r="AF13" s="45">
        <v>9.6999999999999993</v>
      </c>
      <c r="AG13" s="49">
        <v>54</v>
      </c>
      <c r="AH13" s="47">
        <f t="shared" si="2"/>
        <v>10.5</v>
      </c>
      <c r="AI13" s="48">
        <f t="shared" si="3"/>
        <v>9.6999999999999993</v>
      </c>
      <c r="AK13" s="50"/>
      <c r="AL13" s="157" t="str">
        <f ca="1">"Daily Load Curve(Excluding of Export) of Nepal ("&amp;A4&amp;" "&amp;B4&amp;")"</f>
        <v>Daily Load Curve(Excluding of Export) of Nepal (Nepali Date: 2080/10/21)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14.8</v>
      </c>
      <c r="C14" s="45">
        <v>14.8</v>
      </c>
      <c r="D14" s="45">
        <v>14.8</v>
      </c>
      <c r="E14" s="45">
        <v>14.8</v>
      </c>
      <c r="F14" s="45">
        <v>14.8</v>
      </c>
      <c r="G14" s="45">
        <v>14.8</v>
      </c>
      <c r="H14" s="45">
        <v>14.8</v>
      </c>
      <c r="I14" s="45">
        <v>14.8</v>
      </c>
      <c r="J14" s="45">
        <v>14.8</v>
      </c>
      <c r="K14" s="45">
        <v>14.8</v>
      </c>
      <c r="L14" s="45">
        <v>14.8</v>
      </c>
      <c r="M14" s="45">
        <v>14.8</v>
      </c>
      <c r="N14" s="45">
        <v>14.8</v>
      </c>
      <c r="O14" s="45">
        <v>14.8</v>
      </c>
      <c r="P14" s="45">
        <v>14.8</v>
      </c>
      <c r="Q14" s="45">
        <v>14.8</v>
      </c>
      <c r="R14" s="45">
        <v>14.8</v>
      </c>
      <c r="S14" s="45">
        <v>12.1</v>
      </c>
      <c r="T14" s="45">
        <v>12.1</v>
      </c>
      <c r="U14" s="45">
        <v>12.1</v>
      </c>
      <c r="V14" s="45">
        <v>12.1</v>
      </c>
      <c r="W14" s="45">
        <v>12.1</v>
      </c>
      <c r="X14" s="45">
        <v>12.1</v>
      </c>
      <c r="Y14" s="45">
        <v>12.1</v>
      </c>
      <c r="Z14" s="45">
        <v>12.1</v>
      </c>
      <c r="AA14" s="45">
        <v>12.1</v>
      </c>
      <c r="AB14" s="45">
        <v>12.1</v>
      </c>
      <c r="AC14" s="45">
        <v>12.1</v>
      </c>
      <c r="AD14" s="45">
        <v>12.1</v>
      </c>
      <c r="AE14" s="45">
        <v>12.1</v>
      </c>
      <c r="AF14" s="45">
        <v>12.1</v>
      </c>
      <c r="AG14" s="46">
        <v>52.4</v>
      </c>
      <c r="AH14" s="47">
        <f t="shared" si="2"/>
        <v>14.8</v>
      </c>
      <c r="AI14" s="48">
        <f t="shared" si="3"/>
        <v>12.1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25.5</v>
      </c>
      <c r="C15" s="45">
        <v>25.5</v>
      </c>
      <c r="D15" s="45">
        <v>25.5</v>
      </c>
      <c r="E15" s="45">
        <v>25.5</v>
      </c>
      <c r="F15" s="45">
        <v>25.5</v>
      </c>
      <c r="G15" s="45">
        <v>25.5</v>
      </c>
      <c r="H15" s="45">
        <v>25.5</v>
      </c>
      <c r="I15" s="45">
        <v>25.5</v>
      </c>
      <c r="J15" s="45">
        <v>25.5</v>
      </c>
      <c r="K15" s="45">
        <v>25.5</v>
      </c>
      <c r="L15" s="45">
        <v>25.5</v>
      </c>
      <c r="M15" s="45">
        <v>25.5</v>
      </c>
      <c r="N15" s="45">
        <v>25.5</v>
      </c>
      <c r="O15" s="45">
        <v>25.5</v>
      </c>
      <c r="P15" s="45">
        <v>25.5</v>
      </c>
      <c r="Q15" s="45">
        <v>25.5</v>
      </c>
      <c r="R15" s="45">
        <v>25.5</v>
      </c>
      <c r="S15" s="45">
        <v>25.5</v>
      </c>
      <c r="T15" s="45">
        <v>25.5</v>
      </c>
      <c r="U15" s="45">
        <v>25.5</v>
      </c>
      <c r="V15" s="45">
        <v>25.5</v>
      </c>
      <c r="W15" s="45">
        <v>25.5</v>
      </c>
      <c r="X15" s="45">
        <v>25.5</v>
      </c>
      <c r="Y15" s="45">
        <v>25.5</v>
      </c>
      <c r="Z15" s="45">
        <v>25.5</v>
      </c>
      <c r="AA15" s="45">
        <v>25.5</v>
      </c>
      <c r="AB15" s="45">
        <v>25.5</v>
      </c>
      <c r="AC15" s="45">
        <v>25.5</v>
      </c>
      <c r="AD15" s="45">
        <v>25.5</v>
      </c>
      <c r="AE15" s="45">
        <v>25.5</v>
      </c>
      <c r="AF15" s="45">
        <v>25.5</v>
      </c>
      <c r="AG15" s="49">
        <v>50</v>
      </c>
      <c r="AH15" s="47">
        <f t="shared" si="2"/>
        <v>25.5</v>
      </c>
      <c r="AI15" s="48">
        <f t="shared" si="3"/>
        <v>25.5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17.100000000000001</v>
      </c>
      <c r="H16" s="45">
        <v>17.100000000000001</v>
      </c>
      <c r="I16" s="45">
        <v>17.100000000000001</v>
      </c>
      <c r="J16" s="45">
        <v>17.100000000000001</v>
      </c>
      <c r="K16" s="45">
        <v>17.100000000000001</v>
      </c>
      <c r="L16" s="45">
        <v>17.100000000000001</v>
      </c>
      <c r="M16" s="45">
        <v>17.100000000000001</v>
      </c>
      <c r="N16" s="45">
        <v>17.100000000000001</v>
      </c>
      <c r="O16" s="45">
        <v>17.100000000000001</v>
      </c>
      <c r="P16" s="45">
        <v>17.100000000000001</v>
      </c>
      <c r="Q16" s="45">
        <v>17.100000000000001</v>
      </c>
      <c r="R16" s="45">
        <v>17.100000000000001</v>
      </c>
      <c r="S16" s="45">
        <v>14</v>
      </c>
      <c r="T16" s="45">
        <v>14</v>
      </c>
      <c r="U16" s="45">
        <v>14</v>
      </c>
      <c r="V16" s="45">
        <v>14</v>
      </c>
      <c r="W16" s="45">
        <v>14</v>
      </c>
      <c r="X16" s="45">
        <v>14</v>
      </c>
      <c r="Y16" s="45">
        <v>14</v>
      </c>
      <c r="Z16" s="45">
        <v>14</v>
      </c>
      <c r="AA16" s="45">
        <v>14</v>
      </c>
      <c r="AB16" s="45">
        <v>14</v>
      </c>
      <c r="AC16" s="45">
        <v>14</v>
      </c>
      <c r="AD16" s="45">
        <v>14</v>
      </c>
      <c r="AE16" s="45">
        <v>14</v>
      </c>
      <c r="AF16" s="45">
        <v>14</v>
      </c>
      <c r="AG16" s="49">
        <v>45</v>
      </c>
      <c r="AH16" s="47">
        <f t="shared" si="2"/>
        <v>17.100000000000001</v>
      </c>
      <c r="AI16" s="48">
        <f t="shared" si="3"/>
        <v>14</v>
      </c>
      <c r="AK16" s="50"/>
      <c r="AL16" s="160" t="s">
        <v>7</v>
      </c>
      <c r="AM16" s="227">
        <f>B58</f>
        <v>447.8</v>
      </c>
      <c r="AN16" s="227">
        <f t="shared" ref="AN16:AR16" si="4">C58</f>
        <v>488.25</v>
      </c>
      <c r="AO16" s="227">
        <f t="shared" si="4"/>
        <v>488.25</v>
      </c>
      <c r="AP16" s="227">
        <f t="shared" si="4"/>
        <v>488.25</v>
      </c>
      <c r="AQ16" s="227">
        <f t="shared" si="4"/>
        <v>488.25</v>
      </c>
      <c r="AR16" s="227">
        <f t="shared" si="4"/>
        <v>488.25</v>
      </c>
      <c r="AS16" s="227">
        <f>I58</f>
        <v>488.25</v>
      </c>
      <c r="AT16" s="227">
        <f>K58</f>
        <v>488.25</v>
      </c>
      <c r="AU16" s="227">
        <f t="shared" ref="AU16:AX16" si="5">M58</f>
        <v>488.95</v>
      </c>
      <c r="AV16" s="227">
        <f t="shared" si="5"/>
        <v>488.85</v>
      </c>
      <c r="AW16" s="227">
        <f t="shared" si="5"/>
        <v>487.65</v>
      </c>
      <c r="AX16" s="227">
        <f t="shared" si="5"/>
        <v>487.65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34.1</v>
      </c>
      <c r="AN17" s="227">
        <f t="shared" ref="AN17:AR17" si="6">C62</f>
        <v>34.1</v>
      </c>
      <c r="AO17" s="227">
        <f t="shared" si="6"/>
        <v>34.1</v>
      </c>
      <c r="AP17" s="227">
        <f t="shared" si="6"/>
        <v>34.1</v>
      </c>
      <c r="AQ17" s="227">
        <f t="shared" si="6"/>
        <v>34.1</v>
      </c>
      <c r="AR17" s="227">
        <f t="shared" si="6"/>
        <v>49.1</v>
      </c>
      <c r="AS17" s="227">
        <f>I62</f>
        <v>84.1</v>
      </c>
      <c r="AT17" s="227">
        <f>K62</f>
        <v>304.2</v>
      </c>
      <c r="AU17" s="227">
        <f t="shared" ref="AU17:AX17" si="7">M62</f>
        <v>490.1</v>
      </c>
      <c r="AV17" s="227">
        <f t="shared" si="7"/>
        <v>304.10000000000002</v>
      </c>
      <c r="AW17" s="227">
        <f t="shared" si="7"/>
        <v>64.099999999999994</v>
      </c>
      <c r="AX17" s="227">
        <f t="shared" si="7"/>
        <v>64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6.5</v>
      </c>
      <c r="C18" s="45">
        <v>6.5</v>
      </c>
      <c r="D18" s="45">
        <v>6.5</v>
      </c>
      <c r="E18" s="45">
        <v>6.5</v>
      </c>
      <c r="F18" s="45">
        <v>6.5</v>
      </c>
      <c r="G18" s="45">
        <v>6.5</v>
      </c>
      <c r="H18" s="45">
        <v>6.5</v>
      </c>
      <c r="I18" s="45">
        <v>6.5</v>
      </c>
      <c r="J18" s="45">
        <v>6.5</v>
      </c>
      <c r="K18" s="45">
        <v>6.5</v>
      </c>
      <c r="L18" s="45">
        <v>6.5</v>
      </c>
      <c r="M18" s="45">
        <v>6.5</v>
      </c>
      <c r="N18" s="45">
        <v>6.5</v>
      </c>
      <c r="O18" s="45">
        <v>6.5</v>
      </c>
      <c r="P18" s="45">
        <v>6.5</v>
      </c>
      <c r="Q18" s="45">
        <v>6.5</v>
      </c>
      <c r="R18" s="45">
        <v>6.5</v>
      </c>
      <c r="S18" s="45">
        <v>6.6</v>
      </c>
      <c r="T18" s="45">
        <v>6.6</v>
      </c>
      <c r="U18" s="45">
        <v>6.6</v>
      </c>
      <c r="V18" s="45">
        <v>6.6</v>
      </c>
      <c r="W18" s="45">
        <v>6.6</v>
      </c>
      <c r="X18" s="45">
        <v>6.6</v>
      </c>
      <c r="Y18" s="45">
        <v>6.6</v>
      </c>
      <c r="Z18" s="45">
        <v>6.6</v>
      </c>
      <c r="AA18" s="45">
        <v>6.6</v>
      </c>
      <c r="AB18" s="45">
        <v>6.6</v>
      </c>
      <c r="AC18" s="45">
        <v>6.6</v>
      </c>
      <c r="AD18" s="45">
        <v>6.6</v>
      </c>
      <c r="AE18" s="45">
        <v>6.6</v>
      </c>
      <c r="AF18" s="45">
        <v>6.6</v>
      </c>
      <c r="AG18" s="49">
        <v>42</v>
      </c>
      <c r="AH18" s="47">
        <f t="shared" ref="AH18:AH81" si="8">MAX(B18:AF18)</f>
        <v>6.6</v>
      </c>
      <c r="AI18" s="48">
        <f t="shared" ref="AI18:AI81" si="9">MIN(B18:AF18)</f>
        <v>6.5</v>
      </c>
      <c r="AK18" s="50"/>
      <c r="AL18" s="160" t="s">
        <v>593</v>
      </c>
      <c r="AM18" s="227">
        <f>B76</f>
        <v>142.23999999999998</v>
      </c>
      <c r="AN18" s="227">
        <f t="shared" ref="AN18:AR18" si="10">C76</f>
        <v>119.04</v>
      </c>
      <c r="AO18" s="227">
        <f t="shared" si="10"/>
        <v>118.04</v>
      </c>
      <c r="AP18" s="227">
        <f t="shared" si="10"/>
        <v>118.04</v>
      </c>
      <c r="AQ18" s="227">
        <f t="shared" si="10"/>
        <v>132.04</v>
      </c>
      <c r="AR18" s="227">
        <f t="shared" si="10"/>
        <v>144.04</v>
      </c>
      <c r="AS18" s="227">
        <f>I76</f>
        <v>213.44</v>
      </c>
      <c r="AT18" s="227">
        <f>K76</f>
        <v>301.64000000000004</v>
      </c>
      <c r="AU18" s="227">
        <f t="shared" ref="AU18:AX18" si="11">M76</f>
        <v>259.08000000000004</v>
      </c>
      <c r="AV18" s="227">
        <f t="shared" si="11"/>
        <v>238.14000000000001</v>
      </c>
      <c r="AW18" s="227">
        <f t="shared" si="11"/>
        <v>205.23999999999998</v>
      </c>
      <c r="AX18" s="227">
        <f t="shared" si="11"/>
        <v>210.44000000000003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0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0</v>
      </c>
      <c r="AK19" s="50"/>
      <c r="AL19" s="160" t="s">
        <v>594</v>
      </c>
      <c r="AM19" s="227">
        <f>B92</f>
        <v>487</v>
      </c>
      <c r="AN19" s="227">
        <f t="shared" ref="AN19:AR19" si="12">C92</f>
        <v>522.90000000000009</v>
      </c>
      <c r="AO19" s="227">
        <f t="shared" si="12"/>
        <v>504.70000000000005</v>
      </c>
      <c r="AP19" s="227">
        <f t="shared" si="12"/>
        <v>513.70000000000005</v>
      </c>
      <c r="AQ19" s="227">
        <f t="shared" si="12"/>
        <v>528</v>
      </c>
      <c r="AR19" s="227">
        <f t="shared" si="12"/>
        <v>549.29999999999995</v>
      </c>
      <c r="AS19" s="227">
        <f>I92</f>
        <v>561.6</v>
      </c>
      <c r="AT19" s="227">
        <f>K92</f>
        <v>280.60000000000002</v>
      </c>
      <c r="AU19" s="227">
        <f t="shared" ref="AU19:AX19" si="13">M92</f>
        <v>140.6</v>
      </c>
      <c r="AV19" s="227">
        <f t="shared" si="13"/>
        <v>286.20000000000005</v>
      </c>
      <c r="AW19" s="227">
        <f t="shared" si="13"/>
        <v>520.20000000000005</v>
      </c>
      <c r="AX19" s="227">
        <f t="shared" si="13"/>
        <v>516.29999999999995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0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0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100</v>
      </c>
      <c r="AU21" s="227">
        <f t="shared" ref="AU21:AX21" si="17">M98</f>
        <v>250</v>
      </c>
      <c r="AV21" s="227">
        <f t="shared" si="17"/>
        <v>250</v>
      </c>
      <c r="AW21" s="227">
        <f t="shared" si="17"/>
        <v>200</v>
      </c>
      <c r="AX21" s="227">
        <f t="shared" si="17"/>
        <v>150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9.1</v>
      </c>
      <c r="C22" s="45">
        <v>9.1</v>
      </c>
      <c r="D22" s="45">
        <v>9.1</v>
      </c>
      <c r="E22" s="45">
        <v>9.1</v>
      </c>
      <c r="F22" s="45">
        <v>9.1</v>
      </c>
      <c r="G22" s="45">
        <v>9.1</v>
      </c>
      <c r="H22" s="45">
        <v>9.1</v>
      </c>
      <c r="I22" s="45">
        <v>9.1</v>
      </c>
      <c r="J22" s="45">
        <v>9.1</v>
      </c>
      <c r="K22" s="45">
        <v>9.1</v>
      </c>
      <c r="L22" s="45">
        <v>9.1</v>
      </c>
      <c r="M22" s="45">
        <v>9.1</v>
      </c>
      <c r="N22" s="45">
        <v>9.1</v>
      </c>
      <c r="O22" s="45">
        <v>9.1</v>
      </c>
      <c r="P22" s="45">
        <v>9.1</v>
      </c>
      <c r="Q22" s="45">
        <v>9.1</v>
      </c>
      <c r="R22" s="45">
        <v>9.1</v>
      </c>
      <c r="S22" s="45">
        <v>7</v>
      </c>
      <c r="T22" s="45">
        <v>7</v>
      </c>
      <c r="U22" s="45">
        <v>7</v>
      </c>
      <c r="V22" s="45">
        <v>7</v>
      </c>
      <c r="W22" s="45">
        <v>7</v>
      </c>
      <c r="X22" s="45">
        <v>7</v>
      </c>
      <c r="Y22" s="45">
        <v>7</v>
      </c>
      <c r="Z22" s="45">
        <v>7</v>
      </c>
      <c r="AA22" s="45">
        <v>7</v>
      </c>
      <c r="AB22" s="45">
        <v>7</v>
      </c>
      <c r="AC22" s="45">
        <v>7</v>
      </c>
      <c r="AD22" s="45">
        <v>7</v>
      </c>
      <c r="AE22" s="45">
        <v>7</v>
      </c>
      <c r="AF22" s="45">
        <v>7</v>
      </c>
      <c r="AG22" s="52">
        <v>30</v>
      </c>
      <c r="AH22" s="47">
        <f t="shared" si="8"/>
        <v>9.1</v>
      </c>
      <c r="AI22" s="48">
        <f t="shared" si="9"/>
        <v>7</v>
      </c>
      <c r="AK22" s="50"/>
      <c r="AL22" s="229" t="s">
        <v>597</v>
      </c>
      <c r="AM22" s="228">
        <f>SUM(AM16:AM21)</f>
        <v>1111.1399999999999</v>
      </c>
      <c r="AN22" s="228">
        <f t="shared" ref="AN22:AX22" si="18">SUM(AN16:AN21)</f>
        <v>1164.29</v>
      </c>
      <c r="AO22" s="228">
        <f t="shared" si="18"/>
        <v>1145.0900000000001</v>
      </c>
      <c r="AP22" s="228">
        <f t="shared" si="18"/>
        <v>1154.0900000000001</v>
      </c>
      <c r="AQ22" s="228">
        <f t="shared" si="18"/>
        <v>1182.3899999999999</v>
      </c>
      <c r="AR22" s="228">
        <f t="shared" si="18"/>
        <v>1230.69</v>
      </c>
      <c r="AS22" s="228">
        <f t="shared" si="18"/>
        <v>1347.3899999999999</v>
      </c>
      <c r="AT22" s="228">
        <f t="shared" si="18"/>
        <v>1474.69</v>
      </c>
      <c r="AU22" s="228">
        <f t="shared" si="18"/>
        <v>1628.73</v>
      </c>
      <c r="AV22" s="228">
        <f t="shared" si="18"/>
        <v>1567.2900000000002</v>
      </c>
      <c r="AW22" s="228">
        <f t="shared" si="18"/>
        <v>1477.19</v>
      </c>
      <c r="AX22" s="228">
        <f t="shared" si="18"/>
        <v>1428.3899999999999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7.3</v>
      </c>
      <c r="C24" s="45">
        <v>7.3</v>
      </c>
      <c r="D24" s="45">
        <v>7.3</v>
      </c>
      <c r="E24" s="45">
        <v>7.3</v>
      </c>
      <c r="F24" s="45">
        <v>7.3</v>
      </c>
      <c r="G24" s="45">
        <v>7.3</v>
      </c>
      <c r="H24" s="45">
        <v>7.3</v>
      </c>
      <c r="I24" s="45">
        <v>7.3</v>
      </c>
      <c r="J24" s="45">
        <v>7.3</v>
      </c>
      <c r="K24" s="45">
        <v>7.3</v>
      </c>
      <c r="L24" s="45">
        <v>7.3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6.8</v>
      </c>
      <c r="T24" s="45">
        <v>6.8</v>
      </c>
      <c r="U24" s="45">
        <v>6.8</v>
      </c>
      <c r="V24" s="45">
        <v>6.8</v>
      </c>
      <c r="W24" s="45">
        <v>6.8</v>
      </c>
      <c r="X24" s="45">
        <v>6.8</v>
      </c>
      <c r="Y24" s="45">
        <v>6.8</v>
      </c>
      <c r="Z24" s="45">
        <v>6.8</v>
      </c>
      <c r="AA24" s="45">
        <v>6.8</v>
      </c>
      <c r="AB24" s="45">
        <v>6.8</v>
      </c>
      <c r="AC24" s="45">
        <v>6.8</v>
      </c>
      <c r="AD24" s="45">
        <v>6.8</v>
      </c>
      <c r="AE24" s="45">
        <v>6.8</v>
      </c>
      <c r="AF24" s="45">
        <v>6.8</v>
      </c>
      <c r="AG24" s="49">
        <v>28</v>
      </c>
      <c r="AH24" s="47">
        <f t="shared" si="8"/>
        <v>7.3</v>
      </c>
      <c r="AI24" s="48">
        <f t="shared" si="9"/>
        <v>6.8</v>
      </c>
      <c r="AK24" s="50"/>
      <c r="AL24" s="229" t="s">
        <v>598</v>
      </c>
      <c r="AM24" s="228">
        <f>AM22+AM23</f>
        <v>1111.1399999999999</v>
      </c>
      <c r="AN24" s="228">
        <f t="shared" ref="AN24:AX24" si="21">AN22+AN23</f>
        <v>1164.29</v>
      </c>
      <c r="AO24" s="228">
        <f t="shared" si="21"/>
        <v>1145.0900000000001</v>
      </c>
      <c r="AP24" s="228">
        <f t="shared" si="21"/>
        <v>1154.0900000000001</v>
      </c>
      <c r="AQ24" s="228">
        <f t="shared" si="21"/>
        <v>1182.3899999999999</v>
      </c>
      <c r="AR24" s="228">
        <f t="shared" si="21"/>
        <v>1230.69</v>
      </c>
      <c r="AS24" s="228">
        <f t="shared" si="21"/>
        <v>1347.3899999999999</v>
      </c>
      <c r="AT24" s="228">
        <f t="shared" si="21"/>
        <v>1474.69</v>
      </c>
      <c r="AU24" s="228">
        <f t="shared" si="21"/>
        <v>1628.73</v>
      </c>
      <c r="AV24" s="228">
        <f t="shared" si="21"/>
        <v>1567.2900000000002</v>
      </c>
      <c r="AW24" s="228">
        <f t="shared" si="21"/>
        <v>1477.19</v>
      </c>
      <c r="AX24" s="228">
        <f t="shared" si="21"/>
        <v>1428.3899999999999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8.6999999999999993</v>
      </c>
      <c r="C25" s="45">
        <v>8.6999999999999993</v>
      </c>
      <c r="D25" s="45">
        <v>8.6999999999999993</v>
      </c>
      <c r="E25" s="45">
        <v>8.6999999999999993</v>
      </c>
      <c r="F25" s="45">
        <v>8.6999999999999993</v>
      </c>
      <c r="G25" s="45">
        <v>8.6999999999999993</v>
      </c>
      <c r="H25" s="45">
        <v>8.6999999999999993</v>
      </c>
      <c r="I25" s="45">
        <v>8.6999999999999993</v>
      </c>
      <c r="J25" s="45">
        <v>8.6999999999999993</v>
      </c>
      <c r="K25" s="45">
        <v>8.6999999999999993</v>
      </c>
      <c r="L25" s="45">
        <v>8.6999999999999993</v>
      </c>
      <c r="M25" s="45">
        <v>8.6999999999999993</v>
      </c>
      <c r="N25" s="45">
        <v>8.6999999999999993</v>
      </c>
      <c r="O25" s="45">
        <v>8.6999999999999993</v>
      </c>
      <c r="P25" s="45">
        <v>8.6999999999999993</v>
      </c>
      <c r="Q25" s="45">
        <v>8.6999999999999993</v>
      </c>
      <c r="R25" s="45">
        <v>8.6999999999999993</v>
      </c>
      <c r="S25" s="45">
        <v>6.1</v>
      </c>
      <c r="T25" s="45">
        <v>6.1</v>
      </c>
      <c r="U25" s="45">
        <v>6.1</v>
      </c>
      <c r="V25" s="45">
        <v>6.1</v>
      </c>
      <c r="W25" s="45">
        <v>6.1</v>
      </c>
      <c r="X25" s="45">
        <v>6.1</v>
      </c>
      <c r="Y25" s="45">
        <v>6.1</v>
      </c>
      <c r="Z25" s="45">
        <v>6.1</v>
      </c>
      <c r="AA25" s="45">
        <v>6.1</v>
      </c>
      <c r="AB25" s="45">
        <v>6.1</v>
      </c>
      <c r="AC25" s="45">
        <v>6.1</v>
      </c>
      <c r="AD25" s="45">
        <v>6.1</v>
      </c>
      <c r="AE25" s="45">
        <v>6.1</v>
      </c>
      <c r="AF25" s="45">
        <v>6.1</v>
      </c>
      <c r="AG25" s="52">
        <v>30</v>
      </c>
      <c r="AH25" s="47">
        <f t="shared" si="8"/>
        <v>8.6999999999999993</v>
      </c>
      <c r="AI25" s="48">
        <f t="shared" si="9"/>
        <v>6.1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11.1</v>
      </c>
      <c r="C26" s="45">
        <v>11.1</v>
      </c>
      <c r="D26" s="45">
        <v>11.1</v>
      </c>
      <c r="E26" s="45">
        <v>11.1</v>
      </c>
      <c r="F26" s="45">
        <v>11.1</v>
      </c>
      <c r="G26" s="45">
        <v>11.1</v>
      </c>
      <c r="H26" s="45">
        <v>11.1</v>
      </c>
      <c r="I26" s="45">
        <v>11.1</v>
      </c>
      <c r="J26" s="45">
        <v>11.1</v>
      </c>
      <c r="K26" s="45">
        <v>11.1</v>
      </c>
      <c r="L26" s="45">
        <v>11.1</v>
      </c>
      <c r="M26" s="45">
        <v>11.1</v>
      </c>
      <c r="N26" s="45">
        <v>11.1</v>
      </c>
      <c r="O26" s="45">
        <v>11.1</v>
      </c>
      <c r="P26" s="45">
        <v>11.1</v>
      </c>
      <c r="Q26" s="45">
        <v>11.1</v>
      </c>
      <c r="R26" s="45">
        <v>11.1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8.3000000000000007</v>
      </c>
      <c r="X26" s="45">
        <v>8.3000000000000007</v>
      </c>
      <c r="Y26" s="45">
        <v>8.3000000000000007</v>
      </c>
      <c r="Z26" s="45">
        <v>8.3000000000000007</v>
      </c>
      <c r="AA26" s="45">
        <v>8.3000000000000007</v>
      </c>
      <c r="AB26" s="45">
        <v>8.3000000000000007</v>
      </c>
      <c r="AC26" s="45">
        <v>8.3000000000000007</v>
      </c>
      <c r="AD26" s="45">
        <v>8.3000000000000007</v>
      </c>
      <c r="AE26" s="45">
        <v>8.3000000000000007</v>
      </c>
      <c r="AF26" s="45">
        <v>8.3000000000000007</v>
      </c>
      <c r="AG26" s="49">
        <v>25</v>
      </c>
      <c r="AH26" s="47">
        <f t="shared" si="8"/>
        <v>11.1</v>
      </c>
      <c r="AI26" s="48">
        <f t="shared" si="9"/>
        <v>8.3000000000000007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8.6</v>
      </c>
      <c r="C29" s="45">
        <v>8.6</v>
      </c>
      <c r="D29" s="45">
        <v>8.6</v>
      </c>
      <c r="E29" s="45">
        <v>8.6</v>
      </c>
      <c r="F29" s="45">
        <v>8.6</v>
      </c>
      <c r="G29" s="45">
        <v>8.6</v>
      </c>
      <c r="H29" s="45">
        <v>8.6</v>
      </c>
      <c r="I29" s="45">
        <v>8.6</v>
      </c>
      <c r="J29" s="45">
        <v>8.6</v>
      </c>
      <c r="K29" s="45">
        <v>8.6</v>
      </c>
      <c r="L29" s="45">
        <v>8.6</v>
      </c>
      <c r="M29" s="45">
        <v>8.6</v>
      </c>
      <c r="N29" s="45">
        <v>8.6</v>
      </c>
      <c r="O29" s="45">
        <v>8.6</v>
      </c>
      <c r="P29" s="45">
        <v>8.6</v>
      </c>
      <c r="Q29" s="45">
        <v>8.6</v>
      </c>
      <c r="R29" s="45">
        <v>8.6</v>
      </c>
      <c r="S29" s="45">
        <v>6.8</v>
      </c>
      <c r="T29" s="45">
        <v>6.8</v>
      </c>
      <c r="U29" s="45">
        <v>6.8</v>
      </c>
      <c r="V29" s="45">
        <v>6.8</v>
      </c>
      <c r="W29" s="45">
        <v>6.8</v>
      </c>
      <c r="X29" s="45">
        <v>6.8</v>
      </c>
      <c r="Y29" s="45">
        <v>6.8</v>
      </c>
      <c r="Z29" s="45">
        <v>6.8</v>
      </c>
      <c r="AA29" s="45">
        <v>6.8</v>
      </c>
      <c r="AB29" s="45">
        <v>6.8</v>
      </c>
      <c r="AC29" s="45">
        <v>6.8</v>
      </c>
      <c r="AD29" s="45">
        <v>6.8</v>
      </c>
      <c r="AE29" s="45">
        <v>6.8</v>
      </c>
      <c r="AF29" s="45">
        <v>6.8</v>
      </c>
      <c r="AG29" s="49">
        <v>25</v>
      </c>
      <c r="AH29" s="47">
        <f t="shared" si="8"/>
        <v>8.6</v>
      </c>
      <c r="AI29" s="48">
        <f t="shared" si="9"/>
        <v>6.8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>
        <v>6.9</v>
      </c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6.9</v>
      </c>
      <c r="X30" s="45">
        <v>6.9</v>
      </c>
      <c r="Y30" s="45">
        <v>6.9</v>
      </c>
      <c r="Z30" s="45">
        <v>6.9</v>
      </c>
      <c r="AA30" s="45">
        <v>6.9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19.8</v>
      </c>
      <c r="C34" s="45">
        <v>19.8</v>
      </c>
      <c r="D34" s="45">
        <v>19.8</v>
      </c>
      <c r="E34" s="45">
        <v>19.8</v>
      </c>
      <c r="F34" s="45">
        <v>19.8</v>
      </c>
      <c r="G34" s="45">
        <v>19.8</v>
      </c>
      <c r="H34" s="45">
        <v>19.8</v>
      </c>
      <c r="I34" s="45">
        <v>19.8</v>
      </c>
      <c r="J34" s="45">
        <v>19.8</v>
      </c>
      <c r="K34" s="45">
        <v>19.8</v>
      </c>
      <c r="L34" s="45">
        <v>19.8</v>
      </c>
      <c r="M34" s="45">
        <v>19.8</v>
      </c>
      <c r="N34" s="45">
        <v>19.8</v>
      </c>
      <c r="O34" s="45">
        <v>19.8</v>
      </c>
      <c r="P34" s="45">
        <v>19.8</v>
      </c>
      <c r="Q34" s="45">
        <v>19.8</v>
      </c>
      <c r="R34" s="45">
        <v>19.8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9.3000000000000007</v>
      </c>
      <c r="X34" s="45">
        <v>9.3000000000000007</v>
      </c>
      <c r="Y34" s="45">
        <v>9.3000000000000007</v>
      </c>
      <c r="Z34" s="45">
        <v>9.3000000000000007</v>
      </c>
      <c r="AA34" s="45">
        <v>9.3000000000000007</v>
      </c>
      <c r="AB34" s="45">
        <v>9.3000000000000007</v>
      </c>
      <c r="AC34" s="45">
        <v>9.3000000000000007</v>
      </c>
      <c r="AD34" s="45">
        <v>9.3000000000000007</v>
      </c>
      <c r="AE34" s="45">
        <v>9.3000000000000007</v>
      </c>
      <c r="AF34" s="45">
        <v>9.3000000000000007</v>
      </c>
      <c r="AG34" s="49">
        <v>22</v>
      </c>
      <c r="AH34" s="47">
        <f t="shared" si="8"/>
        <v>19.8</v>
      </c>
      <c r="AI34" s="48">
        <f t="shared" si="9"/>
        <v>9.3000000000000007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0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0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0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0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0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0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237">
        <v>150</v>
      </c>
      <c r="N56" s="23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17.799999999999997</v>
      </c>
      <c r="C57" s="57">
        <f>6.7+14.9</f>
        <v>21.6</v>
      </c>
      <c r="D57" s="57">
        <f>6.7+14.9</f>
        <v>21.6</v>
      </c>
      <c r="E57" s="57">
        <f t="shared" ref="E57:H57" si="22">6.7+14.9</f>
        <v>21.6</v>
      </c>
      <c r="F57" s="57">
        <f t="shared" si="22"/>
        <v>21.6</v>
      </c>
      <c r="G57" s="57">
        <f t="shared" si="22"/>
        <v>21.6</v>
      </c>
      <c r="H57" s="57">
        <f t="shared" si="22"/>
        <v>21.6</v>
      </c>
      <c r="I57" s="57">
        <v>20.100000000000001</v>
      </c>
      <c r="J57" s="57">
        <v>20.100000000000001</v>
      </c>
      <c r="K57" s="57">
        <v>18.2</v>
      </c>
      <c r="L57" s="57">
        <v>18.899999999999999</v>
      </c>
      <c r="M57" s="51">
        <f>5.7+14.1</f>
        <v>19.8</v>
      </c>
      <c r="N57" s="51">
        <f>14.9+6.1</f>
        <v>21</v>
      </c>
      <c r="O57" s="51">
        <f>15.7+6.4</f>
        <v>22.1</v>
      </c>
      <c r="P57" s="51">
        <f>3.6+14.7</f>
        <v>18.3</v>
      </c>
      <c r="Q57" s="51">
        <f>16.8+7.6</f>
        <v>24.4</v>
      </c>
      <c r="R57" s="51">
        <f>7.1+15.1</f>
        <v>22.2</v>
      </c>
      <c r="S57" s="51">
        <v>22.6</v>
      </c>
      <c r="T57" s="51">
        <v>22.6</v>
      </c>
      <c r="U57" s="51">
        <v>22.6</v>
      </c>
      <c r="V57" s="51">
        <v>22.6</v>
      </c>
      <c r="W57" s="51">
        <v>22.6</v>
      </c>
      <c r="X57" s="51">
        <v>22.6</v>
      </c>
      <c r="Y57" s="51">
        <v>22.6</v>
      </c>
      <c r="Z57" s="51">
        <v>22.6</v>
      </c>
      <c r="AA57" s="51">
        <v>17</v>
      </c>
      <c r="AB57" s="51">
        <v>17</v>
      </c>
      <c r="AC57" s="51">
        <v>17</v>
      </c>
      <c r="AD57" s="51">
        <v>17</v>
      </c>
      <c r="AE57" s="51">
        <v>17</v>
      </c>
      <c r="AF57" s="51">
        <v>17</v>
      </c>
      <c r="AG57" s="55">
        <v>240</v>
      </c>
      <c r="AH57" s="47">
        <f t="shared" si="8"/>
        <v>24.4</v>
      </c>
      <c r="AI57" s="48">
        <f t="shared" si="9"/>
        <v>17</v>
      </c>
      <c r="AK57" s="50"/>
    </row>
    <row r="58" spans="1:88" ht="15.75" thickBot="1" x14ac:dyDescent="0.3">
      <c r="A58" s="59" t="s">
        <v>58</v>
      </c>
      <c r="B58" s="60">
        <f t="shared" ref="B58:AA58" si="23">SUM(B11:B56)</f>
        <v>447.8</v>
      </c>
      <c r="C58" s="60">
        <f t="shared" si="23"/>
        <v>488.25</v>
      </c>
      <c r="D58" s="60">
        <f t="shared" si="23"/>
        <v>488.25</v>
      </c>
      <c r="E58" s="60">
        <f t="shared" si="23"/>
        <v>488.25</v>
      </c>
      <c r="F58" s="60">
        <f t="shared" si="23"/>
        <v>488.25</v>
      </c>
      <c r="G58" s="60">
        <f t="shared" si="23"/>
        <v>488.25</v>
      </c>
      <c r="H58" s="60">
        <f t="shared" si="23"/>
        <v>488.25</v>
      </c>
      <c r="I58" s="60">
        <f t="shared" si="23"/>
        <v>488.25</v>
      </c>
      <c r="J58" s="60">
        <f t="shared" si="23"/>
        <v>488.25</v>
      </c>
      <c r="K58" s="60">
        <f t="shared" si="23"/>
        <v>488.25</v>
      </c>
      <c r="L58" s="60">
        <f t="shared" si="23"/>
        <v>488.25</v>
      </c>
      <c r="M58" s="60">
        <f t="shared" si="23"/>
        <v>488.95</v>
      </c>
      <c r="N58" s="60">
        <f t="shared" si="23"/>
        <v>488.85</v>
      </c>
      <c r="O58" s="60">
        <f t="shared" si="23"/>
        <v>487.65</v>
      </c>
      <c r="P58" s="60">
        <f t="shared" si="23"/>
        <v>487.65</v>
      </c>
      <c r="Q58" s="60">
        <f t="shared" si="23"/>
        <v>487.65</v>
      </c>
      <c r="R58" s="60">
        <f t="shared" si="23"/>
        <v>487.65</v>
      </c>
      <c r="S58" s="60">
        <f t="shared" si="23"/>
        <v>464.05000000000007</v>
      </c>
      <c r="T58" s="60">
        <f t="shared" si="23"/>
        <v>464.05000000000007</v>
      </c>
      <c r="U58" s="60">
        <f t="shared" si="23"/>
        <v>464.05000000000007</v>
      </c>
      <c r="V58" s="60">
        <f t="shared" si="23"/>
        <v>464.05000000000007</v>
      </c>
      <c r="W58" s="60">
        <f t="shared" si="23"/>
        <v>464.05000000000007</v>
      </c>
      <c r="X58" s="60">
        <f t="shared" si="23"/>
        <v>464.05000000000007</v>
      </c>
      <c r="Y58" s="60">
        <f t="shared" si="23"/>
        <v>464.05000000000007</v>
      </c>
      <c r="Z58" s="60">
        <f t="shared" si="23"/>
        <v>464.05000000000007</v>
      </c>
      <c r="AA58" s="60">
        <f t="shared" si="23"/>
        <v>464.05000000000007</v>
      </c>
      <c r="AB58" s="60">
        <f t="shared" ref="AB58:AC58" si="24">SUM(AB11:AB56)</f>
        <v>464.05000000000007</v>
      </c>
      <c r="AC58" s="60">
        <f t="shared" si="24"/>
        <v>464.05000000000007</v>
      </c>
      <c r="AD58" s="60">
        <f t="shared" ref="AD58:AE58" si="25">SUM(AD11:AD56)</f>
        <v>464.05000000000007</v>
      </c>
      <c r="AE58" s="60">
        <f t="shared" si="25"/>
        <v>464.05000000000007</v>
      </c>
      <c r="AF58" s="60">
        <f t="shared" ref="AF58" si="26">SUM(AF11:AF56)</f>
        <v>464.05000000000007</v>
      </c>
      <c r="AG58" s="61">
        <f>SUM(AG14:AG56)</f>
        <v>1042.4000000000001</v>
      </c>
      <c r="AH58" s="47">
        <f t="shared" si="8"/>
        <v>488.95</v>
      </c>
      <c r="AI58" s="48">
        <f t="shared" si="9"/>
        <v>447.8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15</v>
      </c>
      <c r="H59" s="45">
        <v>25</v>
      </c>
      <c r="I59" s="45">
        <v>50</v>
      </c>
      <c r="J59" s="45">
        <v>80</v>
      </c>
      <c r="K59" s="45">
        <v>270</v>
      </c>
      <c r="L59" s="45">
        <v>380</v>
      </c>
      <c r="M59" s="45">
        <v>456</v>
      </c>
      <c r="N59" s="63">
        <v>270</v>
      </c>
      <c r="O59" s="63">
        <v>30</v>
      </c>
      <c r="P59" s="63">
        <v>30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45">
        <v>100</v>
      </c>
      <c r="Z59" s="45">
        <v>230</v>
      </c>
      <c r="AA59" s="45">
        <v>370</v>
      </c>
      <c r="AB59" s="45">
        <v>340</v>
      </c>
      <c r="AC59" s="45">
        <v>140</v>
      </c>
      <c r="AD59" s="45">
        <v>120</v>
      </c>
      <c r="AE59" s="45">
        <v>0</v>
      </c>
      <c r="AF59" s="45">
        <v>0</v>
      </c>
      <c r="AG59" s="52">
        <v>456</v>
      </c>
      <c r="AH59" s="47">
        <f t="shared" si="8"/>
        <v>456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7.1</v>
      </c>
      <c r="C61" s="67">
        <v>7.1</v>
      </c>
      <c r="D61" s="67">
        <v>7.1</v>
      </c>
      <c r="E61" s="67">
        <v>7.1</v>
      </c>
      <c r="F61" s="67">
        <v>7.1</v>
      </c>
      <c r="G61" s="67">
        <v>7.1</v>
      </c>
      <c r="H61" s="67">
        <v>7.1</v>
      </c>
      <c r="I61" s="67">
        <v>7.1</v>
      </c>
      <c r="J61" s="67">
        <v>7.1</v>
      </c>
      <c r="K61" s="67">
        <v>7.2</v>
      </c>
      <c r="L61" s="67">
        <v>7.2</v>
      </c>
      <c r="M61" s="67">
        <v>7.1</v>
      </c>
      <c r="N61" s="67">
        <v>7.1</v>
      </c>
      <c r="O61" s="67">
        <v>7.1</v>
      </c>
      <c r="P61" s="67">
        <v>7</v>
      </c>
      <c r="Q61" s="67">
        <v>7</v>
      </c>
      <c r="R61" s="67">
        <v>6.3</v>
      </c>
      <c r="S61" s="67">
        <v>5.6</v>
      </c>
      <c r="T61" s="67">
        <v>5.6</v>
      </c>
      <c r="U61" s="67">
        <v>5.6</v>
      </c>
      <c r="V61" s="67">
        <v>5.6</v>
      </c>
      <c r="W61" s="67">
        <v>5.6</v>
      </c>
      <c r="X61" s="67">
        <v>5.6</v>
      </c>
      <c r="Y61" s="67">
        <v>5.6</v>
      </c>
      <c r="Z61" s="67">
        <v>19.8</v>
      </c>
      <c r="AA61" s="67">
        <v>19.8</v>
      </c>
      <c r="AB61" s="67">
        <v>19.8</v>
      </c>
      <c r="AC61" s="67">
        <v>19.8</v>
      </c>
      <c r="AD61" s="67">
        <v>19.8</v>
      </c>
      <c r="AE61" s="67">
        <v>12.2</v>
      </c>
      <c r="AF61" s="67">
        <v>14.2</v>
      </c>
      <c r="AG61" s="68">
        <v>22.1</v>
      </c>
      <c r="AH61" s="47">
        <f t="shared" si="8"/>
        <v>19.8</v>
      </c>
      <c r="AI61" s="48">
        <f t="shared" si="9"/>
        <v>5.6</v>
      </c>
      <c r="AK61" s="50"/>
    </row>
    <row r="62" spans="1:88" ht="15.75" thickBot="1" x14ac:dyDescent="0.3">
      <c r="A62" s="69" t="s">
        <v>62</v>
      </c>
      <c r="B62" s="60">
        <f t="shared" ref="B62:AG62" si="27">SUM(B59:B61)</f>
        <v>34.1</v>
      </c>
      <c r="C62" s="60">
        <f t="shared" si="27"/>
        <v>34.1</v>
      </c>
      <c r="D62" s="60">
        <f t="shared" si="27"/>
        <v>34.1</v>
      </c>
      <c r="E62" s="60">
        <f t="shared" si="27"/>
        <v>34.1</v>
      </c>
      <c r="F62" s="60">
        <f t="shared" si="27"/>
        <v>34.1</v>
      </c>
      <c r="G62" s="60">
        <f t="shared" si="27"/>
        <v>49.1</v>
      </c>
      <c r="H62" s="60">
        <f t="shared" si="27"/>
        <v>59.1</v>
      </c>
      <c r="I62" s="60">
        <f t="shared" si="27"/>
        <v>84.1</v>
      </c>
      <c r="J62" s="60">
        <f t="shared" si="27"/>
        <v>114.1</v>
      </c>
      <c r="K62" s="60">
        <f t="shared" si="27"/>
        <v>304.2</v>
      </c>
      <c r="L62" s="60">
        <f t="shared" si="27"/>
        <v>414.2</v>
      </c>
      <c r="M62" s="60">
        <f t="shared" si="27"/>
        <v>490.1</v>
      </c>
      <c r="N62" s="60">
        <f t="shared" si="27"/>
        <v>304.10000000000002</v>
      </c>
      <c r="O62" s="60">
        <f t="shared" si="27"/>
        <v>64.099999999999994</v>
      </c>
      <c r="P62" s="60">
        <f t="shared" si="27"/>
        <v>64</v>
      </c>
      <c r="Q62" s="60">
        <f t="shared" si="27"/>
        <v>34</v>
      </c>
      <c r="R62" s="60">
        <f t="shared" si="27"/>
        <v>33.299999999999997</v>
      </c>
      <c r="S62" s="60">
        <f t="shared" si="27"/>
        <v>32.6</v>
      </c>
      <c r="T62" s="60">
        <f t="shared" si="27"/>
        <v>32.6</v>
      </c>
      <c r="U62" s="60">
        <f t="shared" si="27"/>
        <v>32.6</v>
      </c>
      <c r="V62" s="60">
        <f t="shared" si="27"/>
        <v>32.6</v>
      </c>
      <c r="W62" s="60">
        <f t="shared" si="27"/>
        <v>32.6</v>
      </c>
      <c r="X62" s="60">
        <f t="shared" si="27"/>
        <v>32.6</v>
      </c>
      <c r="Y62" s="60">
        <f t="shared" si="27"/>
        <v>132.6</v>
      </c>
      <c r="Z62" s="60">
        <f t="shared" si="27"/>
        <v>276.8</v>
      </c>
      <c r="AA62" s="60">
        <f t="shared" si="27"/>
        <v>416.8</v>
      </c>
      <c r="AB62" s="60">
        <f t="shared" ref="AB62:AC62" si="28">SUM(AB59:AB61)</f>
        <v>386.8</v>
      </c>
      <c r="AC62" s="60">
        <f t="shared" si="28"/>
        <v>186.8</v>
      </c>
      <c r="AD62" s="60">
        <f t="shared" ref="AD62:AE62" si="29">SUM(AD59:AD61)</f>
        <v>166.8</v>
      </c>
      <c r="AE62" s="60">
        <f t="shared" si="29"/>
        <v>39.200000000000003</v>
      </c>
      <c r="AF62" s="60">
        <f t="shared" ref="AF62" si="30">SUM(AF59:AF61)</f>
        <v>41.2</v>
      </c>
      <c r="AG62" s="61">
        <f t="shared" si="27"/>
        <v>538.1</v>
      </c>
      <c r="AH62" s="47">
        <f t="shared" si="8"/>
        <v>490.1</v>
      </c>
      <c r="AI62" s="48">
        <f t="shared" si="9"/>
        <v>32.6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28.3</v>
      </c>
      <c r="I63" s="45">
        <v>40.4</v>
      </c>
      <c r="J63" s="45">
        <v>97.7</v>
      </c>
      <c r="K63" s="45">
        <v>114.8</v>
      </c>
      <c r="L63" s="45">
        <v>140.5</v>
      </c>
      <c r="M63" s="45">
        <v>70.7</v>
      </c>
      <c r="N63" s="45">
        <v>48.2</v>
      </c>
      <c r="O63" s="45">
        <v>30.7</v>
      </c>
      <c r="P63" s="45">
        <v>31</v>
      </c>
      <c r="Q63" s="45">
        <v>60</v>
      </c>
      <c r="R63" s="45">
        <v>60</v>
      </c>
      <c r="S63" s="45">
        <v>30.8</v>
      </c>
      <c r="T63" s="45">
        <v>61</v>
      </c>
      <c r="U63" s="45">
        <v>81</v>
      </c>
      <c r="V63" s="45">
        <v>89</v>
      </c>
      <c r="W63" s="45">
        <v>61.6</v>
      </c>
      <c r="X63" s="45">
        <v>88</v>
      </c>
      <c r="Y63" s="45">
        <v>145.1</v>
      </c>
      <c r="Z63" s="45">
        <v>145.1</v>
      </c>
      <c r="AA63" s="45">
        <v>134</v>
      </c>
      <c r="AB63" s="45">
        <v>118.1</v>
      </c>
      <c r="AC63" s="45">
        <v>117.8</v>
      </c>
      <c r="AD63" s="45">
        <v>117.4</v>
      </c>
      <c r="AE63" s="45">
        <v>47.8</v>
      </c>
      <c r="AF63" s="45">
        <v>0</v>
      </c>
      <c r="AG63" s="52">
        <v>144</v>
      </c>
      <c r="AH63" s="47">
        <f t="shared" si="8"/>
        <v>145.1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35.299999999999997</v>
      </c>
      <c r="C64" s="65">
        <v>35.200000000000003</v>
      </c>
      <c r="D64" s="65">
        <v>35.200000000000003</v>
      </c>
      <c r="E64" s="65">
        <v>35.200000000000003</v>
      </c>
      <c r="F64" s="65">
        <v>35.200000000000003</v>
      </c>
      <c r="G64" s="65">
        <v>35.200000000000003</v>
      </c>
      <c r="H64" s="65">
        <v>35.200000000000003</v>
      </c>
      <c r="I64" s="65">
        <v>34.799999999999997</v>
      </c>
      <c r="J64" s="65">
        <v>35</v>
      </c>
      <c r="K64" s="65">
        <v>34.9</v>
      </c>
      <c r="L64" s="65">
        <v>34.9</v>
      </c>
      <c r="M64" s="65">
        <v>35.1</v>
      </c>
      <c r="N64" s="65">
        <v>35.299999999999997</v>
      </c>
      <c r="O64" s="65">
        <v>35.299999999999997</v>
      </c>
      <c r="P64" s="65">
        <v>35.299999999999997</v>
      </c>
      <c r="Q64" s="65">
        <v>24.8</v>
      </c>
      <c r="R64" s="65">
        <v>35.200000000000003</v>
      </c>
      <c r="S64" s="65">
        <v>35.1</v>
      </c>
      <c r="T64" s="65">
        <v>35.1</v>
      </c>
      <c r="U64" s="65">
        <v>35.1</v>
      </c>
      <c r="V64" s="65">
        <v>35.1</v>
      </c>
      <c r="W64" s="65">
        <v>25</v>
      </c>
      <c r="X64" s="65">
        <v>35</v>
      </c>
      <c r="Y64" s="65">
        <v>35</v>
      </c>
      <c r="Z64" s="65">
        <v>35</v>
      </c>
      <c r="AA64" s="65">
        <v>35</v>
      </c>
      <c r="AB64" s="65">
        <v>34.9</v>
      </c>
      <c r="AC64" s="65">
        <v>34.9</v>
      </c>
      <c r="AD64" s="65">
        <v>34.9</v>
      </c>
      <c r="AE64" s="65">
        <v>34.9</v>
      </c>
      <c r="AF64" s="65">
        <v>34.9</v>
      </c>
      <c r="AG64" s="55">
        <v>70</v>
      </c>
      <c r="AH64" s="47">
        <f t="shared" si="8"/>
        <v>35.299999999999997</v>
      </c>
      <c r="AI64" s="48">
        <f t="shared" si="9"/>
        <v>24.8</v>
      </c>
      <c r="AK64" s="50"/>
    </row>
    <row r="65" spans="1:75" x14ac:dyDescent="0.25">
      <c r="A65" s="54" t="s">
        <v>65</v>
      </c>
      <c r="B65" s="65">
        <v>22</v>
      </c>
      <c r="C65" s="65">
        <v>0</v>
      </c>
      <c r="D65" s="65">
        <v>0</v>
      </c>
      <c r="E65" s="65">
        <v>0</v>
      </c>
      <c r="F65" s="65">
        <v>0</v>
      </c>
      <c r="G65" s="65">
        <v>16</v>
      </c>
      <c r="H65" s="65">
        <v>16.100000000000001</v>
      </c>
      <c r="I65" s="65">
        <v>45.9</v>
      </c>
      <c r="J65" s="65">
        <v>65.8</v>
      </c>
      <c r="K65" s="65">
        <v>54.9</v>
      </c>
      <c r="L65" s="65">
        <v>58.3</v>
      </c>
      <c r="M65" s="65">
        <v>48.9</v>
      </c>
      <c r="N65" s="65">
        <v>50.3</v>
      </c>
      <c r="O65" s="65">
        <v>34.200000000000003</v>
      </c>
      <c r="P65" s="65">
        <v>34.200000000000003</v>
      </c>
      <c r="Q65" s="65">
        <v>34.4</v>
      </c>
      <c r="R65" s="65">
        <v>34.200000000000003</v>
      </c>
      <c r="S65" s="65">
        <v>34.6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60.2</v>
      </c>
      <c r="Z65" s="65">
        <v>69.099999999999994</v>
      </c>
      <c r="AA65" s="65">
        <v>62.2</v>
      </c>
      <c r="AB65" s="65">
        <v>61.8</v>
      </c>
      <c r="AC65" s="65">
        <v>69.2</v>
      </c>
      <c r="AD65" s="65">
        <v>69.2</v>
      </c>
      <c r="AE65" s="65">
        <v>64.5</v>
      </c>
      <c r="AF65" s="65">
        <v>0</v>
      </c>
      <c r="AG65" s="55">
        <v>69</v>
      </c>
      <c r="AH65" s="47">
        <f t="shared" si="8"/>
        <v>69.2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40.9</v>
      </c>
      <c r="C66" s="65">
        <v>39.799999999999997</v>
      </c>
      <c r="D66" s="65">
        <v>38.799999999999997</v>
      </c>
      <c r="E66" s="65">
        <v>38.799999999999997</v>
      </c>
      <c r="F66" s="65">
        <v>38.799999999999997</v>
      </c>
      <c r="G66" s="65">
        <v>38.799999999999997</v>
      </c>
      <c r="H66" s="65">
        <v>38.799999999999997</v>
      </c>
      <c r="I66" s="65">
        <v>38</v>
      </c>
      <c r="J66" s="65">
        <v>38</v>
      </c>
      <c r="K66" s="57">
        <v>38</v>
      </c>
      <c r="L66" s="57">
        <v>36.299999999999997</v>
      </c>
      <c r="M66" s="57">
        <v>36.299999999999997</v>
      </c>
      <c r="N66" s="65">
        <v>36.299999999999997</v>
      </c>
      <c r="O66" s="65">
        <v>36.299999999999997</v>
      </c>
      <c r="P66" s="65">
        <v>36.299999999999997</v>
      </c>
      <c r="Q66" s="65">
        <v>35</v>
      </c>
      <c r="R66" s="65">
        <v>33</v>
      </c>
      <c r="S66" s="65">
        <v>33</v>
      </c>
      <c r="T66" s="65">
        <v>33</v>
      </c>
      <c r="U66" s="65">
        <v>33</v>
      </c>
      <c r="V66" s="65">
        <v>35.299999999999997</v>
      </c>
      <c r="W66" s="65">
        <v>33.5</v>
      </c>
      <c r="X66" s="65">
        <v>33.5</v>
      </c>
      <c r="Y66" s="65">
        <v>33.5</v>
      </c>
      <c r="Z66" s="65">
        <v>33.5</v>
      </c>
      <c r="AA66" s="65">
        <v>33.5</v>
      </c>
      <c r="AB66" s="65">
        <v>33.5</v>
      </c>
      <c r="AC66" s="65">
        <v>33.5</v>
      </c>
      <c r="AD66" s="65">
        <v>33.5</v>
      </c>
      <c r="AE66" s="65">
        <v>40.299999999999997</v>
      </c>
      <c r="AF66" s="65">
        <v>43.3</v>
      </c>
      <c r="AG66" s="55">
        <v>60</v>
      </c>
      <c r="AH66" s="47">
        <f t="shared" si="8"/>
        <v>43.3</v>
      </c>
      <c r="AI66" s="48">
        <f t="shared" si="9"/>
        <v>33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14</v>
      </c>
      <c r="G67" s="45">
        <v>10</v>
      </c>
      <c r="H67" s="45">
        <v>10</v>
      </c>
      <c r="I67" s="65">
        <v>10.3</v>
      </c>
      <c r="J67" s="65">
        <v>10.3</v>
      </c>
      <c r="K67" s="65">
        <v>15</v>
      </c>
      <c r="L67" s="57">
        <v>23.3</v>
      </c>
      <c r="M67" s="57">
        <v>23.3</v>
      </c>
      <c r="N67" s="65">
        <v>10.3</v>
      </c>
      <c r="O67" s="65">
        <v>10.7</v>
      </c>
      <c r="P67" s="65">
        <v>10.3</v>
      </c>
      <c r="Q67" s="65">
        <v>14.9</v>
      </c>
      <c r="R67" s="65">
        <v>10</v>
      </c>
      <c r="S67" s="65">
        <v>9.8000000000000007</v>
      </c>
      <c r="T67" s="65">
        <v>10.199999999999999</v>
      </c>
      <c r="U67" s="65">
        <v>10.199999999999999</v>
      </c>
      <c r="V67" s="65">
        <v>15</v>
      </c>
      <c r="W67" s="65">
        <v>10</v>
      </c>
      <c r="X67" s="65">
        <v>10</v>
      </c>
      <c r="Y67" s="65">
        <v>15</v>
      </c>
      <c r="Z67" s="65">
        <v>15</v>
      </c>
      <c r="AA67" s="65">
        <v>15</v>
      </c>
      <c r="AB67" s="65">
        <v>10</v>
      </c>
      <c r="AC67" s="65">
        <v>12.7</v>
      </c>
      <c r="AD67" s="65">
        <v>10.3</v>
      </c>
      <c r="AE67" s="65">
        <v>10.3</v>
      </c>
      <c r="AF67" s="65">
        <v>14.1</v>
      </c>
      <c r="AG67" s="55">
        <v>30</v>
      </c>
      <c r="AH67" s="47">
        <f t="shared" si="8"/>
        <v>23.3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65">
        <v>0.74</v>
      </c>
      <c r="M68" s="65">
        <v>0.74</v>
      </c>
      <c r="N68" s="65">
        <v>13.7</v>
      </c>
      <c r="O68" s="65">
        <v>14</v>
      </c>
      <c r="P68" s="65">
        <v>19.3</v>
      </c>
      <c r="Q68" s="65">
        <v>20.2</v>
      </c>
      <c r="R68" s="65">
        <v>19</v>
      </c>
      <c r="S68" s="65">
        <v>17.5</v>
      </c>
      <c r="T68" s="65">
        <v>13.5</v>
      </c>
      <c r="U68" s="65">
        <v>8</v>
      </c>
      <c r="V68" s="65">
        <v>3</v>
      </c>
      <c r="W68" s="65">
        <v>0.8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8"/>
        <v>20.2</v>
      </c>
      <c r="AI68" s="48">
        <f t="shared" si="9"/>
        <v>0</v>
      </c>
      <c r="AK68" s="50"/>
      <c r="AY68" s="1" t="s">
        <v>377</v>
      </c>
      <c r="AZ68" s="233">
        <f>ROUND(C81,0)</f>
        <v>50</v>
      </c>
      <c r="BA68" s="232">
        <f t="shared" ref="BA68:BD72" si="31">D81</f>
        <v>56.1</v>
      </c>
      <c r="BB68" s="232">
        <f t="shared" si="31"/>
        <v>62.4</v>
      </c>
      <c r="BC68" s="232">
        <f t="shared" si="31"/>
        <v>66.400000000000006</v>
      </c>
      <c r="BD68" s="232">
        <f t="shared" si="31"/>
        <v>61.6</v>
      </c>
      <c r="BE68" s="233">
        <f>I81</f>
        <v>66</v>
      </c>
      <c r="BF68" s="233">
        <f>K81</f>
        <v>47.8</v>
      </c>
      <c r="BG68" s="233">
        <f t="shared" ref="BG68:BP72" si="32">M81</f>
        <v>54.2</v>
      </c>
      <c r="BH68" s="233">
        <f t="shared" si="32"/>
        <v>67.3</v>
      </c>
      <c r="BI68" s="233">
        <f t="shared" si="32"/>
        <v>51.6</v>
      </c>
      <c r="BJ68" s="233">
        <f t="shared" si="32"/>
        <v>60.6</v>
      </c>
      <c r="BK68" s="233">
        <f t="shared" si="32"/>
        <v>58.6</v>
      </c>
      <c r="BL68" s="233">
        <f t="shared" si="32"/>
        <v>54.8</v>
      </c>
      <c r="BM68" s="233">
        <f t="shared" si="32"/>
        <v>58.1</v>
      </c>
      <c r="BN68" s="233">
        <f t="shared" si="32"/>
        <v>61.7</v>
      </c>
      <c r="BO68" s="233">
        <f t="shared" si="32"/>
        <v>58</v>
      </c>
      <c r="BP68" s="233">
        <f t="shared" si="32"/>
        <v>76.2</v>
      </c>
      <c r="BQ68" s="233">
        <f>X81</f>
        <v>59.3</v>
      </c>
      <c r="BR68" s="233">
        <f>Z81</f>
        <v>70.3</v>
      </c>
      <c r="BS68" s="232">
        <f>AB81</f>
        <v>64.599999999999994</v>
      </c>
      <c r="BT68" s="232">
        <f>AD81</f>
        <v>59.7</v>
      </c>
      <c r="BU68" s="232">
        <f>AE81</f>
        <v>61.7</v>
      </c>
      <c r="BV68" s="232">
        <f>AF81</f>
        <v>61.4</v>
      </c>
      <c r="BW68" s="232">
        <f>B81</f>
        <v>0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31"/>
        <v>0</v>
      </c>
      <c r="BB69" s="232">
        <f t="shared" si="31"/>
        <v>0</v>
      </c>
      <c r="BC69" s="232">
        <f t="shared" si="31"/>
        <v>0</v>
      </c>
      <c r="BD69" s="232">
        <f t="shared" si="31"/>
        <v>0</v>
      </c>
      <c r="BE69" s="233">
        <f t="shared" ref="BE69:BE72" si="33">I82</f>
        <v>0</v>
      </c>
      <c r="BF69" s="233">
        <f t="shared" ref="BF69:BF72" si="34">K82</f>
        <v>0</v>
      </c>
      <c r="BG69" s="233">
        <f t="shared" si="32"/>
        <v>0</v>
      </c>
      <c r="BH69" s="233">
        <f t="shared" si="32"/>
        <v>0</v>
      </c>
      <c r="BI69" s="233">
        <f t="shared" si="32"/>
        <v>0</v>
      </c>
      <c r="BJ69" s="233">
        <f t="shared" si="32"/>
        <v>0</v>
      </c>
      <c r="BK69" s="233">
        <f t="shared" si="32"/>
        <v>0</v>
      </c>
      <c r="BL69" s="233">
        <f t="shared" si="32"/>
        <v>0</v>
      </c>
      <c r="BM69" s="233">
        <f t="shared" si="32"/>
        <v>0</v>
      </c>
      <c r="BN69" s="233">
        <f t="shared" si="32"/>
        <v>0</v>
      </c>
      <c r="BO69" s="233">
        <f t="shared" si="32"/>
        <v>0</v>
      </c>
      <c r="BP69" s="233">
        <f t="shared" si="32"/>
        <v>0</v>
      </c>
      <c r="BQ69" s="233">
        <f t="shared" ref="BQ69:BQ72" si="35">X82</f>
        <v>0</v>
      </c>
      <c r="BR69" s="233">
        <f t="shared" ref="BR69:BR72" si="36">Z82</f>
        <v>0</v>
      </c>
      <c r="BS69" s="232">
        <f t="shared" ref="BS69:BS72" si="37">AB82</f>
        <v>0</v>
      </c>
      <c r="BT69" s="232">
        <f t="shared" ref="BT69:BV72" si="38">AD82</f>
        <v>0</v>
      </c>
      <c r="BU69" s="232">
        <f t="shared" si="38"/>
        <v>0</v>
      </c>
      <c r="BV69" s="232">
        <f t="shared" si="38"/>
        <v>0</v>
      </c>
      <c r="BW69" s="232">
        <f t="shared" ref="BW69:BW72" si="39">B82</f>
        <v>0</v>
      </c>
    </row>
    <row r="70" spans="1:75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8"/>
        <v>4.5</v>
      </c>
      <c r="AI70" s="48">
        <f t="shared" si="9"/>
        <v>4.5</v>
      </c>
      <c r="AK70" s="50"/>
      <c r="AL70" s="70"/>
      <c r="AO70" s="70"/>
      <c r="AY70" s="1" t="s">
        <v>605</v>
      </c>
      <c r="AZ70" s="233">
        <f>ROUND(C83,0)</f>
        <v>390</v>
      </c>
      <c r="BA70" s="232">
        <f t="shared" si="31"/>
        <v>397.2</v>
      </c>
      <c r="BB70" s="232">
        <f t="shared" si="31"/>
        <v>401.6</v>
      </c>
      <c r="BC70" s="232">
        <f t="shared" si="31"/>
        <v>411</v>
      </c>
      <c r="BD70" s="232">
        <f t="shared" si="31"/>
        <v>419.4</v>
      </c>
      <c r="BE70" s="233">
        <f t="shared" si="33"/>
        <v>419.7</v>
      </c>
      <c r="BF70" s="233">
        <f t="shared" si="34"/>
        <v>150</v>
      </c>
      <c r="BG70" s="233">
        <f t="shared" si="32"/>
        <v>1</v>
      </c>
      <c r="BH70" s="233">
        <f t="shared" si="32"/>
        <v>119</v>
      </c>
      <c r="BI70" s="233">
        <f t="shared" si="32"/>
        <v>365.7</v>
      </c>
      <c r="BJ70" s="233">
        <f t="shared" si="32"/>
        <v>362.2</v>
      </c>
      <c r="BK70" s="233">
        <f t="shared" si="32"/>
        <v>424</v>
      </c>
      <c r="BL70" s="233">
        <f t="shared" si="32"/>
        <v>442</v>
      </c>
      <c r="BM70" s="233">
        <f t="shared" si="32"/>
        <v>457.6</v>
      </c>
      <c r="BN70" s="233">
        <f t="shared" si="32"/>
        <v>475</v>
      </c>
      <c r="BO70" s="233">
        <f t="shared" si="32"/>
        <v>471.3</v>
      </c>
      <c r="BP70" s="233">
        <f t="shared" si="32"/>
        <v>457</v>
      </c>
      <c r="BQ70" s="233">
        <f t="shared" si="35"/>
        <v>489</v>
      </c>
      <c r="BR70" s="233">
        <f t="shared" si="36"/>
        <v>301</v>
      </c>
      <c r="BS70" s="232">
        <f t="shared" si="37"/>
        <v>139.80000000000001</v>
      </c>
      <c r="BT70" s="232">
        <f t="shared" si="38"/>
        <v>294.5</v>
      </c>
      <c r="BU70" s="232">
        <f t="shared" si="38"/>
        <v>372.9</v>
      </c>
      <c r="BV70" s="232">
        <f t="shared" si="38"/>
        <v>404.6</v>
      </c>
      <c r="BW70" s="232">
        <f t="shared" si="39"/>
        <v>412</v>
      </c>
    </row>
    <row r="71" spans="1:75" s="70" customFormat="1" x14ac:dyDescent="0.25">
      <c r="A71" s="54" t="s">
        <v>71</v>
      </c>
      <c r="B71" s="65">
        <v>11.2</v>
      </c>
      <c r="C71" s="65">
        <v>11.2</v>
      </c>
      <c r="D71" s="65">
        <v>11.2</v>
      </c>
      <c r="E71" s="65">
        <v>11.2</v>
      </c>
      <c r="F71" s="65">
        <v>11.2</v>
      </c>
      <c r="G71" s="65">
        <v>11.2</v>
      </c>
      <c r="H71" s="65">
        <v>11.2</v>
      </c>
      <c r="I71" s="65">
        <v>11.2</v>
      </c>
      <c r="J71" s="65">
        <v>11.2</v>
      </c>
      <c r="K71" s="65">
        <v>11.2</v>
      </c>
      <c r="L71" s="65">
        <v>11.2</v>
      </c>
      <c r="M71" s="65">
        <v>11.2</v>
      </c>
      <c r="N71" s="65">
        <v>11.2</v>
      </c>
      <c r="O71" s="65">
        <v>11.2</v>
      </c>
      <c r="P71" s="65">
        <v>11.2</v>
      </c>
      <c r="Q71" s="65">
        <v>11.2</v>
      </c>
      <c r="R71" s="65">
        <v>11.2</v>
      </c>
      <c r="S71" s="65">
        <v>11.2</v>
      </c>
      <c r="T71" s="65">
        <v>11.2</v>
      </c>
      <c r="U71" s="65">
        <v>11.2</v>
      </c>
      <c r="V71" s="65">
        <v>11.2</v>
      </c>
      <c r="W71" s="65">
        <v>11.2</v>
      </c>
      <c r="X71" s="65">
        <v>11.2</v>
      </c>
      <c r="Y71" s="65">
        <v>11.2</v>
      </c>
      <c r="Z71" s="65">
        <v>11.2</v>
      </c>
      <c r="AA71" s="65">
        <v>11.2</v>
      </c>
      <c r="AB71" s="65">
        <v>11.2</v>
      </c>
      <c r="AC71" s="65">
        <v>11.2</v>
      </c>
      <c r="AD71" s="65">
        <v>11.2</v>
      </c>
      <c r="AE71" s="65">
        <v>11.2</v>
      </c>
      <c r="AF71" s="65">
        <v>11.2</v>
      </c>
      <c r="AG71" s="55">
        <v>14.1</v>
      </c>
      <c r="AH71" s="47">
        <f t="shared" si="8"/>
        <v>11.2</v>
      </c>
      <c r="AI71" s="48">
        <f t="shared" si="9"/>
        <v>11.2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28</v>
      </c>
      <c r="BA71" s="232">
        <f t="shared" si="31"/>
        <v>2.8</v>
      </c>
      <c r="BB71" s="232">
        <f t="shared" si="31"/>
        <v>2.7</v>
      </c>
      <c r="BC71" s="232">
        <f t="shared" si="31"/>
        <v>0</v>
      </c>
      <c r="BD71" s="232">
        <f t="shared" si="31"/>
        <v>16.899999999999999</v>
      </c>
      <c r="BE71" s="233">
        <f t="shared" si="33"/>
        <v>21.2</v>
      </c>
      <c r="BF71" s="233">
        <f t="shared" si="34"/>
        <v>42.3</v>
      </c>
      <c r="BG71" s="233">
        <f t="shared" si="32"/>
        <v>33.4</v>
      </c>
      <c r="BH71" s="233">
        <f t="shared" si="32"/>
        <v>30</v>
      </c>
      <c r="BI71" s="233">
        <f t="shared" si="32"/>
        <v>28</v>
      </c>
      <c r="BJ71" s="233">
        <f t="shared" si="32"/>
        <v>24.5</v>
      </c>
      <c r="BK71" s="233">
        <f t="shared" si="32"/>
        <v>18</v>
      </c>
      <c r="BL71" s="233">
        <f t="shared" si="32"/>
        <v>20.8</v>
      </c>
      <c r="BM71" s="233">
        <f t="shared" si="32"/>
        <v>15.4</v>
      </c>
      <c r="BN71" s="233">
        <f t="shared" si="32"/>
        <v>14.2</v>
      </c>
      <c r="BO71" s="233">
        <f t="shared" si="32"/>
        <v>22.4</v>
      </c>
      <c r="BP71" s="233">
        <f t="shared" si="32"/>
        <v>17.399999999999999</v>
      </c>
      <c r="BQ71" s="233">
        <f t="shared" si="35"/>
        <v>23.1</v>
      </c>
      <c r="BR71" s="233">
        <f t="shared" si="36"/>
        <v>24.1</v>
      </c>
      <c r="BS71" s="232">
        <f t="shared" si="37"/>
        <v>22.7</v>
      </c>
      <c r="BT71" s="232">
        <f t="shared" si="38"/>
        <v>22.1</v>
      </c>
      <c r="BU71" s="232">
        <f t="shared" si="38"/>
        <v>20.8</v>
      </c>
      <c r="BV71" s="232">
        <f t="shared" si="38"/>
        <v>23.7</v>
      </c>
      <c r="BW71" s="232">
        <f t="shared" si="39"/>
        <v>20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3.3</v>
      </c>
      <c r="AC72" s="65">
        <v>3.3</v>
      </c>
      <c r="AD72" s="65">
        <v>3.3</v>
      </c>
      <c r="AE72" s="65">
        <v>3.3</v>
      </c>
      <c r="AF72" s="65">
        <v>3.3</v>
      </c>
      <c r="AG72" s="55">
        <v>14</v>
      </c>
      <c r="AH72" s="47">
        <f t="shared" si="8"/>
        <v>3.3</v>
      </c>
      <c r="AI72" s="48">
        <f t="shared" si="9"/>
        <v>3.3</v>
      </c>
      <c r="AK72" s="50"/>
      <c r="AY72" s="1" t="s">
        <v>607</v>
      </c>
      <c r="AZ72" s="233">
        <f>ROUND(C85,0)</f>
        <v>0</v>
      </c>
      <c r="BA72" s="232">
        <f t="shared" si="31"/>
        <v>0</v>
      </c>
      <c r="BB72" s="232">
        <f t="shared" si="31"/>
        <v>0</v>
      </c>
      <c r="BC72" s="232">
        <f t="shared" si="31"/>
        <v>0</v>
      </c>
      <c r="BD72" s="232">
        <f t="shared" si="31"/>
        <v>0</v>
      </c>
      <c r="BE72" s="233">
        <f t="shared" si="33"/>
        <v>0</v>
      </c>
      <c r="BF72" s="233">
        <f t="shared" si="34"/>
        <v>0</v>
      </c>
      <c r="BG72" s="233">
        <f t="shared" si="32"/>
        <v>0</v>
      </c>
      <c r="BH72" s="233">
        <f t="shared" si="32"/>
        <v>0</v>
      </c>
      <c r="BI72" s="233">
        <f t="shared" si="32"/>
        <v>0</v>
      </c>
      <c r="BJ72" s="233">
        <f t="shared" si="32"/>
        <v>0</v>
      </c>
      <c r="BK72" s="233">
        <f t="shared" si="32"/>
        <v>64</v>
      </c>
      <c r="BL72" s="233">
        <f t="shared" si="32"/>
        <v>115</v>
      </c>
      <c r="BM72" s="233">
        <f t="shared" si="32"/>
        <v>115</v>
      </c>
      <c r="BN72" s="233">
        <f t="shared" si="32"/>
        <v>103</v>
      </c>
      <c r="BO72" s="233">
        <f t="shared" si="32"/>
        <v>102</v>
      </c>
      <c r="BP72" s="233">
        <f t="shared" si="32"/>
        <v>120</v>
      </c>
      <c r="BQ72" s="233">
        <f t="shared" si="35"/>
        <v>105</v>
      </c>
      <c r="BR72" s="233">
        <f t="shared" si="36"/>
        <v>100</v>
      </c>
      <c r="BS72" s="232">
        <f t="shared" si="37"/>
        <v>96.8</v>
      </c>
      <c r="BT72" s="232">
        <f t="shared" si="38"/>
        <v>105.6</v>
      </c>
      <c r="BU72" s="232">
        <f t="shared" si="38"/>
        <v>121.6</v>
      </c>
      <c r="BV72" s="232">
        <f t="shared" si="38"/>
        <v>118.8</v>
      </c>
      <c r="BW72" s="232">
        <f t="shared" si="39"/>
        <v>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55</v>
      </c>
      <c r="BA73" s="233">
        <f>D91</f>
        <v>48.6</v>
      </c>
      <c r="BB73" s="233">
        <f>E91</f>
        <v>47</v>
      </c>
      <c r="BC73" s="233">
        <f>F91</f>
        <v>50.6</v>
      </c>
      <c r="BD73" s="233">
        <f>G91</f>
        <v>51.4</v>
      </c>
      <c r="BE73" s="233">
        <f>I91</f>
        <v>54.7</v>
      </c>
      <c r="BF73" s="233">
        <f>K91</f>
        <v>40.5</v>
      </c>
      <c r="BG73" s="233">
        <f t="shared" ref="BG73:BP73" si="40">M91</f>
        <v>52</v>
      </c>
      <c r="BH73" s="233">
        <f t="shared" si="40"/>
        <v>69.900000000000006</v>
      </c>
      <c r="BI73" s="233">
        <f t="shared" si="40"/>
        <v>74.900000000000006</v>
      </c>
      <c r="BJ73" s="233">
        <f t="shared" si="40"/>
        <v>69</v>
      </c>
      <c r="BK73" s="233">
        <f t="shared" si="40"/>
        <v>60</v>
      </c>
      <c r="BL73" s="233">
        <f t="shared" si="40"/>
        <v>62.6</v>
      </c>
      <c r="BM73" s="233">
        <f t="shared" si="40"/>
        <v>72.900000000000006</v>
      </c>
      <c r="BN73" s="233">
        <f t="shared" si="40"/>
        <v>77.099999999999994</v>
      </c>
      <c r="BO73" s="233">
        <f t="shared" si="40"/>
        <v>79.8</v>
      </c>
      <c r="BP73" s="233">
        <f t="shared" si="40"/>
        <v>78.3</v>
      </c>
      <c r="BQ73" s="233">
        <f>X91</f>
        <v>73.599999999999994</v>
      </c>
      <c r="BR73" s="233">
        <f>Z91</f>
        <v>82</v>
      </c>
      <c r="BS73" s="233">
        <f>AB91</f>
        <v>74.900000000000006</v>
      </c>
      <c r="BT73" s="233">
        <f>AD91</f>
        <v>67</v>
      </c>
      <c r="BU73" s="233">
        <f>AE91</f>
        <v>72.7</v>
      </c>
      <c r="BV73" s="233">
        <f>AF91</f>
        <v>52.6</v>
      </c>
      <c r="BW73" s="233">
        <f>B91</f>
        <v>55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>
        <v>2</v>
      </c>
      <c r="O74" s="65">
        <v>2</v>
      </c>
      <c r="P74" s="65">
        <v>2</v>
      </c>
      <c r="Q74" s="65">
        <v>2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8"/>
        <v>2</v>
      </c>
      <c r="AI74" s="48">
        <f t="shared" si="9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5.5</v>
      </c>
      <c r="AI75" s="48">
        <f t="shared" si="9"/>
        <v>3.5</v>
      </c>
      <c r="AK75" s="50"/>
      <c r="AZ75" s="233">
        <f>VALUE(AZ68)</f>
        <v>50</v>
      </c>
      <c r="BA75" s="233">
        <f t="shared" ref="BA75:BW75" si="41">VALUE(BA68)</f>
        <v>56.1</v>
      </c>
      <c r="BB75" s="233">
        <f t="shared" si="41"/>
        <v>62.4</v>
      </c>
      <c r="BC75" s="233">
        <f t="shared" si="41"/>
        <v>66.400000000000006</v>
      </c>
      <c r="BD75" s="233">
        <f t="shared" si="41"/>
        <v>61.6</v>
      </c>
      <c r="BE75" s="233">
        <f t="shared" si="41"/>
        <v>66</v>
      </c>
      <c r="BF75" s="233">
        <f t="shared" si="41"/>
        <v>47.8</v>
      </c>
      <c r="BG75" s="233">
        <f t="shared" si="41"/>
        <v>54.2</v>
      </c>
      <c r="BH75" s="233">
        <f t="shared" si="41"/>
        <v>67.3</v>
      </c>
      <c r="BI75" s="233">
        <f t="shared" si="41"/>
        <v>51.6</v>
      </c>
      <c r="BJ75" s="233">
        <f t="shared" si="41"/>
        <v>60.6</v>
      </c>
      <c r="BK75" s="233">
        <f t="shared" si="41"/>
        <v>58.6</v>
      </c>
      <c r="BL75" s="233">
        <f t="shared" si="41"/>
        <v>54.8</v>
      </c>
      <c r="BM75" s="233">
        <f t="shared" si="41"/>
        <v>58.1</v>
      </c>
      <c r="BN75" s="233">
        <f t="shared" si="41"/>
        <v>61.7</v>
      </c>
      <c r="BO75" s="233">
        <f t="shared" si="41"/>
        <v>58</v>
      </c>
      <c r="BP75" s="233">
        <f t="shared" si="41"/>
        <v>76.2</v>
      </c>
      <c r="BQ75" s="233">
        <f t="shared" si="41"/>
        <v>59.3</v>
      </c>
      <c r="BR75" s="233">
        <f t="shared" si="41"/>
        <v>70.3</v>
      </c>
      <c r="BS75" s="233">
        <f t="shared" si="41"/>
        <v>64.599999999999994</v>
      </c>
      <c r="BT75" s="233">
        <f t="shared" si="41"/>
        <v>59.7</v>
      </c>
      <c r="BU75" s="233">
        <f t="shared" si="41"/>
        <v>61.7</v>
      </c>
      <c r="BV75" s="233">
        <f t="shared" si="41"/>
        <v>61.4</v>
      </c>
      <c r="BW75" s="233">
        <f t="shared" si="41"/>
        <v>0</v>
      </c>
    </row>
    <row r="76" spans="1:75" ht="15.75" thickBot="1" x14ac:dyDescent="0.3">
      <c r="A76" s="74" t="s">
        <v>76</v>
      </c>
      <c r="B76" s="60">
        <f t="shared" ref="B76:AG76" si="42">SUM(B63:B75)</f>
        <v>142.23999999999998</v>
      </c>
      <c r="C76" s="60">
        <f t="shared" si="42"/>
        <v>119.04</v>
      </c>
      <c r="D76" s="60">
        <f t="shared" si="42"/>
        <v>118.04</v>
      </c>
      <c r="E76" s="60">
        <f t="shared" si="42"/>
        <v>118.04</v>
      </c>
      <c r="F76" s="60">
        <f t="shared" si="42"/>
        <v>132.04</v>
      </c>
      <c r="G76" s="60">
        <f t="shared" si="42"/>
        <v>144.04</v>
      </c>
      <c r="H76" s="60">
        <f t="shared" si="42"/>
        <v>172.43999999999997</v>
      </c>
      <c r="I76" s="60">
        <f t="shared" si="42"/>
        <v>213.44</v>
      </c>
      <c r="J76" s="60">
        <f t="shared" si="42"/>
        <v>290.84000000000003</v>
      </c>
      <c r="K76" s="60">
        <f t="shared" si="42"/>
        <v>301.64000000000004</v>
      </c>
      <c r="L76" s="60">
        <f t="shared" si="42"/>
        <v>338.08000000000004</v>
      </c>
      <c r="M76" s="60">
        <f t="shared" si="42"/>
        <v>259.08000000000004</v>
      </c>
      <c r="N76" s="60">
        <f t="shared" si="42"/>
        <v>238.14000000000001</v>
      </c>
      <c r="O76" s="60">
        <f t="shared" si="42"/>
        <v>205.23999999999998</v>
      </c>
      <c r="P76" s="60">
        <f t="shared" si="42"/>
        <v>210.44000000000003</v>
      </c>
      <c r="Q76" s="60">
        <f t="shared" si="42"/>
        <v>233.33999999999997</v>
      </c>
      <c r="R76" s="60">
        <f t="shared" si="42"/>
        <v>235.44</v>
      </c>
      <c r="S76" s="60">
        <f t="shared" si="42"/>
        <v>204.84</v>
      </c>
      <c r="T76" s="60">
        <f t="shared" si="42"/>
        <v>196.83999999999997</v>
      </c>
      <c r="U76" s="60">
        <f t="shared" si="42"/>
        <v>211.33999999999997</v>
      </c>
      <c r="V76" s="60">
        <f t="shared" si="42"/>
        <v>221.43999999999997</v>
      </c>
      <c r="W76" s="60">
        <f t="shared" si="42"/>
        <v>174.94</v>
      </c>
      <c r="X76" s="60">
        <f t="shared" si="42"/>
        <v>210.54</v>
      </c>
      <c r="Y76" s="60">
        <f>SUM(Y63:Y75)</f>
        <v>332.8</v>
      </c>
      <c r="Z76" s="60">
        <f>SUM(Z63:Z75)</f>
        <v>343.7</v>
      </c>
      <c r="AA76" s="60">
        <f t="shared" si="42"/>
        <v>323.74</v>
      </c>
      <c r="AB76" s="60">
        <f t="shared" ref="AB76:AC76" si="43">SUM(AB63:AB75)</f>
        <v>302.34000000000003</v>
      </c>
      <c r="AC76" s="60">
        <f t="shared" si="43"/>
        <v>312.14</v>
      </c>
      <c r="AD76" s="60">
        <f t="shared" ref="AD76:AE76" si="44">SUM(AD63:AD75)</f>
        <v>309.34000000000003</v>
      </c>
      <c r="AE76" s="60">
        <f t="shared" si="44"/>
        <v>241.84</v>
      </c>
      <c r="AF76" s="60">
        <f t="shared" ref="AF76" si="45">SUM(AF63:AF75)</f>
        <v>136.33999999999997</v>
      </c>
      <c r="AG76" s="61">
        <f t="shared" si="42"/>
        <v>489.91</v>
      </c>
      <c r="AH76" s="47">
        <f t="shared" si="8"/>
        <v>343.7</v>
      </c>
      <c r="AI76" s="48">
        <f t="shared" si="9"/>
        <v>118.04</v>
      </c>
      <c r="AK76" s="50"/>
      <c r="AZ76" s="233">
        <f t="shared" ref="AZ76:BW80" si="46">VALUE(AZ69)</f>
        <v>0</v>
      </c>
      <c r="BA76" s="233">
        <f t="shared" si="46"/>
        <v>0</v>
      </c>
      <c r="BB76" s="233">
        <f t="shared" si="46"/>
        <v>0</v>
      </c>
      <c r="BC76" s="233">
        <f t="shared" si="46"/>
        <v>0</v>
      </c>
      <c r="BD76" s="233">
        <f t="shared" si="46"/>
        <v>0</v>
      </c>
      <c r="BE76" s="233">
        <f t="shared" si="46"/>
        <v>0</v>
      </c>
      <c r="BF76" s="233">
        <f t="shared" si="46"/>
        <v>0</v>
      </c>
      <c r="BG76" s="233">
        <f t="shared" si="46"/>
        <v>0</v>
      </c>
      <c r="BH76" s="233">
        <f t="shared" si="46"/>
        <v>0</v>
      </c>
      <c r="BI76" s="233">
        <f t="shared" si="46"/>
        <v>0</v>
      </c>
      <c r="BJ76" s="233">
        <f t="shared" si="46"/>
        <v>0</v>
      </c>
      <c r="BK76" s="233">
        <f t="shared" si="46"/>
        <v>0</v>
      </c>
      <c r="BL76" s="233">
        <f t="shared" si="46"/>
        <v>0</v>
      </c>
      <c r="BM76" s="233">
        <f t="shared" si="46"/>
        <v>0</v>
      </c>
      <c r="BN76" s="233">
        <f t="shared" si="46"/>
        <v>0</v>
      </c>
      <c r="BO76" s="233">
        <f t="shared" si="46"/>
        <v>0</v>
      </c>
      <c r="BP76" s="233">
        <f t="shared" si="46"/>
        <v>0</v>
      </c>
      <c r="BQ76" s="233">
        <f t="shared" si="46"/>
        <v>0</v>
      </c>
      <c r="BR76" s="233">
        <f t="shared" si="46"/>
        <v>0</v>
      </c>
      <c r="BS76" s="233">
        <f t="shared" si="46"/>
        <v>0</v>
      </c>
      <c r="BT76" s="233">
        <f t="shared" si="46"/>
        <v>0</v>
      </c>
      <c r="BU76" s="233">
        <f t="shared" si="46"/>
        <v>0</v>
      </c>
      <c r="BV76" s="233">
        <f t="shared" si="46"/>
        <v>0</v>
      </c>
      <c r="BW76" s="233">
        <f t="shared" si="46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>
        <v>29.3</v>
      </c>
      <c r="AA77" s="45"/>
      <c r="AB77" s="45"/>
      <c r="AC77" s="45"/>
      <c r="AD77" s="45"/>
      <c r="AE77" s="45"/>
      <c r="AF77" s="45"/>
      <c r="AG77" s="52">
        <v>60</v>
      </c>
      <c r="AH77" s="47">
        <f t="shared" si="8"/>
        <v>29.3</v>
      </c>
      <c r="AI77" s="48">
        <f t="shared" si="9"/>
        <v>0</v>
      </c>
      <c r="AK77" s="50"/>
      <c r="AZ77" s="233">
        <f t="shared" si="46"/>
        <v>390</v>
      </c>
      <c r="BA77" s="233">
        <f t="shared" si="46"/>
        <v>397.2</v>
      </c>
      <c r="BB77" s="233">
        <f t="shared" si="46"/>
        <v>401.6</v>
      </c>
      <c r="BC77" s="233">
        <f t="shared" si="46"/>
        <v>411</v>
      </c>
      <c r="BD77" s="233">
        <f t="shared" si="46"/>
        <v>419.4</v>
      </c>
      <c r="BE77" s="233">
        <f t="shared" si="46"/>
        <v>419.7</v>
      </c>
      <c r="BF77" s="233">
        <f t="shared" si="46"/>
        <v>150</v>
      </c>
      <c r="BG77" s="233">
        <f t="shared" si="46"/>
        <v>1</v>
      </c>
      <c r="BH77" s="233">
        <f t="shared" si="46"/>
        <v>119</v>
      </c>
      <c r="BI77" s="233">
        <f t="shared" si="46"/>
        <v>365.7</v>
      </c>
      <c r="BJ77" s="233">
        <f t="shared" si="46"/>
        <v>362.2</v>
      </c>
      <c r="BK77" s="233">
        <f t="shared" si="46"/>
        <v>424</v>
      </c>
      <c r="BL77" s="233">
        <f t="shared" si="46"/>
        <v>442</v>
      </c>
      <c r="BM77" s="233">
        <f t="shared" si="46"/>
        <v>457.6</v>
      </c>
      <c r="BN77" s="233">
        <f t="shared" si="46"/>
        <v>475</v>
      </c>
      <c r="BO77" s="233">
        <f t="shared" si="46"/>
        <v>471.3</v>
      </c>
      <c r="BP77" s="233">
        <f t="shared" si="46"/>
        <v>457</v>
      </c>
      <c r="BQ77" s="233">
        <f t="shared" si="46"/>
        <v>489</v>
      </c>
      <c r="BR77" s="233">
        <f t="shared" si="46"/>
        <v>301</v>
      </c>
      <c r="BS77" s="233">
        <f t="shared" si="46"/>
        <v>139.80000000000001</v>
      </c>
      <c r="BT77" s="233">
        <f t="shared" si="46"/>
        <v>294.5</v>
      </c>
      <c r="BU77" s="233">
        <f t="shared" si="46"/>
        <v>372.9</v>
      </c>
      <c r="BV77" s="233">
        <f t="shared" si="46"/>
        <v>404.6</v>
      </c>
      <c r="BW77" s="233">
        <f t="shared" si="46"/>
        <v>412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>
        <v>3.7</v>
      </c>
      <c r="K78" s="65">
        <v>0</v>
      </c>
      <c r="L78" s="65">
        <v>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>
        <v>4.3</v>
      </c>
      <c r="AA78" s="65"/>
      <c r="AB78" s="65"/>
      <c r="AC78" s="65"/>
      <c r="AD78" s="65"/>
      <c r="AE78" s="65"/>
      <c r="AF78" s="65"/>
      <c r="AG78" s="55">
        <v>32</v>
      </c>
      <c r="AH78" s="47">
        <f t="shared" si="8"/>
        <v>4.3</v>
      </c>
      <c r="AI78" s="48">
        <f t="shared" si="9"/>
        <v>0</v>
      </c>
      <c r="AK78" s="50"/>
      <c r="AZ78" s="233">
        <f t="shared" si="46"/>
        <v>28</v>
      </c>
      <c r="BA78" s="233">
        <f t="shared" si="46"/>
        <v>2.8</v>
      </c>
      <c r="BB78" s="233">
        <f t="shared" si="46"/>
        <v>2.7</v>
      </c>
      <c r="BC78" s="233">
        <f t="shared" si="46"/>
        <v>0</v>
      </c>
      <c r="BD78" s="233">
        <f t="shared" si="46"/>
        <v>16.899999999999999</v>
      </c>
      <c r="BE78" s="233">
        <f t="shared" si="46"/>
        <v>21.2</v>
      </c>
      <c r="BF78" s="233">
        <f t="shared" si="46"/>
        <v>42.3</v>
      </c>
      <c r="BG78" s="233">
        <f t="shared" si="46"/>
        <v>33.4</v>
      </c>
      <c r="BH78" s="233">
        <f t="shared" si="46"/>
        <v>30</v>
      </c>
      <c r="BI78" s="233">
        <f t="shared" si="46"/>
        <v>28</v>
      </c>
      <c r="BJ78" s="233">
        <f t="shared" si="46"/>
        <v>24.5</v>
      </c>
      <c r="BK78" s="233">
        <f t="shared" si="46"/>
        <v>18</v>
      </c>
      <c r="BL78" s="233">
        <f t="shared" si="46"/>
        <v>20.8</v>
      </c>
      <c r="BM78" s="233">
        <f t="shared" si="46"/>
        <v>15.4</v>
      </c>
      <c r="BN78" s="233">
        <f t="shared" si="46"/>
        <v>14.2</v>
      </c>
      <c r="BO78" s="233">
        <f t="shared" si="46"/>
        <v>22.4</v>
      </c>
      <c r="BP78" s="233">
        <f t="shared" si="46"/>
        <v>17.399999999999999</v>
      </c>
      <c r="BQ78" s="233">
        <f t="shared" si="46"/>
        <v>23.1</v>
      </c>
      <c r="BR78" s="233">
        <f t="shared" si="46"/>
        <v>24.1</v>
      </c>
      <c r="BS78" s="233">
        <f t="shared" si="46"/>
        <v>22.7</v>
      </c>
      <c r="BT78" s="233">
        <f t="shared" si="46"/>
        <v>22.1</v>
      </c>
      <c r="BU78" s="233">
        <f t="shared" si="46"/>
        <v>20.8</v>
      </c>
      <c r="BV78" s="233">
        <f t="shared" si="46"/>
        <v>23.7</v>
      </c>
      <c r="BW78" s="233">
        <f t="shared" si="46"/>
        <v>20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>
        <v>1.3</v>
      </c>
      <c r="K79" s="67">
        <v>0</v>
      </c>
      <c r="L79" s="67">
        <v>0</v>
      </c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>
        <v>1.6</v>
      </c>
      <c r="AA79" s="67"/>
      <c r="AB79" s="67"/>
      <c r="AC79" s="67"/>
      <c r="AD79" s="67"/>
      <c r="AE79" s="67"/>
      <c r="AF79" s="67"/>
      <c r="AG79" s="68">
        <v>14</v>
      </c>
      <c r="AH79" s="47">
        <f t="shared" si="8"/>
        <v>1.6</v>
      </c>
      <c r="AI79" s="48">
        <f t="shared" si="9"/>
        <v>0</v>
      </c>
      <c r="AK79" s="50"/>
      <c r="AZ79" s="233">
        <f t="shared" si="46"/>
        <v>0</v>
      </c>
      <c r="BA79" s="233">
        <f t="shared" si="46"/>
        <v>0</v>
      </c>
      <c r="BB79" s="233">
        <f t="shared" si="46"/>
        <v>0</v>
      </c>
      <c r="BC79" s="233">
        <f t="shared" si="46"/>
        <v>0</v>
      </c>
      <c r="BD79" s="233">
        <f t="shared" si="46"/>
        <v>0</v>
      </c>
      <c r="BE79" s="233">
        <f t="shared" si="46"/>
        <v>0</v>
      </c>
      <c r="BF79" s="233">
        <f t="shared" si="46"/>
        <v>0</v>
      </c>
      <c r="BG79" s="233">
        <f t="shared" si="46"/>
        <v>0</v>
      </c>
      <c r="BH79" s="233">
        <f t="shared" si="46"/>
        <v>0</v>
      </c>
      <c r="BI79" s="233">
        <f t="shared" si="46"/>
        <v>0</v>
      </c>
      <c r="BJ79" s="233">
        <f t="shared" si="46"/>
        <v>0</v>
      </c>
      <c r="BK79" s="233">
        <f t="shared" si="46"/>
        <v>64</v>
      </c>
      <c r="BL79" s="233">
        <f t="shared" si="46"/>
        <v>115</v>
      </c>
      <c r="BM79" s="233">
        <f t="shared" si="46"/>
        <v>115</v>
      </c>
      <c r="BN79" s="233">
        <f t="shared" si="46"/>
        <v>103</v>
      </c>
      <c r="BO79" s="233">
        <f t="shared" si="46"/>
        <v>102</v>
      </c>
      <c r="BP79" s="233">
        <f t="shared" si="46"/>
        <v>120</v>
      </c>
      <c r="BQ79" s="233">
        <f t="shared" si="46"/>
        <v>105</v>
      </c>
      <c r="BR79" s="233">
        <f t="shared" si="46"/>
        <v>100</v>
      </c>
      <c r="BS79" s="233">
        <f t="shared" si="46"/>
        <v>96.8</v>
      </c>
      <c r="BT79" s="233">
        <f t="shared" si="46"/>
        <v>105.6</v>
      </c>
      <c r="BU79" s="233">
        <f t="shared" si="46"/>
        <v>121.6</v>
      </c>
      <c r="BV79" s="233">
        <f t="shared" si="46"/>
        <v>118.8</v>
      </c>
      <c r="BW79" s="233">
        <f t="shared" si="46"/>
        <v>0</v>
      </c>
    </row>
    <row r="80" spans="1:75" ht="15.75" thickBot="1" x14ac:dyDescent="0.3">
      <c r="A80" s="74" t="s">
        <v>80</v>
      </c>
      <c r="B80" s="60">
        <f t="shared" ref="B80:AA80" si="47">B77+B78+B79</f>
        <v>0</v>
      </c>
      <c r="C80" s="60">
        <f t="shared" si="47"/>
        <v>0</v>
      </c>
      <c r="D80" s="60">
        <f t="shared" si="47"/>
        <v>0</v>
      </c>
      <c r="E80" s="60">
        <f t="shared" si="47"/>
        <v>0</v>
      </c>
      <c r="F80" s="60">
        <f t="shared" si="47"/>
        <v>0</v>
      </c>
      <c r="G80" s="60">
        <f t="shared" si="47"/>
        <v>0</v>
      </c>
      <c r="H80" s="60">
        <f t="shared" si="47"/>
        <v>0</v>
      </c>
      <c r="I80" s="60">
        <f t="shared" si="47"/>
        <v>0</v>
      </c>
      <c r="J80" s="60">
        <f t="shared" si="47"/>
        <v>5</v>
      </c>
      <c r="K80" s="60">
        <f t="shared" si="47"/>
        <v>0</v>
      </c>
      <c r="L80" s="60">
        <f t="shared" si="47"/>
        <v>0</v>
      </c>
      <c r="M80" s="60">
        <f t="shared" si="47"/>
        <v>0</v>
      </c>
      <c r="N80" s="60">
        <f t="shared" si="47"/>
        <v>0</v>
      </c>
      <c r="O80" s="60">
        <f t="shared" si="47"/>
        <v>0</v>
      </c>
      <c r="P80" s="60">
        <f t="shared" si="47"/>
        <v>0</v>
      </c>
      <c r="Q80" s="60">
        <f t="shared" si="47"/>
        <v>0</v>
      </c>
      <c r="R80" s="60">
        <f t="shared" si="47"/>
        <v>0</v>
      </c>
      <c r="S80" s="60">
        <f t="shared" si="47"/>
        <v>0</v>
      </c>
      <c r="T80" s="60">
        <f t="shared" si="47"/>
        <v>0</v>
      </c>
      <c r="U80" s="60">
        <f t="shared" si="47"/>
        <v>0</v>
      </c>
      <c r="V80" s="60">
        <f t="shared" si="47"/>
        <v>0</v>
      </c>
      <c r="W80" s="60">
        <f t="shared" si="47"/>
        <v>0</v>
      </c>
      <c r="X80" s="60">
        <f t="shared" si="47"/>
        <v>0</v>
      </c>
      <c r="Y80" s="60">
        <f>Y77+Y78+Y79</f>
        <v>0</v>
      </c>
      <c r="Z80" s="60">
        <f>Z77+Z78+Z79</f>
        <v>35.200000000000003</v>
      </c>
      <c r="AA80" s="60">
        <f t="shared" si="47"/>
        <v>0</v>
      </c>
      <c r="AB80" s="60">
        <f t="shared" ref="AB80:AC80" si="48">AB77+AB78+AB79</f>
        <v>0</v>
      </c>
      <c r="AC80" s="60">
        <f t="shared" si="48"/>
        <v>0</v>
      </c>
      <c r="AD80" s="60">
        <f t="shared" ref="AD80:AE80" si="49">AD77+AD78+AD79</f>
        <v>0</v>
      </c>
      <c r="AE80" s="60">
        <f t="shared" si="49"/>
        <v>0</v>
      </c>
      <c r="AF80" s="60">
        <f t="shared" ref="AF80" si="50">AF77+AF78+AF79</f>
        <v>0</v>
      </c>
      <c r="AG80" s="61">
        <f>SUM(AG77:AG79)</f>
        <v>106</v>
      </c>
      <c r="AH80" s="47">
        <f t="shared" si="8"/>
        <v>35.200000000000003</v>
      </c>
      <c r="AI80" s="48">
        <f t="shared" si="9"/>
        <v>0</v>
      </c>
      <c r="AK80" s="50"/>
      <c r="AZ80" s="233">
        <f t="shared" si="46"/>
        <v>55</v>
      </c>
      <c r="BA80" s="233">
        <f t="shared" si="46"/>
        <v>48.6</v>
      </c>
      <c r="BB80" s="233">
        <f t="shared" si="46"/>
        <v>47</v>
      </c>
      <c r="BC80" s="233">
        <f t="shared" si="46"/>
        <v>50.6</v>
      </c>
      <c r="BD80" s="233">
        <f t="shared" si="46"/>
        <v>51.4</v>
      </c>
      <c r="BE80" s="233">
        <f t="shared" si="46"/>
        <v>54.7</v>
      </c>
      <c r="BF80" s="233">
        <f t="shared" si="46"/>
        <v>40.5</v>
      </c>
      <c r="BG80" s="233">
        <f t="shared" si="46"/>
        <v>52</v>
      </c>
      <c r="BH80" s="233">
        <f t="shared" si="46"/>
        <v>69.900000000000006</v>
      </c>
      <c r="BI80" s="233">
        <f t="shared" si="46"/>
        <v>74.900000000000006</v>
      </c>
      <c r="BJ80" s="233">
        <f t="shared" si="46"/>
        <v>69</v>
      </c>
      <c r="BK80" s="233">
        <f t="shared" si="46"/>
        <v>60</v>
      </c>
      <c r="BL80" s="233">
        <f t="shared" si="46"/>
        <v>62.6</v>
      </c>
      <c r="BM80" s="233">
        <f t="shared" si="46"/>
        <v>72.900000000000006</v>
      </c>
      <c r="BN80" s="233">
        <f t="shared" si="46"/>
        <v>77.099999999999994</v>
      </c>
      <c r="BO80" s="233">
        <f t="shared" si="46"/>
        <v>79.8</v>
      </c>
      <c r="BP80" s="233">
        <f t="shared" si="46"/>
        <v>78.3</v>
      </c>
      <c r="BQ80" s="233">
        <f t="shared" si="46"/>
        <v>73.599999999999994</v>
      </c>
      <c r="BR80" s="233">
        <f t="shared" si="46"/>
        <v>82</v>
      </c>
      <c r="BS80" s="233">
        <f t="shared" si="46"/>
        <v>74.900000000000006</v>
      </c>
      <c r="BT80" s="233">
        <f t="shared" si="46"/>
        <v>67</v>
      </c>
      <c r="BU80" s="233">
        <f t="shared" si="46"/>
        <v>72.7</v>
      </c>
      <c r="BV80" s="233">
        <f t="shared" si="46"/>
        <v>52.6</v>
      </c>
      <c r="BW80" s="233">
        <f t="shared" si="46"/>
        <v>55</v>
      </c>
    </row>
    <row r="81" spans="1:64" x14ac:dyDescent="0.25">
      <c r="A81" s="44" t="s">
        <v>81</v>
      </c>
      <c r="B81" s="45">
        <v>0</v>
      </c>
      <c r="C81" s="45">
        <v>50</v>
      </c>
      <c r="D81" s="45">
        <v>56.1</v>
      </c>
      <c r="E81" s="45">
        <v>62.4</v>
      </c>
      <c r="F81" s="45">
        <v>66.400000000000006</v>
      </c>
      <c r="G81" s="45">
        <v>61.6</v>
      </c>
      <c r="H81" s="45">
        <v>52.3</v>
      </c>
      <c r="I81" s="45">
        <v>66</v>
      </c>
      <c r="J81" s="45">
        <v>63.3</v>
      </c>
      <c r="K81" s="45">
        <v>47.8</v>
      </c>
      <c r="L81" s="45">
        <v>52.6</v>
      </c>
      <c r="M81" s="45">
        <v>54.2</v>
      </c>
      <c r="N81" s="45">
        <v>67.3</v>
      </c>
      <c r="O81" s="45">
        <v>51.6</v>
      </c>
      <c r="P81" s="45">
        <v>60.6</v>
      </c>
      <c r="Q81" s="45">
        <v>58.6</v>
      </c>
      <c r="R81" s="45">
        <v>54.8</v>
      </c>
      <c r="S81" s="45">
        <v>58.1</v>
      </c>
      <c r="T81" s="45">
        <v>61.7</v>
      </c>
      <c r="U81" s="45">
        <v>58</v>
      </c>
      <c r="V81" s="45">
        <v>76.2</v>
      </c>
      <c r="W81" s="45">
        <v>59</v>
      </c>
      <c r="X81" s="45">
        <v>59.3</v>
      </c>
      <c r="Y81" s="45">
        <v>62.8</v>
      </c>
      <c r="Z81" s="45">
        <v>70.3</v>
      </c>
      <c r="AA81" s="45">
        <v>46.5</v>
      </c>
      <c r="AB81" s="45">
        <v>64.599999999999994</v>
      </c>
      <c r="AC81" s="45">
        <v>57.1</v>
      </c>
      <c r="AD81" s="45">
        <v>59.7</v>
      </c>
      <c r="AE81" s="45">
        <v>61.7</v>
      </c>
      <c r="AF81" s="45">
        <v>61.4</v>
      </c>
      <c r="AG81" s="52"/>
      <c r="AH81" s="47">
        <f t="shared" si="8"/>
        <v>76.2</v>
      </c>
      <c r="AI81" s="48">
        <f t="shared" si="9"/>
        <v>0</v>
      </c>
      <c r="AK81" s="50"/>
      <c r="AY81" s="233"/>
    </row>
    <row r="82" spans="1:64" x14ac:dyDescent="0.25">
      <c r="A82" s="54" t="s">
        <v>82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51">MAX(B82:AF82)</f>
        <v>0</v>
      </c>
      <c r="AI82" s="48">
        <f t="shared" ref="AI82:AI123" si="52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412</v>
      </c>
      <c r="C83" s="65">
        <v>390.1</v>
      </c>
      <c r="D83" s="65">
        <v>397.2</v>
      </c>
      <c r="E83" s="65">
        <v>401.6</v>
      </c>
      <c r="F83" s="65">
        <v>411</v>
      </c>
      <c r="G83" s="65">
        <v>419.4</v>
      </c>
      <c r="H83" s="65">
        <v>409</v>
      </c>
      <c r="I83" s="65">
        <v>419.7</v>
      </c>
      <c r="J83" s="65">
        <v>389.5</v>
      </c>
      <c r="K83" s="65">
        <v>150</v>
      </c>
      <c r="L83" s="65">
        <v>52.9</v>
      </c>
      <c r="M83" s="65">
        <v>1</v>
      </c>
      <c r="N83" s="65">
        <v>119</v>
      </c>
      <c r="O83" s="65">
        <v>365.7</v>
      </c>
      <c r="P83" s="65">
        <v>362.2</v>
      </c>
      <c r="Q83" s="65">
        <v>424</v>
      </c>
      <c r="R83" s="65">
        <v>442</v>
      </c>
      <c r="S83" s="65">
        <v>457.6</v>
      </c>
      <c r="T83" s="65">
        <v>475</v>
      </c>
      <c r="U83" s="65">
        <v>471.3</v>
      </c>
      <c r="V83" s="65">
        <v>457</v>
      </c>
      <c r="W83" s="65">
        <v>461</v>
      </c>
      <c r="X83" s="65">
        <v>489</v>
      </c>
      <c r="Y83" s="65">
        <v>443</v>
      </c>
      <c r="Z83" s="65">
        <v>301</v>
      </c>
      <c r="AA83" s="65">
        <v>160</v>
      </c>
      <c r="AB83" s="65">
        <v>139.80000000000001</v>
      </c>
      <c r="AC83" s="65">
        <v>294.8</v>
      </c>
      <c r="AD83" s="65">
        <v>294.5</v>
      </c>
      <c r="AE83" s="65">
        <v>372.9</v>
      </c>
      <c r="AF83" s="65">
        <v>404.6</v>
      </c>
      <c r="AG83" s="75"/>
      <c r="AH83" s="47">
        <f t="shared" si="51"/>
        <v>489</v>
      </c>
      <c r="AI83" s="48">
        <f t="shared" si="52"/>
        <v>1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20</v>
      </c>
      <c r="C84" s="65">
        <v>27.6</v>
      </c>
      <c r="D84" s="65">
        <v>2.8</v>
      </c>
      <c r="E84" s="76">
        <v>2.7</v>
      </c>
      <c r="F84" s="76">
        <v>0</v>
      </c>
      <c r="G84" s="76">
        <v>16.899999999999999</v>
      </c>
      <c r="H84" s="76">
        <v>22.5</v>
      </c>
      <c r="I84" s="76">
        <v>21.2</v>
      </c>
      <c r="J84" s="76">
        <v>44.4</v>
      </c>
      <c r="K84" s="76">
        <v>42.3</v>
      </c>
      <c r="L84" s="76">
        <v>36.200000000000003</v>
      </c>
      <c r="M84" s="76">
        <v>33.4</v>
      </c>
      <c r="N84" s="76">
        <v>30</v>
      </c>
      <c r="O84" s="76">
        <v>28</v>
      </c>
      <c r="P84" s="76">
        <v>24.5</v>
      </c>
      <c r="Q84" s="76">
        <v>18</v>
      </c>
      <c r="R84" s="76">
        <v>20.8</v>
      </c>
      <c r="S84" s="76">
        <v>15.4</v>
      </c>
      <c r="T84" s="76">
        <v>14.2</v>
      </c>
      <c r="U84" s="76">
        <v>22.4</v>
      </c>
      <c r="V84" s="76">
        <v>17.399999999999999</v>
      </c>
      <c r="W84" s="76">
        <v>17.8</v>
      </c>
      <c r="X84" s="76">
        <v>23.1</v>
      </c>
      <c r="Y84" s="76">
        <v>38.6</v>
      </c>
      <c r="Z84" s="76">
        <v>24.1</v>
      </c>
      <c r="AA84" s="76">
        <v>24</v>
      </c>
      <c r="AB84" s="76">
        <v>22.7</v>
      </c>
      <c r="AC84" s="76">
        <v>21.6</v>
      </c>
      <c r="AD84" s="76">
        <v>22.1</v>
      </c>
      <c r="AE84" s="76">
        <v>20.8</v>
      </c>
      <c r="AF84" s="76">
        <v>23.7</v>
      </c>
      <c r="AG84" s="75"/>
      <c r="AH84" s="47">
        <f t="shared" si="51"/>
        <v>44.4</v>
      </c>
      <c r="AI84" s="48">
        <f t="shared" si="52"/>
        <v>0</v>
      </c>
      <c r="AK84" s="50"/>
      <c r="AY84" s="233"/>
      <c r="BF84" s="232"/>
      <c r="BG84" s="233">
        <f t="array" ref="BG84:BL107">TRANSPOSE(AZ68:BW73)</f>
        <v>50</v>
      </c>
      <c r="BH84" s="233">
        <v>0</v>
      </c>
      <c r="BI84" s="233">
        <v>390</v>
      </c>
      <c r="BJ84" s="233">
        <v>28</v>
      </c>
      <c r="BK84" s="233">
        <v>0</v>
      </c>
      <c r="BL84" s="233">
        <v>55</v>
      </c>
    </row>
    <row r="85" spans="1:64" x14ac:dyDescent="0.25">
      <c r="A85" s="54" t="s">
        <v>85</v>
      </c>
      <c r="B85" s="45">
        <v>0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/>
      <c r="N85" s="45">
        <v>0</v>
      </c>
      <c r="O85" s="45"/>
      <c r="P85" s="45"/>
      <c r="Q85" s="45">
        <v>64</v>
      </c>
      <c r="R85" s="45">
        <v>115</v>
      </c>
      <c r="S85" s="45">
        <v>115</v>
      </c>
      <c r="T85" s="45">
        <v>103</v>
      </c>
      <c r="U85" s="45">
        <v>102</v>
      </c>
      <c r="V85" s="45">
        <v>120</v>
      </c>
      <c r="W85" s="45">
        <v>97</v>
      </c>
      <c r="X85" s="45">
        <v>105</v>
      </c>
      <c r="Y85" s="45">
        <v>103</v>
      </c>
      <c r="Z85" s="45">
        <v>100</v>
      </c>
      <c r="AA85" s="45">
        <v>114</v>
      </c>
      <c r="AB85" s="45">
        <f>48.4*2</f>
        <v>96.8</v>
      </c>
      <c r="AC85" s="45">
        <v>114.8</v>
      </c>
      <c r="AD85" s="45">
        <v>105.6</v>
      </c>
      <c r="AE85" s="45">
        <v>121.6</v>
      </c>
      <c r="AF85" s="45">
        <v>118.8</v>
      </c>
      <c r="AG85" s="75"/>
      <c r="AH85" s="47">
        <f t="shared" si="51"/>
        <v>121.6</v>
      </c>
      <c r="AI85" s="48">
        <f t="shared" si="52"/>
        <v>0</v>
      </c>
      <c r="AK85" s="50"/>
      <c r="AY85" s="233"/>
      <c r="BF85" s="232"/>
      <c r="BG85" s="233">
        <v>56.1</v>
      </c>
      <c r="BH85" s="233">
        <v>0</v>
      </c>
      <c r="BI85" s="233">
        <v>397.2</v>
      </c>
      <c r="BJ85" s="233">
        <v>2.8</v>
      </c>
      <c r="BK85" s="233">
        <v>0</v>
      </c>
      <c r="BL85" s="233">
        <v>48.6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1"/>
        <v>0</v>
      </c>
      <c r="AI86" s="48">
        <f t="shared" si="52"/>
        <v>0</v>
      </c>
      <c r="AK86" s="50"/>
      <c r="AY86" s="233"/>
      <c r="BF86" s="232"/>
      <c r="BG86" s="233">
        <v>62.4</v>
      </c>
      <c r="BH86" s="233">
        <v>0</v>
      </c>
      <c r="BI86" s="233">
        <v>401.6</v>
      </c>
      <c r="BJ86" s="233">
        <v>2.7</v>
      </c>
      <c r="BK86" s="233">
        <v>0</v>
      </c>
      <c r="BL86" s="233">
        <v>47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1"/>
        <v>0</v>
      </c>
      <c r="AI87" s="48">
        <f t="shared" si="52"/>
        <v>0</v>
      </c>
      <c r="AK87" s="50"/>
      <c r="AL87" s="78" t="s">
        <v>88</v>
      </c>
      <c r="AM87" s="78"/>
      <c r="AY87" s="233"/>
      <c r="BF87" s="233"/>
      <c r="BG87" s="233">
        <v>66.400000000000006</v>
      </c>
      <c r="BH87" s="233">
        <v>0</v>
      </c>
      <c r="BI87" s="233">
        <v>411</v>
      </c>
      <c r="BJ87" s="233">
        <v>0</v>
      </c>
      <c r="BK87" s="233">
        <v>0</v>
      </c>
      <c r="BL87" s="233">
        <v>50.6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1"/>
        <v>0</v>
      </c>
      <c r="AI88" s="48">
        <f t="shared" si="52"/>
        <v>0</v>
      </c>
      <c r="AK88" s="79"/>
      <c r="AL88" s="80"/>
      <c r="AM88" s="80"/>
      <c r="AN88" s="81"/>
      <c r="AY88" s="233"/>
      <c r="BF88" s="233"/>
      <c r="BG88" s="233">
        <v>61.6</v>
      </c>
      <c r="BH88" s="233">
        <v>0</v>
      </c>
      <c r="BI88" s="233">
        <v>419.4</v>
      </c>
      <c r="BJ88" s="233">
        <v>16.899999999999999</v>
      </c>
      <c r="BK88" s="233">
        <v>0</v>
      </c>
      <c r="BL88" s="233">
        <v>51.4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1"/>
        <v>0</v>
      </c>
      <c r="AI89" s="48">
        <f t="shared" si="52"/>
        <v>0</v>
      </c>
      <c r="AK89" s="82" t="s">
        <v>91</v>
      </c>
      <c r="AL89" s="65"/>
      <c r="AM89" s="76"/>
      <c r="AN89" s="83"/>
      <c r="AY89" s="233"/>
      <c r="BF89" s="233"/>
      <c r="BG89" s="233">
        <v>66</v>
      </c>
      <c r="BH89" s="233">
        <v>0</v>
      </c>
      <c r="BI89" s="233">
        <v>419.7</v>
      </c>
      <c r="BJ89" s="233">
        <v>21.2</v>
      </c>
      <c r="BK89" s="233">
        <v>0</v>
      </c>
      <c r="BL89" s="233">
        <v>54.7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1"/>
        <v>0</v>
      </c>
      <c r="AI90" s="48">
        <f t="shared" si="52"/>
        <v>0</v>
      </c>
      <c r="AK90" s="82" t="s">
        <v>93</v>
      </c>
      <c r="AL90" s="76"/>
      <c r="AM90" s="76"/>
      <c r="AN90" s="83"/>
      <c r="AY90" s="233"/>
      <c r="BF90" s="233"/>
      <c r="BG90" s="233">
        <v>47.8</v>
      </c>
      <c r="BH90" s="233">
        <v>0</v>
      </c>
      <c r="BI90" s="233">
        <v>150</v>
      </c>
      <c r="BJ90" s="233">
        <v>42.3</v>
      </c>
      <c r="BK90" s="233">
        <v>0</v>
      </c>
      <c r="BL90" s="233">
        <v>40.5</v>
      </c>
    </row>
    <row r="91" spans="1:64" ht="15.75" thickBot="1" x14ac:dyDescent="0.3">
      <c r="A91" s="84" t="s">
        <v>394</v>
      </c>
      <c r="B91" s="77">
        <v>55</v>
      </c>
      <c r="C91" s="77">
        <v>55.2</v>
      </c>
      <c r="D91" s="77">
        <v>48.6</v>
      </c>
      <c r="E91" s="77">
        <v>47</v>
      </c>
      <c r="F91" s="77">
        <v>50.6</v>
      </c>
      <c r="G91" s="77">
        <v>51.4</v>
      </c>
      <c r="H91" s="77">
        <v>52</v>
      </c>
      <c r="I91" s="77">
        <v>54.7</v>
      </c>
      <c r="J91" s="77">
        <v>49</v>
      </c>
      <c r="K91" s="77">
        <v>40.5</v>
      </c>
      <c r="L91" s="77">
        <v>42.5</v>
      </c>
      <c r="M91" s="77">
        <v>52</v>
      </c>
      <c r="N91" s="77">
        <v>69.900000000000006</v>
      </c>
      <c r="O91" s="77">
        <v>74.900000000000006</v>
      </c>
      <c r="P91" s="77">
        <v>69</v>
      </c>
      <c r="Q91" s="77">
        <v>60</v>
      </c>
      <c r="R91" s="77">
        <v>62.6</v>
      </c>
      <c r="S91" s="77">
        <v>72.900000000000006</v>
      </c>
      <c r="T91" s="77">
        <v>77.099999999999994</v>
      </c>
      <c r="U91" s="77">
        <v>79.8</v>
      </c>
      <c r="V91" s="77">
        <v>78.3</v>
      </c>
      <c r="W91" s="77">
        <v>75.3</v>
      </c>
      <c r="X91" s="77">
        <v>73.599999999999994</v>
      </c>
      <c r="Y91" s="77">
        <v>78</v>
      </c>
      <c r="Z91" s="77">
        <v>82</v>
      </c>
      <c r="AA91" s="77">
        <v>76.900000000000006</v>
      </c>
      <c r="AB91" s="77">
        <v>74.900000000000006</v>
      </c>
      <c r="AC91" s="77">
        <v>74</v>
      </c>
      <c r="AD91" s="77">
        <v>67</v>
      </c>
      <c r="AE91" s="77">
        <v>72.7</v>
      </c>
      <c r="AF91" s="77">
        <v>52.6</v>
      </c>
      <c r="AG91" s="85"/>
      <c r="AH91" s="47">
        <f t="shared" si="51"/>
        <v>82</v>
      </c>
      <c r="AI91" s="48">
        <f t="shared" si="52"/>
        <v>40.5</v>
      </c>
      <c r="AK91" s="86"/>
      <c r="AL91" s="45"/>
      <c r="AM91" s="45"/>
      <c r="AN91" s="87"/>
      <c r="AY91" s="233"/>
      <c r="BF91" s="233"/>
      <c r="BG91" s="233">
        <v>54.2</v>
      </c>
      <c r="BH91" s="233">
        <v>0</v>
      </c>
      <c r="BI91" s="233">
        <v>1</v>
      </c>
      <c r="BJ91" s="233">
        <v>33.4</v>
      </c>
      <c r="BK91" s="233">
        <v>0</v>
      </c>
      <c r="BL91" s="233">
        <v>52</v>
      </c>
    </row>
    <row r="92" spans="1:64" ht="15.75" thickBot="1" x14ac:dyDescent="0.3">
      <c r="A92" s="74" t="s">
        <v>94</v>
      </c>
      <c r="B92" s="60">
        <f t="shared" ref="B92:AA92" si="53">SUMIF(B81:B91,"&gt;0")</f>
        <v>487</v>
      </c>
      <c r="C92" s="60">
        <f t="shared" si="53"/>
        <v>522.90000000000009</v>
      </c>
      <c r="D92" s="60">
        <f t="shared" si="53"/>
        <v>504.70000000000005</v>
      </c>
      <c r="E92" s="60">
        <f t="shared" si="53"/>
        <v>513.70000000000005</v>
      </c>
      <c r="F92" s="60">
        <f t="shared" si="53"/>
        <v>528</v>
      </c>
      <c r="G92" s="60">
        <f t="shared" si="53"/>
        <v>549.29999999999995</v>
      </c>
      <c r="H92" s="60">
        <f t="shared" si="53"/>
        <v>535.79999999999995</v>
      </c>
      <c r="I92" s="60">
        <f t="shared" si="53"/>
        <v>561.6</v>
      </c>
      <c r="J92" s="60">
        <f t="shared" si="53"/>
        <v>546.20000000000005</v>
      </c>
      <c r="K92" s="60">
        <f t="shared" si="53"/>
        <v>280.60000000000002</v>
      </c>
      <c r="L92" s="60">
        <f t="shared" si="53"/>
        <v>184.2</v>
      </c>
      <c r="M92" s="60">
        <f t="shared" si="53"/>
        <v>140.6</v>
      </c>
      <c r="N92" s="60">
        <f t="shared" si="53"/>
        <v>286.20000000000005</v>
      </c>
      <c r="O92" s="60">
        <f t="shared" si="53"/>
        <v>520.20000000000005</v>
      </c>
      <c r="P92" s="60">
        <f t="shared" si="53"/>
        <v>516.29999999999995</v>
      </c>
      <c r="Q92" s="60">
        <f t="shared" si="53"/>
        <v>624.6</v>
      </c>
      <c r="R92" s="60">
        <f t="shared" si="53"/>
        <v>695.2</v>
      </c>
      <c r="S92" s="60">
        <f t="shared" si="53"/>
        <v>719</v>
      </c>
      <c r="T92" s="60">
        <f t="shared" si="53"/>
        <v>731.00000000000011</v>
      </c>
      <c r="U92" s="60">
        <f t="shared" si="53"/>
        <v>733.49999999999989</v>
      </c>
      <c r="V92" s="60">
        <f t="shared" si="53"/>
        <v>748.9</v>
      </c>
      <c r="W92" s="60">
        <f t="shared" si="53"/>
        <v>710.09999999999991</v>
      </c>
      <c r="X92" s="60">
        <f t="shared" si="53"/>
        <v>750</v>
      </c>
      <c r="Y92" s="60">
        <f>SUMIF(Y81:Y91,"&gt;0")</f>
        <v>725.4</v>
      </c>
      <c r="Z92" s="60">
        <f>SUMIF(Z81:Z91,"&gt;0")</f>
        <v>577.40000000000009</v>
      </c>
      <c r="AA92" s="60">
        <f t="shared" si="53"/>
        <v>421.4</v>
      </c>
      <c r="AB92" s="60">
        <f t="shared" ref="AB92:AC92" si="54">SUMIF(AB81:AB91,"&gt;0")</f>
        <v>398.79999999999995</v>
      </c>
      <c r="AC92" s="60">
        <f t="shared" si="54"/>
        <v>562.30000000000007</v>
      </c>
      <c r="AD92" s="60">
        <f t="shared" ref="AD92:AE92" si="55">SUMIF(AD81:AD91,"&gt;0")</f>
        <v>548.9</v>
      </c>
      <c r="AE92" s="60">
        <f t="shared" si="55"/>
        <v>649.70000000000005</v>
      </c>
      <c r="AF92" s="60">
        <f t="shared" ref="AF92" si="56">SUMIF(AF81:AF91,"&gt;0")</f>
        <v>661.1</v>
      </c>
      <c r="AG92" s="88">
        <f>SUM(AG81:AG91)</f>
        <v>0</v>
      </c>
      <c r="AH92" s="47">
        <f t="shared" si="51"/>
        <v>750</v>
      </c>
      <c r="AI92" s="48">
        <f t="shared" si="52"/>
        <v>140.6</v>
      </c>
      <c r="AK92" s="86"/>
      <c r="AL92" s="77"/>
      <c r="AM92" s="89"/>
      <c r="AN92" s="257"/>
      <c r="AY92" s="233"/>
      <c r="BF92" s="233"/>
      <c r="BG92" s="233">
        <v>67.3</v>
      </c>
      <c r="BH92" s="233">
        <v>0</v>
      </c>
      <c r="BI92" s="233">
        <v>119</v>
      </c>
      <c r="BJ92" s="233">
        <v>30</v>
      </c>
      <c r="BK92" s="233">
        <v>0</v>
      </c>
      <c r="BL92" s="233">
        <v>69.900000000000006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1"/>
        <v>0</v>
      </c>
      <c r="AI93" s="48">
        <f t="shared" si="52"/>
        <v>0</v>
      </c>
      <c r="AK93" s="86"/>
      <c r="AL93" s="77"/>
      <c r="AM93" s="77"/>
      <c r="AN93" s="258"/>
      <c r="BF93" s="233"/>
      <c r="BG93" s="233">
        <v>51.6</v>
      </c>
      <c r="BH93" s="233">
        <v>0</v>
      </c>
      <c r="BI93" s="233">
        <v>365.7</v>
      </c>
      <c r="BJ93" s="233">
        <v>28</v>
      </c>
      <c r="BK93" s="233">
        <v>0</v>
      </c>
      <c r="BL93" s="233">
        <v>74.900000000000006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1"/>
        <v>0</v>
      </c>
      <c r="AI94" s="48">
        <f t="shared" si="52"/>
        <v>0</v>
      </c>
      <c r="AK94" s="91"/>
      <c r="AL94" s="92"/>
      <c r="AM94" s="92"/>
      <c r="AN94" s="93"/>
      <c r="BF94" s="233"/>
      <c r="BG94" s="233">
        <v>60.6</v>
      </c>
      <c r="BH94" s="233">
        <v>0</v>
      </c>
      <c r="BI94" s="233">
        <v>362.2</v>
      </c>
      <c r="BJ94" s="233">
        <v>24.5</v>
      </c>
      <c r="BK94" s="233">
        <v>0</v>
      </c>
      <c r="BL94" s="233">
        <v>69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1"/>
        <v>0</v>
      </c>
      <c r="AI95" s="48">
        <f t="shared" si="52"/>
        <v>0</v>
      </c>
      <c r="BF95" s="233"/>
      <c r="BG95" s="233">
        <v>58.6</v>
      </c>
      <c r="BH95" s="233">
        <v>0</v>
      </c>
      <c r="BI95" s="233">
        <v>424</v>
      </c>
      <c r="BJ95" s="233">
        <v>18</v>
      </c>
      <c r="BK95" s="233">
        <v>64</v>
      </c>
      <c r="BL95" s="233">
        <v>60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1"/>
        <v>0</v>
      </c>
      <c r="AI96" s="48">
        <f t="shared" si="52"/>
        <v>0</v>
      </c>
      <c r="BF96" s="233"/>
      <c r="BG96" s="233">
        <v>54.8</v>
      </c>
      <c r="BH96" s="233">
        <v>0</v>
      </c>
      <c r="BI96" s="233">
        <v>442</v>
      </c>
      <c r="BJ96" s="233">
        <v>20.8</v>
      </c>
      <c r="BK96" s="233">
        <v>115</v>
      </c>
      <c r="BL96" s="233">
        <v>62.6</v>
      </c>
    </row>
    <row r="97" spans="1:64" ht="15.75" thickBot="1" x14ac:dyDescent="0.3">
      <c r="A97" s="74" t="s">
        <v>99</v>
      </c>
      <c r="B97" s="95">
        <f t="shared" ref="B97:AG97" si="57">B58+B62+B80+B76+B92+B96</f>
        <v>1111.1399999999999</v>
      </c>
      <c r="C97" s="95">
        <f t="shared" si="57"/>
        <v>1164.29</v>
      </c>
      <c r="D97" s="95">
        <f t="shared" si="57"/>
        <v>1145.0900000000001</v>
      </c>
      <c r="E97" s="95">
        <f t="shared" si="57"/>
        <v>1154.0900000000001</v>
      </c>
      <c r="F97" s="95">
        <f t="shared" si="57"/>
        <v>1182.3899999999999</v>
      </c>
      <c r="G97" s="95">
        <f t="shared" si="57"/>
        <v>1230.69</v>
      </c>
      <c r="H97" s="95">
        <f t="shared" si="57"/>
        <v>1255.5899999999999</v>
      </c>
      <c r="I97" s="95">
        <f t="shared" si="57"/>
        <v>1347.3899999999999</v>
      </c>
      <c r="J97" s="95">
        <f t="shared" si="57"/>
        <v>1444.39</v>
      </c>
      <c r="K97" s="95">
        <f t="shared" si="57"/>
        <v>1374.69</v>
      </c>
      <c r="L97" s="95">
        <f t="shared" si="57"/>
        <v>1424.7300000000002</v>
      </c>
      <c r="M97" s="95">
        <f t="shared" si="57"/>
        <v>1378.73</v>
      </c>
      <c r="N97" s="95">
        <f t="shared" si="57"/>
        <v>1317.2900000000002</v>
      </c>
      <c r="O97" s="95">
        <f t="shared" si="57"/>
        <v>1277.19</v>
      </c>
      <c r="P97" s="95">
        <f t="shared" si="57"/>
        <v>1278.3899999999999</v>
      </c>
      <c r="Q97" s="95">
        <f t="shared" si="57"/>
        <v>1379.5900000000001</v>
      </c>
      <c r="R97" s="95">
        <f t="shared" si="57"/>
        <v>1451.59</v>
      </c>
      <c r="S97" s="95">
        <f t="shared" si="57"/>
        <v>1420.4900000000002</v>
      </c>
      <c r="T97" s="95">
        <f t="shared" si="57"/>
        <v>1424.4900000000002</v>
      </c>
      <c r="U97" s="95">
        <f t="shared" si="57"/>
        <v>1441.4899999999998</v>
      </c>
      <c r="V97" s="95">
        <f t="shared" si="57"/>
        <v>1466.99</v>
      </c>
      <c r="W97" s="95">
        <f t="shared" si="57"/>
        <v>1381.69</v>
      </c>
      <c r="X97" s="95">
        <f t="shared" si="57"/>
        <v>1457.19</v>
      </c>
      <c r="Y97" s="95">
        <f>Y58+Y62+Y80+Y76+Y92+Y96</f>
        <v>1654.85</v>
      </c>
      <c r="Z97" s="95">
        <f>Z58+Z62+Z80+Z76+Z92+Z96</f>
        <v>1697.1500000000003</v>
      </c>
      <c r="AA97" s="95">
        <f t="shared" si="57"/>
        <v>1625.9900000000002</v>
      </c>
      <c r="AB97" s="95">
        <f t="shared" ref="AB97:AC97" si="58">AB58+AB62+AB80+AB76+AB92+AB96</f>
        <v>1551.99</v>
      </c>
      <c r="AC97" s="95">
        <f t="shared" si="58"/>
        <v>1525.2900000000002</v>
      </c>
      <c r="AD97" s="95">
        <f t="shared" ref="AD97:AE97" si="59">AD58+AD62+AD80+AD76+AD92+AD96</f>
        <v>1489.0900000000001</v>
      </c>
      <c r="AE97" s="95">
        <f t="shared" si="59"/>
        <v>1394.79</v>
      </c>
      <c r="AF97" s="95">
        <f t="shared" ref="AF97" si="60">AF58+AF62+AF80+AF76+AF92+AF96</f>
        <v>1302.69</v>
      </c>
      <c r="AG97" s="61">
        <f t="shared" si="57"/>
        <v>2231.81</v>
      </c>
      <c r="AH97" s="47">
        <f t="shared" si="51"/>
        <v>1697.1500000000003</v>
      </c>
      <c r="AI97" s="48">
        <f t="shared" si="52"/>
        <v>1111.1399999999999</v>
      </c>
      <c r="BF97" s="233"/>
      <c r="BG97" s="233">
        <v>58.1</v>
      </c>
      <c r="BH97" s="233">
        <v>0</v>
      </c>
      <c r="BI97" s="233">
        <v>457.6</v>
      </c>
      <c r="BJ97" s="233">
        <v>15.4</v>
      </c>
      <c r="BK97" s="233">
        <v>115</v>
      </c>
      <c r="BL97" s="233">
        <v>72.900000000000006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100</v>
      </c>
      <c r="L98" s="97">
        <v>250</v>
      </c>
      <c r="M98" s="97">
        <v>250</v>
      </c>
      <c r="N98" s="97">
        <v>250</v>
      </c>
      <c r="O98" s="97">
        <v>200</v>
      </c>
      <c r="P98" s="97">
        <v>150</v>
      </c>
      <c r="Q98" s="97"/>
      <c r="R98" s="97"/>
      <c r="S98" s="97"/>
      <c r="T98" s="97"/>
      <c r="U98" s="97"/>
      <c r="V98" s="97"/>
      <c r="W98" s="97">
        <v>50</v>
      </c>
      <c r="X98" s="97">
        <v>50</v>
      </c>
      <c r="Y98" s="97">
        <v>50</v>
      </c>
      <c r="Z98" s="97">
        <v>50</v>
      </c>
      <c r="AA98" s="97">
        <v>50</v>
      </c>
      <c r="AB98" s="97">
        <v>50</v>
      </c>
      <c r="AC98" s="97"/>
      <c r="AD98" s="97"/>
      <c r="AE98" s="97"/>
      <c r="AF98" s="97"/>
      <c r="AG98" s="88"/>
      <c r="AH98" s="47">
        <f t="shared" si="51"/>
        <v>250</v>
      </c>
      <c r="AI98" s="48">
        <f t="shared" si="52"/>
        <v>50</v>
      </c>
      <c r="BF98" s="233"/>
      <c r="BG98" s="233">
        <v>61.7</v>
      </c>
      <c r="BH98" s="233">
        <v>0</v>
      </c>
      <c r="BI98" s="233">
        <v>475</v>
      </c>
      <c r="BJ98" s="233">
        <v>14.2</v>
      </c>
      <c r="BK98" s="233">
        <v>103</v>
      </c>
      <c r="BL98" s="233">
        <v>77.099999999999994</v>
      </c>
    </row>
    <row r="99" spans="1:64" ht="15.75" thickBot="1" x14ac:dyDescent="0.3">
      <c r="A99" s="74" t="s">
        <v>101</v>
      </c>
      <c r="B99" s="95">
        <f t="shared" ref="B99:AA99" si="61">B97+B98</f>
        <v>1111.1399999999999</v>
      </c>
      <c r="C99" s="95">
        <f t="shared" si="61"/>
        <v>1164.29</v>
      </c>
      <c r="D99" s="95">
        <f t="shared" si="61"/>
        <v>1145.0900000000001</v>
      </c>
      <c r="E99" s="95">
        <f t="shared" si="61"/>
        <v>1154.0900000000001</v>
      </c>
      <c r="F99" s="95">
        <f t="shared" si="61"/>
        <v>1182.3899999999999</v>
      </c>
      <c r="G99" s="95">
        <f t="shared" si="61"/>
        <v>1230.69</v>
      </c>
      <c r="H99" s="95">
        <f t="shared" si="61"/>
        <v>1255.5899999999999</v>
      </c>
      <c r="I99" s="95">
        <f t="shared" si="61"/>
        <v>1347.3899999999999</v>
      </c>
      <c r="J99" s="95">
        <f t="shared" si="61"/>
        <v>1444.39</v>
      </c>
      <c r="K99" s="95">
        <f t="shared" si="61"/>
        <v>1474.69</v>
      </c>
      <c r="L99" s="95">
        <f t="shared" si="61"/>
        <v>1674.7300000000002</v>
      </c>
      <c r="M99" s="95">
        <f t="shared" si="61"/>
        <v>1628.73</v>
      </c>
      <c r="N99" s="95">
        <f t="shared" si="61"/>
        <v>1567.2900000000002</v>
      </c>
      <c r="O99" s="95">
        <f t="shared" si="61"/>
        <v>1477.19</v>
      </c>
      <c r="P99" s="95">
        <f t="shared" si="61"/>
        <v>1428.3899999999999</v>
      </c>
      <c r="Q99" s="95">
        <f t="shared" si="61"/>
        <v>1379.5900000000001</v>
      </c>
      <c r="R99" s="95">
        <f t="shared" si="61"/>
        <v>1451.59</v>
      </c>
      <c r="S99" s="95">
        <f t="shared" si="61"/>
        <v>1420.4900000000002</v>
      </c>
      <c r="T99" s="95">
        <f t="shared" si="61"/>
        <v>1424.4900000000002</v>
      </c>
      <c r="U99" s="95">
        <f t="shared" si="61"/>
        <v>1441.4899999999998</v>
      </c>
      <c r="V99" s="95">
        <f t="shared" si="61"/>
        <v>1466.99</v>
      </c>
      <c r="W99" s="95">
        <f t="shared" si="61"/>
        <v>1431.69</v>
      </c>
      <c r="X99" s="95">
        <f t="shared" si="61"/>
        <v>1507.19</v>
      </c>
      <c r="Y99" s="95">
        <f>Y97+Y98</f>
        <v>1704.85</v>
      </c>
      <c r="Z99" s="95">
        <f>Z97+Z98</f>
        <v>1747.1500000000003</v>
      </c>
      <c r="AA99" s="95">
        <f t="shared" si="61"/>
        <v>1675.9900000000002</v>
      </c>
      <c r="AB99" s="95">
        <f t="shared" ref="AB99:AC99" si="62">AB97+AB98</f>
        <v>1601.99</v>
      </c>
      <c r="AC99" s="95">
        <f t="shared" si="62"/>
        <v>1525.2900000000002</v>
      </c>
      <c r="AD99" s="95">
        <f t="shared" ref="AD99:AE99" si="63">AD97+AD98</f>
        <v>1489.0900000000001</v>
      </c>
      <c r="AE99" s="95">
        <f t="shared" si="63"/>
        <v>1394.79</v>
      </c>
      <c r="AF99" s="95">
        <f t="shared" ref="AF99" si="64">AF97+AF98</f>
        <v>1302.69</v>
      </c>
      <c r="AG99" s="88">
        <f>AG96+AG92+AG80+AG76+AG58+AG98</f>
        <v>1693.71</v>
      </c>
      <c r="AH99" s="47">
        <f t="shared" si="51"/>
        <v>1747.1500000000003</v>
      </c>
      <c r="AI99" s="48">
        <f t="shared" si="52"/>
        <v>1111.1399999999999</v>
      </c>
      <c r="BF99" s="233"/>
      <c r="BG99" s="233">
        <v>58</v>
      </c>
      <c r="BH99" s="233">
        <v>0</v>
      </c>
      <c r="BI99" s="233">
        <v>471.3</v>
      </c>
      <c r="BJ99" s="233">
        <v>22.4</v>
      </c>
      <c r="BK99" s="233">
        <v>102</v>
      </c>
      <c r="BL99" s="233">
        <v>79.8</v>
      </c>
    </row>
    <row r="100" spans="1:64" ht="15.75" thickBot="1" x14ac:dyDescent="0.3">
      <c r="A100" s="74" t="s">
        <v>102</v>
      </c>
      <c r="B100" s="95">
        <f t="shared" ref="B100:M100" si="65">B99-(B107)</f>
        <v>1111.1399999999999</v>
      </c>
      <c r="C100" s="95">
        <f t="shared" si="65"/>
        <v>1164.29</v>
      </c>
      <c r="D100" s="95">
        <f t="shared" si="65"/>
        <v>1145.0900000000001</v>
      </c>
      <c r="E100" s="95">
        <f t="shared" si="65"/>
        <v>1154.0900000000001</v>
      </c>
      <c r="F100" s="95">
        <f t="shared" si="65"/>
        <v>1182.3899999999999</v>
      </c>
      <c r="G100" s="95">
        <f t="shared" si="65"/>
        <v>1230.69</v>
      </c>
      <c r="H100" s="95">
        <f t="shared" si="65"/>
        <v>1255.5899999999999</v>
      </c>
      <c r="I100" s="95">
        <f t="shared" si="65"/>
        <v>1347.3899999999999</v>
      </c>
      <c r="J100" s="95">
        <f t="shared" si="65"/>
        <v>1444.39</v>
      </c>
      <c r="K100" s="95">
        <f t="shared" si="65"/>
        <v>1474.69</v>
      </c>
      <c r="L100" s="95">
        <f t="shared" si="65"/>
        <v>1674.7300000000002</v>
      </c>
      <c r="M100" s="95">
        <f t="shared" si="65"/>
        <v>1628.73</v>
      </c>
      <c r="N100" s="95">
        <f>N99-(N107)</f>
        <v>1567.2900000000002</v>
      </c>
      <c r="O100" s="95">
        <f t="shared" ref="O100:AA100" si="66">O99-(O107)</f>
        <v>1477.19</v>
      </c>
      <c r="P100" s="95">
        <f t="shared" si="66"/>
        <v>1428.3899999999999</v>
      </c>
      <c r="Q100" s="95">
        <f t="shared" si="66"/>
        <v>1379.5900000000001</v>
      </c>
      <c r="R100" s="95">
        <f t="shared" si="66"/>
        <v>1451.59</v>
      </c>
      <c r="S100" s="95">
        <f t="shared" si="66"/>
        <v>1420.4900000000002</v>
      </c>
      <c r="T100" s="95">
        <f t="shared" si="66"/>
        <v>1424.4900000000002</v>
      </c>
      <c r="U100" s="95">
        <f t="shared" si="66"/>
        <v>1441.4899999999998</v>
      </c>
      <c r="V100" s="95">
        <f t="shared" si="66"/>
        <v>1466.99</v>
      </c>
      <c r="W100" s="95">
        <f t="shared" si="66"/>
        <v>1431.69</v>
      </c>
      <c r="X100" s="95">
        <f t="shared" si="66"/>
        <v>1507.19</v>
      </c>
      <c r="Y100" s="95">
        <f t="shared" si="66"/>
        <v>1704.85</v>
      </c>
      <c r="Z100" s="95">
        <f t="shared" si="66"/>
        <v>1747.1500000000003</v>
      </c>
      <c r="AA100" s="95">
        <f t="shared" si="66"/>
        <v>1675.9900000000002</v>
      </c>
      <c r="AB100" s="95">
        <f t="shared" ref="AB100:AC100" si="67">AB99-(AB107)</f>
        <v>1601.99</v>
      </c>
      <c r="AC100" s="95">
        <f t="shared" si="67"/>
        <v>1525.2900000000002</v>
      </c>
      <c r="AD100" s="95">
        <f t="shared" ref="AD100:AE100" si="68">AD99-(AD107)</f>
        <v>1489.0900000000001</v>
      </c>
      <c r="AE100" s="95">
        <f t="shared" si="68"/>
        <v>1394.79</v>
      </c>
      <c r="AF100" s="95">
        <f t="shared" ref="AF100" si="69">AF99-(AF107)</f>
        <v>1302.69</v>
      </c>
      <c r="AG100" s="88"/>
      <c r="AH100" s="47">
        <f t="shared" si="51"/>
        <v>1747.1500000000003</v>
      </c>
      <c r="AI100" s="48">
        <f t="shared" si="52"/>
        <v>1111.1399999999999</v>
      </c>
      <c r="BF100" s="233"/>
      <c r="BG100" s="233">
        <v>76.2</v>
      </c>
      <c r="BH100" s="233">
        <v>0</v>
      </c>
      <c r="BI100" s="233">
        <v>457</v>
      </c>
      <c r="BJ100" s="233">
        <v>17.399999999999999</v>
      </c>
      <c r="BK100" s="233">
        <v>120</v>
      </c>
      <c r="BL100" s="233">
        <v>78.3</v>
      </c>
    </row>
    <row r="101" spans="1:64" x14ac:dyDescent="0.25">
      <c r="A101" s="44" t="s">
        <v>84</v>
      </c>
      <c r="B101" s="76">
        <f t="shared" ref="B101:AA101" si="70">IF(B84&lt;0,B84*-1,0)</f>
        <v>0</v>
      </c>
      <c r="C101" s="76">
        <f t="shared" si="70"/>
        <v>0</v>
      </c>
      <c r="D101" s="76">
        <f t="shared" si="70"/>
        <v>0</v>
      </c>
      <c r="E101" s="76">
        <f t="shared" si="70"/>
        <v>0</v>
      </c>
      <c r="F101" s="76">
        <f t="shared" si="70"/>
        <v>0</v>
      </c>
      <c r="G101" s="76">
        <f t="shared" si="70"/>
        <v>0</v>
      </c>
      <c r="H101" s="76">
        <f t="shared" si="70"/>
        <v>0</v>
      </c>
      <c r="I101" s="76">
        <f t="shared" si="70"/>
        <v>0</v>
      </c>
      <c r="J101" s="76">
        <f t="shared" si="70"/>
        <v>0</v>
      </c>
      <c r="K101" s="76">
        <f t="shared" si="70"/>
        <v>0</v>
      </c>
      <c r="L101" s="76">
        <f t="shared" si="70"/>
        <v>0</v>
      </c>
      <c r="M101" s="76">
        <f t="shared" si="70"/>
        <v>0</v>
      </c>
      <c r="N101" s="76">
        <f t="shared" si="70"/>
        <v>0</v>
      </c>
      <c r="O101" s="76">
        <f t="shared" si="70"/>
        <v>0</v>
      </c>
      <c r="P101" s="76">
        <f t="shared" si="70"/>
        <v>0</v>
      </c>
      <c r="Q101" s="76">
        <f t="shared" si="70"/>
        <v>0</v>
      </c>
      <c r="R101" s="76">
        <f t="shared" si="70"/>
        <v>0</v>
      </c>
      <c r="S101" s="76">
        <f t="shared" si="70"/>
        <v>0</v>
      </c>
      <c r="T101" s="76">
        <f t="shared" si="70"/>
        <v>0</v>
      </c>
      <c r="U101" s="76">
        <f t="shared" si="70"/>
        <v>0</v>
      </c>
      <c r="V101" s="76">
        <f t="shared" si="70"/>
        <v>0</v>
      </c>
      <c r="W101" s="76">
        <f t="shared" si="70"/>
        <v>0</v>
      </c>
      <c r="X101" s="76">
        <f t="shared" si="70"/>
        <v>0</v>
      </c>
      <c r="Y101" s="76">
        <f t="shared" si="70"/>
        <v>0</v>
      </c>
      <c r="Z101" s="76">
        <f t="shared" si="70"/>
        <v>0</v>
      </c>
      <c r="AA101" s="76">
        <f t="shared" si="70"/>
        <v>0</v>
      </c>
      <c r="AB101" s="76">
        <f t="shared" ref="AB101:AC101" si="71">IF(AB84&lt;0,AB84*-1,0)</f>
        <v>0</v>
      </c>
      <c r="AC101" s="76">
        <f t="shared" si="71"/>
        <v>0</v>
      </c>
      <c r="AD101" s="76">
        <f t="shared" ref="AD101:AE101" si="72">IF(AD84&lt;0,AD84*-1,0)</f>
        <v>0</v>
      </c>
      <c r="AE101" s="76">
        <f t="shared" si="72"/>
        <v>0</v>
      </c>
      <c r="AF101" s="76">
        <f t="shared" ref="AF101" si="73">IF(AF84&lt;0,AF84*-1,0)</f>
        <v>0</v>
      </c>
      <c r="AG101" s="52"/>
      <c r="AH101" s="47">
        <f t="shared" si="51"/>
        <v>0</v>
      </c>
      <c r="AI101" s="48">
        <f t="shared" si="52"/>
        <v>0</v>
      </c>
      <c r="BF101" s="232"/>
      <c r="BG101" s="233">
        <v>59.3</v>
      </c>
      <c r="BH101" s="233">
        <v>0</v>
      </c>
      <c r="BI101" s="233">
        <v>489</v>
      </c>
      <c r="BJ101" s="233">
        <v>23.1</v>
      </c>
      <c r="BK101" s="233">
        <v>105</v>
      </c>
      <c r="BL101" s="233">
        <v>73.599999999999994</v>
      </c>
    </row>
    <row r="102" spans="1:64" x14ac:dyDescent="0.25">
      <c r="A102" s="54" t="s">
        <v>82</v>
      </c>
      <c r="B102" s="76">
        <f t="shared" ref="B102:AA102" si="74">IF(B82&lt;0,B82*-1,0)</f>
        <v>0</v>
      </c>
      <c r="C102" s="76">
        <f t="shared" si="74"/>
        <v>0</v>
      </c>
      <c r="D102" s="76">
        <f t="shared" si="74"/>
        <v>0</v>
      </c>
      <c r="E102" s="76">
        <f t="shared" si="74"/>
        <v>0</v>
      </c>
      <c r="F102" s="76">
        <f t="shared" si="74"/>
        <v>0</v>
      </c>
      <c r="G102" s="76">
        <f t="shared" si="74"/>
        <v>0</v>
      </c>
      <c r="H102" s="76">
        <f t="shared" si="74"/>
        <v>0</v>
      </c>
      <c r="I102" s="76">
        <f t="shared" si="74"/>
        <v>0</v>
      </c>
      <c r="J102" s="76">
        <f t="shared" si="74"/>
        <v>0</v>
      </c>
      <c r="K102" s="76">
        <f t="shared" si="74"/>
        <v>0</v>
      </c>
      <c r="L102" s="76">
        <f t="shared" si="74"/>
        <v>0</v>
      </c>
      <c r="M102" s="76">
        <f t="shared" si="74"/>
        <v>0</v>
      </c>
      <c r="N102" s="76">
        <f t="shared" si="74"/>
        <v>0</v>
      </c>
      <c r="O102" s="76">
        <f t="shared" si="74"/>
        <v>0</v>
      </c>
      <c r="P102" s="76">
        <f t="shared" si="74"/>
        <v>0</v>
      </c>
      <c r="Q102" s="76">
        <f t="shared" si="74"/>
        <v>0</v>
      </c>
      <c r="R102" s="76">
        <f t="shared" si="74"/>
        <v>0</v>
      </c>
      <c r="S102" s="76">
        <f t="shared" si="74"/>
        <v>0</v>
      </c>
      <c r="T102" s="76">
        <f t="shared" si="74"/>
        <v>0</v>
      </c>
      <c r="U102" s="76">
        <f t="shared" si="74"/>
        <v>0</v>
      </c>
      <c r="V102" s="76">
        <f t="shared" si="74"/>
        <v>0</v>
      </c>
      <c r="W102" s="76">
        <f t="shared" si="74"/>
        <v>0</v>
      </c>
      <c r="X102" s="76">
        <f t="shared" si="74"/>
        <v>0</v>
      </c>
      <c r="Y102" s="76">
        <f t="shared" si="74"/>
        <v>0</v>
      </c>
      <c r="Z102" s="76">
        <f t="shared" si="74"/>
        <v>0</v>
      </c>
      <c r="AA102" s="76">
        <f t="shared" si="74"/>
        <v>0</v>
      </c>
      <c r="AB102" s="76">
        <f t="shared" ref="AB102:AC102" si="75">IF(AB82&lt;0,AB82*-1,0)</f>
        <v>0</v>
      </c>
      <c r="AC102" s="76">
        <f t="shared" si="75"/>
        <v>0</v>
      </c>
      <c r="AD102" s="76">
        <f t="shared" ref="AD102:AE102" si="76">IF(AD82&lt;0,AD82*-1,0)</f>
        <v>0</v>
      </c>
      <c r="AE102" s="76">
        <f t="shared" si="76"/>
        <v>0</v>
      </c>
      <c r="AF102" s="76">
        <f t="shared" ref="AF102" si="77">IF(AF82&lt;0,AF82*-1,0)</f>
        <v>0</v>
      </c>
      <c r="AG102" s="55"/>
      <c r="AH102" s="47">
        <f t="shared" si="51"/>
        <v>0</v>
      </c>
      <c r="AI102" s="48">
        <f t="shared" si="52"/>
        <v>0</v>
      </c>
      <c r="BF102" s="232"/>
      <c r="BG102" s="233">
        <v>70.3</v>
      </c>
      <c r="BH102" s="233">
        <v>0</v>
      </c>
      <c r="BI102" s="233">
        <v>301</v>
      </c>
      <c r="BJ102" s="233">
        <v>24.1</v>
      </c>
      <c r="BK102" s="233">
        <v>100</v>
      </c>
      <c r="BL102" s="233">
        <v>82</v>
      </c>
    </row>
    <row r="103" spans="1:64" x14ac:dyDescent="0.25">
      <c r="A103" s="84" t="s">
        <v>103</v>
      </c>
      <c r="B103" s="76">
        <f t="shared" ref="B103:AA103" si="78">IF(B85&lt;0,B85*-1,0)</f>
        <v>0</v>
      </c>
      <c r="C103" s="76">
        <f t="shared" si="78"/>
        <v>0</v>
      </c>
      <c r="D103" s="76">
        <f t="shared" si="78"/>
        <v>0</v>
      </c>
      <c r="E103" s="76">
        <f t="shared" si="78"/>
        <v>0</v>
      </c>
      <c r="F103" s="76">
        <f t="shared" si="78"/>
        <v>0</v>
      </c>
      <c r="G103" s="76">
        <f t="shared" si="78"/>
        <v>0</v>
      </c>
      <c r="H103" s="76">
        <f t="shared" si="78"/>
        <v>0</v>
      </c>
      <c r="I103" s="76">
        <f t="shared" si="78"/>
        <v>0</v>
      </c>
      <c r="J103" s="76">
        <f t="shared" si="78"/>
        <v>0</v>
      </c>
      <c r="K103" s="76">
        <f t="shared" si="78"/>
        <v>0</v>
      </c>
      <c r="L103" s="76">
        <f t="shared" si="78"/>
        <v>0</v>
      </c>
      <c r="M103" s="76">
        <f t="shared" si="78"/>
        <v>0</v>
      </c>
      <c r="N103" s="76">
        <f t="shared" si="78"/>
        <v>0</v>
      </c>
      <c r="O103" s="76">
        <f t="shared" si="78"/>
        <v>0</v>
      </c>
      <c r="P103" s="76">
        <f t="shared" si="78"/>
        <v>0</v>
      </c>
      <c r="Q103" s="76">
        <f t="shared" si="78"/>
        <v>0</v>
      </c>
      <c r="R103" s="76">
        <f t="shared" si="78"/>
        <v>0</v>
      </c>
      <c r="S103" s="76">
        <f t="shared" si="78"/>
        <v>0</v>
      </c>
      <c r="T103" s="76">
        <f t="shared" si="78"/>
        <v>0</v>
      </c>
      <c r="U103" s="76">
        <f t="shared" si="78"/>
        <v>0</v>
      </c>
      <c r="V103" s="76">
        <f t="shared" si="78"/>
        <v>0</v>
      </c>
      <c r="W103" s="76">
        <f t="shared" si="78"/>
        <v>0</v>
      </c>
      <c r="X103" s="76">
        <f t="shared" si="78"/>
        <v>0</v>
      </c>
      <c r="Y103" s="76">
        <f t="shared" si="78"/>
        <v>0</v>
      </c>
      <c r="Z103" s="76">
        <f t="shared" si="78"/>
        <v>0</v>
      </c>
      <c r="AA103" s="76">
        <f t="shared" si="78"/>
        <v>0</v>
      </c>
      <c r="AB103" s="76">
        <f t="shared" ref="AB103:AC103" si="79">IF(AB85&lt;0,AB85*-1,0)</f>
        <v>0</v>
      </c>
      <c r="AC103" s="76">
        <f t="shared" si="79"/>
        <v>0</v>
      </c>
      <c r="AD103" s="76">
        <f t="shared" ref="AD103:AE103" si="80">IF(AD85&lt;0,AD85*-1,0)</f>
        <v>0</v>
      </c>
      <c r="AE103" s="76">
        <f t="shared" si="80"/>
        <v>0</v>
      </c>
      <c r="AF103" s="76">
        <f t="shared" ref="AF103" si="81">IF(AF85&lt;0,AF85*-1,0)</f>
        <v>0</v>
      </c>
      <c r="AG103" s="98"/>
      <c r="AH103" s="47">
        <f t="shared" si="51"/>
        <v>0</v>
      </c>
      <c r="AI103" s="48">
        <f t="shared" si="52"/>
        <v>0</v>
      </c>
      <c r="BF103" s="232"/>
      <c r="BG103" s="233">
        <v>64.599999999999994</v>
      </c>
      <c r="BH103" s="233">
        <v>0</v>
      </c>
      <c r="BI103" s="233">
        <v>139.80000000000001</v>
      </c>
      <c r="BJ103" s="233">
        <v>22.7</v>
      </c>
      <c r="BK103" s="233">
        <v>96.8</v>
      </c>
      <c r="BL103" s="233">
        <v>74.900000000000006</v>
      </c>
    </row>
    <row r="104" spans="1:64" x14ac:dyDescent="0.25">
      <c r="A104" s="84" t="s">
        <v>104</v>
      </c>
      <c r="B104" s="76">
        <f t="shared" ref="B104:AA104" si="82">IF(B83&lt;0,B83*-1,0)</f>
        <v>0</v>
      </c>
      <c r="C104" s="76">
        <f t="shared" si="82"/>
        <v>0</v>
      </c>
      <c r="D104" s="76">
        <f t="shared" si="82"/>
        <v>0</v>
      </c>
      <c r="E104" s="76">
        <f t="shared" si="82"/>
        <v>0</v>
      </c>
      <c r="F104" s="76">
        <f t="shared" si="82"/>
        <v>0</v>
      </c>
      <c r="G104" s="76">
        <f t="shared" si="82"/>
        <v>0</v>
      </c>
      <c r="H104" s="76">
        <f t="shared" si="82"/>
        <v>0</v>
      </c>
      <c r="I104" s="76">
        <f t="shared" si="82"/>
        <v>0</v>
      </c>
      <c r="J104" s="76">
        <f t="shared" si="82"/>
        <v>0</v>
      </c>
      <c r="K104" s="76">
        <f t="shared" si="82"/>
        <v>0</v>
      </c>
      <c r="L104" s="76">
        <f t="shared" si="82"/>
        <v>0</v>
      </c>
      <c r="M104" s="76">
        <f t="shared" si="82"/>
        <v>0</v>
      </c>
      <c r="N104" s="76">
        <f t="shared" si="82"/>
        <v>0</v>
      </c>
      <c r="O104" s="76">
        <f t="shared" si="82"/>
        <v>0</v>
      </c>
      <c r="P104" s="76">
        <f t="shared" si="82"/>
        <v>0</v>
      </c>
      <c r="Q104" s="76">
        <f t="shared" si="82"/>
        <v>0</v>
      </c>
      <c r="R104" s="76">
        <f t="shared" si="82"/>
        <v>0</v>
      </c>
      <c r="S104" s="76">
        <f t="shared" si="82"/>
        <v>0</v>
      </c>
      <c r="T104" s="76">
        <f t="shared" si="82"/>
        <v>0</v>
      </c>
      <c r="U104" s="76">
        <f t="shared" si="82"/>
        <v>0</v>
      </c>
      <c r="V104" s="76">
        <f t="shared" si="82"/>
        <v>0</v>
      </c>
      <c r="W104" s="76">
        <f t="shared" si="82"/>
        <v>0</v>
      </c>
      <c r="X104" s="76">
        <f t="shared" si="82"/>
        <v>0</v>
      </c>
      <c r="Y104" s="76">
        <f t="shared" si="82"/>
        <v>0</v>
      </c>
      <c r="Z104" s="76">
        <f t="shared" si="82"/>
        <v>0</v>
      </c>
      <c r="AA104" s="76">
        <f t="shared" si="82"/>
        <v>0</v>
      </c>
      <c r="AB104" s="76">
        <f t="shared" ref="AB104:AC104" si="83">IF(AB83&lt;0,AB83*-1,0)</f>
        <v>0</v>
      </c>
      <c r="AC104" s="76">
        <f t="shared" si="83"/>
        <v>0</v>
      </c>
      <c r="AD104" s="76">
        <f t="shared" ref="AD104:AE104" si="84">IF(AD83&lt;0,AD83*-1,0)</f>
        <v>0</v>
      </c>
      <c r="AE104" s="76">
        <f t="shared" si="84"/>
        <v>0</v>
      </c>
      <c r="AF104" s="76">
        <f t="shared" ref="AF104" si="85">IF(AF83&lt;0,AF83*-1,0)</f>
        <v>0</v>
      </c>
      <c r="AG104" s="98"/>
      <c r="AH104" s="47">
        <f t="shared" si="51"/>
        <v>0</v>
      </c>
      <c r="AI104" s="48">
        <f t="shared" si="52"/>
        <v>0</v>
      </c>
      <c r="BF104" s="232"/>
      <c r="BG104" s="233">
        <v>59.7</v>
      </c>
      <c r="BH104" s="233">
        <v>0</v>
      </c>
      <c r="BI104" s="233">
        <v>294.5</v>
      </c>
      <c r="BJ104" s="233">
        <v>22.1</v>
      </c>
      <c r="BK104" s="233">
        <v>105.6</v>
      </c>
      <c r="BL104" s="233">
        <v>67</v>
      </c>
    </row>
    <row r="105" spans="1:64" x14ac:dyDescent="0.25">
      <c r="A105" s="84" t="s">
        <v>81</v>
      </c>
      <c r="B105" s="76">
        <f t="shared" ref="B105:AA105" si="86">IF(B81&lt;0,B81*-1,0)</f>
        <v>0</v>
      </c>
      <c r="C105" s="76">
        <f t="shared" si="86"/>
        <v>0</v>
      </c>
      <c r="D105" s="76">
        <f t="shared" si="86"/>
        <v>0</v>
      </c>
      <c r="E105" s="76">
        <f t="shared" si="86"/>
        <v>0</v>
      </c>
      <c r="F105" s="76">
        <f t="shared" si="86"/>
        <v>0</v>
      </c>
      <c r="G105" s="76">
        <f t="shared" si="86"/>
        <v>0</v>
      </c>
      <c r="H105" s="76">
        <f t="shared" si="86"/>
        <v>0</v>
      </c>
      <c r="I105" s="76">
        <f t="shared" si="86"/>
        <v>0</v>
      </c>
      <c r="J105" s="76">
        <f t="shared" si="86"/>
        <v>0</v>
      </c>
      <c r="K105" s="76">
        <f t="shared" si="86"/>
        <v>0</v>
      </c>
      <c r="L105" s="76">
        <f t="shared" si="86"/>
        <v>0</v>
      </c>
      <c r="M105" s="76">
        <f t="shared" si="86"/>
        <v>0</v>
      </c>
      <c r="N105" s="76">
        <f t="shared" si="86"/>
        <v>0</v>
      </c>
      <c r="O105" s="76">
        <f t="shared" si="86"/>
        <v>0</v>
      </c>
      <c r="P105" s="76">
        <f t="shared" si="86"/>
        <v>0</v>
      </c>
      <c r="Q105" s="76">
        <f t="shared" si="86"/>
        <v>0</v>
      </c>
      <c r="R105" s="76">
        <f t="shared" si="86"/>
        <v>0</v>
      </c>
      <c r="S105" s="76">
        <f t="shared" si="86"/>
        <v>0</v>
      </c>
      <c r="T105" s="76">
        <f t="shared" si="86"/>
        <v>0</v>
      </c>
      <c r="U105" s="76">
        <f t="shared" si="86"/>
        <v>0</v>
      </c>
      <c r="V105" s="76">
        <f t="shared" si="86"/>
        <v>0</v>
      </c>
      <c r="W105" s="76">
        <f t="shared" si="86"/>
        <v>0</v>
      </c>
      <c r="X105" s="76">
        <f t="shared" si="86"/>
        <v>0</v>
      </c>
      <c r="Y105" s="76">
        <f t="shared" si="86"/>
        <v>0</v>
      </c>
      <c r="Z105" s="76">
        <f t="shared" si="86"/>
        <v>0</v>
      </c>
      <c r="AA105" s="76">
        <f t="shared" si="86"/>
        <v>0</v>
      </c>
      <c r="AB105" s="76">
        <f t="shared" ref="AB105:AC105" si="87">IF(AB81&lt;0,AB81*-1,0)</f>
        <v>0</v>
      </c>
      <c r="AC105" s="76">
        <f t="shared" si="87"/>
        <v>0</v>
      </c>
      <c r="AD105" s="76">
        <f t="shared" ref="AD105:AE105" si="88">IF(AD81&lt;0,AD81*-1,0)</f>
        <v>0</v>
      </c>
      <c r="AE105" s="76">
        <f t="shared" si="88"/>
        <v>0</v>
      </c>
      <c r="AF105" s="76">
        <f t="shared" ref="AF105" si="89">IF(AF81&lt;0,AF81*-1,0)</f>
        <v>0</v>
      </c>
      <c r="AG105" s="98"/>
      <c r="AH105" s="47">
        <f t="shared" si="51"/>
        <v>0</v>
      </c>
      <c r="AI105" s="48">
        <f t="shared" si="52"/>
        <v>0</v>
      </c>
      <c r="BF105" s="232"/>
      <c r="BG105" s="233">
        <v>61.7</v>
      </c>
      <c r="BH105" s="233">
        <v>0</v>
      </c>
      <c r="BI105" s="233">
        <v>372.9</v>
      </c>
      <c r="BJ105" s="233">
        <v>20.8</v>
      </c>
      <c r="BK105" s="233">
        <v>121.6</v>
      </c>
      <c r="BL105" s="233">
        <v>72.7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1"/>
        <v>0</v>
      </c>
      <c r="AI106" s="48">
        <f t="shared" si="52"/>
        <v>0</v>
      </c>
      <c r="BG106" s="233">
        <v>61.4</v>
      </c>
      <c r="BH106" s="233">
        <v>0</v>
      </c>
      <c r="BI106" s="233">
        <v>404.6</v>
      </c>
      <c r="BJ106" s="233">
        <v>23.7</v>
      </c>
      <c r="BK106" s="233">
        <v>118.8</v>
      </c>
      <c r="BL106" s="233">
        <v>52.6</v>
      </c>
    </row>
    <row r="107" spans="1:64" ht="15.75" thickBot="1" x14ac:dyDescent="0.3">
      <c r="A107" s="99" t="s">
        <v>106</v>
      </c>
      <c r="B107" s="60">
        <f t="shared" ref="B107:C107" si="90">SUM(B101:B106)</f>
        <v>0</v>
      </c>
      <c r="C107" s="60">
        <f t="shared" si="90"/>
        <v>0</v>
      </c>
      <c r="D107" s="60">
        <f t="shared" ref="D107:AA107" si="91">SUM(D101:D106)</f>
        <v>0</v>
      </c>
      <c r="E107" s="60">
        <f t="shared" si="91"/>
        <v>0</v>
      </c>
      <c r="F107" s="60">
        <f t="shared" si="91"/>
        <v>0</v>
      </c>
      <c r="G107" s="60">
        <f t="shared" si="91"/>
        <v>0</v>
      </c>
      <c r="H107" s="60">
        <f t="shared" si="91"/>
        <v>0</v>
      </c>
      <c r="I107" s="60">
        <f t="shared" si="91"/>
        <v>0</v>
      </c>
      <c r="J107" s="60">
        <f t="shared" si="91"/>
        <v>0</v>
      </c>
      <c r="K107" s="60">
        <f t="shared" si="91"/>
        <v>0</v>
      </c>
      <c r="L107" s="60">
        <f t="shared" si="91"/>
        <v>0</v>
      </c>
      <c r="M107" s="60">
        <f t="shared" si="91"/>
        <v>0</v>
      </c>
      <c r="N107" s="60">
        <f t="shared" si="91"/>
        <v>0</v>
      </c>
      <c r="O107" s="60">
        <f t="shared" si="91"/>
        <v>0</v>
      </c>
      <c r="P107" s="60">
        <f t="shared" si="91"/>
        <v>0</v>
      </c>
      <c r="Q107" s="60">
        <f t="shared" si="91"/>
        <v>0</v>
      </c>
      <c r="R107" s="60">
        <f t="shared" si="91"/>
        <v>0</v>
      </c>
      <c r="S107" s="60">
        <f t="shared" si="91"/>
        <v>0</v>
      </c>
      <c r="T107" s="60">
        <f t="shared" si="91"/>
        <v>0</v>
      </c>
      <c r="U107" s="60">
        <f t="shared" si="91"/>
        <v>0</v>
      </c>
      <c r="V107" s="60">
        <f t="shared" si="91"/>
        <v>0</v>
      </c>
      <c r="W107" s="60">
        <f t="shared" si="91"/>
        <v>0</v>
      </c>
      <c r="X107" s="60">
        <f t="shared" si="91"/>
        <v>0</v>
      </c>
      <c r="Y107" s="60">
        <f t="shared" si="91"/>
        <v>0</v>
      </c>
      <c r="Z107" s="60">
        <f t="shared" si="91"/>
        <v>0</v>
      </c>
      <c r="AA107" s="60">
        <f t="shared" si="91"/>
        <v>0</v>
      </c>
      <c r="AB107" s="60">
        <f t="shared" ref="AB107:AC107" si="92">SUM(AB101:AB106)</f>
        <v>0</v>
      </c>
      <c r="AC107" s="60">
        <f t="shared" si="92"/>
        <v>0</v>
      </c>
      <c r="AD107" s="60">
        <f t="shared" ref="AD107:AE107" si="93">SUM(AD101:AD106)</f>
        <v>0</v>
      </c>
      <c r="AE107" s="60">
        <f t="shared" si="93"/>
        <v>0</v>
      </c>
      <c r="AF107" s="60">
        <f t="shared" ref="AF107" si="94">SUM(AF101:AF106)</f>
        <v>0</v>
      </c>
      <c r="AG107" s="88"/>
      <c r="AH107" s="47">
        <f t="shared" si="51"/>
        <v>0</v>
      </c>
      <c r="AI107" s="48">
        <f t="shared" si="52"/>
        <v>0</v>
      </c>
      <c r="AK107" s="50"/>
      <c r="BG107" s="233">
        <v>0</v>
      </c>
      <c r="BH107" s="233">
        <v>0</v>
      </c>
      <c r="BI107" s="233">
        <v>412</v>
      </c>
      <c r="BJ107" s="233">
        <v>20</v>
      </c>
      <c r="BK107" s="233">
        <v>0</v>
      </c>
      <c r="BL107" s="233">
        <v>55</v>
      </c>
    </row>
    <row r="108" spans="1:64" ht="15.75" thickBot="1" x14ac:dyDescent="0.3">
      <c r="A108" s="74" t="s">
        <v>107</v>
      </c>
      <c r="B108" s="60">
        <f t="shared" ref="B108:AA108" si="95">B92-B107</f>
        <v>487</v>
      </c>
      <c r="C108" s="60">
        <f t="shared" si="95"/>
        <v>522.90000000000009</v>
      </c>
      <c r="D108" s="60">
        <f t="shared" si="95"/>
        <v>504.70000000000005</v>
      </c>
      <c r="E108" s="60">
        <f t="shared" si="95"/>
        <v>513.70000000000005</v>
      </c>
      <c r="F108" s="60">
        <f t="shared" si="95"/>
        <v>528</v>
      </c>
      <c r="G108" s="60">
        <f t="shared" si="95"/>
        <v>549.29999999999995</v>
      </c>
      <c r="H108" s="60">
        <f t="shared" si="95"/>
        <v>535.79999999999995</v>
      </c>
      <c r="I108" s="60">
        <f t="shared" si="95"/>
        <v>561.6</v>
      </c>
      <c r="J108" s="60">
        <f t="shared" si="95"/>
        <v>546.20000000000005</v>
      </c>
      <c r="K108" s="60">
        <f t="shared" si="95"/>
        <v>280.60000000000002</v>
      </c>
      <c r="L108" s="60">
        <f t="shared" si="95"/>
        <v>184.2</v>
      </c>
      <c r="M108" s="60">
        <f t="shared" si="95"/>
        <v>140.6</v>
      </c>
      <c r="N108" s="60">
        <f t="shared" si="95"/>
        <v>286.20000000000005</v>
      </c>
      <c r="O108" s="60">
        <f t="shared" si="95"/>
        <v>520.20000000000005</v>
      </c>
      <c r="P108" s="60">
        <f t="shared" si="95"/>
        <v>516.29999999999995</v>
      </c>
      <c r="Q108" s="60">
        <f t="shared" si="95"/>
        <v>624.6</v>
      </c>
      <c r="R108" s="60">
        <f t="shared" si="95"/>
        <v>695.2</v>
      </c>
      <c r="S108" s="60">
        <f t="shared" si="95"/>
        <v>719</v>
      </c>
      <c r="T108" s="60">
        <f t="shared" si="95"/>
        <v>731.00000000000011</v>
      </c>
      <c r="U108" s="60">
        <f t="shared" si="95"/>
        <v>733.49999999999989</v>
      </c>
      <c r="V108" s="60">
        <f t="shared" si="95"/>
        <v>748.9</v>
      </c>
      <c r="W108" s="60">
        <f t="shared" si="95"/>
        <v>710.09999999999991</v>
      </c>
      <c r="X108" s="60">
        <f t="shared" si="95"/>
        <v>750</v>
      </c>
      <c r="Y108" s="60">
        <f>Y92-Y107</f>
        <v>725.4</v>
      </c>
      <c r="Z108" s="60">
        <f>Z92-Z107</f>
        <v>577.40000000000009</v>
      </c>
      <c r="AA108" s="60">
        <f t="shared" si="95"/>
        <v>421.4</v>
      </c>
      <c r="AB108" s="60">
        <f t="shared" ref="AB108:AC108" si="96">AB92-AB107</f>
        <v>398.79999999999995</v>
      </c>
      <c r="AC108" s="60">
        <f t="shared" si="96"/>
        <v>562.30000000000007</v>
      </c>
      <c r="AD108" s="60">
        <f t="shared" ref="AD108:AE108" si="97">AD92-AD107</f>
        <v>548.9</v>
      </c>
      <c r="AE108" s="60">
        <f t="shared" si="97"/>
        <v>649.70000000000005</v>
      </c>
      <c r="AF108" s="60">
        <f t="shared" ref="AF108" si="98">AF92-AF107</f>
        <v>661.1</v>
      </c>
      <c r="AG108" s="88"/>
      <c r="AH108" s="47">
        <f t="shared" si="51"/>
        <v>750</v>
      </c>
      <c r="AI108" s="48">
        <f t="shared" si="52"/>
        <v>140.6</v>
      </c>
    </row>
    <row r="109" spans="1:64" x14ac:dyDescent="0.25">
      <c r="A109" s="100" t="s">
        <v>108</v>
      </c>
      <c r="B109" s="101">
        <v>50.005000000000003</v>
      </c>
      <c r="C109" s="101">
        <v>50.024000000000001</v>
      </c>
      <c r="D109" s="101">
        <v>49.984999999999999</v>
      </c>
      <c r="E109" s="101">
        <v>49.96</v>
      </c>
      <c r="F109" s="101" t="s">
        <v>625</v>
      </c>
      <c r="G109" s="101">
        <v>50.04</v>
      </c>
      <c r="H109" s="101">
        <v>50.010599999999997</v>
      </c>
      <c r="I109" s="101">
        <v>50.061999999999998</v>
      </c>
      <c r="J109" s="101">
        <v>49.951999999999998</v>
      </c>
      <c r="K109" s="101">
        <v>49.963000000000001</v>
      </c>
      <c r="L109" s="101">
        <v>50</v>
      </c>
      <c r="M109" s="101">
        <v>50.054000000000002</v>
      </c>
      <c r="N109" s="101">
        <v>50.064</v>
      </c>
      <c r="O109" s="101">
        <v>50.04</v>
      </c>
      <c r="P109" s="101">
        <v>50.015000000000001</v>
      </c>
      <c r="Q109" s="101">
        <v>50.023000000000003</v>
      </c>
      <c r="R109" s="101">
        <v>50.23</v>
      </c>
      <c r="S109" s="101">
        <v>49.991</v>
      </c>
      <c r="T109" s="101">
        <v>49.984999999999999</v>
      </c>
      <c r="U109" s="101">
        <v>49.945999999999998</v>
      </c>
      <c r="V109" s="101">
        <v>49.895000000000003</v>
      </c>
      <c r="W109" s="101">
        <v>50.033000000000001</v>
      </c>
      <c r="X109" s="101">
        <v>50.088999999999999</v>
      </c>
      <c r="Y109" s="101">
        <v>50.057000000000002</v>
      </c>
      <c r="Z109" s="101">
        <v>49.996000000000002</v>
      </c>
      <c r="AA109" s="101">
        <v>50.045999999999999</v>
      </c>
      <c r="AB109" s="101">
        <v>50.06</v>
      </c>
      <c r="AC109" s="101">
        <v>50.03</v>
      </c>
      <c r="AD109" s="101">
        <v>50.09</v>
      </c>
      <c r="AE109" s="101">
        <v>50</v>
      </c>
      <c r="AF109" s="101">
        <v>49.98</v>
      </c>
      <c r="AG109" s="102"/>
      <c r="AH109" s="47">
        <f t="shared" si="51"/>
        <v>50.23</v>
      </c>
      <c r="AI109" s="48">
        <f t="shared" si="52"/>
        <v>49.895000000000003</v>
      </c>
    </row>
    <row r="110" spans="1:64" x14ac:dyDescent="0.25">
      <c r="A110" s="103" t="s">
        <v>109</v>
      </c>
      <c r="B110" s="65">
        <v>128</v>
      </c>
      <c r="C110" s="65">
        <v>128</v>
      </c>
      <c r="D110" s="65">
        <v>126.3</v>
      </c>
      <c r="E110" s="65">
        <v>127.8</v>
      </c>
      <c r="F110" s="65">
        <v>127.8</v>
      </c>
      <c r="G110" s="65">
        <v>127.8</v>
      </c>
      <c r="H110" s="65">
        <v>126</v>
      </c>
      <c r="I110" s="65">
        <v>126</v>
      </c>
      <c r="J110" s="65">
        <v>125.9</v>
      </c>
      <c r="K110" s="65">
        <v>129.6</v>
      </c>
      <c r="L110" s="65">
        <v>127</v>
      </c>
      <c r="M110" s="65">
        <v>124.7</v>
      </c>
      <c r="N110" s="65">
        <v>127</v>
      </c>
      <c r="O110" s="65">
        <v>126.6</v>
      </c>
      <c r="P110" s="65">
        <v>126.1</v>
      </c>
      <c r="Q110" s="65">
        <v>124.9</v>
      </c>
      <c r="R110" s="65">
        <v>124.1</v>
      </c>
      <c r="S110" s="65">
        <v>124.6</v>
      </c>
      <c r="T110" s="65">
        <v>123.7</v>
      </c>
      <c r="U110" s="65">
        <v>124.5</v>
      </c>
      <c r="V110" s="65">
        <v>126.6</v>
      </c>
      <c r="W110" s="65">
        <v>126</v>
      </c>
      <c r="X110" s="65">
        <v>124.7</v>
      </c>
      <c r="Y110" s="65">
        <v>124.7</v>
      </c>
      <c r="Z110" s="65">
        <v>126.6</v>
      </c>
      <c r="AA110" s="65">
        <v>126.9</v>
      </c>
      <c r="AB110" s="65">
        <v>126.5</v>
      </c>
      <c r="AC110" s="65">
        <v>127.5</v>
      </c>
      <c r="AD110" s="65">
        <v>128.69999999999999</v>
      </c>
      <c r="AE110" s="65">
        <v>129.1</v>
      </c>
      <c r="AF110" s="65">
        <v>129</v>
      </c>
      <c r="AG110" s="104"/>
      <c r="AH110" s="47">
        <f t="shared" si="51"/>
        <v>129.6</v>
      </c>
      <c r="AI110" s="48">
        <f t="shared" si="52"/>
        <v>123.7</v>
      </c>
    </row>
    <row r="111" spans="1:64" x14ac:dyDescent="0.25">
      <c r="A111" s="103" t="s">
        <v>110</v>
      </c>
      <c r="B111" s="65">
        <v>132.19999999999999</v>
      </c>
      <c r="C111" s="65">
        <v>132.4</v>
      </c>
      <c r="D111" s="65">
        <v>130.4</v>
      </c>
      <c r="E111" s="65">
        <v>132</v>
      </c>
      <c r="F111" s="65">
        <v>132</v>
      </c>
      <c r="G111" s="65">
        <v>132</v>
      </c>
      <c r="H111" s="65">
        <v>130.9</v>
      </c>
      <c r="I111" s="65">
        <v>130.9</v>
      </c>
      <c r="J111" s="65">
        <v>129</v>
      </c>
      <c r="K111" s="65">
        <v>130.69999999999999</v>
      </c>
      <c r="L111" s="65">
        <v>127.8</v>
      </c>
      <c r="M111" s="65">
        <v>126.3</v>
      </c>
      <c r="N111" s="65">
        <v>128.69999999999999</v>
      </c>
      <c r="O111" s="65">
        <v>128.19999999999999</v>
      </c>
      <c r="P111" s="65">
        <v>128</v>
      </c>
      <c r="Q111" s="65">
        <v>127</v>
      </c>
      <c r="R111" s="65">
        <v>127.1</v>
      </c>
      <c r="S111" s="65">
        <v>127.6</v>
      </c>
      <c r="T111" s="65">
        <v>126.6</v>
      </c>
      <c r="U111" s="65">
        <v>127.3</v>
      </c>
      <c r="V111" s="65">
        <v>128.69999999999999</v>
      </c>
      <c r="W111" s="65">
        <v>128.6</v>
      </c>
      <c r="X111" s="65">
        <v>127.4</v>
      </c>
      <c r="Y111" s="65">
        <v>126.8</v>
      </c>
      <c r="Z111" s="65">
        <v>128.4</v>
      </c>
      <c r="AA111" s="65">
        <v>128.4</v>
      </c>
      <c r="AB111" s="65">
        <v>128.9</v>
      </c>
      <c r="AC111" s="65">
        <v>130.1</v>
      </c>
      <c r="AD111" s="65">
        <v>131.4</v>
      </c>
      <c r="AE111" s="65">
        <v>131.9</v>
      </c>
      <c r="AF111" s="65">
        <v>132.19999999999999</v>
      </c>
      <c r="AG111" s="104"/>
      <c r="AH111" s="47">
        <f t="shared" si="51"/>
        <v>132.4</v>
      </c>
      <c r="AI111" s="48">
        <f t="shared" si="52"/>
        <v>126.3</v>
      </c>
    </row>
    <row r="112" spans="1:64" x14ac:dyDescent="0.25">
      <c r="A112" s="103" t="s">
        <v>111</v>
      </c>
      <c r="B112" s="65">
        <v>129</v>
      </c>
      <c r="C112" s="65">
        <v>129.30000000000001</v>
      </c>
      <c r="D112" s="65">
        <v>129.80000000000001</v>
      </c>
      <c r="E112" s="65">
        <v>128.6</v>
      </c>
      <c r="F112" s="65">
        <v>128.6</v>
      </c>
      <c r="G112" s="65">
        <v>128.6</v>
      </c>
      <c r="H112" s="65">
        <v>129</v>
      </c>
      <c r="I112" s="65">
        <v>129</v>
      </c>
      <c r="J112" s="65">
        <v>126</v>
      </c>
      <c r="K112" s="65">
        <v>128.9</v>
      </c>
      <c r="L112" s="65">
        <v>128.80000000000001</v>
      </c>
      <c r="M112" s="65">
        <v>125.7</v>
      </c>
      <c r="N112" s="65">
        <v>127.5</v>
      </c>
      <c r="O112" s="65">
        <v>127.8</v>
      </c>
      <c r="P112" s="65">
        <v>128.69999999999999</v>
      </c>
      <c r="Q112" s="65">
        <v>126.9</v>
      </c>
      <c r="R112" s="65">
        <v>123.4</v>
      </c>
      <c r="S112" s="65">
        <v>123.2</v>
      </c>
      <c r="T112" s="65">
        <v>129</v>
      </c>
      <c r="U112" s="65">
        <v>126.8</v>
      </c>
      <c r="V112" s="65">
        <v>127.2</v>
      </c>
      <c r="W112" s="65">
        <v>129.4</v>
      </c>
      <c r="X112" s="65">
        <v>126.8</v>
      </c>
      <c r="Y112" s="65">
        <v>123</v>
      </c>
      <c r="Z112" s="65">
        <v>129.5</v>
      </c>
      <c r="AA112" s="65">
        <v>128.4</v>
      </c>
      <c r="AB112" s="65">
        <v>131.19999999999999</v>
      </c>
      <c r="AC112" s="65">
        <v>128.4</v>
      </c>
      <c r="AD112" s="65">
        <v>127.3</v>
      </c>
      <c r="AE112" s="65">
        <v>128.5</v>
      </c>
      <c r="AF112" s="65">
        <v>129.5</v>
      </c>
      <c r="AG112" s="104"/>
      <c r="AH112" s="47">
        <f t="shared" si="51"/>
        <v>131.19999999999999</v>
      </c>
      <c r="AI112" s="48">
        <f t="shared" si="52"/>
        <v>123</v>
      </c>
    </row>
    <row r="113" spans="1:35" x14ac:dyDescent="0.25">
      <c r="A113" s="105" t="s">
        <v>112</v>
      </c>
      <c r="B113" s="65">
        <v>132.4</v>
      </c>
      <c r="C113" s="65">
        <v>132.80000000000001</v>
      </c>
      <c r="D113" s="65">
        <v>131.4</v>
      </c>
      <c r="E113" s="65">
        <v>129.6</v>
      </c>
      <c r="F113" s="65">
        <v>129.6</v>
      </c>
      <c r="G113" s="65">
        <v>129.6</v>
      </c>
      <c r="H113" s="65">
        <v>130.19999999999999</v>
      </c>
      <c r="I113" s="65">
        <v>130.19999999999999</v>
      </c>
      <c r="J113" s="65">
        <v>127</v>
      </c>
      <c r="K113" s="65">
        <v>128.5</v>
      </c>
      <c r="L113" s="65">
        <v>127.2</v>
      </c>
      <c r="M113" s="65">
        <v>124.6</v>
      </c>
      <c r="N113" s="65">
        <v>125.7</v>
      </c>
      <c r="O113" s="65">
        <v>126.9</v>
      </c>
      <c r="P113" s="65">
        <v>127.6</v>
      </c>
      <c r="Q113" s="65">
        <v>127.5</v>
      </c>
      <c r="R113" s="65">
        <v>125.3</v>
      </c>
      <c r="S113" s="65">
        <v>123.7</v>
      </c>
      <c r="T113" s="65">
        <v>128</v>
      </c>
      <c r="U113" s="65">
        <v>126.7</v>
      </c>
      <c r="V113" s="65">
        <v>125.8</v>
      </c>
      <c r="W113" s="65">
        <v>129</v>
      </c>
      <c r="X113" s="65">
        <v>126.1</v>
      </c>
      <c r="Y113" s="65">
        <v>121.1</v>
      </c>
      <c r="Z113" s="65">
        <v>127.9</v>
      </c>
      <c r="AA113" s="65">
        <v>128.30000000000001</v>
      </c>
      <c r="AB113" s="65">
        <v>131.80000000000001</v>
      </c>
      <c r="AC113" s="65">
        <v>129.80000000000001</v>
      </c>
      <c r="AD113" s="65">
        <v>129.4</v>
      </c>
      <c r="AE113" s="65">
        <v>130.69999999999999</v>
      </c>
      <c r="AF113" s="65">
        <v>132.30000000000001</v>
      </c>
      <c r="AG113" s="104"/>
      <c r="AH113" s="47">
        <f t="shared" si="51"/>
        <v>132.80000000000001</v>
      </c>
      <c r="AI113" s="48">
        <f t="shared" si="52"/>
        <v>121.1</v>
      </c>
    </row>
    <row r="114" spans="1:35" x14ac:dyDescent="0.25">
      <c r="A114" s="105" t="s">
        <v>113</v>
      </c>
      <c r="B114" s="106">
        <v>134.9</v>
      </c>
      <c r="C114" s="106">
        <v>132.4</v>
      </c>
      <c r="D114" s="106">
        <v>129.80000000000001</v>
      </c>
      <c r="E114" s="106">
        <v>134.80000000000001</v>
      </c>
      <c r="F114" s="106">
        <v>134.80000000000001</v>
      </c>
      <c r="G114" s="106">
        <v>134.80000000000001</v>
      </c>
      <c r="H114" s="106">
        <v>132.5</v>
      </c>
      <c r="I114" s="106">
        <v>132.5</v>
      </c>
      <c r="J114" s="106">
        <v>134</v>
      </c>
      <c r="K114" s="106">
        <v>134.9</v>
      </c>
      <c r="L114" s="106">
        <v>132.19999999999999</v>
      </c>
      <c r="M114" s="106">
        <v>131.4</v>
      </c>
      <c r="N114" s="106">
        <v>134.1</v>
      </c>
      <c r="O114" s="106">
        <v>133.69999999999999</v>
      </c>
      <c r="P114" s="106">
        <v>132.1</v>
      </c>
      <c r="Q114" s="106">
        <v>131.4</v>
      </c>
      <c r="R114" s="106">
        <v>132</v>
      </c>
      <c r="S114" s="106">
        <v>130.9</v>
      </c>
      <c r="T114" s="106">
        <v>134.6</v>
      </c>
      <c r="U114" s="106">
        <v>134.69999999999999</v>
      </c>
      <c r="V114" s="106">
        <v>134.9</v>
      </c>
      <c r="W114" s="106">
        <v>134.69999999999999</v>
      </c>
      <c r="X114" s="106">
        <v>131.69999999999999</v>
      </c>
      <c r="Y114" s="106">
        <v>130.19999999999999</v>
      </c>
      <c r="Z114" s="106">
        <v>136.80000000000001</v>
      </c>
      <c r="AA114" s="106">
        <v>136.9</v>
      </c>
      <c r="AB114" s="106">
        <v>135.30000000000001</v>
      </c>
      <c r="AC114" s="106">
        <v>136.30000000000001</v>
      </c>
      <c r="AD114" s="106">
        <v>135.88</v>
      </c>
      <c r="AE114" s="106">
        <v>132.6</v>
      </c>
      <c r="AF114" s="106">
        <v>130.69999999999999</v>
      </c>
      <c r="AG114" s="107"/>
      <c r="AH114" s="47">
        <f t="shared" si="51"/>
        <v>136.9</v>
      </c>
      <c r="AI114" s="48">
        <f t="shared" si="52"/>
        <v>129.80000000000001</v>
      </c>
    </row>
    <row r="115" spans="1:35" x14ac:dyDescent="0.25">
      <c r="A115" s="103" t="s">
        <v>114</v>
      </c>
      <c r="B115" s="65">
        <v>131.6</v>
      </c>
      <c r="C115" s="65">
        <v>136.69999999999999</v>
      </c>
      <c r="D115" s="65">
        <v>139</v>
      </c>
      <c r="E115" s="65">
        <v>134</v>
      </c>
      <c r="F115" s="65">
        <v>134</v>
      </c>
      <c r="G115" s="65">
        <v>134</v>
      </c>
      <c r="H115" s="65">
        <v>136</v>
      </c>
      <c r="I115" s="65">
        <v>136</v>
      </c>
      <c r="J115" s="65">
        <v>124.4</v>
      </c>
      <c r="K115" s="65">
        <v>132</v>
      </c>
      <c r="L115" s="65">
        <v>129.85</v>
      </c>
      <c r="M115" s="65">
        <v>127.1</v>
      </c>
      <c r="N115" s="65">
        <v>127.7</v>
      </c>
      <c r="O115" s="65">
        <v>131.19999999999999</v>
      </c>
      <c r="P115" s="65">
        <v>126.2</v>
      </c>
      <c r="Q115" s="65">
        <v>131.6</v>
      </c>
      <c r="R115" s="65">
        <v>129.9</v>
      </c>
      <c r="S115" s="65">
        <v>126.6</v>
      </c>
      <c r="T115" s="65">
        <v>126.7</v>
      </c>
      <c r="U115" s="65">
        <v>127.1</v>
      </c>
      <c r="V115" s="65">
        <v>126.8</v>
      </c>
      <c r="W115" s="65">
        <v>129.69999999999999</v>
      </c>
      <c r="X115" s="65">
        <v>131.9</v>
      </c>
      <c r="Y115" s="65">
        <v>133.1</v>
      </c>
      <c r="Z115" s="65">
        <v>131.19999999999999</v>
      </c>
      <c r="AA115" s="65">
        <v>132.69999999999999</v>
      </c>
      <c r="AB115" s="65">
        <v>132.69999999999999</v>
      </c>
      <c r="AC115" s="65">
        <v>133.80000000000001</v>
      </c>
      <c r="AD115" s="65">
        <v>133.9</v>
      </c>
      <c r="AE115" s="65">
        <v>134.4</v>
      </c>
      <c r="AF115" s="65">
        <v>133.69999999999999</v>
      </c>
      <c r="AG115" s="104"/>
      <c r="AH115" s="47">
        <f t="shared" si="51"/>
        <v>139</v>
      </c>
      <c r="AI115" s="48">
        <f t="shared" si="52"/>
        <v>124.4</v>
      </c>
    </row>
    <row r="116" spans="1:35" ht="15.75" thickBot="1" x14ac:dyDescent="0.3">
      <c r="A116" s="103" t="s">
        <v>115</v>
      </c>
      <c r="B116" s="92">
        <v>66.7</v>
      </c>
      <c r="C116" s="92">
        <v>66.599999999999994</v>
      </c>
      <c r="D116" s="92">
        <v>65.900000000000006</v>
      </c>
      <c r="E116" s="92">
        <v>66.7</v>
      </c>
      <c r="F116" s="92">
        <v>66.7</v>
      </c>
      <c r="G116" s="92">
        <v>66.7</v>
      </c>
      <c r="H116" s="92">
        <v>66</v>
      </c>
      <c r="I116" s="92">
        <v>66</v>
      </c>
      <c r="J116" s="92">
        <v>64.8</v>
      </c>
      <c r="K116" s="92">
        <v>65.5</v>
      </c>
      <c r="L116" s="92">
        <v>63.9</v>
      </c>
      <c r="M116" s="92">
        <v>63.2</v>
      </c>
      <c r="N116" s="92">
        <v>64.400000000000006</v>
      </c>
      <c r="O116" s="92">
        <v>64</v>
      </c>
      <c r="P116" s="92">
        <v>64</v>
      </c>
      <c r="Q116" s="92">
        <v>63.3</v>
      </c>
      <c r="R116" s="92">
        <v>63.7</v>
      </c>
      <c r="S116" s="92">
        <v>63.8</v>
      </c>
      <c r="T116" s="92">
        <v>63.4</v>
      </c>
      <c r="U116" s="92">
        <v>63.8</v>
      </c>
      <c r="V116" s="92">
        <v>64.400000000000006</v>
      </c>
      <c r="W116" s="92">
        <v>64.5</v>
      </c>
      <c r="X116" s="92">
        <v>64</v>
      </c>
      <c r="Y116" s="92">
        <v>63.7</v>
      </c>
      <c r="Z116" s="92">
        <v>64.599999999999994</v>
      </c>
      <c r="AA116" s="92">
        <v>64.400000000000006</v>
      </c>
      <c r="AB116" s="92">
        <v>64.599999999999994</v>
      </c>
      <c r="AC116" s="92">
        <v>65.099999999999994</v>
      </c>
      <c r="AD116" s="92">
        <v>66</v>
      </c>
      <c r="AE116" s="92">
        <v>66.2</v>
      </c>
      <c r="AF116" s="92">
        <v>66.5</v>
      </c>
      <c r="AG116" s="108"/>
      <c r="AH116" s="47">
        <f t="shared" si="51"/>
        <v>66.7</v>
      </c>
      <c r="AI116" s="48">
        <f t="shared" si="52"/>
        <v>63.2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1"/>
        <v>0</v>
      </c>
      <c r="AI117" s="48">
        <f t="shared" si="52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142.90499999999997</v>
      </c>
      <c r="C118" s="111">
        <f>SUM(C22,C28,C31:C32,C66,C68:C69,C71,C73,C119:C123,C155,C161,C167,C176,C178,C190,C197,C200:C201,C208,C210,C212,C216:C218,C220:C222,C227,C233:C234,C236:C238,C246,C251)</f>
        <v>139.20400000000001</v>
      </c>
      <c r="D118" s="111">
        <f t="shared" ref="D118:O118" si="99">SUM(D22,D28,D31:D32,D66,D68:D69,D71,D73,D119:D123,D155,D161,D167,D176,D178,D190,D197,D200:D201,D208,D210,D212,D216:D218,D220:D222,D227,D233:D234,D236:D238,D246,D251)</f>
        <v>130.99900000000002</v>
      </c>
      <c r="E118" s="111">
        <f t="shared" si="99"/>
        <v>134.84</v>
      </c>
      <c r="F118" s="111">
        <f t="shared" si="99"/>
        <v>132.84</v>
      </c>
      <c r="G118" s="111">
        <f t="shared" si="99"/>
        <v>158.44</v>
      </c>
      <c r="H118" s="111">
        <f t="shared" si="99"/>
        <v>199.14</v>
      </c>
      <c r="I118" s="111">
        <f t="shared" si="99"/>
        <v>269.64</v>
      </c>
      <c r="J118" s="111">
        <f t="shared" si="99"/>
        <v>298.74</v>
      </c>
      <c r="K118" s="111">
        <f t="shared" si="99"/>
        <v>342.44</v>
      </c>
      <c r="L118" s="111">
        <f t="shared" si="99"/>
        <v>365.48</v>
      </c>
      <c r="M118" s="111">
        <f t="shared" si="99"/>
        <v>371.03999999999996</v>
      </c>
      <c r="N118" s="111">
        <f t="shared" si="99"/>
        <v>346.32800000000003</v>
      </c>
      <c r="O118" s="111">
        <f t="shared" si="99"/>
        <v>335.26000000000005</v>
      </c>
      <c r="P118" s="111">
        <v>42</v>
      </c>
      <c r="Q118" s="111">
        <f t="shared" ref="Q118:AA118" si="100">SUM(Q22,Q28,Q31:Q32,Q66,Q68:Q69,Q71,Q73,Q119:Q123,Q155,Q161,Q167,Q176,Q178,Q190,Q197,Q200:Q201,Q208,Q210,Q212,Q216:Q218,Q220:Q222,Q227,Q233:Q234,Q236:Q238,Q246,Q251)</f>
        <v>315.48</v>
      </c>
      <c r="R118" s="111">
        <f t="shared" si="100"/>
        <v>301.416</v>
      </c>
      <c r="S118" s="111">
        <f t="shared" si="100"/>
        <v>296.64</v>
      </c>
      <c r="T118" s="111">
        <f t="shared" si="100"/>
        <v>288.83999999999997</v>
      </c>
      <c r="U118" s="111">
        <f t="shared" si="100"/>
        <v>288.44</v>
      </c>
      <c r="V118" s="111">
        <f t="shared" si="100"/>
        <v>283.44</v>
      </c>
      <c r="W118" s="111">
        <f t="shared" si="100"/>
        <v>291.06</v>
      </c>
      <c r="X118" s="111">
        <f t="shared" si="100"/>
        <v>305.24</v>
      </c>
      <c r="Y118" s="111">
        <f t="shared" ref="Y118:Z118" si="101">SUM(Y20,Y26,Y37:Y38,Y66,Y68:Y69,Y71,Y73,Y119:Y123,Y148,Y154,Y160,Y169,Y171,Y183,Y190,Y193:Y194,Y201,Y203,Y205,Y209:Y211,Y213:Y215,Y220,Y226:Y227,Y229:Y231,Y239,Y244)</f>
        <v>376</v>
      </c>
      <c r="Z118" s="111">
        <f t="shared" si="101"/>
        <v>393.8</v>
      </c>
      <c r="AA118" s="111">
        <f t="shared" si="100"/>
        <v>371.14000000000004</v>
      </c>
      <c r="AB118" s="111">
        <f t="shared" ref="AB118:AC118" si="102">SUM(AB22,AB28,AB31:AB32,AB66,AB68:AB69,AB71,AB73,AB119:AB123,AB155,AB161,AB167,AB176,AB178,AB190,AB197,AB200:AB201,AB208,AB210,AB212,AB216:AB218,AB220:AB222,AB227,AB233:AB234,AB236:AB238,AB246,AB251)</f>
        <v>334.12</v>
      </c>
      <c r="AC118" s="111">
        <f t="shared" si="102"/>
        <v>302.48</v>
      </c>
      <c r="AD118" s="111">
        <f t="shared" ref="AD118:AE118" si="103">SUM(AD22,AD28,AD31:AD32,AD66,AD68:AD69,AD71,AD73,AD119:AD123,AD155,AD161,AD167,AD176,AD178,AD190,AD197,AD200:AD201,AD208,AD210,AD212,AD216:AD218,AD220:AD222,AD227,AD233:AD234,AD236:AD238,AD246,AD251)</f>
        <v>280.77999999999997</v>
      </c>
      <c r="AE118" s="111">
        <f t="shared" si="103"/>
        <v>223.22</v>
      </c>
      <c r="AF118" s="111">
        <f t="shared" ref="AF118" si="104">SUM(AF22,AF28,AF31:AF32,AF66,AF68:AF69,AF71,AF73,AF119:AF123,AF155,AF161,AF167,AF176,AF178,AF190,AF197,AF200:AF201,AF208,AF210,AF212,AF216:AF218,AF220:AF222,AF227,AF233:AF234,AF236:AF238,AF246,AF251)</f>
        <v>166.26</v>
      </c>
      <c r="AG118" s="112"/>
      <c r="AH118" s="47">
        <f t="shared" si="51"/>
        <v>393.8</v>
      </c>
      <c r="AI118" s="48">
        <f t="shared" si="52"/>
        <v>42</v>
      </c>
    </row>
    <row r="119" spans="1:35" x14ac:dyDescent="0.25">
      <c r="A119" s="172" t="s">
        <v>118</v>
      </c>
      <c r="B119" s="113">
        <v>6.1</v>
      </c>
      <c r="C119" s="113">
        <v>4.4000000000000004</v>
      </c>
      <c r="D119" s="113">
        <v>-1.1000000000000001</v>
      </c>
      <c r="E119" s="113">
        <v>-1.5</v>
      </c>
      <c r="F119" s="113">
        <v>-2.6</v>
      </c>
      <c r="G119" s="113">
        <v>5</v>
      </c>
      <c r="H119" s="113">
        <v>13</v>
      </c>
      <c r="I119" s="113">
        <v>18.5</v>
      </c>
      <c r="J119" s="113">
        <v>40.1</v>
      </c>
      <c r="K119" s="113">
        <v>36</v>
      </c>
      <c r="L119" s="113">
        <v>44.2</v>
      </c>
      <c r="M119" s="113">
        <v>34.799999999999997</v>
      </c>
      <c r="N119" s="113">
        <v>38.799999999999997</v>
      </c>
      <c r="O119" s="113">
        <v>33</v>
      </c>
      <c r="P119" s="113">
        <v>28.7</v>
      </c>
      <c r="Q119" s="113">
        <v>28.3</v>
      </c>
      <c r="R119" s="113">
        <v>17.5</v>
      </c>
      <c r="S119" s="113">
        <v>15.6</v>
      </c>
      <c r="T119" s="113">
        <v>19</v>
      </c>
      <c r="U119" s="113">
        <v>17.3</v>
      </c>
      <c r="V119" s="113">
        <v>15</v>
      </c>
      <c r="W119" s="113">
        <v>11.7</v>
      </c>
      <c r="X119" s="113">
        <v>18.899999999999999</v>
      </c>
      <c r="Y119" s="113">
        <v>36</v>
      </c>
      <c r="Z119" s="113">
        <v>37.1</v>
      </c>
      <c r="AA119" s="113">
        <v>35.200000000000003</v>
      </c>
      <c r="AB119" s="113">
        <v>30.6</v>
      </c>
      <c r="AC119" s="113">
        <v>31.6</v>
      </c>
      <c r="AD119" s="113">
        <v>34.4</v>
      </c>
      <c r="AE119" s="113">
        <v>24.8</v>
      </c>
      <c r="AF119" s="113">
        <v>-2.4</v>
      </c>
      <c r="AG119" s="114">
        <v>75</v>
      </c>
      <c r="AH119" s="47">
        <f t="shared" si="51"/>
        <v>44.2</v>
      </c>
      <c r="AI119" s="48">
        <f t="shared" si="52"/>
        <v>-2.6</v>
      </c>
    </row>
    <row r="120" spans="1:35" x14ac:dyDescent="0.25">
      <c r="A120" s="173" t="s">
        <v>119</v>
      </c>
      <c r="B120" s="115">
        <v>7.2</v>
      </c>
      <c r="C120" s="115">
        <v>4.5999999999999996</v>
      </c>
      <c r="D120" s="115">
        <v>-2.6</v>
      </c>
      <c r="E120" s="115">
        <v>-2.7</v>
      </c>
      <c r="F120" s="115">
        <v>-4.4000000000000004</v>
      </c>
      <c r="G120" s="115">
        <v>4.5</v>
      </c>
      <c r="H120" s="115">
        <v>15.5</v>
      </c>
      <c r="I120" s="115">
        <v>20.9</v>
      </c>
      <c r="J120" s="115">
        <v>48.5</v>
      </c>
      <c r="K120" s="115">
        <v>49.5</v>
      </c>
      <c r="L120" s="115">
        <v>60.4</v>
      </c>
      <c r="M120" s="115">
        <v>47.9</v>
      </c>
      <c r="N120" s="115">
        <v>52.2</v>
      </c>
      <c r="O120" s="115">
        <v>44.9</v>
      </c>
      <c r="P120" s="115">
        <v>39.700000000000003</v>
      </c>
      <c r="Q120" s="115">
        <v>33.799999999999997</v>
      </c>
      <c r="R120" s="115">
        <v>19.399999999999999</v>
      </c>
      <c r="S120" s="115">
        <v>16.899999999999999</v>
      </c>
      <c r="T120" s="115">
        <v>23</v>
      </c>
      <c r="U120" s="115">
        <v>21.4</v>
      </c>
      <c r="V120" s="115">
        <v>23.4</v>
      </c>
      <c r="W120" s="115">
        <v>19</v>
      </c>
      <c r="X120" s="115">
        <v>31.3</v>
      </c>
      <c r="Y120" s="115">
        <v>49</v>
      </c>
      <c r="Z120" s="115">
        <v>49.3</v>
      </c>
      <c r="AA120" s="115">
        <v>46.7</v>
      </c>
      <c r="AB120" s="115">
        <v>41.1</v>
      </c>
      <c r="AC120" s="115">
        <v>42.5</v>
      </c>
      <c r="AD120" s="115">
        <v>44.5</v>
      </c>
      <c r="AE120" s="115">
        <v>28.8</v>
      </c>
      <c r="AF120" s="115">
        <v>-5.5</v>
      </c>
      <c r="AG120" s="114">
        <v>240</v>
      </c>
      <c r="AH120" s="47">
        <f t="shared" si="51"/>
        <v>60.4</v>
      </c>
      <c r="AI120" s="48">
        <f t="shared" si="52"/>
        <v>-5.5</v>
      </c>
    </row>
    <row r="121" spans="1:35" x14ac:dyDescent="0.25">
      <c r="A121" s="173" t="s">
        <v>120</v>
      </c>
      <c r="B121" s="115">
        <v>-43</v>
      </c>
      <c r="C121" s="115">
        <v>-45.5</v>
      </c>
      <c r="D121" s="115">
        <v>-45.5</v>
      </c>
      <c r="E121" s="115">
        <v>-42.1</v>
      </c>
      <c r="F121" s="115">
        <v>-46</v>
      </c>
      <c r="G121" s="115">
        <v>-44</v>
      </c>
      <c r="H121" s="115">
        <v>-34.5</v>
      </c>
      <c r="I121" s="115">
        <v>19</v>
      </c>
      <c r="J121" s="115">
        <v>-11</v>
      </c>
      <c r="K121" s="115">
        <v>10.1</v>
      </c>
      <c r="L121" s="115">
        <v>16</v>
      </c>
      <c r="M121" s="115">
        <f>12.6+13.7</f>
        <v>26.299999999999997</v>
      </c>
      <c r="N121" s="115">
        <f>8.6+10</f>
        <v>18.600000000000001</v>
      </c>
      <c r="O121" s="115">
        <f>12.1+13.6</f>
        <v>25.7</v>
      </c>
      <c r="P121" s="115">
        <f>9.8+11</f>
        <v>20.8</v>
      </c>
      <c r="Q121" s="115">
        <f>8.1+9.3</f>
        <v>17.399999999999999</v>
      </c>
      <c r="R121" s="115">
        <v>12.5</v>
      </c>
      <c r="S121" s="115">
        <v>13.1</v>
      </c>
      <c r="T121" s="115">
        <v>12</v>
      </c>
      <c r="U121" s="115">
        <v>17</v>
      </c>
      <c r="V121" s="115">
        <v>25</v>
      </c>
      <c r="W121" s="115">
        <v>33</v>
      </c>
      <c r="X121" s="115">
        <v>32</v>
      </c>
      <c r="Y121" s="115">
        <v>36</v>
      </c>
      <c r="Z121" s="115">
        <v>42</v>
      </c>
      <c r="AA121" s="115">
        <v>35</v>
      </c>
      <c r="AB121" s="115">
        <v>24</v>
      </c>
      <c r="AC121" s="115">
        <v>17</v>
      </c>
      <c r="AD121" s="115">
        <v>9</v>
      </c>
      <c r="AE121" s="115">
        <v>-5</v>
      </c>
      <c r="AF121" s="115">
        <v>-10.6</v>
      </c>
      <c r="AG121" s="114">
        <v>240</v>
      </c>
      <c r="AH121" s="47">
        <f t="shared" si="51"/>
        <v>42</v>
      </c>
      <c r="AI121" s="48">
        <f t="shared" si="52"/>
        <v>-46</v>
      </c>
    </row>
    <row r="122" spans="1:35" ht="15.75" thickBot="1" x14ac:dyDescent="0.3">
      <c r="A122" s="173" t="s">
        <v>121</v>
      </c>
      <c r="B122" s="115">
        <v>-6.2</v>
      </c>
      <c r="C122" s="115">
        <v>-1.5</v>
      </c>
      <c r="D122" s="115">
        <v>-10.199999999999999</v>
      </c>
      <c r="E122" s="115">
        <v>-6.9</v>
      </c>
      <c r="F122" s="115">
        <v>-8.1999999999999993</v>
      </c>
      <c r="G122" s="115">
        <v>-6.1</v>
      </c>
      <c r="H122" s="115">
        <v>1.1000000000000001</v>
      </c>
      <c r="I122" s="115">
        <v>3</v>
      </c>
      <c r="J122" s="115">
        <v>7.9</v>
      </c>
      <c r="K122" s="115">
        <v>23.6</v>
      </c>
      <c r="L122" s="115">
        <v>26.6</v>
      </c>
      <c r="M122" s="115">
        <v>23.8</v>
      </c>
      <c r="N122" s="115">
        <v>22.1</v>
      </c>
      <c r="O122" s="115">
        <v>22.8</v>
      </c>
      <c r="P122" s="115">
        <v>20.9</v>
      </c>
      <c r="Q122" s="115">
        <v>9.1</v>
      </c>
      <c r="R122" s="115">
        <v>5.9</v>
      </c>
      <c r="S122" s="115">
        <v>7.4</v>
      </c>
      <c r="T122" s="115">
        <v>4</v>
      </c>
      <c r="U122" s="115">
        <v>9</v>
      </c>
      <c r="V122" s="115">
        <v>7</v>
      </c>
      <c r="W122" s="115">
        <v>10</v>
      </c>
      <c r="X122" s="115">
        <v>8.4</v>
      </c>
      <c r="Y122" s="115">
        <v>13</v>
      </c>
      <c r="Z122" s="115">
        <v>28.2</v>
      </c>
      <c r="AA122" s="115">
        <v>14</v>
      </c>
      <c r="AB122" s="115">
        <v>9.6999999999999993</v>
      </c>
      <c r="AC122" s="115">
        <v>9.6999999999999993</v>
      </c>
      <c r="AD122" s="115">
        <v>11.2</v>
      </c>
      <c r="AE122" s="115">
        <v>1.5</v>
      </c>
      <c r="AF122" s="115">
        <v>-4</v>
      </c>
      <c r="AG122" s="114">
        <v>60</v>
      </c>
      <c r="AH122" s="47">
        <f t="shared" si="51"/>
        <v>28.2</v>
      </c>
      <c r="AI122" s="48">
        <f t="shared" si="52"/>
        <v>-10.199999999999999</v>
      </c>
    </row>
    <row r="123" spans="1:35" x14ac:dyDescent="0.25">
      <c r="A123" s="172" t="s">
        <v>259</v>
      </c>
      <c r="B123" s="117">
        <f>49.5*1.67</f>
        <v>82.664999999999992</v>
      </c>
      <c r="C123" s="117">
        <f>49.2*1.67</f>
        <v>82.164000000000001</v>
      </c>
      <c r="D123" s="117">
        <f>57.7*1.67</f>
        <v>96.358999999999995</v>
      </c>
      <c r="E123" s="117">
        <v>94</v>
      </c>
      <c r="F123" s="117">
        <v>100</v>
      </c>
      <c r="G123" s="117">
        <v>105</v>
      </c>
      <c r="H123" s="117">
        <v>110</v>
      </c>
      <c r="I123" s="117">
        <v>115</v>
      </c>
      <c r="J123" s="117">
        <v>120</v>
      </c>
      <c r="K123" s="117">
        <v>130</v>
      </c>
      <c r="L123" s="117">
        <v>126</v>
      </c>
      <c r="M123" s="117">
        <f>89*1.64</f>
        <v>145.95999999999998</v>
      </c>
      <c r="N123" s="117">
        <f>66.7*1.64</f>
        <v>109.38800000000001</v>
      </c>
      <c r="O123" s="117">
        <f>63*1.64</f>
        <v>103.32</v>
      </c>
      <c r="P123" s="117">
        <f>64*1.64</f>
        <v>104.96</v>
      </c>
      <c r="Q123" s="117">
        <f>71*1.64</f>
        <v>116.44</v>
      </c>
      <c r="R123" s="117">
        <f>85.2*1.63</f>
        <v>138.876</v>
      </c>
      <c r="S123" s="117">
        <v>140</v>
      </c>
      <c r="T123" s="117">
        <f>82*1.6</f>
        <v>131.20000000000002</v>
      </c>
      <c r="U123" s="117">
        <f>81*1.6</f>
        <v>129.6</v>
      </c>
      <c r="V123" s="117">
        <f>76*1.6</f>
        <v>121.60000000000001</v>
      </c>
      <c r="W123" s="117">
        <f>81.2*1.6</f>
        <v>129.92000000000002</v>
      </c>
      <c r="X123" s="117">
        <f>80*1.6</f>
        <v>128</v>
      </c>
      <c r="Y123" s="117">
        <f>93*1.6</f>
        <v>148.80000000000001</v>
      </c>
      <c r="Z123" s="117">
        <f>90*1.6</f>
        <v>144</v>
      </c>
      <c r="AA123" s="117">
        <f>96*1.6</f>
        <v>153.60000000000002</v>
      </c>
      <c r="AB123" s="117">
        <f>88.8*1.6</f>
        <v>142.08000000000001</v>
      </c>
      <c r="AC123" s="117">
        <f>71.9*1.6</f>
        <v>115.04000000000002</v>
      </c>
      <c r="AD123" s="117">
        <f>59.4*1.6</f>
        <v>95.04</v>
      </c>
      <c r="AE123" s="117">
        <f>49.8*1.6</f>
        <v>79.680000000000007</v>
      </c>
      <c r="AF123" s="117">
        <f>57.7*1.6</f>
        <v>92.320000000000007</v>
      </c>
      <c r="AG123" s="118">
        <v>120</v>
      </c>
      <c r="AH123" s="47">
        <f t="shared" si="51"/>
        <v>153.60000000000002</v>
      </c>
      <c r="AI123" s="48">
        <f t="shared" si="52"/>
        <v>79.680000000000007</v>
      </c>
    </row>
    <row r="124" spans="1:35" x14ac:dyDescent="0.25">
      <c r="A124" s="173" t="s">
        <v>258</v>
      </c>
      <c r="B124" s="117">
        <v>66.599999999999994</v>
      </c>
      <c r="C124" s="117">
        <v>68.2</v>
      </c>
      <c r="D124" s="117">
        <v>73.599999999999994</v>
      </c>
      <c r="E124" s="117">
        <v>70.5</v>
      </c>
      <c r="F124" s="117">
        <v>76.900000000000006</v>
      </c>
      <c r="G124" s="117">
        <v>76.400000000000006</v>
      </c>
      <c r="H124" s="117">
        <v>74.8</v>
      </c>
      <c r="I124" s="117">
        <v>79.8</v>
      </c>
      <c r="J124" s="117">
        <v>82.8</v>
      </c>
      <c r="K124" s="117">
        <v>85.9</v>
      </c>
      <c r="L124" s="117">
        <v>86.1</v>
      </c>
      <c r="M124" s="117">
        <v>93.1</v>
      </c>
      <c r="N124" s="117">
        <v>77.400000000000006</v>
      </c>
      <c r="O124" s="117">
        <v>74.099999999999994</v>
      </c>
      <c r="P124" s="117">
        <v>74.400000000000006</v>
      </c>
      <c r="Q124" s="117">
        <v>80.8</v>
      </c>
      <c r="R124" s="117">
        <v>91.1</v>
      </c>
      <c r="S124" s="117">
        <v>86.3</v>
      </c>
      <c r="T124" s="117">
        <v>90</v>
      </c>
      <c r="U124" s="117">
        <v>89.1</v>
      </c>
      <c r="V124" s="117">
        <v>85</v>
      </c>
      <c r="W124" s="117">
        <v>91</v>
      </c>
      <c r="X124" s="117">
        <v>89</v>
      </c>
      <c r="Y124" s="117">
        <v>99</v>
      </c>
      <c r="Z124" s="117">
        <v>98</v>
      </c>
      <c r="AA124" s="117">
        <v>102</v>
      </c>
      <c r="AB124" s="117">
        <v>95.2</v>
      </c>
      <c r="AC124" s="117">
        <v>81.5</v>
      </c>
      <c r="AD124" s="117">
        <v>71.900000000000006</v>
      </c>
      <c r="AE124" s="117">
        <v>94.4</v>
      </c>
      <c r="AF124" s="117">
        <v>71</v>
      </c>
      <c r="AG124" s="118"/>
      <c r="AH124" s="47"/>
      <c r="AI124" s="48"/>
    </row>
    <row r="125" spans="1:35" x14ac:dyDescent="0.25">
      <c r="A125" s="173" t="s">
        <v>255</v>
      </c>
      <c r="B125" s="117">
        <v>49.1</v>
      </c>
      <c r="C125" s="117">
        <v>55.4</v>
      </c>
      <c r="D125" s="117">
        <v>64.7</v>
      </c>
      <c r="E125" s="117">
        <v>62</v>
      </c>
      <c r="F125" s="117">
        <v>69.5</v>
      </c>
      <c r="G125" s="117">
        <v>58.4</v>
      </c>
      <c r="H125" s="117">
        <v>40.6</v>
      </c>
      <c r="I125" s="117">
        <v>31.6</v>
      </c>
      <c r="J125" s="117">
        <v>-0.9</v>
      </c>
      <c r="K125" s="117">
        <v>-17.899999999999999</v>
      </c>
      <c r="L125" s="117">
        <v>-30.3</v>
      </c>
      <c r="M125" s="117">
        <v>-15.2</v>
      </c>
      <c r="N125" s="117">
        <v>-21.6</v>
      </c>
      <c r="O125" s="117">
        <v>-19.2</v>
      </c>
      <c r="P125" s="117">
        <v>-7.9</v>
      </c>
      <c r="Q125" s="117">
        <v>7.7</v>
      </c>
      <c r="R125" s="117">
        <v>33.200000000000003</v>
      </c>
      <c r="S125" s="117">
        <v>32.299999999999997</v>
      </c>
      <c r="T125" s="117">
        <v>27</v>
      </c>
      <c r="U125" s="117">
        <v>27</v>
      </c>
      <c r="V125" s="117">
        <v>12</v>
      </c>
      <c r="W125" s="117">
        <v>15.1</v>
      </c>
      <c r="X125" s="117">
        <v>-0.6</v>
      </c>
      <c r="Y125" s="117">
        <v>-15</v>
      </c>
      <c r="Z125" s="117">
        <v>-22</v>
      </c>
      <c r="AA125" s="117">
        <v>-12</v>
      </c>
      <c r="AB125" s="117">
        <v>-2.2000000000000002</v>
      </c>
      <c r="AC125" s="117">
        <v>-10.1</v>
      </c>
      <c r="AD125" s="117">
        <v>-13.5</v>
      </c>
      <c r="AE125" s="117">
        <v>5.9</v>
      </c>
      <c r="AF125" s="117">
        <v>46.6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77.8</v>
      </c>
      <c r="C126" s="117">
        <v>80</v>
      </c>
      <c r="D126" s="117">
        <v>94.7</v>
      </c>
      <c r="E126" s="117">
        <v>93.8</v>
      </c>
      <c r="F126" s="117">
        <v>101</v>
      </c>
      <c r="G126" s="117">
        <v>100</v>
      </c>
      <c r="H126" s="117">
        <v>93.8</v>
      </c>
      <c r="I126" s="117">
        <v>94.4</v>
      </c>
      <c r="J126" s="117">
        <v>92.7</v>
      </c>
      <c r="K126" s="117">
        <v>81.099999999999994</v>
      </c>
      <c r="L126" s="117">
        <v>67.8</v>
      </c>
      <c r="M126" s="117">
        <v>77.599999999999994</v>
      </c>
      <c r="N126" s="117">
        <v>60.6</v>
      </c>
      <c r="O126" s="117">
        <v>73.2</v>
      </c>
      <c r="P126" s="117">
        <v>72.2</v>
      </c>
      <c r="Q126" s="117">
        <v>69.3</v>
      </c>
      <c r="R126" s="117">
        <v>86.7</v>
      </c>
      <c r="S126" s="117">
        <v>79.7</v>
      </c>
      <c r="T126" s="117">
        <v>86</v>
      </c>
      <c r="U126" s="117">
        <v>81</v>
      </c>
      <c r="V126" s="117">
        <v>83</v>
      </c>
      <c r="W126" s="117">
        <v>94</v>
      </c>
      <c r="X126" s="117">
        <v>97</v>
      </c>
      <c r="Y126" s="117">
        <v>95</v>
      </c>
      <c r="Z126" s="117">
        <v>88</v>
      </c>
      <c r="AA126" s="117">
        <v>89</v>
      </c>
      <c r="AB126" s="117">
        <v>81.599999999999994</v>
      </c>
      <c r="AC126" s="117">
        <v>68.7</v>
      </c>
      <c r="AD126" s="117">
        <v>105.7</v>
      </c>
      <c r="AE126" s="117">
        <v>59</v>
      </c>
      <c r="AF126" s="117">
        <v>73.3</v>
      </c>
      <c r="AG126" s="114"/>
      <c r="AH126" s="47">
        <f>MAX(B126:AF126)</f>
        <v>105.7</v>
      </c>
      <c r="AI126" s="48">
        <f>MIN(B126:AF126)</f>
        <v>59</v>
      </c>
    </row>
    <row r="127" spans="1:35" x14ac:dyDescent="0.25">
      <c r="A127" s="172" t="s">
        <v>587</v>
      </c>
      <c r="B127" s="117">
        <v>7.7</v>
      </c>
      <c r="C127" s="117">
        <v>11.5</v>
      </c>
      <c r="D127" s="117">
        <v>15.9</v>
      </c>
      <c r="E127" s="117">
        <v>16.7</v>
      </c>
      <c r="F127" s="117">
        <v>12.9</v>
      </c>
      <c r="G127" s="117">
        <v>8.6</v>
      </c>
      <c r="H127" s="117">
        <v>1.9</v>
      </c>
      <c r="I127" s="117">
        <v>0</v>
      </c>
      <c r="J127" s="117">
        <v>-14.5</v>
      </c>
      <c r="K127" s="117">
        <v>-8.9</v>
      </c>
      <c r="L127" s="117">
        <v>-17.5</v>
      </c>
      <c r="M127" s="117">
        <v>-8.3000000000000007</v>
      </c>
      <c r="N127" s="117">
        <v>-8.6</v>
      </c>
      <c r="O127" s="117">
        <v>-4.3</v>
      </c>
      <c r="P127" s="117">
        <v>-1.9</v>
      </c>
      <c r="Q127" s="117">
        <v>-5</v>
      </c>
      <c r="R127" s="117">
        <v>6.6</v>
      </c>
      <c r="S127" s="117">
        <v>6</v>
      </c>
      <c r="T127" s="117">
        <v>-6.3</v>
      </c>
      <c r="U127" s="117">
        <v>-5.4</v>
      </c>
      <c r="V127" s="117">
        <v>2</v>
      </c>
      <c r="W127" s="117">
        <v>2.2999999999999998</v>
      </c>
      <c r="X127" s="117">
        <v>-2.4</v>
      </c>
      <c r="Y127" s="117">
        <v>-4.5999999999999996</v>
      </c>
      <c r="Z127" s="117">
        <v>-6.4</v>
      </c>
      <c r="AA127" s="117">
        <v>-4.2</v>
      </c>
      <c r="AB127" s="117">
        <v>-2.4</v>
      </c>
      <c r="AC127" s="117">
        <v>-3</v>
      </c>
      <c r="AD127" s="117">
        <v>-5.8</v>
      </c>
      <c r="AE127" s="117">
        <v>3.3</v>
      </c>
      <c r="AF127" s="117">
        <v>14.3</v>
      </c>
      <c r="AG127" s="114"/>
      <c r="AH127" s="47">
        <f>MAX(B127:AF127)</f>
        <v>16.7</v>
      </c>
      <c r="AI127" s="48">
        <f>MIN(B127:AF127)</f>
        <v>-17.5</v>
      </c>
    </row>
    <row r="128" spans="1:35" x14ac:dyDescent="0.25">
      <c r="A128" s="173" t="s">
        <v>123</v>
      </c>
      <c r="B128" s="106">
        <v>-11.6</v>
      </c>
      <c r="C128" s="106">
        <v>-10.199999999999999</v>
      </c>
      <c r="D128" s="106">
        <v>-7.9</v>
      </c>
      <c r="E128" s="106">
        <v>-6.7</v>
      </c>
      <c r="F128" s="106">
        <v>-6.6</v>
      </c>
      <c r="G128" s="106">
        <v>-13.6</v>
      </c>
      <c r="H128" s="106">
        <v>-18.7</v>
      </c>
      <c r="I128" s="106">
        <v>-26.3</v>
      </c>
      <c r="J128" s="106">
        <v>-37.1</v>
      </c>
      <c r="K128" s="106">
        <v>-41.9</v>
      </c>
      <c r="L128" s="106">
        <v>-47.7</v>
      </c>
      <c r="M128" s="106">
        <v>-42.8</v>
      </c>
      <c r="N128" s="106">
        <v>-38.299999999999997</v>
      </c>
      <c r="O128" s="106">
        <v>-28.5</v>
      </c>
      <c r="P128" s="106">
        <v>-27.6</v>
      </c>
      <c r="Q128" s="106">
        <v>-21.6</v>
      </c>
      <c r="R128" s="106">
        <v>-20.100000000000001</v>
      </c>
      <c r="S128" s="106">
        <v>-21.1</v>
      </c>
      <c r="T128" s="106">
        <v>-29</v>
      </c>
      <c r="U128" s="106">
        <v>-27.3</v>
      </c>
      <c r="V128" s="106">
        <v>-38</v>
      </c>
      <c r="W128" s="106">
        <v>-35</v>
      </c>
      <c r="X128" s="106">
        <v>-50</v>
      </c>
      <c r="Y128" s="106">
        <v>-59.2</v>
      </c>
      <c r="Z128" s="106">
        <v>-52</v>
      </c>
      <c r="AA128" s="106">
        <v>-45</v>
      </c>
      <c r="AB128" s="106">
        <v>-38.299999999999997</v>
      </c>
      <c r="AC128" s="106">
        <v>-33.5</v>
      </c>
      <c r="AD128" s="106">
        <v>-27.4</v>
      </c>
      <c r="AE128" s="106">
        <v>-18.3</v>
      </c>
      <c r="AF128" s="106">
        <v>-14</v>
      </c>
      <c r="AG128" s="114"/>
      <c r="AH128" s="47">
        <f>MAX(B128:AF128)</f>
        <v>-6.6</v>
      </c>
      <c r="AI128" s="48">
        <f>MIN(B128:AF128)</f>
        <v>-59.2</v>
      </c>
    </row>
    <row r="129" spans="1:37" x14ac:dyDescent="0.25">
      <c r="A129" s="173" t="s">
        <v>260</v>
      </c>
      <c r="B129" s="106">
        <v>16.3</v>
      </c>
      <c r="C129" s="106">
        <v>17.3</v>
      </c>
      <c r="D129" s="106">
        <v>9</v>
      </c>
      <c r="E129" s="106">
        <v>12.1</v>
      </c>
      <c r="F129" s="106">
        <v>16.7</v>
      </c>
      <c r="G129" s="106">
        <v>15.2</v>
      </c>
      <c r="H129" s="106">
        <v>18.2</v>
      </c>
      <c r="I129" s="106">
        <v>6.3</v>
      </c>
      <c r="J129" s="106">
        <v>13.1</v>
      </c>
      <c r="K129" s="106">
        <v>-1.8</v>
      </c>
      <c r="L129" s="106">
        <v>-2.5</v>
      </c>
      <c r="M129" s="106">
        <v>-8</v>
      </c>
      <c r="N129" s="106">
        <v>0</v>
      </c>
      <c r="O129" s="106">
        <v>-10.4</v>
      </c>
      <c r="P129" s="106">
        <v>-9.6</v>
      </c>
      <c r="Q129" s="106">
        <v>19.600000000000001</v>
      </c>
      <c r="R129" s="106">
        <v>31.3</v>
      </c>
      <c r="S129" s="106">
        <v>29.6</v>
      </c>
      <c r="T129" s="106">
        <v>32</v>
      </c>
      <c r="U129" s="106">
        <v>31</v>
      </c>
      <c r="V129" s="106">
        <v>-29</v>
      </c>
      <c r="W129" s="106">
        <v>-38</v>
      </c>
      <c r="X129" s="106">
        <v>-33.299999999999997</v>
      </c>
      <c r="Y129" s="106">
        <v>-27.5</v>
      </c>
      <c r="Z129" s="106">
        <v>-24</v>
      </c>
      <c r="AA129" s="106">
        <v>-25</v>
      </c>
      <c r="AB129" s="106">
        <v>-17.600000000000001</v>
      </c>
      <c r="AC129" s="106">
        <v>-11.1</v>
      </c>
      <c r="AD129" s="106">
        <v>0</v>
      </c>
      <c r="AE129" s="106">
        <v>-5.3</v>
      </c>
      <c r="AF129" s="106">
        <v>-18</v>
      </c>
      <c r="AG129" s="114"/>
      <c r="AH129" s="47">
        <f>MAX(B129:AF129)</f>
        <v>32</v>
      </c>
      <c r="AI129" s="48">
        <f>MIN(B129:AF129)</f>
        <v>-38</v>
      </c>
    </row>
    <row r="130" spans="1:37" ht="15.75" thickBot="1" x14ac:dyDescent="0.3">
      <c r="A130" s="173" t="s">
        <v>257</v>
      </c>
      <c r="B130" s="106">
        <v>92.1</v>
      </c>
      <c r="C130" s="106">
        <v>95.3</v>
      </c>
      <c r="D130" s="106">
        <v>87.1</v>
      </c>
      <c r="E130" s="106">
        <v>87.1</v>
      </c>
      <c r="F130" s="106">
        <v>82.2</v>
      </c>
      <c r="G130" s="106">
        <v>96.3</v>
      </c>
      <c r="H130" s="106">
        <v>94.1</v>
      </c>
      <c r="I130" s="106">
        <v>104</v>
      </c>
      <c r="J130" s="106">
        <v>103.7</v>
      </c>
      <c r="K130" s="106">
        <v>103.7</v>
      </c>
      <c r="L130" s="106">
        <v>107.6</v>
      </c>
      <c r="M130" s="106">
        <v>100.2</v>
      </c>
      <c r="N130" s="106">
        <v>96.1</v>
      </c>
      <c r="O130" s="106">
        <v>91.2</v>
      </c>
      <c r="P130" s="106">
        <v>92.2</v>
      </c>
      <c r="Q130" s="106">
        <v>108.1</v>
      </c>
      <c r="R130" s="106">
        <v>108.1</v>
      </c>
      <c r="S130" s="106">
        <v>111</v>
      </c>
      <c r="T130" s="106">
        <v>109</v>
      </c>
      <c r="U130" s="106">
        <v>112</v>
      </c>
      <c r="V130" s="106">
        <v>111</v>
      </c>
      <c r="W130" s="106">
        <v>92</v>
      </c>
      <c r="X130" s="106">
        <v>105.3</v>
      </c>
      <c r="Y130" s="106">
        <v>124</v>
      </c>
      <c r="Z130" s="106">
        <v>110</v>
      </c>
      <c r="AA130" s="106">
        <v>107</v>
      </c>
      <c r="AB130" s="106">
        <v>99.6</v>
      </c>
      <c r="AC130" s="106">
        <v>108.3</v>
      </c>
      <c r="AD130" s="106">
        <v>111.7</v>
      </c>
      <c r="AE130" s="106">
        <v>105.7</v>
      </c>
      <c r="AF130" s="106">
        <v>99.7</v>
      </c>
      <c r="AG130" s="114"/>
      <c r="AH130" s="47">
        <f>MAX(B130:AF130)</f>
        <v>124</v>
      </c>
      <c r="AI130" s="48">
        <f>MIN(B130:AF130)</f>
        <v>82.2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ht="16.5" x14ac:dyDescent="0.25">
      <c r="A132" s="185" t="s">
        <v>367</v>
      </c>
      <c r="B132" s="189">
        <v>1985.19</v>
      </c>
      <c r="C132" s="189">
        <v>1985.39</v>
      </c>
      <c r="D132" s="189">
        <v>1985.6</v>
      </c>
      <c r="E132" s="189">
        <v>1985.8</v>
      </c>
      <c r="F132" s="189">
        <v>1985.98</v>
      </c>
      <c r="G132" s="189">
        <v>1986.15</v>
      </c>
      <c r="H132" s="189"/>
      <c r="I132" s="189">
        <v>1986.28</v>
      </c>
      <c r="J132" s="189"/>
      <c r="K132" s="189">
        <v>1986.15</v>
      </c>
      <c r="L132" s="189"/>
      <c r="M132" s="189">
        <v>1985.4</v>
      </c>
      <c r="N132" s="189">
        <v>1984.3</v>
      </c>
      <c r="O132" s="189">
        <v>1983.92</v>
      </c>
      <c r="P132" s="189">
        <v>1984.02</v>
      </c>
      <c r="Q132" s="189">
        <v>1984.22</v>
      </c>
      <c r="R132" s="189">
        <v>1984.42</v>
      </c>
      <c r="S132" s="147">
        <v>1984.6</v>
      </c>
      <c r="T132" s="147">
        <v>1984.79</v>
      </c>
      <c r="U132" s="147">
        <v>1984.95</v>
      </c>
      <c r="V132" s="147">
        <v>1985.15</v>
      </c>
      <c r="W132" s="147">
        <v>1985.25</v>
      </c>
      <c r="X132" s="147">
        <v>1985.35</v>
      </c>
      <c r="Y132" s="147"/>
      <c r="Z132" s="147">
        <v>1985.15</v>
      </c>
      <c r="AA132" s="147"/>
      <c r="AB132" s="147">
        <v>1984.45</v>
      </c>
      <c r="AC132" s="147"/>
      <c r="AD132" s="147">
        <v>1984.02</v>
      </c>
      <c r="AE132" s="147">
        <v>1984.14</v>
      </c>
      <c r="AF132" s="148">
        <v>1984.4</v>
      </c>
      <c r="AG132" s="149"/>
      <c r="AH132" s="47"/>
      <c r="AI132" s="48"/>
    </row>
    <row r="133" spans="1:37" ht="16.5" x14ac:dyDescent="0.25">
      <c r="A133" s="185" t="s">
        <v>238</v>
      </c>
      <c r="B133" s="190">
        <v>521.29999999999995</v>
      </c>
      <c r="C133" s="190">
        <v>521.64</v>
      </c>
      <c r="D133" s="190">
        <v>521.98</v>
      </c>
      <c r="E133" s="190">
        <v>522.32000000000005</v>
      </c>
      <c r="F133" s="190">
        <v>522.66</v>
      </c>
      <c r="G133" s="190">
        <v>523.03</v>
      </c>
      <c r="H133" s="190"/>
      <c r="I133" s="190">
        <v>523.16</v>
      </c>
      <c r="J133" s="190"/>
      <c r="K133" s="190">
        <v>523</v>
      </c>
      <c r="L133" s="190"/>
      <c r="M133" s="189">
        <v>522.67999999999995</v>
      </c>
      <c r="N133" s="189">
        <v>522.98</v>
      </c>
      <c r="O133" s="189">
        <v>522.67999999999995</v>
      </c>
      <c r="P133" s="189">
        <v>522.79999999999995</v>
      </c>
      <c r="Q133" s="189">
        <v>522.86</v>
      </c>
      <c r="R133" s="189">
        <v>522.82000000000005</v>
      </c>
      <c r="S133" s="150">
        <v>522.9</v>
      </c>
      <c r="T133" s="150">
        <v>523.01</v>
      </c>
      <c r="U133" s="150">
        <v>522.86</v>
      </c>
      <c r="V133" s="150">
        <v>522.71</v>
      </c>
      <c r="W133" s="150"/>
      <c r="X133" s="150">
        <v>522.64</v>
      </c>
      <c r="Y133" s="150"/>
      <c r="Z133" s="150">
        <v>522.15</v>
      </c>
      <c r="AA133" s="150"/>
      <c r="AB133" s="150">
        <v>521.70000000000005</v>
      </c>
      <c r="AC133" s="150"/>
      <c r="AD133" s="150">
        <v>521.29999999999995</v>
      </c>
      <c r="AE133" s="150">
        <v>521</v>
      </c>
      <c r="AF133" s="151">
        <v>521.20000000000005</v>
      </c>
      <c r="AG133" s="149"/>
      <c r="AH133" s="47"/>
      <c r="AI133" s="48"/>
    </row>
    <row r="134" spans="1:37" ht="16.5" x14ac:dyDescent="0.25">
      <c r="A134" s="185" t="s">
        <v>239</v>
      </c>
      <c r="B134" s="190">
        <v>623.4</v>
      </c>
      <c r="C134" s="190">
        <v>623.41</v>
      </c>
      <c r="D134" s="190">
        <v>623.41</v>
      </c>
      <c r="E134" s="190">
        <v>623.44000000000005</v>
      </c>
      <c r="F134" s="190">
        <v>623.42999999999995</v>
      </c>
      <c r="G134" s="190">
        <v>623.44000000000005</v>
      </c>
      <c r="H134" s="190"/>
      <c r="I134" s="190">
        <v>623.41</v>
      </c>
      <c r="J134" s="190"/>
      <c r="K134" s="190">
        <v>623.4</v>
      </c>
      <c r="L134" s="190"/>
      <c r="M134" s="189">
        <v>623.39</v>
      </c>
      <c r="N134" s="189">
        <v>623.35</v>
      </c>
      <c r="O134" s="189">
        <v>623.29</v>
      </c>
      <c r="P134" s="189">
        <v>623.22</v>
      </c>
      <c r="Q134" s="189">
        <v>623.25</v>
      </c>
      <c r="R134" s="189">
        <v>623.09</v>
      </c>
      <c r="S134" s="150">
        <v>623.00300000000004</v>
      </c>
      <c r="T134" s="150">
        <v>623.04</v>
      </c>
      <c r="U134" s="150">
        <v>622.94000000000005</v>
      </c>
      <c r="V134" s="150">
        <v>622.79999999999995</v>
      </c>
      <c r="W134" s="150"/>
      <c r="X134" s="150">
        <v>622.69000000000005</v>
      </c>
      <c r="Y134" s="150"/>
      <c r="Z134" s="150">
        <v>622.59</v>
      </c>
      <c r="AA134" s="150"/>
      <c r="AB134" s="150">
        <v>622.52</v>
      </c>
      <c r="AC134" s="150"/>
      <c r="AD134" s="150">
        <v>622.34</v>
      </c>
      <c r="AE134" s="150">
        <v>622.25</v>
      </c>
      <c r="AF134" s="151">
        <v>622.08000000000004</v>
      </c>
      <c r="AG134" s="149"/>
      <c r="AH134" s="47"/>
      <c r="AI134" s="48"/>
    </row>
    <row r="135" spans="1:37" ht="16.5" x14ac:dyDescent="0.25">
      <c r="A135" s="185" t="s">
        <v>240</v>
      </c>
      <c r="B135" s="190">
        <v>334.89</v>
      </c>
      <c r="C135" s="190">
        <v>335.1</v>
      </c>
      <c r="D135" s="190">
        <v>335.46</v>
      </c>
      <c r="E135" s="190">
        <v>335.92</v>
      </c>
      <c r="F135" s="190">
        <v>336.22</v>
      </c>
      <c r="G135" s="190">
        <v>336.52</v>
      </c>
      <c r="H135" s="190"/>
      <c r="I135" s="190">
        <v>336.64</v>
      </c>
      <c r="J135" s="190"/>
      <c r="K135" s="190">
        <v>336.5</v>
      </c>
      <c r="L135" s="190"/>
      <c r="M135" s="189">
        <v>336.34</v>
      </c>
      <c r="N135" s="189">
        <v>336.19</v>
      </c>
      <c r="O135" s="189">
        <v>336.14</v>
      </c>
      <c r="P135" s="189">
        <v>336.15</v>
      </c>
      <c r="Q135" s="189">
        <v>336.18</v>
      </c>
      <c r="R135" s="189">
        <v>336.21</v>
      </c>
      <c r="S135" s="150">
        <v>336.24</v>
      </c>
      <c r="T135" s="150">
        <v>336.42</v>
      </c>
      <c r="U135" s="150">
        <v>336.77</v>
      </c>
      <c r="V135" s="150">
        <v>337.04</v>
      </c>
      <c r="W135" s="150">
        <v>337.19</v>
      </c>
      <c r="X135" s="150">
        <v>337.31</v>
      </c>
      <c r="Y135" s="150"/>
      <c r="Z135" s="150">
        <v>337.28</v>
      </c>
      <c r="AA135" s="150"/>
      <c r="AB135" s="150">
        <v>337.03</v>
      </c>
      <c r="AC135" s="150"/>
      <c r="AD135" s="150">
        <v>336.75</v>
      </c>
      <c r="AE135" s="150">
        <v>336.44</v>
      </c>
      <c r="AF135" s="151">
        <v>336.22</v>
      </c>
      <c r="AG135" s="149"/>
      <c r="AH135" s="47"/>
      <c r="AI135" s="48"/>
    </row>
    <row r="136" spans="1:37" ht="16.5" x14ac:dyDescent="0.25">
      <c r="A136" s="185" t="s">
        <v>384</v>
      </c>
      <c r="B136" s="190">
        <v>885.6</v>
      </c>
      <c r="C136" s="190">
        <v>886.3</v>
      </c>
      <c r="D136" s="190">
        <v>886.8</v>
      </c>
      <c r="E136" s="190">
        <v>887.2</v>
      </c>
      <c r="F136" s="190">
        <v>887.5</v>
      </c>
      <c r="G136" s="190">
        <v>887.4</v>
      </c>
      <c r="H136" s="190"/>
      <c r="I136" s="190">
        <v>887.5</v>
      </c>
      <c r="J136" s="190"/>
      <c r="K136" s="190">
        <v>887.5</v>
      </c>
      <c r="L136" s="190"/>
      <c r="M136" s="189">
        <v>887.2</v>
      </c>
      <c r="N136" s="189">
        <v>886.8</v>
      </c>
      <c r="O136" s="189">
        <v>886.8</v>
      </c>
      <c r="P136" s="189">
        <v>886.8</v>
      </c>
      <c r="Q136" s="189">
        <v>886.7</v>
      </c>
      <c r="R136" s="189">
        <v>886.5</v>
      </c>
      <c r="S136" s="150">
        <v>886.5</v>
      </c>
      <c r="T136" s="150">
        <v>886.5</v>
      </c>
      <c r="U136" s="150">
        <v>886.5</v>
      </c>
      <c r="V136" s="150">
        <v>886.4</v>
      </c>
      <c r="W136" s="150"/>
      <c r="X136" s="150">
        <v>886.3</v>
      </c>
      <c r="Y136" s="150"/>
      <c r="Z136" s="150">
        <v>885.4</v>
      </c>
      <c r="AA136" s="150"/>
      <c r="AB136" s="150">
        <v>884.9</v>
      </c>
      <c r="AC136" s="150"/>
      <c r="AD136" s="150">
        <v>884.8</v>
      </c>
      <c r="AE136" s="150">
        <v>884.8</v>
      </c>
      <c r="AF136" s="151">
        <v>884.8</v>
      </c>
      <c r="AG136" s="149"/>
      <c r="AH136" s="47"/>
      <c r="AI136" s="48"/>
    </row>
    <row r="137" spans="1:37" ht="17.25" thickBot="1" x14ac:dyDescent="0.3">
      <c r="A137" s="185" t="s">
        <v>241</v>
      </c>
      <c r="B137" s="191">
        <v>1519.7</v>
      </c>
      <c r="C137" s="191"/>
      <c r="D137" s="191"/>
      <c r="E137" s="191">
        <v>1519.71</v>
      </c>
      <c r="F137" s="191"/>
      <c r="G137" s="191"/>
      <c r="H137" s="191"/>
      <c r="I137" s="191"/>
      <c r="J137" s="191"/>
      <c r="K137" s="191"/>
      <c r="L137" s="191"/>
      <c r="M137" s="189"/>
      <c r="N137" s="189"/>
      <c r="O137" s="189"/>
      <c r="P137" s="189"/>
      <c r="Q137" s="189"/>
      <c r="R137" s="189"/>
      <c r="S137" s="152">
        <v>1519.73</v>
      </c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>
        <f>E132-D132</f>
        <v>0.20000000000004547</v>
      </c>
      <c r="F139" s="123">
        <f t="shared" ref="F139:G139" si="105">F132-E132</f>
        <v>0.18000000000006366</v>
      </c>
      <c r="G139" s="123">
        <f t="shared" si="105"/>
        <v>0.17000000000007276</v>
      </c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06">SUM(B139:B243)</f>
        <v>0</v>
      </c>
      <c r="C244" s="134">
        <f t="shared" si="106"/>
        <v>0</v>
      </c>
      <c r="D244" s="134">
        <f t="shared" si="106"/>
        <v>0</v>
      </c>
      <c r="E244" s="134">
        <f t="shared" si="106"/>
        <v>0.20000000000004547</v>
      </c>
      <c r="F244" s="134">
        <f t="shared" si="106"/>
        <v>0.18000000000006366</v>
      </c>
      <c r="G244" s="134">
        <f t="shared" si="106"/>
        <v>0.17000000000007276</v>
      </c>
      <c r="H244" s="134">
        <f t="shared" si="106"/>
        <v>0</v>
      </c>
      <c r="I244" s="134">
        <f t="shared" si="106"/>
        <v>0</v>
      </c>
      <c r="J244" s="134">
        <f t="shared" si="106"/>
        <v>0</v>
      </c>
      <c r="K244" s="134">
        <f t="shared" si="106"/>
        <v>0</v>
      </c>
      <c r="L244" s="134">
        <f t="shared" si="106"/>
        <v>0</v>
      </c>
      <c r="M244" s="134">
        <f t="shared" si="106"/>
        <v>0</v>
      </c>
      <c r="N244" s="134">
        <f t="shared" si="106"/>
        <v>0</v>
      </c>
      <c r="O244" s="134">
        <f t="shared" si="106"/>
        <v>0</v>
      </c>
      <c r="P244" s="134">
        <f t="shared" si="106"/>
        <v>0</v>
      </c>
      <c r="Q244" s="134">
        <f t="shared" si="106"/>
        <v>0</v>
      </c>
      <c r="R244" s="134">
        <f t="shared" si="106"/>
        <v>0</v>
      </c>
      <c r="S244" s="134">
        <f t="shared" si="106"/>
        <v>0</v>
      </c>
      <c r="T244" s="134">
        <f t="shared" si="106"/>
        <v>0</v>
      </c>
      <c r="U244" s="134">
        <f t="shared" si="106"/>
        <v>0</v>
      </c>
      <c r="V244" s="134">
        <f t="shared" si="106"/>
        <v>0</v>
      </c>
      <c r="W244" s="134">
        <f t="shared" si="106"/>
        <v>0</v>
      </c>
      <c r="X244" s="134">
        <f t="shared" si="106"/>
        <v>0</v>
      </c>
      <c r="Y244" s="134">
        <f t="shared" si="106"/>
        <v>0</v>
      </c>
      <c r="Z244" s="134">
        <f t="shared" si="106"/>
        <v>0</v>
      </c>
      <c r="AA244" s="134">
        <f t="shared" si="106"/>
        <v>0</v>
      </c>
      <c r="AB244" s="134">
        <f t="shared" si="106"/>
        <v>0</v>
      </c>
      <c r="AC244" s="134">
        <f t="shared" si="106"/>
        <v>0</v>
      </c>
      <c r="AD244" s="134">
        <f t="shared" si="106"/>
        <v>0</v>
      </c>
      <c r="AE244" s="134">
        <f t="shared" si="106"/>
        <v>0</v>
      </c>
      <c r="AF244" s="135">
        <f t="shared" si="106"/>
        <v>0</v>
      </c>
      <c r="AG244" s="136">
        <f t="shared" si="106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07">AF246</f>
        <v>0.3</v>
      </c>
      <c r="C246" s="138">
        <v>0.3</v>
      </c>
      <c r="D246" s="138">
        <f t="shared" ref="D246:S251" si="108">C246</f>
        <v>0.3</v>
      </c>
      <c r="E246" s="138">
        <f t="shared" si="108"/>
        <v>0.3</v>
      </c>
      <c r="F246" s="138">
        <f t="shared" si="108"/>
        <v>0.3</v>
      </c>
      <c r="G246" s="138">
        <f t="shared" si="108"/>
        <v>0.3</v>
      </c>
      <c r="H246" s="138">
        <f t="shared" si="108"/>
        <v>0.3</v>
      </c>
      <c r="I246" s="138">
        <f t="shared" si="108"/>
        <v>0.3</v>
      </c>
      <c r="J246" s="138">
        <f t="shared" si="108"/>
        <v>0.3</v>
      </c>
      <c r="K246" s="138">
        <f t="shared" si="108"/>
        <v>0.3</v>
      </c>
      <c r="L246" s="138">
        <f t="shared" si="108"/>
        <v>0.3</v>
      </c>
      <c r="M246" s="138">
        <f t="shared" si="108"/>
        <v>0.3</v>
      </c>
      <c r="N246" s="138">
        <f t="shared" si="108"/>
        <v>0.3</v>
      </c>
      <c r="O246" s="138">
        <f t="shared" si="108"/>
        <v>0.3</v>
      </c>
      <c r="P246" s="138">
        <f t="shared" si="108"/>
        <v>0.3</v>
      </c>
      <c r="Q246" s="138">
        <f t="shared" si="108"/>
        <v>0.3</v>
      </c>
      <c r="R246" s="138">
        <f t="shared" si="108"/>
        <v>0.3</v>
      </c>
      <c r="S246" s="138">
        <f t="shared" si="108"/>
        <v>0.3</v>
      </c>
      <c r="T246" s="138">
        <f t="shared" ref="T246:AF251" si="109">S246</f>
        <v>0.3</v>
      </c>
      <c r="U246" s="138">
        <f t="shared" si="109"/>
        <v>0.3</v>
      </c>
      <c r="V246" s="138">
        <f t="shared" si="109"/>
        <v>0.3</v>
      </c>
      <c r="W246" s="138">
        <f t="shared" si="109"/>
        <v>0.3</v>
      </c>
      <c r="X246" s="138">
        <f t="shared" si="109"/>
        <v>0.3</v>
      </c>
      <c r="Y246" s="138">
        <f t="shared" si="109"/>
        <v>0.3</v>
      </c>
      <c r="Z246" s="138">
        <f t="shared" si="109"/>
        <v>0.3</v>
      </c>
      <c r="AA246" s="138">
        <f t="shared" si="109"/>
        <v>0.3</v>
      </c>
      <c r="AB246" s="138">
        <f t="shared" si="109"/>
        <v>0.3</v>
      </c>
      <c r="AC246" s="138">
        <f t="shared" si="109"/>
        <v>0.3</v>
      </c>
      <c r="AD246" s="138">
        <f t="shared" si="109"/>
        <v>0.3</v>
      </c>
      <c r="AE246" s="138">
        <f t="shared" si="109"/>
        <v>0.3</v>
      </c>
      <c r="AF246" s="138">
        <f t="shared" si="109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07"/>
        <v>0.4</v>
      </c>
      <c r="C247" s="126">
        <v>0.4</v>
      </c>
      <c r="D247" s="126">
        <f t="shared" si="108"/>
        <v>0.4</v>
      </c>
      <c r="E247" s="126">
        <f t="shared" si="108"/>
        <v>0.4</v>
      </c>
      <c r="F247" s="126">
        <f t="shared" si="108"/>
        <v>0.4</v>
      </c>
      <c r="G247" s="126">
        <f t="shared" si="108"/>
        <v>0.4</v>
      </c>
      <c r="H247" s="126">
        <f t="shared" si="108"/>
        <v>0.4</v>
      </c>
      <c r="I247" s="126">
        <f t="shared" si="108"/>
        <v>0.4</v>
      </c>
      <c r="J247" s="126">
        <f t="shared" si="108"/>
        <v>0.4</v>
      </c>
      <c r="K247" s="126">
        <f t="shared" si="108"/>
        <v>0.4</v>
      </c>
      <c r="L247" s="126">
        <f t="shared" si="108"/>
        <v>0.4</v>
      </c>
      <c r="M247" s="126">
        <f t="shared" si="108"/>
        <v>0.4</v>
      </c>
      <c r="N247" s="126">
        <f t="shared" si="108"/>
        <v>0.4</v>
      </c>
      <c r="O247" s="126">
        <f t="shared" si="108"/>
        <v>0.4</v>
      </c>
      <c r="P247" s="126">
        <f t="shared" si="108"/>
        <v>0.4</v>
      </c>
      <c r="Q247" s="126">
        <f t="shared" si="108"/>
        <v>0.4</v>
      </c>
      <c r="R247" s="126">
        <f t="shared" si="108"/>
        <v>0.4</v>
      </c>
      <c r="S247" s="126">
        <f t="shared" si="108"/>
        <v>0.4</v>
      </c>
      <c r="T247" s="126">
        <f t="shared" si="109"/>
        <v>0.4</v>
      </c>
      <c r="U247" s="126">
        <f t="shared" si="109"/>
        <v>0.4</v>
      </c>
      <c r="V247" s="126">
        <f t="shared" si="109"/>
        <v>0.4</v>
      </c>
      <c r="W247" s="126">
        <f t="shared" si="109"/>
        <v>0.4</v>
      </c>
      <c r="X247" s="126">
        <f t="shared" si="109"/>
        <v>0.4</v>
      </c>
      <c r="Y247" s="126">
        <f t="shared" si="109"/>
        <v>0.4</v>
      </c>
      <c r="Z247" s="126">
        <f t="shared" si="109"/>
        <v>0.4</v>
      </c>
      <c r="AA247" s="126">
        <f t="shared" si="109"/>
        <v>0.4</v>
      </c>
      <c r="AB247" s="126">
        <f t="shared" si="109"/>
        <v>0.4</v>
      </c>
      <c r="AC247" s="126">
        <f t="shared" si="109"/>
        <v>0.4</v>
      </c>
      <c r="AD247" s="126">
        <f t="shared" si="109"/>
        <v>0.4</v>
      </c>
      <c r="AE247" s="126">
        <f t="shared" si="109"/>
        <v>0.4</v>
      </c>
      <c r="AF247" s="126">
        <f t="shared" si="109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07"/>
        <v>1.5</v>
      </c>
      <c r="C248" s="126">
        <v>1.5</v>
      </c>
      <c r="D248" s="126">
        <f t="shared" si="108"/>
        <v>1.5</v>
      </c>
      <c r="E248" s="126">
        <f t="shared" si="108"/>
        <v>1.5</v>
      </c>
      <c r="F248" s="126">
        <f t="shared" si="108"/>
        <v>1.5</v>
      </c>
      <c r="G248" s="126">
        <f t="shared" si="108"/>
        <v>1.5</v>
      </c>
      <c r="H248" s="126">
        <f t="shared" si="108"/>
        <v>1.5</v>
      </c>
      <c r="I248" s="126">
        <f t="shared" si="108"/>
        <v>1.5</v>
      </c>
      <c r="J248" s="126">
        <f t="shared" si="108"/>
        <v>1.5</v>
      </c>
      <c r="K248" s="126">
        <f t="shared" si="108"/>
        <v>1.5</v>
      </c>
      <c r="L248" s="126">
        <f t="shared" si="108"/>
        <v>1.5</v>
      </c>
      <c r="M248" s="126">
        <f t="shared" si="108"/>
        <v>1.5</v>
      </c>
      <c r="N248" s="126">
        <f t="shared" si="108"/>
        <v>1.5</v>
      </c>
      <c r="O248" s="126">
        <f t="shared" si="108"/>
        <v>1.5</v>
      </c>
      <c r="P248" s="126">
        <f t="shared" si="108"/>
        <v>1.5</v>
      </c>
      <c r="Q248" s="126">
        <f t="shared" si="108"/>
        <v>1.5</v>
      </c>
      <c r="R248" s="126">
        <f t="shared" si="108"/>
        <v>1.5</v>
      </c>
      <c r="S248" s="126">
        <f t="shared" si="108"/>
        <v>1.5</v>
      </c>
      <c r="T248" s="126">
        <f t="shared" si="109"/>
        <v>1.5</v>
      </c>
      <c r="U248" s="126">
        <f t="shared" si="109"/>
        <v>1.5</v>
      </c>
      <c r="V248" s="126">
        <f t="shared" si="109"/>
        <v>1.5</v>
      </c>
      <c r="W248" s="126">
        <f t="shared" si="109"/>
        <v>1.5</v>
      </c>
      <c r="X248" s="126">
        <f t="shared" si="109"/>
        <v>1.5</v>
      </c>
      <c r="Y248" s="126">
        <f t="shared" si="109"/>
        <v>1.5</v>
      </c>
      <c r="Z248" s="126">
        <f t="shared" si="109"/>
        <v>1.5</v>
      </c>
      <c r="AA248" s="126">
        <f t="shared" si="109"/>
        <v>1.5</v>
      </c>
      <c r="AB248" s="126">
        <f t="shared" si="109"/>
        <v>1.5</v>
      </c>
      <c r="AC248" s="126">
        <f t="shared" si="109"/>
        <v>1.5</v>
      </c>
      <c r="AD248" s="126">
        <f t="shared" si="109"/>
        <v>1.5</v>
      </c>
      <c r="AE248" s="126">
        <f t="shared" si="109"/>
        <v>1.5</v>
      </c>
      <c r="AF248" s="126">
        <f t="shared" si="109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07"/>
        <v>0.3</v>
      </c>
      <c r="C249" s="126">
        <v>0.3</v>
      </c>
      <c r="D249" s="126">
        <f t="shared" si="108"/>
        <v>0.3</v>
      </c>
      <c r="E249" s="126">
        <f t="shared" si="108"/>
        <v>0.3</v>
      </c>
      <c r="F249" s="126">
        <f t="shared" si="108"/>
        <v>0.3</v>
      </c>
      <c r="G249" s="126">
        <f t="shared" si="108"/>
        <v>0.3</v>
      </c>
      <c r="H249" s="126">
        <f t="shared" si="108"/>
        <v>0.3</v>
      </c>
      <c r="I249" s="126">
        <f t="shared" si="108"/>
        <v>0.3</v>
      </c>
      <c r="J249" s="126">
        <f t="shared" si="108"/>
        <v>0.3</v>
      </c>
      <c r="K249" s="126">
        <f t="shared" si="108"/>
        <v>0.3</v>
      </c>
      <c r="L249" s="126">
        <f t="shared" si="108"/>
        <v>0.3</v>
      </c>
      <c r="M249" s="126">
        <f t="shared" si="108"/>
        <v>0.3</v>
      </c>
      <c r="N249" s="126">
        <f t="shared" si="108"/>
        <v>0.3</v>
      </c>
      <c r="O249" s="126">
        <f t="shared" si="108"/>
        <v>0.3</v>
      </c>
      <c r="P249" s="126">
        <f t="shared" si="108"/>
        <v>0.3</v>
      </c>
      <c r="Q249" s="126">
        <f t="shared" si="108"/>
        <v>0.3</v>
      </c>
      <c r="R249" s="126">
        <f t="shared" si="108"/>
        <v>0.3</v>
      </c>
      <c r="S249" s="126">
        <f t="shared" si="108"/>
        <v>0.3</v>
      </c>
      <c r="T249" s="126">
        <f t="shared" si="109"/>
        <v>0.3</v>
      </c>
      <c r="U249" s="126">
        <f t="shared" si="109"/>
        <v>0.3</v>
      </c>
      <c r="V249" s="126">
        <f t="shared" si="109"/>
        <v>0.3</v>
      </c>
      <c r="W249" s="126">
        <f t="shared" si="109"/>
        <v>0.3</v>
      </c>
      <c r="X249" s="126">
        <f t="shared" si="109"/>
        <v>0.3</v>
      </c>
      <c r="Y249" s="126">
        <f t="shared" si="109"/>
        <v>0.3</v>
      </c>
      <c r="Z249" s="126">
        <f t="shared" si="109"/>
        <v>0.3</v>
      </c>
      <c r="AA249" s="126">
        <f t="shared" si="109"/>
        <v>0.3</v>
      </c>
      <c r="AB249" s="126">
        <f t="shared" si="109"/>
        <v>0.3</v>
      </c>
      <c r="AC249" s="126">
        <f t="shared" si="109"/>
        <v>0.3</v>
      </c>
      <c r="AD249" s="126">
        <f t="shared" si="109"/>
        <v>0.3</v>
      </c>
      <c r="AE249" s="126">
        <f t="shared" si="109"/>
        <v>0.3</v>
      </c>
      <c r="AF249" s="126">
        <f t="shared" si="109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07"/>
        <v>0.4</v>
      </c>
      <c r="C250" s="126">
        <v>0.4</v>
      </c>
      <c r="D250" s="126">
        <f t="shared" si="108"/>
        <v>0.4</v>
      </c>
      <c r="E250" s="126">
        <f t="shared" si="108"/>
        <v>0.4</v>
      </c>
      <c r="F250" s="126">
        <f t="shared" si="108"/>
        <v>0.4</v>
      </c>
      <c r="G250" s="126">
        <f t="shared" si="108"/>
        <v>0.4</v>
      </c>
      <c r="H250" s="126">
        <f t="shared" si="108"/>
        <v>0.4</v>
      </c>
      <c r="I250" s="126">
        <f t="shared" si="108"/>
        <v>0.4</v>
      </c>
      <c r="J250" s="126">
        <f t="shared" si="108"/>
        <v>0.4</v>
      </c>
      <c r="K250" s="126">
        <f t="shared" si="108"/>
        <v>0.4</v>
      </c>
      <c r="L250" s="126">
        <f t="shared" si="108"/>
        <v>0.4</v>
      </c>
      <c r="M250" s="126">
        <f t="shared" si="108"/>
        <v>0.4</v>
      </c>
      <c r="N250" s="126">
        <f t="shared" si="108"/>
        <v>0.4</v>
      </c>
      <c r="O250" s="126">
        <f t="shared" si="108"/>
        <v>0.4</v>
      </c>
      <c r="P250" s="126">
        <f t="shared" si="108"/>
        <v>0.4</v>
      </c>
      <c r="Q250" s="126">
        <f t="shared" si="108"/>
        <v>0.4</v>
      </c>
      <c r="R250" s="126">
        <f t="shared" si="108"/>
        <v>0.4</v>
      </c>
      <c r="S250" s="126">
        <f t="shared" si="108"/>
        <v>0.4</v>
      </c>
      <c r="T250" s="126">
        <f t="shared" si="109"/>
        <v>0.4</v>
      </c>
      <c r="U250" s="126">
        <f t="shared" si="109"/>
        <v>0.4</v>
      </c>
      <c r="V250" s="126">
        <f t="shared" si="109"/>
        <v>0.4</v>
      </c>
      <c r="W250" s="126">
        <f t="shared" si="109"/>
        <v>0.4</v>
      </c>
      <c r="X250" s="126">
        <f t="shared" si="109"/>
        <v>0.4</v>
      </c>
      <c r="Y250" s="126">
        <f t="shared" si="109"/>
        <v>0.4</v>
      </c>
      <c r="Z250" s="126">
        <f t="shared" si="109"/>
        <v>0.4</v>
      </c>
      <c r="AA250" s="126">
        <f t="shared" si="109"/>
        <v>0.4</v>
      </c>
      <c r="AB250" s="126">
        <f t="shared" si="109"/>
        <v>0.4</v>
      </c>
      <c r="AC250" s="126">
        <f t="shared" si="109"/>
        <v>0.4</v>
      </c>
      <c r="AD250" s="126">
        <f t="shared" si="109"/>
        <v>0.4</v>
      </c>
      <c r="AE250" s="126">
        <f t="shared" si="109"/>
        <v>0.4</v>
      </c>
      <c r="AF250" s="126">
        <f t="shared" si="109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07"/>
        <v>0.64</v>
      </c>
      <c r="C251" s="130">
        <v>0.64</v>
      </c>
      <c r="D251" s="130">
        <f t="shared" si="108"/>
        <v>0.64</v>
      </c>
      <c r="E251" s="130">
        <f t="shared" si="108"/>
        <v>0.64</v>
      </c>
      <c r="F251" s="130">
        <f t="shared" si="108"/>
        <v>0.64</v>
      </c>
      <c r="G251" s="130">
        <f t="shared" si="108"/>
        <v>0.64</v>
      </c>
      <c r="H251" s="130">
        <f t="shared" si="108"/>
        <v>0.64</v>
      </c>
      <c r="I251" s="130">
        <f t="shared" si="108"/>
        <v>0.64</v>
      </c>
      <c r="J251" s="130">
        <f t="shared" si="108"/>
        <v>0.64</v>
      </c>
      <c r="K251" s="130">
        <f t="shared" si="108"/>
        <v>0.64</v>
      </c>
      <c r="L251" s="130">
        <f t="shared" si="108"/>
        <v>0.64</v>
      </c>
      <c r="M251" s="130">
        <f t="shared" si="108"/>
        <v>0.64</v>
      </c>
      <c r="N251" s="130">
        <f t="shared" si="108"/>
        <v>0.64</v>
      </c>
      <c r="O251" s="130">
        <f t="shared" si="108"/>
        <v>0.64</v>
      </c>
      <c r="P251" s="130">
        <f t="shared" si="108"/>
        <v>0.64</v>
      </c>
      <c r="Q251" s="130">
        <f t="shared" si="108"/>
        <v>0.64</v>
      </c>
      <c r="R251" s="130">
        <f t="shared" si="108"/>
        <v>0.64</v>
      </c>
      <c r="S251" s="130">
        <f t="shared" si="108"/>
        <v>0.64</v>
      </c>
      <c r="T251" s="130">
        <f t="shared" si="109"/>
        <v>0.64</v>
      </c>
      <c r="U251" s="130">
        <f t="shared" si="109"/>
        <v>0.64</v>
      </c>
      <c r="V251" s="130">
        <f t="shared" si="109"/>
        <v>0.64</v>
      </c>
      <c r="W251" s="130">
        <f t="shared" si="109"/>
        <v>0.64</v>
      </c>
      <c r="X251" s="130">
        <f t="shared" si="109"/>
        <v>0.64</v>
      </c>
      <c r="Y251" s="130">
        <f t="shared" si="109"/>
        <v>0.64</v>
      </c>
      <c r="Z251" s="130">
        <f t="shared" si="109"/>
        <v>0.64</v>
      </c>
      <c r="AA251" s="130">
        <f t="shared" si="109"/>
        <v>0.64</v>
      </c>
      <c r="AB251" s="130">
        <f t="shared" si="109"/>
        <v>0.64</v>
      </c>
      <c r="AC251" s="130">
        <f t="shared" si="109"/>
        <v>0.64</v>
      </c>
      <c r="AD251" s="130">
        <f t="shared" si="109"/>
        <v>0.64</v>
      </c>
      <c r="AE251" s="130">
        <f t="shared" si="109"/>
        <v>0.64</v>
      </c>
      <c r="AF251" s="130">
        <f t="shared" si="109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0">SUM(B246:B251)</f>
        <v>3.54</v>
      </c>
      <c r="C252" s="134">
        <f t="shared" si="110"/>
        <v>3.54</v>
      </c>
      <c r="D252" s="134">
        <f t="shared" si="110"/>
        <v>3.54</v>
      </c>
      <c r="E252" s="134">
        <f t="shared" si="110"/>
        <v>3.54</v>
      </c>
      <c r="F252" s="134">
        <f t="shared" si="110"/>
        <v>3.54</v>
      </c>
      <c r="G252" s="134">
        <f t="shared" si="110"/>
        <v>3.54</v>
      </c>
      <c r="H252" s="134">
        <f t="shared" si="110"/>
        <v>3.54</v>
      </c>
      <c r="I252" s="134">
        <f t="shared" si="110"/>
        <v>3.54</v>
      </c>
      <c r="J252" s="134">
        <f t="shared" si="110"/>
        <v>3.54</v>
      </c>
      <c r="K252" s="134">
        <f t="shared" si="110"/>
        <v>3.54</v>
      </c>
      <c r="L252" s="134">
        <f t="shared" si="110"/>
        <v>3.54</v>
      </c>
      <c r="M252" s="134">
        <f t="shared" si="110"/>
        <v>3.54</v>
      </c>
      <c r="N252" s="134">
        <f t="shared" si="110"/>
        <v>3.54</v>
      </c>
      <c r="O252" s="134">
        <f t="shared" si="110"/>
        <v>3.54</v>
      </c>
      <c r="P252" s="134">
        <f t="shared" si="110"/>
        <v>3.54</v>
      </c>
      <c r="Q252" s="134">
        <f t="shared" si="110"/>
        <v>3.54</v>
      </c>
      <c r="R252" s="134">
        <f t="shared" si="110"/>
        <v>3.54</v>
      </c>
      <c r="S252" s="134">
        <f t="shared" si="110"/>
        <v>3.54</v>
      </c>
      <c r="T252" s="134">
        <f t="shared" si="110"/>
        <v>3.54</v>
      </c>
      <c r="U252" s="134">
        <f t="shared" si="110"/>
        <v>3.54</v>
      </c>
      <c r="V252" s="134">
        <f t="shared" si="110"/>
        <v>3.54</v>
      </c>
      <c r="W252" s="134">
        <f t="shared" si="110"/>
        <v>3.54</v>
      </c>
      <c r="X252" s="134">
        <f t="shared" si="110"/>
        <v>3.54</v>
      </c>
      <c r="Y252" s="134">
        <f t="shared" si="110"/>
        <v>3.54</v>
      </c>
      <c r="Z252" s="134">
        <f t="shared" si="110"/>
        <v>3.54</v>
      </c>
      <c r="AA252" s="134">
        <f t="shared" si="110"/>
        <v>3.54</v>
      </c>
      <c r="AB252" s="134">
        <f t="shared" si="110"/>
        <v>3.54</v>
      </c>
      <c r="AC252" s="134">
        <f t="shared" si="110"/>
        <v>3.54</v>
      </c>
      <c r="AD252" s="134">
        <f t="shared" si="110"/>
        <v>3.54</v>
      </c>
      <c r="AE252" s="134">
        <f t="shared" si="110"/>
        <v>3.54</v>
      </c>
      <c r="AF252" s="134">
        <f t="shared" si="110"/>
        <v>3.54</v>
      </c>
      <c r="AG252" s="143">
        <f t="shared" si="110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1674.7300000000002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622" priority="93">
      <formula>$AH11=0</formula>
    </cfRule>
  </conditionalFormatting>
  <conditionalFormatting sqref="A132:A253">
    <cfRule type="expression" dxfId="1621" priority="94">
      <formula>$AH132=0</formula>
    </cfRule>
  </conditionalFormatting>
  <conditionalFormatting sqref="B8">
    <cfRule type="expression" dxfId="1620" priority="154">
      <formula>C$9&lt;8/24</formula>
    </cfRule>
    <cfRule type="expression" dxfId="1619" priority="155">
      <formula>C$9&gt;=20/24</formula>
    </cfRule>
    <cfRule type="expression" dxfId="1618" priority="153">
      <formula>AND(C$9&gt;=8/24,C$9&lt;14/24)</formula>
    </cfRule>
    <cfRule type="expression" dxfId="1617" priority="152">
      <formula>AND(C$9&gt;=14/24,C$9&lt;20/24)</formula>
    </cfRule>
  </conditionalFormatting>
  <conditionalFormatting sqref="B56:N56">
    <cfRule type="expression" dxfId="1616" priority="2">
      <formula>AND(B$9&gt;=14/24,B$9&lt;20/24)</formula>
    </cfRule>
    <cfRule type="expression" dxfId="1615" priority="3">
      <formula>AND(B$9&gt;=8/24,B$9&lt;14/24)</formula>
    </cfRule>
    <cfRule type="expression" dxfId="1614" priority="1">
      <formula>B$9&gt;=20/24</formula>
    </cfRule>
  </conditionalFormatting>
  <conditionalFormatting sqref="B9:AF52 E59:H61 B59:D68 E63:H68 B69:AF74 B77:AF99 B101:AF117 B119:AF137 B244:AF244 B246:B252">
    <cfRule type="expression" dxfId="1613" priority="44">
      <formula>B$9&gt;=20/24</formula>
    </cfRule>
    <cfRule type="expression" dxfId="1612" priority="45">
      <formula>AND(B$9&gt;=14/24,B$9&lt;20/24)</formula>
    </cfRule>
    <cfRule type="expression" dxfId="1611" priority="46">
      <formula>AND(B$9&gt;=8/24,B$9&lt;14/24)</formula>
    </cfRule>
    <cfRule type="expression" dxfId="1610" priority="47">
      <formula>B$9&lt;8/24</formula>
    </cfRule>
  </conditionalFormatting>
  <conditionalFormatting sqref="B53:AF55 B57:L57">
    <cfRule type="expression" dxfId="1609" priority="40">
      <formula>B$9&gt;=20/24</formula>
    </cfRule>
    <cfRule type="expression" dxfId="1608" priority="41">
      <formula>AND(B$9&gt;=14/24,B$9&lt;20/24)</formula>
    </cfRule>
    <cfRule type="expression" dxfId="1607" priority="42">
      <formula>AND(B$9&gt;=8/24,B$9&lt;14/24)</formula>
    </cfRule>
  </conditionalFormatting>
  <conditionalFormatting sqref="B53:AF56 B57:L57">
    <cfRule type="expression" dxfId="1606" priority="56">
      <formula>B$9&lt;8/24</formula>
    </cfRule>
  </conditionalFormatting>
  <conditionalFormatting sqref="D246:AF252">
    <cfRule type="expression" dxfId="1605" priority="140">
      <formula>D$9&lt;8/24</formula>
    </cfRule>
    <cfRule type="expression" dxfId="1604" priority="139">
      <formula>AND(D$9&gt;=8/24,D$9&lt;14/24)</formula>
    </cfRule>
    <cfRule type="expression" dxfId="1603" priority="137">
      <formula>D$9&gt;=20/24</formula>
    </cfRule>
    <cfRule type="expression" dxfId="1602" priority="138">
      <formula>AND(D$9&gt;=14/24,D$9&lt;20/24)</formula>
    </cfRule>
  </conditionalFormatting>
  <conditionalFormatting sqref="E63:I67 J64:J67 K67">
    <cfRule type="expression" dxfId="1601" priority="57">
      <formula>E$9&gt;=20/24</formula>
    </cfRule>
    <cfRule type="expression" dxfId="1600" priority="58">
      <formula>AND(E$9&gt;=14/24,E$9&lt;20/24)</formula>
    </cfRule>
    <cfRule type="expression" dxfId="1599" priority="59">
      <formula>AND(E$9&gt;=8/24,E$9&lt;14/24)</formula>
    </cfRule>
    <cfRule type="expression" dxfId="1598" priority="60">
      <formula>E$9&lt;8/24</formula>
    </cfRule>
  </conditionalFormatting>
  <conditionalFormatting sqref="E68:K68">
    <cfRule type="expression" dxfId="1597" priority="52">
      <formula>E$9&gt;=20/24</formula>
    </cfRule>
    <cfRule type="expression" dxfId="1596" priority="54">
      <formula>AND(E$9&gt;=8/24,E$9&lt;14/24)</formula>
    </cfRule>
    <cfRule type="expression" dxfId="1595" priority="53">
      <formula>AND(E$9&gt;=14/24,E$9&lt;20/24)</formula>
    </cfRule>
    <cfRule type="expression" dxfId="1594" priority="55">
      <formula>E$9&lt;8/24</formula>
    </cfRule>
  </conditionalFormatting>
  <conditionalFormatting sqref="E11:AF56 B11:D61 E57:AA61 AB57:AF80 AG62 B62:AA80 AG80">
    <cfRule type="expression" dxfId="1593" priority="43">
      <formula>B11&gt;$AG11</formula>
    </cfRule>
  </conditionalFormatting>
  <conditionalFormatting sqref="E59:AF62">
    <cfRule type="expression" dxfId="1592" priority="71">
      <formula>E$9&gt;=20/24</formula>
    </cfRule>
    <cfRule type="expression" dxfId="1591" priority="72">
      <formula>AND(E$9&gt;=14/24,E$9&lt;20/24)</formula>
    </cfRule>
    <cfRule type="expression" dxfId="1590" priority="73">
      <formula>AND(E$9&gt;=8/24,E$9&lt;14/24)</formula>
    </cfRule>
    <cfRule type="expression" dxfId="1589" priority="74">
      <formula>E$9&lt;8/24</formula>
    </cfRule>
  </conditionalFormatting>
  <conditionalFormatting sqref="F63:L65">
    <cfRule type="expression" dxfId="1588" priority="88">
      <formula>F$9&lt;8/24</formula>
    </cfRule>
    <cfRule type="expression" dxfId="1587" priority="87">
      <formula>AND(F$9&gt;=8/24,F$9&lt;14/24)</formula>
    </cfRule>
    <cfRule type="expression" dxfId="1586" priority="86">
      <formula>AND(F$9&gt;=14/24,F$9&lt;20/24)</formula>
    </cfRule>
    <cfRule type="expression" dxfId="1585" priority="85">
      <formula>F$9&gt;=20/24</formula>
    </cfRule>
  </conditionalFormatting>
  <conditionalFormatting sqref="L68:AF68">
    <cfRule type="expression" dxfId="1584" priority="84">
      <formula>L$9&lt;8/24</formula>
    </cfRule>
    <cfRule type="expression" dxfId="1583" priority="81">
      <formula>L$9&gt;=20/24</formula>
    </cfRule>
    <cfRule type="expression" dxfId="1582" priority="82">
      <formula>AND(L$9&gt;=14/24,L$9&lt;20/24)</formula>
    </cfRule>
    <cfRule type="expression" dxfId="1581" priority="83">
      <formula>AND(L$9&gt;=8/24,L$9&lt;14/24)</formula>
    </cfRule>
  </conditionalFormatting>
  <conditionalFormatting sqref="M8 S8 AB8">
    <cfRule type="expression" dxfId="1580" priority="146">
      <formula>N$9&lt;8/24</formula>
    </cfRule>
    <cfRule type="expression" dxfId="1579" priority="145">
      <formula>AND(N$9&gt;=8/24,N$9&lt;14/24)</formula>
    </cfRule>
    <cfRule type="expression" dxfId="1578" priority="144">
      <formula>AND(N$9&gt;=14/24,N$9&lt;20/24)</formula>
    </cfRule>
  </conditionalFormatting>
  <conditionalFormatting sqref="M57:AF57">
    <cfRule type="expression" dxfId="1577" priority="70">
      <formula>M$9&lt;8/24</formula>
    </cfRule>
    <cfRule type="expression" dxfId="1576" priority="69">
      <formula>AND(M$9&gt;=8/24,M$9&lt;14/24)</formula>
    </cfRule>
    <cfRule type="expression" dxfId="1575" priority="68">
      <formula>AND(M$9&gt;=14/24,M$9&lt;20/24)</formula>
    </cfRule>
    <cfRule type="expression" dxfId="1574" priority="67">
      <formula>M$9&gt;=20/24</formula>
    </cfRule>
  </conditionalFormatting>
  <conditionalFormatting sqref="M63:AF67">
    <cfRule type="expression" dxfId="1573" priority="89">
      <formula>M$9&gt;=20/24</formula>
    </cfRule>
    <cfRule type="expression" dxfId="1572" priority="90">
      <formula>AND(M$9&gt;=14/24,M$9&lt;20/24)</formula>
    </cfRule>
    <cfRule type="expression" dxfId="1571" priority="91">
      <formula>AND(M$9&gt;=8/24,M$9&lt;14/24)</formula>
    </cfRule>
    <cfRule type="expression" dxfId="1570" priority="92">
      <formula>M$9&lt;8/24</formula>
    </cfRule>
  </conditionalFormatting>
  <conditionalFormatting sqref="O3:P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O56:AF56">
    <cfRule type="expression" dxfId="1569" priority="49">
      <formula>O$9&gt;=20/24</formula>
    </cfRule>
    <cfRule type="expression" dxfId="1568" priority="50">
      <formula>AND(O$9&gt;=14/24,O$9&lt;20/24)</formula>
    </cfRule>
    <cfRule type="expression" dxfId="1567" priority="51">
      <formula>AND(O$9&gt;=8/24,O$9&lt;14/24)</formula>
    </cfRule>
  </conditionalFormatting>
  <conditionalFormatting sqref="S8 AB8 M8">
    <cfRule type="expression" dxfId="1566" priority="143">
      <formula>N$9&gt;=20/24</formula>
    </cfRule>
  </conditionalFormatting>
  <conditionalFormatting sqref="S8">
    <cfRule type="expression" dxfId="1565" priority="132">
      <formula>AND(U$9&gt;=8/24,U$9&lt;14/24)</formula>
    </cfRule>
    <cfRule type="expression" dxfId="1564" priority="130">
      <formula>U$9&gt;=20/24</formula>
    </cfRule>
    <cfRule type="expression" dxfId="1563" priority="131">
      <formula>AND(U$9&gt;=14/24,U$9&lt;20/24)</formula>
    </cfRule>
    <cfRule type="expression" dxfId="1562" priority="133">
      <formula>U$9&lt;8/24</formula>
    </cfRule>
  </conditionalFormatting>
  <conditionalFormatting sqref="T63:AF68">
    <cfRule type="expression" dxfId="1561" priority="78">
      <formula>T$9&lt;8/24</formula>
    </cfRule>
    <cfRule type="expression" dxfId="1560" priority="77">
      <formula>AND(T$9&gt;=8/24,T$9&lt;14/24)</formula>
    </cfRule>
    <cfRule type="expression" dxfId="1559" priority="76">
      <formula>AND(T$9&gt;=14/24,T$9&lt;20/24)</formula>
    </cfRule>
    <cfRule type="expression" dxfId="1558" priority="75">
      <formula>T$9&gt;=20/24</formula>
    </cfRule>
  </conditionalFormatting>
  <conditionalFormatting sqref="V3 AB3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557" priority="129">
      <formula>AD$9&lt;8/24</formula>
    </cfRule>
    <cfRule type="expression" dxfId="1556" priority="128">
      <formula>AND(AD$9&gt;=8/24,AD$9&lt;14/24)</formula>
    </cfRule>
    <cfRule type="expression" dxfId="1555" priority="127">
      <formula>AND(AD$9&gt;=14/24,AD$9&lt;20/24)</formula>
    </cfRule>
    <cfRule type="expression" dxfId="1554" priority="126">
      <formula>AD$9&gt;=20/24</formula>
    </cfRule>
  </conditionalFormatting>
  <conditionalFormatting sqref="AG58">
    <cfRule type="expression" dxfId="1553" priority="121">
      <formula>AG58&gt;$AG58</formula>
    </cfRule>
  </conditionalFormatting>
  <conditionalFormatting sqref="AG62">
    <cfRule type="expression" dxfId="1552" priority="106">
      <formula>AND(AG$9&gt;=8/24,AG$9&lt;14/24)</formula>
    </cfRule>
    <cfRule type="expression" dxfId="1551" priority="107">
      <formula>AG$9&lt;8/24</formula>
    </cfRule>
    <cfRule type="expression" dxfId="1550" priority="104">
      <formula>AG$9&gt;=20/24</formula>
    </cfRule>
    <cfRule type="expression" dxfId="1549" priority="105">
      <formula>AND(AG$9&gt;=14/24,AG$9&lt;20/24)</formula>
    </cfRule>
  </conditionalFormatting>
  <conditionalFormatting sqref="AG75:AG76">
    <cfRule type="expression" dxfId="1548" priority="99">
      <formula>AG75&gt;$AG75</formula>
    </cfRule>
  </conditionalFormatting>
  <conditionalFormatting sqref="AG80">
    <cfRule type="expression" dxfId="1547" priority="101">
      <formula>AND(AG$9&gt;=14/24,AG$9&lt;20/24)</formula>
    </cfRule>
    <cfRule type="expression" dxfId="1546" priority="102">
      <formula>AND(AG$9&gt;=8/24,AG$9&lt;14/24)</formula>
    </cfRule>
    <cfRule type="expression" dxfId="1545" priority="100">
      <formula>AG$9&gt;=20/24</formula>
    </cfRule>
    <cfRule type="expression" dxfId="1544" priority="103">
      <formula>AG$9&lt;8/24</formula>
    </cfRule>
  </conditionalFormatting>
  <conditionalFormatting sqref="AG97">
    <cfRule type="expression" dxfId="1543" priority="125">
      <formula>AG$9&lt;8/24</formula>
    </cfRule>
    <cfRule type="expression" dxfId="1542" priority="124">
      <formula>AND(AG$9&gt;=8/24,AG$9&lt;14/24)</formula>
    </cfRule>
    <cfRule type="expression" dxfId="1541" priority="123">
      <formula>AND(AG$9&gt;=14/24,AG$9&lt;20/24)</formula>
    </cfRule>
    <cfRule type="expression" dxfId="1540" priority="122">
      <formula>AG$9&gt;=20/24</formula>
    </cfRule>
  </conditionalFormatting>
  <conditionalFormatting sqref="AL4:AL6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539" priority="147">
      <formula>AJ$9&gt;=20/24</formula>
    </cfRule>
    <cfRule type="expression" dxfId="1538" priority="148">
      <formula>AND(AJ$9&gt;=14/24,AJ$9&lt;20/24)</formula>
    </cfRule>
    <cfRule type="expression" dxfId="1537" priority="149">
      <formula>AND(AJ$9&gt;=8/24,AJ$9&lt;14/24)</formula>
    </cfRule>
    <cfRule type="expression" dxfId="1536" priority="150">
      <formula>AJ$9&lt;8/24</formula>
    </cfRule>
  </conditionalFormatting>
  <conditionalFormatting sqref="AL88:AN88 AL94:AN94">
    <cfRule type="expression" dxfId="1535" priority="114">
      <formula>AL$9&gt;=20/24</formula>
    </cfRule>
    <cfRule type="expression" dxfId="1534" priority="116">
      <formula>AND(AL$9&gt;=8/24,AL$9&lt;14/24)</formula>
    </cfRule>
    <cfRule type="expression" dxfId="1533" priority="117">
      <formula>AL$9&lt;8/24</formula>
    </cfRule>
    <cfRule type="expression" dxfId="1532" priority="115">
      <formula>AND(AL$9&gt;=14/24,AL$9&lt;20/24)</formula>
    </cfRule>
  </conditionalFormatting>
  <conditionalFormatting sqref="AM15:AM21 AN16:AR21">
    <cfRule type="expression" dxfId="1531" priority="19">
      <formula>AX$9&lt;8/24</formula>
    </cfRule>
    <cfRule type="expression" dxfId="1530" priority="17">
      <formula>AND(AX$9&gt;=14/24,AX$9&lt;20/24)</formula>
    </cfRule>
    <cfRule type="expression" dxfId="1529" priority="18">
      <formula>AND(AX$9&gt;=8/24,AX$9&lt;14/24)</formula>
    </cfRule>
    <cfRule type="expression" dxfId="1528" priority="16">
      <formula>AX$9&gt;=20/24</formula>
    </cfRule>
  </conditionalFormatting>
  <conditionalFormatting sqref="AN89:AN92">
    <cfRule type="expression" dxfId="1527" priority="110">
      <formula>AN$9&gt;=20/24</formula>
    </cfRule>
    <cfRule type="expression" dxfId="1526" priority="111">
      <formula>AND(AN$9&gt;=14/24,AN$9&lt;20/24)</formula>
    </cfRule>
    <cfRule type="expression" dxfId="1525" priority="112">
      <formula>AND(AN$9&gt;=8/24,AN$9&lt;14/24)</formula>
    </cfRule>
    <cfRule type="expression" dxfId="1524" priority="113">
      <formula>AN$9&lt;8/24</formula>
    </cfRule>
  </conditionalFormatting>
  <conditionalFormatting sqref="AN15:AR15">
    <cfRule type="expression" dxfId="1523" priority="5">
      <formula>AND(U$9&gt;=14/24,U$9&lt;20/24)</formula>
    </cfRule>
    <cfRule type="expression" dxfId="1522" priority="6">
      <formula>AND(U$9&gt;=8/24,U$9&lt;14/24)</formula>
    </cfRule>
    <cfRule type="expression" dxfId="1521" priority="7">
      <formula>U$9&lt;8/24</formula>
    </cfRule>
    <cfRule type="expression" dxfId="1520" priority="4">
      <formula>U$9&gt;=20/24</formula>
    </cfRule>
  </conditionalFormatting>
  <conditionalFormatting sqref="AS15">
    <cfRule type="expression" dxfId="1519" priority="13">
      <formula>AND(AA$9&gt;=14/24,AA$9&lt;20/24)</formula>
    </cfRule>
    <cfRule type="expression" dxfId="1518" priority="14">
      <formula>AND(AA$9&gt;=8/24,AA$9&lt;14/24)</formula>
    </cfRule>
    <cfRule type="expression" dxfId="1517" priority="15">
      <formula>AA$9&lt;8/24</formula>
    </cfRule>
    <cfRule type="expression" dxfId="1516" priority="12">
      <formula>AA$9&gt;=20/24</formula>
    </cfRule>
  </conditionalFormatting>
  <conditionalFormatting sqref="AS16:AS21">
    <cfRule type="expression" dxfId="1515" priority="23">
      <formula>BE$9&lt;8/24</formula>
    </cfRule>
    <cfRule type="expression" dxfId="1514" priority="22">
      <formula>AND(BE$9&gt;=8/24,BE$9&lt;14/24)</formula>
    </cfRule>
    <cfRule type="expression" dxfId="1513" priority="21">
      <formula>AND(BE$9&gt;=14/24,BE$9&lt;20/24)</formula>
    </cfRule>
    <cfRule type="expression" dxfId="1512" priority="20">
      <formula>BE$9&gt;=20/24</formula>
    </cfRule>
  </conditionalFormatting>
  <conditionalFormatting sqref="AT15 AX15">
    <cfRule type="expression" dxfId="1511" priority="27">
      <formula>AC$9&lt;8/24</formula>
    </cfRule>
    <cfRule type="expression" dxfId="1510" priority="26">
      <formula>AND(AC$9&gt;=8/24,AC$9&lt;14/24)</formula>
    </cfRule>
    <cfRule type="expression" dxfId="1509" priority="24">
      <formula>AC$9&gt;=20/24</formula>
    </cfRule>
    <cfRule type="expression" dxfId="1508" priority="25">
      <formula>AND(AC$9&gt;=14/24,AC$9&lt;20/24)</formula>
    </cfRule>
  </conditionalFormatting>
  <conditionalFormatting sqref="AT16:AT21">
    <cfRule type="expression" dxfId="1507" priority="31">
      <formula>BG$9&lt;8/24</formula>
    </cfRule>
    <cfRule type="expression" dxfId="1506" priority="30">
      <formula>AND(BG$9&gt;=8/24,BG$9&lt;14/24)</formula>
    </cfRule>
    <cfRule type="expression" dxfId="1505" priority="29">
      <formula>AND(BG$9&gt;=14/24,BG$9&lt;20/24)</formula>
    </cfRule>
    <cfRule type="expression" dxfId="1504" priority="28">
      <formula>BG$9&gt;=20/24</formula>
    </cfRule>
  </conditionalFormatting>
  <conditionalFormatting sqref="AU15:AV15">
    <cfRule type="expression" dxfId="1503" priority="35">
      <formula>AE$9&lt;8/24</formula>
    </cfRule>
    <cfRule type="expression" dxfId="1502" priority="34">
      <formula>AND(AE$9&gt;=8/24,AE$9&lt;14/24)</formula>
    </cfRule>
    <cfRule type="expression" dxfId="1501" priority="33">
      <formula>AND(AE$9&gt;=14/24,AE$9&lt;20/24)</formula>
    </cfRule>
    <cfRule type="expression" dxfId="1500" priority="32">
      <formula>AE$9&gt;=20/24</formula>
    </cfRule>
  </conditionalFormatting>
  <conditionalFormatting sqref="AU16:AX21">
    <cfRule type="expression" dxfId="1499" priority="37">
      <formula>AND(BI$9&gt;=14/24,BI$9&lt;20/24)</formula>
    </cfRule>
    <cfRule type="expression" dxfId="1498" priority="36">
      <formula>BI$9&gt;=20/24</formula>
    </cfRule>
    <cfRule type="expression" dxfId="1497" priority="39">
      <formula>BI$9&lt;8/24</formula>
    </cfRule>
    <cfRule type="expression" dxfId="1496" priority="38">
      <formula>AND(BI$9&gt;=8/24,BI$9&lt;14/24)</formula>
    </cfRule>
  </conditionalFormatting>
  <conditionalFormatting sqref="AW15">
    <cfRule type="expression" dxfId="1495" priority="9">
      <formula>AND(B$9&gt;=14/24,B$9&lt;20/24)</formula>
    </cfRule>
    <cfRule type="expression" dxfId="1494" priority="8">
      <formula>B$9&gt;=20/24</formula>
    </cfRule>
    <cfRule type="expression" dxfId="1493" priority="11">
      <formula>B$9&lt;8/24</formula>
    </cfRule>
    <cfRule type="expression" dxfId="1492" priority="10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99B7-709A-4397-85D8-239A19073B1D}">
  <dimension ref="A1:CJ294"/>
  <sheetViews>
    <sheetView zoomScale="115" zoomScaleNormal="115" workbookViewId="0">
      <pane xSplit="1" ySplit="10" topLeftCell="AZ96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2080/10/22</v>
      </c>
      <c r="C4" s="272"/>
      <c r="D4" s="272"/>
      <c r="E4" s="273" t="str">
        <f ca="1">"2080/"&amp;"10/"&amp;INT(MID(CELL("filename",G6),FIND("]",CELL("filename",G6))+1,200))</f>
        <v>2080/10/22</v>
      </c>
      <c r="F4" s="273"/>
      <c r="G4" s="273"/>
      <c r="H4" s="273" t="str">
        <f ca="1">TEXT(E4,"dddd")</f>
        <v>Tuesday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635.10000000000014</v>
      </c>
      <c r="C5" s="30">
        <f t="shared" ref="C5:AE5" si="0">D92</f>
        <v>591.70000000000005</v>
      </c>
      <c r="D5" s="30">
        <f t="shared" si="0"/>
        <v>592.40000000000009</v>
      </c>
      <c r="E5" s="30">
        <f t="shared" si="0"/>
        <v>568</v>
      </c>
      <c r="F5" s="30">
        <f t="shared" si="0"/>
        <v>506.5</v>
      </c>
      <c r="G5" s="30">
        <f t="shared" si="0"/>
        <v>563.1</v>
      </c>
      <c r="H5" s="30">
        <f t="shared" si="0"/>
        <v>580.40000000000009</v>
      </c>
      <c r="I5" s="30">
        <f t="shared" si="0"/>
        <v>532.4</v>
      </c>
      <c r="J5" s="30">
        <f t="shared" si="0"/>
        <v>536.70000000000005</v>
      </c>
      <c r="K5" s="30">
        <f t="shared" si="0"/>
        <v>378.2</v>
      </c>
      <c r="L5" s="30">
        <f t="shared" si="0"/>
        <v>157.39999999999998</v>
      </c>
      <c r="M5" s="30">
        <f t="shared" si="0"/>
        <v>145.5</v>
      </c>
      <c r="N5" s="30">
        <f t="shared" si="0"/>
        <v>507.7</v>
      </c>
      <c r="O5" s="30">
        <f t="shared" si="0"/>
        <v>663.2</v>
      </c>
      <c r="P5" s="30">
        <f t="shared" si="0"/>
        <v>679.2</v>
      </c>
      <c r="Q5" s="30">
        <f t="shared" si="0"/>
        <v>730.5</v>
      </c>
      <c r="R5" s="30">
        <f t="shared" si="0"/>
        <v>737.1</v>
      </c>
      <c r="S5" s="30">
        <f t="shared" si="0"/>
        <v>737.19999999999993</v>
      </c>
      <c r="T5" s="30">
        <f t="shared" si="0"/>
        <v>735.69999999999993</v>
      </c>
      <c r="U5" s="30">
        <f t="shared" si="0"/>
        <v>614.1</v>
      </c>
      <c r="V5" s="30">
        <f t="shared" si="0"/>
        <v>619.69999999999993</v>
      </c>
      <c r="W5" s="30">
        <f t="shared" si="0"/>
        <v>586.6</v>
      </c>
      <c r="X5" s="30">
        <f t="shared" si="0"/>
        <v>521.29999999999995</v>
      </c>
      <c r="Y5" s="30">
        <f t="shared" si="0"/>
        <v>455.3</v>
      </c>
      <c r="Z5" s="30">
        <f t="shared" si="0"/>
        <v>335.30000000000007</v>
      </c>
      <c r="AA5" s="30">
        <f t="shared" si="0"/>
        <v>352.1</v>
      </c>
      <c r="AB5" s="30">
        <f t="shared" si="0"/>
        <v>348.1</v>
      </c>
      <c r="AC5" s="30">
        <f t="shared" si="0"/>
        <v>509.9</v>
      </c>
      <c r="AD5" s="30">
        <f t="shared" si="0"/>
        <v>609.4</v>
      </c>
      <c r="AE5" s="30">
        <f t="shared" si="0"/>
        <v>698.59999999999991</v>
      </c>
      <c r="AF5" s="30">
        <f>B92</f>
        <v>621.90000000000009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Load=1186</v>
      </c>
      <c r="B7" s="35">
        <f>B100</f>
        <v>1238.0900000000001</v>
      </c>
      <c r="C7" s="35">
        <f t="shared" ref="C7:AF7" si="1">C100</f>
        <v>1251.2900000000002</v>
      </c>
      <c r="D7" s="35">
        <f t="shared" si="1"/>
        <v>1208.69</v>
      </c>
      <c r="E7" s="35">
        <f t="shared" si="1"/>
        <v>1203.69</v>
      </c>
      <c r="F7" s="35">
        <f t="shared" si="1"/>
        <v>1186.0900000000001</v>
      </c>
      <c r="G7" s="35">
        <f t="shared" si="1"/>
        <v>1206.0900000000001</v>
      </c>
      <c r="H7" s="35">
        <f t="shared" si="1"/>
        <v>1299.5900000000001</v>
      </c>
      <c r="I7" s="35">
        <f t="shared" si="1"/>
        <v>1361.19</v>
      </c>
      <c r="J7" s="35">
        <f t="shared" si="1"/>
        <v>1494.9900000000002</v>
      </c>
      <c r="K7" s="35">
        <f t="shared" si="1"/>
        <v>1591.69</v>
      </c>
      <c r="L7" s="35">
        <f t="shared" si="1"/>
        <v>1695.09</v>
      </c>
      <c r="M7" s="35">
        <f t="shared" si="1"/>
        <v>1648.79</v>
      </c>
      <c r="N7" s="35">
        <f t="shared" si="1"/>
        <v>1544.8899999999999</v>
      </c>
      <c r="O7" s="35">
        <f t="shared" si="1"/>
        <v>1436.09</v>
      </c>
      <c r="P7" s="35">
        <f t="shared" si="1"/>
        <v>1373.0900000000001</v>
      </c>
      <c r="Q7" s="35">
        <f t="shared" si="1"/>
        <v>1373.39</v>
      </c>
      <c r="R7" s="35">
        <f t="shared" si="1"/>
        <v>1400.29</v>
      </c>
      <c r="S7" s="35">
        <f t="shared" si="1"/>
        <v>1433.8899999999999</v>
      </c>
      <c r="T7" s="35">
        <f t="shared" si="1"/>
        <v>1443.29</v>
      </c>
      <c r="U7" s="35">
        <f t="shared" si="1"/>
        <v>1471.79</v>
      </c>
      <c r="V7" s="35">
        <f t="shared" si="1"/>
        <v>1301.8899999999999</v>
      </c>
      <c r="W7" s="35">
        <f t="shared" si="1"/>
        <v>1306.4899999999998</v>
      </c>
      <c r="X7" s="35">
        <f t="shared" si="1"/>
        <v>1320.0900000000001</v>
      </c>
      <c r="Y7" s="35">
        <f t="shared" si="1"/>
        <v>1807.02</v>
      </c>
      <c r="Z7" s="35">
        <f t="shared" si="1"/>
        <v>1741.79</v>
      </c>
      <c r="AA7" s="35">
        <f t="shared" si="1"/>
        <v>1704.5900000000001</v>
      </c>
      <c r="AB7" s="35">
        <f t="shared" si="1"/>
        <v>1610.8899999999999</v>
      </c>
      <c r="AC7" s="35">
        <f t="shared" si="1"/>
        <v>1487.0900000000001</v>
      </c>
      <c r="AD7" s="35">
        <f t="shared" si="1"/>
        <v>1502.8899999999999</v>
      </c>
      <c r="AE7" s="35">
        <f t="shared" si="1"/>
        <v>1333.3899999999999</v>
      </c>
      <c r="AF7" s="35">
        <f t="shared" si="1"/>
        <v>1326.79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1648.79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1648.79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30.4</v>
      </c>
      <c r="C11" s="45">
        <v>30.4</v>
      </c>
      <c r="D11" s="45">
        <v>30.4</v>
      </c>
      <c r="E11" s="45">
        <v>30.4</v>
      </c>
      <c r="F11" s="45">
        <v>30.4</v>
      </c>
      <c r="G11" s="45">
        <v>30.4</v>
      </c>
      <c r="H11" s="45">
        <v>30.4</v>
      </c>
      <c r="I11" s="45">
        <v>30.4</v>
      </c>
      <c r="J11" s="45">
        <v>30.4</v>
      </c>
      <c r="K11" s="45">
        <v>30.4</v>
      </c>
      <c r="L11" s="45">
        <v>30.4</v>
      </c>
      <c r="M11" s="45">
        <v>27.2</v>
      </c>
      <c r="N11" s="45">
        <v>27.3</v>
      </c>
      <c r="O11" s="45">
        <v>27.2</v>
      </c>
      <c r="P11" s="45">
        <v>25</v>
      </c>
      <c r="Q11" s="45">
        <v>25.2</v>
      </c>
      <c r="R11" s="45">
        <v>25.8</v>
      </c>
      <c r="S11" s="45">
        <v>25.8</v>
      </c>
      <c r="T11" s="45">
        <v>25.8</v>
      </c>
      <c r="U11" s="45">
        <v>25.8</v>
      </c>
      <c r="V11" s="45">
        <v>25.8</v>
      </c>
      <c r="W11" s="45">
        <v>25.8</v>
      </c>
      <c r="X11" s="45">
        <v>25.8</v>
      </c>
      <c r="Y11" s="45">
        <v>25.8</v>
      </c>
      <c r="Z11" s="45">
        <v>25.8</v>
      </c>
      <c r="AA11" s="45">
        <v>25.8</v>
      </c>
      <c r="AB11" s="45">
        <v>25.8</v>
      </c>
      <c r="AC11" s="45">
        <v>25.8</v>
      </c>
      <c r="AD11" s="45">
        <v>25.8</v>
      </c>
      <c r="AE11" s="45">
        <v>25.8</v>
      </c>
      <c r="AF11" s="45">
        <v>25.8</v>
      </c>
      <c r="AG11" s="46">
        <v>86</v>
      </c>
      <c r="AH11" s="47">
        <f t="shared" ref="AH11:AH16" si="2">MAX(B11:AF11)</f>
        <v>30.4</v>
      </c>
      <c r="AI11" s="48">
        <f t="shared" ref="AI11:AI16" si="3">MIN(B11:AF11)</f>
        <v>25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22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9.6999999999999993</v>
      </c>
      <c r="C13" s="45">
        <v>9.6999999999999993</v>
      </c>
      <c r="D13" s="45">
        <v>9.6999999999999993</v>
      </c>
      <c r="E13" s="45">
        <v>9.6999999999999993</v>
      </c>
      <c r="F13" s="45">
        <v>9.6999999999999993</v>
      </c>
      <c r="G13" s="45">
        <v>9.6999999999999993</v>
      </c>
      <c r="H13" s="45">
        <v>9.6999999999999993</v>
      </c>
      <c r="I13" s="45">
        <v>9.6999999999999993</v>
      </c>
      <c r="J13" s="45">
        <v>9.6999999999999993</v>
      </c>
      <c r="K13" s="45">
        <v>9.6999999999999993</v>
      </c>
      <c r="L13" s="45">
        <v>9.6999999999999993</v>
      </c>
      <c r="M13" s="45">
        <v>10</v>
      </c>
      <c r="N13" s="45">
        <v>10</v>
      </c>
      <c r="O13" s="45">
        <v>10</v>
      </c>
      <c r="P13" s="45">
        <v>10</v>
      </c>
      <c r="Q13" s="45">
        <v>10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</v>
      </c>
      <c r="AI13" s="48">
        <f t="shared" si="3"/>
        <v>9.6999999999999993</v>
      </c>
      <c r="AK13" s="50"/>
      <c r="AL13" s="157" t="str">
        <f ca="1">"Daily Load Curve(Excluding of Export) of Nepal ("&amp;A4&amp;" "&amp;B4&amp;")"</f>
        <v>Daily Load Curve(Excluding of Export) of Nepal (Nepali Date: 2080/10/22)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12.1</v>
      </c>
      <c r="C14" s="45">
        <v>12.1</v>
      </c>
      <c r="D14" s="45">
        <v>12.1</v>
      </c>
      <c r="E14" s="45">
        <v>12.1</v>
      </c>
      <c r="F14" s="45">
        <v>12.1</v>
      </c>
      <c r="G14" s="45">
        <v>12.1</v>
      </c>
      <c r="H14" s="45">
        <v>12.1</v>
      </c>
      <c r="I14" s="45">
        <v>12.1</v>
      </c>
      <c r="J14" s="45">
        <v>12.1</v>
      </c>
      <c r="K14" s="45">
        <v>12.1</v>
      </c>
      <c r="L14" s="45">
        <v>12.1</v>
      </c>
      <c r="M14" s="45">
        <v>14</v>
      </c>
      <c r="N14" s="45">
        <v>14</v>
      </c>
      <c r="O14" s="45">
        <v>14</v>
      </c>
      <c r="P14" s="45">
        <v>14</v>
      </c>
      <c r="Q14" s="45">
        <v>14</v>
      </c>
      <c r="R14" s="45">
        <v>14</v>
      </c>
      <c r="S14" s="45">
        <v>14</v>
      </c>
      <c r="T14" s="45">
        <v>14</v>
      </c>
      <c r="U14" s="45">
        <v>14</v>
      </c>
      <c r="V14" s="45">
        <v>14</v>
      </c>
      <c r="W14" s="45">
        <v>14</v>
      </c>
      <c r="X14" s="45">
        <v>14</v>
      </c>
      <c r="Y14" s="45">
        <v>14</v>
      </c>
      <c r="Z14" s="45">
        <v>14</v>
      </c>
      <c r="AA14" s="45">
        <v>14</v>
      </c>
      <c r="AB14" s="45">
        <v>14</v>
      </c>
      <c r="AC14" s="45">
        <v>14</v>
      </c>
      <c r="AD14" s="45">
        <v>14</v>
      </c>
      <c r="AE14" s="45">
        <v>14</v>
      </c>
      <c r="AF14" s="45">
        <v>14</v>
      </c>
      <c r="AG14" s="46">
        <v>52.4</v>
      </c>
      <c r="AH14" s="47">
        <f t="shared" si="2"/>
        <v>14</v>
      </c>
      <c r="AI14" s="48">
        <f t="shared" si="3"/>
        <v>12.1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25.5</v>
      </c>
      <c r="C15" s="45">
        <v>25.5</v>
      </c>
      <c r="D15" s="45">
        <v>25.5</v>
      </c>
      <c r="E15" s="45">
        <v>25.5</v>
      </c>
      <c r="F15" s="45">
        <v>25.5</v>
      </c>
      <c r="G15" s="45">
        <v>25.5</v>
      </c>
      <c r="H15" s="45">
        <v>25.5</v>
      </c>
      <c r="I15" s="45">
        <v>25.5</v>
      </c>
      <c r="J15" s="45">
        <v>25.5</v>
      </c>
      <c r="K15" s="45">
        <v>25.5</v>
      </c>
      <c r="L15" s="45">
        <v>25.5</v>
      </c>
      <c r="M15" s="45">
        <v>25.5</v>
      </c>
      <c r="N15" s="45">
        <v>25.5</v>
      </c>
      <c r="O15" s="45">
        <v>25.5</v>
      </c>
      <c r="P15" s="45">
        <v>25.5</v>
      </c>
      <c r="Q15" s="45">
        <v>25.5</v>
      </c>
      <c r="R15" s="45">
        <v>25.5</v>
      </c>
      <c r="S15" s="45">
        <v>25.5</v>
      </c>
      <c r="T15" s="45">
        <v>25.5</v>
      </c>
      <c r="U15" s="45">
        <v>25.5</v>
      </c>
      <c r="V15" s="45">
        <v>25.5</v>
      </c>
      <c r="W15" s="45">
        <v>25.5</v>
      </c>
      <c r="X15" s="45">
        <v>25.5</v>
      </c>
      <c r="Y15" s="45">
        <v>25.5</v>
      </c>
      <c r="Z15" s="45">
        <v>25.5</v>
      </c>
      <c r="AA15" s="45">
        <v>25.5</v>
      </c>
      <c r="AB15" s="45">
        <v>25.5</v>
      </c>
      <c r="AC15" s="45">
        <v>25.5</v>
      </c>
      <c r="AD15" s="45">
        <v>25.5</v>
      </c>
      <c r="AE15" s="45">
        <v>25.5</v>
      </c>
      <c r="AF15" s="45">
        <v>25.5</v>
      </c>
      <c r="AG15" s="49">
        <v>50</v>
      </c>
      <c r="AH15" s="47">
        <f t="shared" si="2"/>
        <v>25.5</v>
      </c>
      <c r="AI15" s="48">
        <f t="shared" si="3"/>
        <v>25.5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14</v>
      </c>
      <c r="C16" s="45">
        <v>14</v>
      </c>
      <c r="D16" s="45">
        <v>14</v>
      </c>
      <c r="E16" s="45">
        <v>14</v>
      </c>
      <c r="F16" s="45">
        <v>14</v>
      </c>
      <c r="G16" s="45">
        <v>14</v>
      </c>
      <c r="H16" s="45">
        <v>14</v>
      </c>
      <c r="I16" s="45">
        <v>14</v>
      </c>
      <c r="J16" s="45">
        <v>14</v>
      </c>
      <c r="K16" s="45">
        <v>14</v>
      </c>
      <c r="L16" s="45">
        <v>14</v>
      </c>
      <c r="M16" s="45">
        <v>15.4</v>
      </c>
      <c r="N16" s="45">
        <v>15.4</v>
      </c>
      <c r="O16" s="45">
        <v>15.4</v>
      </c>
      <c r="P16" s="45">
        <v>15.4</v>
      </c>
      <c r="Q16" s="45">
        <v>15.4</v>
      </c>
      <c r="R16" s="45">
        <v>15.4</v>
      </c>
      <c r="S16" s="45">
        <v>15.4</v>
      </c>
      <c r="T16" s="45">
        <v>15.4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15.4</v>
      </c>
      <c r="AE16" s="45">
        <v>15.4</v>
      </c>
      <c r="AF16" s="45">
        <v>15.4</v>
      </c>
      <c r="AG16" s="49">
        <v>45</v>
      </c>
      <c r="AH16" s="47">
        <f t="shared" si="2"/>
        <v>15.4</v>
      </c>
      <c r="AI16" s="48">
        <f t="shared" si="3"/>
        <v>14</v>
      </c>
      <c r="AK16" s="50"/>
      <c r="AL16" s="160" t="s">
        <v>7</v>
      </c>
      <c r="AM16" s="227">
        <f>B58</f>
        <v>464.05000000000007</v>
      </c>
      <c r="AN16" s="227">
        <f t="shared" ref="AN16:AR16" si="4">C58</f>
        <v>464.05000000000007</v>
      </c>
      <c r="AO16" s="227">
        <f t="shared" si="4"/>
        <v>464.05000000000007</v>
      </c>
      <c r="AP16" s="227">
        <f t="shared" si="4"/>
        <v>464.05000000000007</v>
      </c>
      <c r="AQ16" s="227">
        <f t="shared" si="4"/>
        <v>464.05000000000007</v>
      </c>
      <c r="AR16" s="227">
        <f t="shared" si="4"/>
        <v>464.05000000000007</v>
      </c>
      <c r="AS16" s="227">
        <f>I58</f>
        <v>464.05000000000007</v>
      </c>
      <c r="AT16" s="227">
        <f>K58</f>
        <v>464.05000000000007</v>
      </c>
      <c r="AU16" s="227">
        <f t="shared" ref="AU16:AX16" si="5">M58</f>
        <v>463.25000000000006</v>
      </c>
      <c r="AV16" s="227">
        <f t="shared" si="5"/>
        <v>463.35</v>
      </c>
      <c r="AW16" s="227">
        <f t="shared" si="5"/>
        <v>463.25000000000006</v>
      </c>
      <c r="AX16" s="227">
        <f t="shared" si="5"/>
        <v>461.05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41.2</v>
      </c>
      <c r="AN17" s="227">
        <f t="shared" ref="AN17:AR17" si="6">C62</f>
        <v>41.2</v>
      </c>
      <c r="AO17" s="227">
        <f t="shared" si="6"/>
        <v>41.2</v>
      </c>
      <c r="AP17" s="227">
        <f t="shared" si="6"/>
        <v>41.1</v>
      </c>
      <c r="AQ17" s="227">
        <f t="shared" si="6"/>
        <v>38.200000000000003</v>
      </c>
      <c r="AR17" s="227">
        <f t="shared" si="6"/>
        <v>38.1</v>
      </c>
      <c r="AS17" s="227">
        <f>I62</f>
        <v>38.200000000000003</v>
      </c>
      <c r="AT17" s="227">
        <f>K62</f>
        <v>143.19999999999999</v>
      </c>
      <c r="AU17" s="227">
        <f t="shared" ref="AU17:AX17" si="7">M62</f>
        <v>443.2</v>
      </c>
      <c r="AV17" s="227">
        <f t="shared" si="7"/>
        <v>432.2</v>
      </c>
      <c r="AW17" s="227">
        <f t="shared" si="7"/>
        <v>37.200000000000003</v>
      </c>
      <c r="AX17" s="227">
        <f t="shared" si="7"/>
        <v>37.200000000000003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6.6</v>
      </c>
      <c r="C18" s="45">
        <v>6.6</v>
      </c>
      <c r="D18" s="45">
        <v>6.6</v>
      </c>
      <c r="E18" s="45">
        <v>6.6</v>
      </c>
      <c r="F18" s="45">
        <v>6.6</v>
      </c>
      <c r="G18" s="45">
        <v>6.6</v>
      </c>
      <c r="H18" s="45">
        <v>6.6</v>
      </c>
      <c r="I18" s="45">
        <v>6.6</v>
      </c>
      <c r="J18" s="45">
        <v>6.6</v>
      </c>
      <c r="K18" s="45">
        <v>6.6</v>
      </c>
      <c r="L18" s="45">
        <v>6.6</v>
      </c>
      <c r="M18" s="45">
        <v>6</v>
      </c>
      <c r="N18" s="45">
        <v>6</v>
      </c>
      <c r="O18" s="45">
        <v>6</v>
      </c>
      <c r="P18" s="45">
        <v>6</v>
      </c>
      <c r="Q18" s="45">
        <v>6</v>
      </c>
      <c r="R18" s="45">
        <v>6</v>
      </c>
      <c r="S18" s="45">
        <v>6</v>
      </c>
      <c r="T18" s="45">
        <v>6</v>
      </c>
      <c r="U18" s="45">
        <v>6</v>
      </c>
      <c r="V18" s="45">
        <v>6</v>
      </c>
      <c r="W18" s="45">
        <v>6</v>
      </c>
      <c r="X18" s="45">
        <v>6</v>
      </c>
      <c r="Y18" s="45">
        <v>6</v>
      </c>
      <c r="Z18" s="45">
        <v>6</v>
      </c>
      <c r="AA18" s="45">
        <v>6</v>
      </c>
      <c r="AB18" s="45">
        <v>6</v>
      </c>
      <c r="AC18" s="45">
        <v>6</v>
      </c>
      <c r="AD18" s="45">
        <v>6</v>
      </c>
      <c r="AE18" s="45">
        <v>6</v>
      </c>
      <c r="AF18" s="45">
        <v>6</v>
      </c>
      <c r="AG18" s="49">
        <v>42</v>
      </c>
      <c r="AH18" s="47">
        <f t="shared" ref="AH18:AH81" si="8">MAX(B18:AF18)</f>
        <v>6.6</v>
      </c>
      <c r="AI18" s="48">
        <f t="shared" ref="AI18:AI81" si="9">MIN(B18:AF18)</f>
        <v>6</v>
      </c>
      <c r="AK18" s="50"/>
      <c r="AL18" s="160" t="s">
        <v>593</v>
      </c>
      <c r="AM18" s="227">
        <f>B76</f>
        <v>110.94</v>
      </c>
      <c r="AN18" s="227">
        <f t="shared" ref="AN18:AR18" si="10">C76</f>
        <v>110.94</v>
      </c>
      <c r="AO18" s="227">
        <f t="shared" si="10"/>
        <v>111.74000000000001</v>
      </c>
      <c r="AP18" s="227">
        <f t="shared" si="10"/>
        <v>106.14000000000001</v>
      </c>
      <c r="AQ18" s="227">
        <f t="shared" si="10"/>
        <v>115.84</v>
      </c>
      <c r="AR18" s="227">
        <f t="shared" si="10"/>
        <v>197.43999999999997</v>
      </c>
      <c r="AS18" s="227">
        <f>I76</f>
        <v>278.54000000000002</v>
      </c>
      <c r="AT18" s="227">
        <f>K76</f>
        <v>297.74</v>
      </c>
      <c r="AU18" s="227">
        <f t="shared" ref="AU18:AX18" si="11">M76</f>
        <v>334.94000000000005</v>
      </c>
      <c r="AV18" s="227">
        <f t="shared" si="11"/>
        <v>253.83999999999997</v>
      </c>
      <c r="AW18" s="227">
        <f t="shared" si="11"/>
        <v>227.93999999999997</v>
      </c>
      <c r="AX18" s="227">
        <f t="shared" si="11"/>
        <v>211.63999999999996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621.90000000000009</v>
      </c>
      <c r="AN19" s="227">
        <f t="shared" ref="AN19:AR19" si="12">C92</f>
        <v>635.10000000000014</v>
      </c>
      <c r="AO19" s="227">
        <f t="shared" si="12"/>
        <v>591.70000000000005</v>
      </c>
      <c r="AP19" s="227">
        <f t="shared" si="12"/>
        <v>592.40000000000009</v>
      </c>
      <c r="AQ19" s="227">
        <f t="shared" si="12"/>
        <v>568</v>
      </c>
      <c r="AR19" s="227">
        <f t="shared" si="12"/>
        <v>506.5</v>
      </c>
      <c r="AS19" s="227">
        <f>I92</f>
        <v>580.40000000000009</v>
      </c>
      <c r="AT19" s="227">
        <f>K92</f>
        <v>536.70000000000005</v>
      </c>
      <c r="AU19" s="227">
        <f t="shared" ref="AU19:AX19" si="13">M92</f>
        <v>157.39999999999998</v>
      </c>
      <c r="AV19" s="227">
        <f t="shared" si="13"/>
        <v>145.5</v>
      </c>
      <c r="AW19" s="227">
        <f t="shared" si="13"/>
        <v>507.7</v>
      </c>
      <c r="AX19" s="227">
        <f t="shared" si="13"/>
        <v>663.2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150</v>
      </c>
      <c r="AU21" s="227">
        <f t="shared" ref="AU21:AX21" si="17">M98</f>
        <v>250</v>
      </c>
      <c r="AV21" s="227">
        <f t="shared" si="17"/>
        <v>250</v>
      </c>
      <c r="AW21" s="227">
        <f t="shared" si="17"/>
        <v>200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</v>
      </c>
      <c r="C22" s="45">
        <v>7</v>
      </c>
      <c r="D22" s="45">
        <v>7</v>
      </c>
      <c r="E22" s="45">
        <v>7</v>
      </c>
      <c r="F22" s="45">
        <v>7</v>
      </c>
      <c r="G22" s="45">
        <v>7</v>
      </c>
      <c r="H22" s="45">
        <v>7</v>
      </c>
      <c r="I22" s="45">
        <v>7</v>
      </c>
      <c r="J22" s="45">
        <v>7</v>
      </c>
      <c r="K22" s="45">
        <v>7</v>
      </c>
      <c r="L22" s="45">
        <v>7</v>
      </c>
      <c r="M22" s="45">
        <v>7.2</v>
      </c>
      <c r="N22" s="45">
        <v>7.2</v>
      </c>
      <c r="O22" s="45">
        <v>7.2</v>
      </c>
      <c r="P22" s="45">
        <v>7.2</v>
      </c>
      <c r="Q22" s="45">
        <v>7.2</v>
      </c>
      <c r="R22" s="45">
        <v>7.2</v>
      </c>
      <c r="S22" s="45">
        <v>7.2</v>
      </c>
      <c r="T22" s="45">
        <v>7.2</v>
      </c>
      <c r="U22" s="45">
        <v>7.2</v>
      </c>
      <c r="V22" s="45">
        <v>7.2</v>
      </c>
      <c r="W22" s="45">
        <v>7.2</v>
      </c>
      <c r="X22" s="45">
        <v>7.2</v>
      </c>
      <c r="Y22" s="45">
        <v>7.2</v>
      </c>
      <c r="Z22" s="45">
        <v>7.2</v>
      </c>
      <c r="AA22" s="45">
        <v>7.2</v>
      </c>
      <c r="AB22" s="45">
        <v>7.2</v>
      </c>
      <c r="AC22" s="45">
        <v>7.2</v>
      </c>
      <c r="AD22" s="45">
        <v>7.2</v>
      </c>
      <c r="AE22" s="45">
        <v>7.2</v>
      </c>
      <c r="AF22" s="45">
        <v>7.2</v>
      </c>
      <c r="AG22" s="52">
        <v>30</v>
      </c>
      <c r="AH22" s="47">
        <f t="shared" si="8"/>
        <v>7.2</v>
      </c>
      <c r="AI22" s="48">
        <f t="shared" si="9"/>
        <v>7</v>
      </c>
      <c r="AK22" s="50"/>
      <c r="AL22" s="229" t="s">
        <v>597</v>
      </c>
      <c r="AM22" s="228">
        <f>SUM(AM16:AM21)</f>
        <v>1238.0900000000001</v>
      </c>
      <c r="AN22" s="228">
        <f t="shared" ref="AN22:AX22" si="18">SUM(AN16:AN21)</f>
        <v>1251.2900000000002</v>
      </c>
      <c r="AO22" s="228">
        <f t="shared" si="18"/>
        <v>1208.69</v>
      </c>
      <c r="AP22" s="228">
        <f t="shared" si="18"/>
        <v>1203.69</v>
      </c>
      <c r="AQ22" s="228">
        <f t="shared" si="18"/>
        <v>1186.0900000000001</v>
      </c>
      <c r="AR22" s="228">
        <f t="shared" si="18"/>
        <v>1206.0900000000001</v>
      </c>
      <c r="AS22" s="228">
        <f t="shared" si="18"/>
        <v>1361.19</v>
      </c>
      <c r="AT22" s="228">
        <f t="shared" si="18"/>
        <v>1591.69</v>
      </c>
      <c r="AU22" s="228">
        <f t="shared" si="18"/>
        <v>1648.79</v>
      </c>
      <c r="AV22" s="228">
        <f t="shared" si="18"/>
        <v>1544.8899999999999</v>
      </c>
      <c r="AW22" s="228">
        <f t="shared" si="18"/>
        <v>1436.09</v>
      </c>
      <c r="AX22" s="228">
        <f t="shared" si="18"/>
        <v>1373.0900000000001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6.8</v>
      </c>
      <c r="C24" s="45">
        <v>6.8</v>
      </c>
      <c r="D24" s="45">
        <v>6.8</v>
      </c>
      <c r="E24" s="45">
        <v>6.8</v>
      </c>
      <c r="F24" s="45">
        <v>6.8</v>
      </c>
      <c r="G24" s="45">
        <v>6.8</v>
      </c>
      <c r="H24" s="45">
        <v>6.8</v>
      </c>
      <c r="I24" s="45">
        <v>6.8</v>
      </c>
      <c r="J24" s="45">
        <v>6.8</v>
      </c>
      <c r="K24" s="45">
        <v>6.8</v>
      </c>
      <c r="L24" s="45">
        <v>6.8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6.7</v>
      </c>
      <c r="X24" s="45">
        <v>6.7</v>
      </c>
      <c r="Y24" s="45">
        <v>6.7</v>
      </c>
      <c r="Z24" s="45">
        <v>6.7</v>
      </c>
      <c r="AA24" s="45">
        <v>6.7</v>
      </c>
      <c r="AB24" s="45">
        <v>6.7</v>
      </c>
      <c r="AC24" s="45">
        <v>6.7</v>
      </c>
      <c r="AD24" s="45">
        <v>6.7</v>
      </c>
      <c r="AE24" s="45">
        <v>6.7</v>
      </c>
      <c r="AF24" s="45">
        <v>6.7</v>
      </c>
      <c r="AG24" s="49">
        <v>28</v>
      </c>
      <c r="AH24" s="47">
        <f t="shared" si="8"/>
        <v>6.8</v>
      </c>
      <c r="AI24" s="48">
        <f t="shared" si="9"/>
        <v>6.7</v>
      </c>
      <c r="AK24" s="50"/>
      <c r="AL24" s="229" t="s">
        <v>598</v>
      </c>
      <c r="AM24" s="228">
        <f>AM22+AM23</f>
        <v>1238.0900000000001</v>
      </c>
      <c r="AN24" s="228">
        <f t="shared" ref="AN24:AX24" si="21">AN22+AN23</f>
        <v>1251.2900000000002</v>
      </c>
      <c r="AO24" s="228">
        <f t="shared" si="21"/>
        <v>1208.69</v>
      </c>
      <c r="AP24" s="228">
        <f t="shared" si="21"/>
        <v>1203.69</v>
      </c>
      <c r="AQ24" s="228">
        <f t="shared" si="21"/>
        <v>1186.0900000000001</v>
      </c>
      <c r="AR24" s="228">
        <f t="shared" si="21"/>
        <v>1206.0900000000001</v>
      </c>
      <c r="AS24" s="228">
        <f t="shared" si="21"/>
        <v>1361.19</v>
      </c>
      <c r="AT24" s="228">
        <f t="shared" si="21"/>
        <v>1591.69</v>
      </c>
      <c r="AU24" s="228">
        <f t="shared" si="21"/>
        <v>1648.79</v>
      </c>
      <c r="AV24" s="228">
        <f t="shared" si="21"/>
        <v>1544.8899999999999</v>
      </c>
      <c r="AW24" s="228">
        <f t="shared" si="21"/>
        <v>1436.09</v>
      </c>
      <c r="AX24" s="228">
        <f t="shared" si="21"/>
        <v>1373.0900000000001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6.1</v>
      </c>
      <c r="C25" s="45">
        <v>6.1</v>
      </c>
      <c r="D25" s="45">
        <v>6.1</v>
      </c>
      <c r="E25" s="45">
        <v>6.1</v>
      </c>
      <c r="F25" s="45">
        <v>6.1</v>
      </c>
      <c r="G25" s="45">
        <v>6.1</v>
      </c>
      <c r="H25" s="45">
        <v>6.1</v>
      </c>
      <c r="I25" s="45">
        <v>6.1</v>
      </c>
      <c r="J25" s="45">
        <v>6.1</v>
      </c>
      <c r="K25" s="45">
        <v>6.1</v>
      </c>
      <c r="L25" s="45">
        <v>6.1</v>
      </c>
      <c r="M25" s="45">
        <v>5.4</v>
      </c>
      <c r="N25" s="45">
        <v>5.4</v>
      </c>
      <c r="O25" s="45">
        <v>5.4</v>
      </c>
      <c r="P25" s="45">
        <v>5.4</v>
      </c>
      <c r="Q25" s="45">
        <v>5.4</v>
      </c>
      <c r="R25" s="45">
        <v>5.4</v>
      </c>
      <c r="S25" s="45">
        <v>5.4</v>
      </c>
      <c r="T25" s="45">
        <v>5.4</v>
      </c>
      <c r="U25" s="45">
        <v>5.4</v>
      </c>
      <c r="V25" s="45">
        <v>5.4</v>
      </c>
      <c r="W25" s="45">
        <v>5.4</v>
      </c>
      <c r="X25" s="45">
        <v>5.4</v>
      </c>
      <c r="Y25" s="45">
        <v>5.4</v>
      </c>
      <c r="Z25" s="45">
        <v>5.4</v>
      </c>
      <c r="AA25" s="45">
        <v>5.4</v>
      </c>
      <c r="AB25" s="45">
        <v>5.4</v>
      </c>
      <c r="AC25" s="45">
        <v>5.4</v>
      </c>
      <c r="AD25" s="45">
        <v>5.4</v>
      </c>
      <c r="AE25" s="45">
        <v>5.4</v>
      </c>
      <c r="AF25" s="45">
        <v>5.4</v>
      </c>
      <c r="AG25" s="52">
        <v>30</v>
      </c>
      <c r="AH25" s="47">
        <f t="shared" si="8"/>
        <v>6.1</v>
      </c>
      <c r="AI25" s="48">
        <f t="shared" si="9"/>
        <v>5.4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8.3000000000000007</v>
      </c>
      <c r="C26" s="45">
        <v>8.3000000000000007</v>
      </c>
      <c r="D26" s="45">
        <v>8.3000000000000007</v>
      </c>
      <c r="E26" s="45">
        <v>8.3000000000000007</v>
      </c>
      <c r="F26" s="45">
        <v>8.3000000000000007</v>
      </c>
      <c r="G26" s="45">
        <v>8.3000000000000007</v>
      </c>
      <c r="H26" s="45">
        <v>8.3000000000000007</v>
      </c>
      <c r="I26" s="45">
        <v>8.3000000000000007</v>
      </c>
      <c r="J26" s="45">
        <v>8.3000000000000007</v>
      </c>
      <c r="K26" s="45">
        <v>8.3000000000000007</v>
      </c>
      <c r="L26" s="45">
        <v>8.3000000000000007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8.3000000000000007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8.3000000000000007</v>
      </c>
      <c r="X26" s="45">
        <v>8.3000000000000007</v>
      </c>
      <c r="Y26" s="45">
        <v>8.3000000000000007</v>
      </c>
      <c r="Z26" s="45">
        <v>8.3000000000000007</v>
      </c>
      <c r="AA26" s="45">
        <v>8.3000000000000007</v>
      </c>
      <c r="AB26" s="45">
        <v>8.3000000000000007</v>
      </c>
      <c r="AC26" s="45">
        <v>8.3000000000000007</v>
      </c>
      <c r="AD26" s="45">
        <v>8.3000000000000007</v>
      </c>
      <c r="AE26" s="45">
        <v>8.3000000000000007</v>
      </c>
      <c r="AF26" s="45">
        <v>8.3000000000000007</v>
      </c>
      <c r="AG26" s="49">
        <v>25</v>
      </c>
      <c r="AH26" s="47">
        <f t="shared" si="8"/>
        <v>8.3000000000000007</v>
      </c>
      <c r="AI26" s="48">
        <f t="shared" si="9"/>
        <v>8.3000000000000007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6.8</v>
      </c>
      <c r="C29" s="45">
        <v>6.8</v>
      </c>
      <c r="D29" s="45">
        <v>6.8</v>
      </c>
      <c r="E29" s="45">
        <v>6.8</v>
      </c>
      <c r="F29" s="45">
        <v>6.8</v>
      </c>
      <c r="G29" s="45">
        <v>6.8</v>
      </c>
      <c r="H29" s="45">
        <v>6.8</v>
      </c>
      <c r="I29" s="45">
        <v>6.8</v>
      </c>
      <c r="J29" s="45">
        <v>6.8</v>
      </c>
      <c r="K29" s="45">
        <v>6.8</v>
      </c>
      <c r="L29" s="45">
        <v>6.8</v>
      </c>
      <c r="M29" s="45">
        <v>6.8</v>
      </c>
      <c r="N29" s="45">
        <v>6.8</v>
      </c>
      <c r="O29" s="45">
        <v>6.8</v>
      </c>
      <c r="P29" s="45">
        <v>6.8</v>
      </c>
      <c r="Q29" s="45">
        <v>6.8</v>
      </c>
      <c r="R29" s="45">
        <v>6.8</v>
      </c>
      <c r="S29" s="45">
        <v>6.8</v>
      </c>
      <c r="T29" s="45">
        <v>6.8</v>
      </c>
      <c r="U29" s="45">
        <v>6.8</v>
      </c>
      <c r="V29" s="45">
        <v>6.8</v>
      </c>
      <c r="W29" s="45">
        <v>6.8</v>
      </c>
      <c r="X29" s="45">
        <v>6.8</v>
      </c>
      <c r="Y29" s="45">
        <v>6.8</v>
      </c>
      <c r="Z29" s="45">
        <v>6.8</v>
      </c>
      <c r="AA29" s="45">
        <v>6.8</v>
      </c>
      <c r="AB29" s="45">
        <v>6.8</v>
      </c>
      <c r="AC29" s="45">
        <v>6.8</v>
      </c>
      <c r="AD29" s="45">
        <v>6.8</v>
      </c>
      <c r="AE29" s="45">
        <v>6.8</v>
      </c>
      <c r="AF29" s="45">
        <v>6.8</v>
      </c>
      <c r="AG29" s="49">
        <v>25</v>
      </c>
      <c r="AH29" s="47">
        <f t="shared" si="8"/>
        <v>6.8</v>
      </c>
      <c r="AI29" s="48">
        <f t="shared" si="9"/>
        <v>6.8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>
        <v>6.9</v>
      </c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6.9</v>
      </c>
      <c r="X30" s="45">
        <v>6.9</v>
      </c>
      <c r="Y30" s="45">
        <v>6.9</v>
      </c>
      <c r="Z30" s="45">
        <v>6.9</v>
      </c>
      <c r="AA30" s="45">
        <v>6.9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9.3000000000000007</v>
      </c>
      <c r="C34" s="45">
        <v>9.3000000000000007</v>
      </c>
      <c r="D34" s="45">
        <v>9.3000000000000007</v>
      </c>
      <c r="E34" s="45">
        <v>9.3000000000000007</v>
      </c>
      <c r="F34" s="45">
        <v>9.3000000000000007</v>
      </c>
      <c r="G34" s="45">
        <v>9.3000000000000007</v>
      </c>
      <c r="H34" s="45">
        <v>9.3000000000000007</v>
      </c>
      <c r="I34" s="45">
        <v>9.3000000000000007</v>
      </c>
      <c r="J34" s="45">
        <v>9.3000000000000007</v>
      </c>
      <c r="K34" s="45">
        <v>9.3000000000000007</v>
      </c>
      <c r="L34" s="45">
        <v>9.3000000000000007</v>
      </c>
      <c r="M34" s="45">
        <v>9.3000000000000007</v>
      </c>
      <c r="N34" s="45">
        <v>9.3000000000000007</v>
      </c>
      <c r="O34" s="45">
        <v>9.3000000000000007</v>
      </c>
      <c r="P34" s="45">
        <v>9.3000000000000007</v>
      </c>
      <c r="Q34" s="45">
        <v>9.3000000000000007</v>
      </c>
      <c r="R34" s="45">
        <v>9.3000000000000007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9.3000000000000007</v>
      </c>
      <c r="X34" s="45">
        <v>9.3000000000000007</v>
      </c>
      <c r="Y34" s="45">
        <v>9.3000000000000007</v>
      </c>
      <c r="Z34" s="45">
        <v>9.3000000000000007</v>
      </c>
      <c r="AA34" s="45">
        <v>9.3000000000000007</v>
      </c>
      <c r="AB34" s="45">
        <v>9.3000000000000007</v>
      </c>
      <c r="AC34" s="45">
        <v>9.3000000000000007</v>
      </c>
      <c r="AD34" s="45">
        <v>9.3000000000000007</v>
      </c>
      <c r="AE34" s="45">
        <v>9.3000000000000007</v>
      </c>
      <c r="AF34" s="45">
        <v>9.3000000000000007</v>
      </c>
      <c r="AG34" s="49">
        <v>22</v>
      </c>
      <c r="AH34" s="47">
        <f t="shared" si="8"/>
        <v>9.3000000000000007</v>
      </c>
      <c r="AI34" s="48">
        <f t="shared" si="9"/>
        <v>9.3000000000000007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17</v>
      </c>
      <c r="C57" s="57">
        <v>17</v>
      </c>
      <c r="D57" s="57">
        <v>17</v>
      </c>
      <c r="E57" s="57">
        <f>6.4+14.6</f>
        <v>21</v>
      </c>
      <c r="F57" s="57">
        <f>6.7+15.4</f>
        <v>22.1</v>
      </c>
      <c r="G57" s="57">
        <f>6.8+15.6</f>
        <v>22.4</v>
      </c>
      <c r="H57" s="57">
        <f>6.6+14.8</f>
        <v>21.4</v>
      </c>
      <c r="I57" s="57">
        <f>6.3+14.3</f>
        <v>20.6</v>
      </c>
      <c r="J57" s="57">
        <f>5.8+13</f>
        <v>18.8</v>
      </c>
      <c r="K57" s="51">
        <f>5.7+13</f>
        <v>18.7</v>
      </c>
      <c r="L57" s="51">
        <f>5.3+12.7</f>
        <v>18</v>
      </c>
      <c r="M57" s="51">
        <v>17.600000000000001</v>
      </c>
      <c r="N57" s="51">
        <f>14.4+5.3</f>
        <v>19.7</v>
      </c>
      <c r="O57" s="51">
        <f>15.6+6.6</f>
        <v>22.2</v>
      </c>
      <c r="P57" s="51">
        <f>13.3+5.7</f>
        <v>19</v>
      </c>
      <c r="Q57" s="51">
        <f>13.9+6.1</f>
        <v>20</v>
      </c>
      <c r="R57" s="51">
        <f t="shared" ref="R57:AA57" si="22">14.7+6.4</f>
        <v>21.1</v>
      </c>
      <c r="S57" s="51">
        <f t="shared" si="22"/>
        <v>21.1</v>
      </c>
      <c r="T57" s="51">
        <f t="shared" si="22"/>
        <v>21.1</v>
      </c>
      <c r="U57" s="51">
        <f t="shared" si="22"/>
        <v>21.1</v>
      </c>
      <c r="V57" s="51">
        <f t="shared" si="22"/>
        <v>21.1</v>
      </c>
      <c r="W57" s="51">
        <f t="shared" si="22"/>
        <v>21.1</v>
      </c>
      <c r="X57" s="51">
        <f t="shared" si="22"/>
        <v>21.1</v>
      </c>
      <c r="Y57" s="51">
        <f t="shared" si="22"/>
        <v>21.1</v>
      </c>
      <c r="Z57" s="51">
        <f t="shared" si="22"/>
        <v>21.1</v>
      </c>
      <c r="AA57" s="51">
        <f t="shared" si="22"/>
        <v>21.1</v>
      </c>
      <c r="AB57" s="51">
        <v>16</v>
      </c>
      <c r="AC57" s="51">
        <v>16</v>
      </c>
      <c r="AD57" s="51">
        <v>16</v>
      </c>
      <c r="AE57" s="51">
        <v>18.7</v>
      </c>
      <c r="AF57" s="51">
        <v>18.7</v>
      </c>
      <c r="AG57" s="55">
        <v>240</v>
      </c>
      <c r="AH57" s="47">
        <f t="shared" si="8"/>
        <v>22.4</v>
      </c>
      <c r="AI57" s="48">
        <f t="shared" si="9"/>
        <v>16</v>
      </c>
      <c r="AK57" s="50"/>
    </row>
    <row r="58" spans="1:88" ht="15.75" thickBot="1" x14ac:dyDescent="0.3">
      <c r="A58" s="59" t="s">
        <v>58</v>
      </c>
      <c r="B58" s="60">
        <f t="shared" ref="B58:C58" si="23">SUM(B11:B56)</f>
        <v>464.05000000000007</v>
      </c>
      <c r="C58" s="60">
        <f t="shared" si="23"/>
        <v>464.05000000000007</v>
      </c>
      <c r="D58" s="60">
        <f t="shared" ref="D58" si="24">SUM(D11:D56)</f>
        <v>464.05000000000007</v>
      </c>
      <c r="E58" s="60">
        <f t="shared" ref="E58:AF58" si="25">SUM(E11:E56)</f>
        <v>464.05000000000007</v>
      </c>
      <c r="F58" s="60">
        <f t="shared" si="25"/>
        <v>464.05000000000007</v>
      </c>
      <c r="G58" s="60">
        <f t="shared" si="25"/>
        <v>464.05000000000007</v>
      </c>
      <c r="H58" s="60">
        <f t="shared" si="25"/>
        <v>464.05000000000007</v>
      </c>
      <c r="I58" s="60">
        <f t="shared" si="25"/>
        <v>464.05000000000007</v>
      </c>
      <c r="J58" s="60">
        <f t="shared" si="25"/>
        <v>464.05000000000007</v>
      </c>
      <c r="K58" s="60">
        <f t="shared" si="25"/>
        <v>464.05000000000007</v>
      </c>
      <c r="L58" s="60">
        <f t="shared" si="25"/>
        <v>464.05000000000007</v>
      </c>
      <c r="M58" s="60">
        <f t="shared" si="25"/>
        <v>463.25000000000006</v>
      </c>
      <c r="N58" s="60">
        <f t="shared" si="25"/>
        <v>463.35</v>
      </c>
      <c r="O58" s="60">
        <f t="shared" si="25"/>
        <v>463.25000000000006</v>
      </c>
      <c r="P58" s="60">
        <f t="shared" si="25"/>
        <v>461.05</v>
      </c>
      <c r="Q58" s="60">
        <f t="shared" si="25"/>
        <v>461.25000000000006</v>
      </c>
      <c r="R58" s="60">
        <f t="shared" si="25"/>
        <v>461.85</v>
      </c>
      <c r="S58" s="60">
        <f t="shared" ref="S58:T58" si="26">SUM(S11:S56)</f>
        <v>461.85</v>
      </c>
      <c r="T58" s="60">
        <f t="shared" si="26"/>
        <v>461.85</v>
      </c>
      <c r="U58" s="60">
        <f t="shared" ref="U58:V58" si="27">SUM(U11:U56)</f>
        <v>461.85</v>
      </c>
      <c r="V58" s="60">
        <f t="shared" si="27"/>
        <v>461.85</v>
      </c>
      <c r="W58" s="60">
        <f t="shared" ref="W58:Y58" si="28">SUM(W11:W56)</f>
        <v>461.85</v>
      </c>
      <c r="X58" s="60">
        <f t="shared" si="28"/>
        <v>461.85</v>
      </c>
      <c r="Y58" s="60">
        <f t="shared" si="28"/>
        <v>461.85</v>
      </c>
      <c r="Z58" s="60">
        <f t="shared" ref="Z58" si="29">SUM(Z11:Z56)</f>
        <v>461.85</v>
      </c>
      <c r="AA58" s="60">
        <f t="shared" ref="AA58" si="30">SUM(AA11:AA56)</f>
        <v>461.85</v>
      </c>
      <c r="AB58" s="60">
        <f t="shared" si="25"/>
        <v>461.85</v>
      </c>
      <c r="AC58" s="60">
        <f t="shared" si="25"/>
        <v>461.85</v>
      </c>
      <c r="AD58" s="60">
        <f t="shared" si="25"/>
        <v>461.85</v>
      </c>
      <c r="AE58" s="60">
        <f t="shared" si="25"/>
        <v>461.85</v>
      </c>
      <c r="AF58" s="60">
        <f t="shared" si="25"/>
        <v>461.85</v>
      </c>
      <c r="AG58" s="61">
        <f>SUM(AG14:AG56)</f>
        <v>1042.4000000000001</v>
      </c>
      <c r="AH58" s="47">
        <f t="shared" si="8"/>
        <v>464.05000000000007</v>
      </c>
      <c r="AI58" s="48">
        <f t="shared" si="9"/>
        <v>461.05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150</v>
      </c>
      <c r="K59" s="45">
        <v>105</v>
      </c>
      <c r="L59" s="45">
        <v>225</v>
      </c>
      <c r="M59" s="45">
        <v>405</v>
      </c>
      <c r="N59" s="63">
        <v>395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35</v>
      </c>
      <c r="V59" s="63">
        <v>15</v>
      </c>
      <c r="W59" s="63">
        <v>15</v>
      </c>
      <c r="X59" s="63">
        <v>0</v>
      </c>
      <c r="Y59" s="63">
        <v>210</v>
      </c>
      <c r="Z59" s="63">
        <v>220</v>
      </c>
      <c r="AA59" s="63">
        <v>320</v>
      </c>
      <c r="AB59" s="63">
        <v>280</v>
      </c>
      <c r="AC59" s="63">
        <v>180</v>
      </c>
      <c r="AD59" s="45">
        <v>130</v>
      </c>
      <c r="AE59" s="45">
        <v>20</v>
      </c>
      <c r="AF59" s="45">
        <v>0</v>
      </c>
      <c r="AG59" s="52">
        <v>456</v>
      </c>
      <c r="AH59" s="47">
        <f t="shared" si="8"/>
        <v>405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14.2</v>
      </c>
      <c r="C61" s="67">
        <v>14.2</v>
      </c>
      <c r="D61" s="67">
        <v>14.2</v>
      </c>
      <c r="E61" s="67">
        <v>14.1</v>
      </c>
      <c r="F61" s="67">
        <v>11.2</v>
      </c>
      <c r="G61" s="67">
        <v>11.1</v>
      </c>
      <c r="H61" s="67">
        <v>11.2</v>
      </c>
      <c r="I61" s="67">
        <v>11.2</v>
      </c>
      <c r="J61" s="67">
        <v>11.1</v>
      </c>
      <c r="K61" s="67">
        <v>11.2</v>
      </c>
      <c r="L61" s="67">
        <v>11.2</v>
      </c>
      <c r="M61" s="67">
        <v>11.2</v>
      </c>
      <c r="N61" s="67">
        <v>10.199999999999999</v>
      </c>
      <c r="O61" s="67">
        <v>10.199999999999999</v>
      </c>
      <c r="P61" s="67">
        <v>10.199999999999999</v>
      </c>
      <c r="Q61" s="67">
        <v>10.199999999999999</v>
      </c>
      <c r="R61" s="67">
        <v>7</v>
      </c>
      <c r="S61" s="67">
        <v>7</v>
      </c>
      <c r="T61" s="67">
        <v>7</v>
      </c>
      <c r="U61" s="67">
        <v>7</v>
      </c>
      <c r="V61" s="67">
        <v>7</v>
      </c>
      <c r="W61" s="67">
        <v>7</v>
      </c>
      <c r="X61" s="67">
        <v>7</v>
      </c>
      <c r="Y61" s="67">
        <v>13.1</v>
      </c>
      <c r="Z61" s="67">
        <v>13.1</v>
      </c>
      <c r="AA61" s="67">
        <v>13.1</v>
      </c>
      <c r="AB61" s="67">
        <v>9.5</v>
      </c>
      <c r="AC61" s="67">
        <v>9.5</v>
      </c>
      <c r="AD61" s="67">
        <v>9.5</v>
      </c>
      <c r="AE61" s="67">
        <v>9.5</v>
      </c>
      <c r="AF61" s="67">
        <v>9.5</v>
      </c>
      <c r="AG61" s="68">
        <v>22.1</v>
      </c>
      <c r="AH61" s="47">
        <f t="shared" si="8"/>
        <v>14.2</v>
      </c>
      <c r="AI61" s="48">
        <f t="shared" si="9"/>
        <v>7</v>
      </c>
      <c r="AK61" s="50"/>
    </row>
    <row r="62" spans="1:88" ht="15.75" thickBot="1" x14ac:dyDescent="0.3">
      <c r="A62" s="69" t="s">
        <v>62</v>
      </c>
      <c r="B62" s="60">
        <f t="shared" ref="B62:C62" si="31">SUM(B59:B61)</f>
        <v>41.2</v>
      </c>
      <c r="C62" s="60">
        <f t="shared" si="31"/>
        <v>41.2</v>
      </c>
      <c r="D62" s="60">
        <f t="shared" ref="D62" si="32">SUM(D59:D61)</f>
        <v>41.2</v>
      </c>
      <c r="E62" s="60">
        <f t="shared" ref="E62:AG62" si="33">SUM(E59:E61)</f>
        <v>41.1</v>
      </c>
      <c r="F62" s="60">
        <f t="shared" si="33"/>
        <v>38.200000000000003</v>
      </c>
      <c r="G62" s="60">
        <f t="shared" si="33"/>
        <v>38.1</v>
      </c>
      <c r="H62" s="60">
        <f t="shared" si="33"/>
        <v>38.200000000000003</v>
      </c>
      <c r="I62" s="60">
        <f t="shared" si="33"/>
        <v>38.200000000000003</v>
      </c>
      <c r="J62" s="60">
        <f t="shared" si="33"/>
        <v>188.1</v>
      </c>
      <c r="K62" s="60">
        <f t="shared" si="33"/>
        <v>143.19999999999999</v>
      </c>
      <c r="L62" s="60">
        <f t="shared" si="33"/>
        <v>263.2</v>
      </c>
      <c r="M62" s="60">
        <f t="shared" si="33"/>
        <v>443.2</v>
      </c>
      <c r="N62" s="60">
        <f t="shared" si="33"/>
        <v>432.2</v>
      </c>
      <c r="O62" s="60">
        <f t="shared" si="33"/>
        <v>37.200000000000003</v>
      </c>
      <c r="P62" s="60">
        <f t="shared" si="33"/>
        <v>37.200000000000003</v>
      </c>
      <c r="Q62" s="60">
        <f t="shared" si="33"/>
        <v>37.200000000000003</v>
      </c>
      <c r="R62" s="60">
        <f t="shared" si="33"/>
        <v>34</v>
      </c>
      <c r="S62" s="60">
        <f t="shared" ref="S62:T62" si="34">SUM(S59:S61)</f>
        <v>34</v>
      </c>
      <c r="T62" s="60">
        <f t="shared" si="34"/>
        <v>34</v>
      </c>
      <c r="U62" s="60">
        <f t="shared" ref="U62:V62" si="35">SUM(U59:U61)</f>
        <v>69</v>
      </c>
      <c r="V62" s="60">
        <f t="shared" si="35"/>
        <v>49</v>
      </c>
      <c r="W62" s="60">
        <f t="shared" ref="W62:Y62" si="36">SUM(W59:W61)</f>
        <v>49</v>
      </c>
      <c r="X62" s="60">
        <f t="shared" si="36"/>
        <v>34</v>
      </c>
      <c r="Y62" s="60">
        <f t="shared" si="36"/>
        <v>250.1</v>
      </c>
      <c r="Z62" s="60">
        <f t="shared" ref="Z62" si="37">SUM(Z59:Z61)</f>
        <v>260.10000000000002</v>
      </c>
      <c r="AA62" s="60">
        <f t="shared" ref="AA62" si="38">SUM(AA59:AA61)</f>
        <v>360.1</v>
      </c>
      <c r="AB62" s="60">
        <f t="shared" si="33"/>
        <v>316.5</v>
      </c>
      <c r="AC62" s="60">
        <f t="shared" si="33"/>
        <v>216.5</v>
      </c>
      <c r="AD62" s="60">
        <f t="shared" si="33"/>
        <v>166.5</v>
      </c>
      <c r="AE62" s="60">
        <f t="shared" si="33"/>
        <v>56.5</v>
      </c>
      <c r="AF62" s="60">
        <f t="shared" si="33"/>
        <v>36.5</v>
      </c>
      <c r="AG62" s="61">
        <f t="shared" si="33"/>
        <v>538.1</v>
      </c>
      <c r="AH62" s="47">
        <f t="shared" si="8"/>
        <v>443.2</v>
      </c>
      <c r="AI62" s="48">
        <f t="shared" si="9"/>
        <v>34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32.799999999999997</v>
      </c>
      <c r="H63" s="45">
        <v>61.8</v>
      </c>
      <c r="I63" s="45">
        <v>81.8</v>
      </c>
      <c r="J63" s="45">
        <v>97.3</v>
      </c>
      <c r="K63" s="45">
        <v>101.2</v>
      </c>
      <c r="L63" s="45">
        <v>129.1</v>
      </c>
      <c r="M63" s="45">
        <v>129.9</v>
      </c>
      <c r="N63" s="45">
        <v>59.4</v>
      </c>
      <c r="O63" s="45">
        <v>61.4</v>
      </c>
      <c r="P63" s="45">
        <v>61.6</v>
      </c>
      <c r="Q63" s="45">
        <v>45.1</v>
      </c>
      <c r="R63" s="45">
        <v>28.4</v>
      </c>
      <c r="S63" s="45">
        <v>48.3</v>
      </c>
      <c r="T63" s="45">
        <v>48.3</v>
      </c>
      <c r="U63" s="45">
        <v>48.8</v>
      </c>
      <c r="V63" s="45">
        <v>30.1</v>
      </c>
      <c r="W63" s="45">
        <v>30.1</v>
      </c>
      <c r="X63" s="45">
        <v>71.900000000000006</v>
      </c>
      <c r="Y63" s="45">
        <v>139.6</v>
      </c>
      <c r="Z63" s="45">
        <v>139.69999999999999</v>
      </c>
      <c r="AA63" s="45">
        <v>139.69999999999999</v>
      </c>
      <c r="AB63" s="45">
        <v>110.7</v>
      </c>
      <c r="AC63" s="45">
        <v>91</v>
      </c>
      <c r="AD63" s="45">
        <v>91</v>
      </c>
      <c r="AE63" s="45">
        <v>60</v>
      </c>
      <c r="AF63" s="45">
        <v>0</v>
      </c>
      <c r="AG63" s="52">
        <v>144</v>
      </c>
      <c r="AH63" s="47">
        <f t="shared" si="8"/>
        <v>139.69999999999999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23.9</v>
      </c>
      <c r="C64" s="65">
        <v>23.9</v>
      </c>
      <c r="D64" s="65">
        <v>24.7</v>
      </c>
      <c r="E64" s="65">
        <v>24.8</v>
      </c>
      <c r="F64" s="65">
        <v>0</v>
      </c>
      <c r="G64" s="65">
        <v>34.5</v>
      </c>
      <c r="H64" s="65">
        <v>25</v>
      </c>
      <c r="I64" s="65">
        <v>34.700000000000003</v>
      </c>
      <c r="J64" s="65">
        <v>34.799999999999997</v>
      </c>
      <c r="K64" s="65">
        <v>34.799999999999997</v>
      </c>
      <c r="L64" s="65">
        <v>34.799999999999997</v>
      </c>
      <c r="M64" s="65">
        <v>34.799999999999997</v>
      </c>
      <c r="N64" s="65">
        <v>34.799999999999997</v>
      </c>
      <c r="O64" s="65">
        <v>25</v>
      </c>
      <c r="P64" s="65">
        <v>24</v>
      </c>
      <c r="Q64" s="65">
        <v>24.7</v>
      </c>
      <c r="R64" s="65">
        <v>24.8</v>
      </c>
      <c r="S64" s="65">
        <v>24.9</v>
      </c>
      <c r="T64" s="65">
        <v>30.9</v>
      </c>
      <c r="U64" s="65">
        <v>35.4</v>
      </c>
      <c r="V64" s="65">
        <v>24.8</v>
      </c>
      <c r="W64" s="65">
        <v>24.8</v>
      </c>
      <c r="X64" s="65">
        <v>25.3</v>
      </c>
      <c r="Y64" s="65">
        <v>34.299999999999997</v>
      </c>
      <c r="Z64" s="65">
        <v>34.299999999999997</v>
      </c>
      <c r="AA64" s="65">
        <v>34.299999999999997</v>
      </c>
      <c r="AB64" s="65">
        <v>34.299999999999997</v>
      </c>
      <c r="AC64" s="65">
        <v>34.299999999999997</v>
      </c>
      <c r="AD64" s="65">
        <v>34.299999999999997</v>
      </c>
      <c r="AE64" s="65">
        <v>34.299999999999997</v>
      </c>
      <c r="AF64" s="45">
        <v>24.8</v>
      </c>
      <c r="AG64" s="55">
        <v>70</v>
      </c>
      <c r="AH64" s="47">
        <f t="shared" si="8"/>
        <v>35.4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31.8</v>
      </c>
      <c r="G65" s="65">
        <v>46.1</v>
      </c>
      <c r="H65" s="65">
        <v>52.7</v>
      </c>
      <c r="I65" s="65">
        <v>68</v>
      </c>
      <c r="J65" s="65">
        <v>70.8</v>
      </c>
      <c r="K65" s="65">
        <v>52.5</v>
      </c>
      <c r="L65" s="65">
        <v>68.099999999999994</v>
      </c>
      <c r="M65" s="65">
        <v>68.5</v>
      </c>
      <c r="N65" s="65">
        <v>54.5</v>
      </c>
      <c r="O65" s="65">
        <v>32.5</v>
      </c>
      <c r="P65" s="65">
        <v>17</v>
      </c>
      <c r="Q65" s="65">
        <v>16.100000000000001</v>
      </c>
      <c r="R65" s="65">
        <v>10.1</v>
      </c>
      <c r="S65" s="65">
        <v>17.100000000000001</v>
      </c>
      <c r="T65" s="65">
        <v>23.4</v>
      </c>
      <c r="U65" s="65">
        <v>23.2</v>
      </c>
      <c r="V65" s="65">
        <v>33.6</v>
      </c>
      <c r="W65" s="65">
        <v>33.6</v>
      </c>
      <c r="X65" s="65">
        <v>53.1</v>
      </c>
      <c r="Y65" s="65">
        <v>64.099999999999994</v>
      </c>
      <c r="Z65" s="65">
        <v>69.3</v>
      </c>
      <c r="AA65" s="65">
        <v>69.3</v>
      </c>
      <c r="AB65" s="65">
        <v>51.4</v>
      </c>
      <c r="AC65" s="65">
        <v>51.3</v>
      </c>
      <c r="AD65" s="65">
        <v>51.3</v>
      </c>
      <c r="AE65" s="65">
        <v>33</v>
      </c>
      <c r="AF65" s="45">
        <v>22.4</v>
      </c>
      <c r="AG65" s="55">
        <v>69</v>
      </c>
      <c r="AH65" s="47">
        <f t="shared" si="8"/>
        <v>70.8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43.3</v>
      </c>
      <c r="C66" s="65">
        <v>43.3</v>
      </c>
      <c r="D66" s="65">
        <v>43.3</v>
      </c>
      <c r="E66" s="65">
        <v>37.6</v>
      </c>
      <c r="F66" s="65">
        <v>40.299999999999997</v>
      </c>
      <c r="G66" s="65">
        <v>40.299999999999997</v>
      </c>
      <c r="H66" s="65">
        <v>40.299999999999997</v>
      </c>
      <c r="I66" s="65">
        <v>40.299999999999997</v>
      </c>
      <c r="J66" s="65">
        <v>40.299999999999997</v>
      </c>
      <c r="K66" s="57">
        <v>36</v>
      </c>
      <c r="L66" s="57">
        <v>36</v>
      </c>
      <c r="M66" s="65">
        <v>35.799999999999997</v>
      </c>
      <c r="N66" s="65">
        <v>38</v>
      </c>
      <c r="O66" s="65">
        <v>38</v>
      </c>
      <c r="P66" s="65">
        <v>38</v>
      </c>
      <c r="Q66" s="65">
        <v>38</v>
      </c>
      <c r="R66" s="65">
        <v>37</v>
      </c>
      <c r="S66" s="65">
        <v>35.299999999999997</v>
      </c>
      <c r="T66" s="65">
        <v>35.299999999999997</v>
      </c>
      <c r="U66" s="65">
        <v>35.299999999999997</v>
      </c>
      <c r="V66" s="65">
        <v>33.299999999999997</v>
      </c>
      <c r="W66" s="65">
        <v>33.299999999999997</v>
      </c>
      <c r="X66" s="65">
        <v>33.299999999999997</v>
      </c>
      <c r="Y66" s="65">
        <v>33.299999999999997</v>
      </c>
      <c r="Z66" s="65">
        <v>33.299999999999997</v>
      </c>
      <c r="AA66" s="65">
        <v>33.299999999999997</v>
      </c>
      <c r="AB66" s="65">
        <v>31</v>
      </c>
      <c r="AC66" s="65">
        <v>31</v>
      </c>
      <c r="AD66" s="65">
        <v>35</v>
      </c>
      <c r="AE66" s="65">
        <v>35</v>
      </c>
      <c r="AF66" s="65">
        <v>39.299999999999997</v>
      </c>
      <c r="AG66" s="55">
        <v>60</v>
      </c>
      <c r="AH66" s="47">
        <f t="shared" si="8"/>
        <v>43.3</v>
      </c>
      <c r="AI66" s="48">
        <f t="shared" si="9"/>
        <v>31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10.7</v>
      </c>
      <c r="I67" s="65">
        <v>10</v>
      </c>
      <c r="J67" s="65">
        <v>23.5</v>
      </c>
      <c r="K67" s="65">
        <v>28.6</v>
      </c>
      <c r="L67" s="57">
        <v>25</v>
      </c>
      <c r="M67" s="65">
        <v>15.1</v>
      </c>
      <c r="N67" s="65">
        <v>10.1</v>
      </c>
      <c r="O67" s="65">
        <v>10.1</v>
      </c>
      <c r="P67" s="65">
        <v>10.1</v>
      </c>
      <c r="Q67" s="65">
        <v>10.1</v>
      </c>
      <c r="R67" s="65">
        <v>10</v>
      </c>
      <c r="S67" s="65">
        <v>14.2</v>
      </c>
      <c r="T67" s="65">
        <v>14.2</v>
      </c>
      <c r="U67" s="65">
        <v>10.4</v>
      </c>
      <c r="V67" s="65">
        <v>9.9</v>
      </c>
      <c r="W67" s="65">
        <v>9.9</v>
      </c>
      <c r="X67" s="65">
        <v>10.3</v>
      </c>
      <c r="Y67" s="65">
        <v>26.8</v>
      </c>
      <c r="Z67" s="65">
        <v>27.3</v>
      </c>
      <c r="AA67" s="65">
        <v>27</v>
      </c>
      <c r="AB67" s="65">
        <v>9.6999999999999993</v>
      </c>
      <c r="AC67" s="65">
        <v>9.6999999999999993</v>
      </c>
      <c r="AD67" s="65">
        <v>9.6999999999999993</v>
      </c>
      <c r="AE67" s="65">
        <v>0</v>
      </c>
      <c r="AF67" s="65">
        <v>0</v>
      </c>
      <c r="AG67" s="55">
        <v>30</v>
      </c>
      <c r="AH67" s="47">
        <f t="shared" si="8"/>
        <v>28.6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0.9</v>
      </c>
      <c r="L68" s="65">
        <v>2.9</v>
      </c>
      <c r="M68" s="65">
        <v>7.1</v>
      </c>
      <c r="N68" s="65">
        <v>13.3</v>
      </c>
      <c r="O68" s="65">
        <v>17.2</v>
      </c>
      <c r="P68" s="65">
        <v>17.2</v>
      </c>
      <c r="Q68" s="65">
        <v>18</v>
      </c>
      <c r="R68" s="65">
        <v>19.899999999999999</v>
      </c>
      <c r="S68" s="65">
        <v>17.399999999999999</v>
      </c>
      <c r="T68" s="65">
        <v>14.4</v>
      </c>
      <c r="U68" s="65">
        <v>8.4</v>
      </c>
      <c r="V68" s="65">
        <v>1.5</v>
      </c>
      <c r="W68" s="65">
        <v>0.5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>
        <v>25</v>
      </c>
      <c r="AH68" s="47">
        <f t="shared" si="8"/>
        <v>19.899999999999999</v>
      </c>
      <c r="AI68" s="48">
        <f t="shared" si="9"/>
        <v>0</v>
      </c>
      <c r="AK68" s="50"/>
      <c r="AY68" s="1" t="s">
        <v>377</v>
      </c>
      <c r="AZ68" s="233">
        <f>ROUND(C81,0)</f>
        <v>67</v>
      </c>
      <c r="BA68" s="232">
        <f t="shared" ref="BA68:BD72" si="39">D81</f>
        <v>67.7</v>
      </c>
      <c r="BB68" s="232">
        <f t="shared" si="39"/>
        <v>64</v>
      </c>
      <c r="BC68" s="232">
        <f t="shared" si="39"/>
        <v>59.4</v>
      </c>
      <c r="BD68" s="232">
        <f t="shared" si="39"/>
        <v>60</v>
      </c>
      <c r="BE68" s="233">
        <f>I81</f>
        <v>61</v>
      </c>
      <c r="BF68" s="233">
        <f>K81</f>
        <v>65.400000000000006</v>
      </c>
      <c r="BG68" s="233">
        <f t="shared" ref="BG68:BP72" si="40">M81</f>
        <v>59.6</v>
      </c>
      <c r="BH68" s="233">
        <f t="shared" si="40"/>
        <v>59.9</v>
      </c>
      <c r="BI68" s="233">
        <f t="shared" si="40"/>
        <v>64.2</v>
      </c>
      <c r="BJ68" s="233">
        <f t="shared" si="40"/>
        <v>50.1</v>
      </c>
      <c r="BK68" s="233">
        <f t="shared" si="40"/>
        <v>53.1</v>
      </c>
      <c r="BL68" s="233">
        <f t="shared" si="40"/>
        <v>51.6</v>
      </c>
      <c r="BM68" s="233">
        <f t="shared" si="40"/>
        <v>64.900000000000006</v>
      </c>
      <c r="BN68" s="233">
        <f t="shared" si="40"/>
        <v>70.5</v>
      </c>
      <c r="BO68" s="233">
        <f t="shared" si="40"/>
        <v>69.900000000000006</v>
      </c>
      <c r="BP68" s="233">
        <f t="shared" si="40"/>
        <v>44.1</v>
      </c>
      <c r="BQ68" s="233">
        <f>X81</f>
        <v>44.4</v>
      </c>
      <c r="BR68" s="233">
        <f>Z81</f>
        <v>73.3</v>
      </c>
      <c r="BS68" s="232">
        <f>AB81</f>
        <v>67.7</v>
      </c>
      <c r="BT68" s="232">
        <f>AD81</f>
        <v>63.2</v>
      </c>
      <c r="BU68" s="232">
        <f>AE81</f>
        <v>58</v>
      </c>
      <c r="BV68" s="232">
        <f>AF81</f>
        <v>71.900000000000006</v>
      </c>
      <c r="BW68" s="232">
        <f>B81</f>
        <v>53.4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39"/>
        <v>0</v>
      </c>
      <c r="BB69" s="232">
        <f t="shared" si="39"/>
        <v>0</v>
      </c>
      <c r="BC69" s="232">
        <f t="shared" si="39"/>
        <v>0</v>
      </c>
      <c r="BD69" s="232">
        <f t="shared" si="39"/>
        <v>0</v>
      </c>
      <c r="BE69" s="233">
        <f t="shared" ref="BE69:BE72" si="41">I82</f>
        <v>0</v>
      </c>
      <c r="BF69" s="233">
        <f t="shared" ref="BF69:BF72" si="42">K82</f>
        <v>0</v>
      </c>
      <c r="BG69" s="233">
        <f t="shared" si="40"/>
        <v>0</v>
      </c>
      <c r="BH69" s="233">
        <f t="shared" si="40"/>
        <v>0</v>
      </c>
      <c r="BI69" s="233">
        <f t="shared" si="40"/>
        <v>0</v>
      </c>
      <c r="BJ69" s="233">
        <f t="shared" si="40"/>
        <v>0</v>
      </c>
      <c r="BK69" s="233">
        <f t="shared" si="40"/>
        <v>0</v>
      </c>
      <c r="BL69" s="233">
        <f t="shared" si="40"/>
        <v>0</v>
      </c>
      <c r="BM69" s="233">
        <f t="shared" si="40"/>
        <v>0</v>
      </c>
      <c r="BN69" s="233">
        <f t="shared" si="40"/>
        <v>0</v>
      </c>
      <c r="BO69" s="233">
        <f t="shared" si="40"/>
        <v>0</v>
      </c>
      <c r="BP69" s="233">
        <f t="shared" si="40"/>
        <v>0</v>
      </c>
      <c r="BQ69" s="233">
        <f t="shared" ref="BQ69:BQ72" si="43">X82</f>
        <v>0</v>
      </c>
      <c r="BR69" s="233">
        <f t="shared" ref="BR69:BR72" si="44">Z82</f>
        <v>0</v>
      </c>
      <c r="BS69" s="232">
        <f t="shared" ref="BS69:BS72" si="45">AB82</f>
        <v>0</v>
      </c>
      <c r="BT69" s="232">
        <f t="shared" ref="BT69:BV72" si="46">AD82</f>
        <v>0</v>
      </c>
      <c r="BU69" s="232">
        <f t="shared" si="46"/>
        <v>0</v>
      </c>
      <c r="BV69" s="232">
        <f t="shared" si="46"/>
        <v>0</v>
      </c>
      <c r="BW69" s="232">
        <f t="shared" ref="BW69:BW72" si="47">B82</f>
        <v>0</v>
      </c>
    </row>
    <row r="70" spans="1:75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4.5</v>
      </c>
      <c r="T70" s="65">
        <v>4.5</v>
      </c>
      <c r="U70" s="65">
        <v>4.5</v>
      </c>
      <c r="V70" s="65">
        <v>4.5</v>
      </c>
      <c r="W70" s="65">
        <v>4.5</v>
      </c>
      <c r="X70" s="65">
        <v>4.5</v>
      </c>
      <c r="Y70" s="65">
        <v>4.5</v>
      </c>
      <c r="Z70" s="65">
        <v>4.5</v>
      </c>
      <c r="AA70" s="65">
        <v>4.5</v>
      </c>
      <c r="AB70" s="65">
        <v>4.5</v>
      </c>
      <c r="AC70" s="65">
        <v>4.5</v>
      </c>
      <c r="AD70" s="65">
        <v>4.5</v>
      </c>
      <c r="AE70" s="65">
        <v>4.5</v>
      </c>
      <c r="AF70" s="65">
        <v>4.5</v>
      </c>
      <c r="AG70" s="55">
        <v>15</v>
      </c>
      <c r="AH70" s="47">
        <f t="shared" si="8"/>
        <v>4.5</v>
      </c>
      <c r="AI70" s="48">
        <f t="shared" si="9"/>
        <v>4.5</v>
      </c>
      <c r="AK70" s="50"/>
      <c r="AL70" s="70"/>
      <c r="AO70" s="70"/>
      <c r="AY70" s="1" t="s">
        <v>605</v>
      </c>
      <c r="AZ70" s="233">
        <f>ROUND(C83,0)</f>
        <v>412</v>
      </c>
      <c r="BA70" s="232">
        <f t="shared" si="39"/>
        <v>354.5</v>
      </c>
      <c r="BB70" s="232">
        <f t="shared" si="39"/>
        <v>418.8</v>
      </c>
      <c r="BC70" s="232">
        <f t="shared" si="39"/>
        <v>399</v>
      </c>
      <c r="BD70" s="232">
        <f t="shared" si="39"/>
        <v>442.5</v>
      </c>
      <c r="BE70" s="233">
        <f t="shared" si="41"/>
        <v>445.8</v>
      </c>
      <c r="BF70" s="233">
        <f t="shared" si="42"/>
        <v>357</v>
      </c>
      <c r="BG70" s="233">
        <f t="shared" si="40"/>
        <v>6.5</v>
      </c>
      <c r="BH70" s="233">
        <f t="shared" si="40"/>
        <v>1.9</v>
      </c>
      <c r="BI70" s="233">
        <f t="shared" si="40"/>
        <v>358.1</v>
      </c>
      <c r="BJ70" s="233">
        <f t="shared" si="40"/>
        <v>460</v>
      </c>
      <c r="BK70" s="233">
        <f t="shared" si="40"/>
        <v>451.1</v>
      </c>
      <c r="BL70" s="233">
        <f t="shared" si="40"/>
        <v>475.9</v>
      </c>
      <c r="BM70" s="233">
        <f t="shared" si="40"/>
        <v>488.6</v>
      </c>
      <c r="BN70" s="233">
        <f t="shared" si="40"/>
        <v>488.3</v>
      </c>
      <c r="BO70" s="233">
        <f t="shared" si="40"/>
        <v>480.9</v>
      </c>
      <c r="BP70" s="233">
        <f t="shared" si="40"/>
        <v>420.5</v>
      </c>
      <c r="BQ70" s="233">
        <f t="shared" si="43"/>
        <v>466.6</v>
      </c>
      <c r="BR70" s="233">
        <f t="shared" si="44"/>
        <v>296</v>
      </c>
      <c r="BS70" s="232">
        <f t="shared" si="45"/>
        <v>200</v>
      </c>
      <c r="BT70" s="232">
        <f t="shared" si="46"/>
        <v>370</v>
      </c>
      <c r="BU70" s="232">
        <f t="shared" si="46"/>
        <v>391</v>
      </c>
      <c r="BV70" s="232">
        <f t="shared" si="46"/>
        <v>413</v>
      </c>
      <c r="BW70" s="232">
        <f t="shared" si="47"/>
        <v>412.1</v>
      </c>
    </row>
    <row r="71" spans="1:75" s="70" customFormat="1" x14ac:dyDescent="0.25">
      <c r="A71" s="54" t="s">
        <v>71</v>
      </c>
      <c r="B71" s="65">
        <v>11.2</v>
      </c>
      <c r="C71" s="65">
        <v>11.2</v>
      </c>
      <c r="D71" s="65">
        <v>11.2</v>
      </c>
      <c r="E71" s="65">
        <v>11.2</v>
      </c>
      <c r="F71" s="65">
        <v>11.2</v>
      </c>
      <c r="G71" s="65">
        <v>11.2</v>
      </c>
      <c r="H71" s="65">
        <v>11.2</v>
      </c>
      <c r="I71" s="65">
        <v>11.2</v>
      </c>
      <c r="J71" s="65">
        <v>11.2</v>
      </c>
      <c r="K71" s="65">
        <v>11.2</v>
      </c>
      <c r="L71" s="65">
        <v>11.2</v>
      </c>
      <c r="M71" s="65">
        <v>11.2</v>
      </c>
      <c r="N71" s="65">
        <v>11.2</v>
      </c>
      <c r="O71" s="65">
        <v>11.2</v>
      </c>
      <c r="P71" s="65">
        <v>11.2</v>
      </c>
      <c r="Q71" s="65">
        <v>11.2</v>
      </c>
      <c r="R71" s="65">
        <v>11.2</v>
      </c>
      <c r="S71" s="65">
        <v>11.2</v>
      </c>
      <c r="T71" s="65">
        <v>11.2</v>
      </c>
      <c r="U71" s="65">
        <v>11.2</v>
      </c>
      <c r="V71" s="65">
        <v>11.2</v>
      </c>
      <c r="W71" s="65">
        <v>11.2</v>
      </c>
      <c r="X71" s="65">
        <v>11.2</v>
      </c>
      <c r="Y71" s="65">
        <v>11.2</v>
      </c>
      <c r="Z71" s="65">
        <v>11.2</v>
      </c>
      <c r="AA71" s="65">
        <v>11.2</v>
      </c>
      <c r="AB71" s="65">
        <v>11.2</v>
      </c>
      <c r="AC71" s="65">
        <v>11.2</v>
      </c>
      <c r="AD71" s="65">
        <v>11.2</v>
      </c>
      <c r="AE71" s="65">
        <v>11.2</v>
      </c>
      <c r="AF71" s="65">
        <v>11.2</v>
      </c>
      <c r="AG71" s="55">
        <v>14.1</v>
      </c>
      <c r="AH71" s="47">
        <f t="shared" si="8"/>
        <v>11.2</v>
      </c>
      <c r="AI71" s="48">
        <f t="shared" si="9"/>
        <v>11.2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3</v>
      </c>
      <c r="BA71" s="232">
        <f t="shared" si="39"/>
        <v>19</v>
      </c>
      <c r="BB71" s="232">
        <f t="shared" si="39"/>
        <v>3.6</v>
      </c>
      <c r="BC71" s="232">
        <f t="shared" si="39"/>
        <v>3.6</v>
      </c>
      <c r="BD71" s="232">
        <f t="shared" si="39"/>
        <v>4</v>
      </c>
      <c r="BE71" s="233">
        <f t="shared" si="41"/>
        <v>27.9</v>
      </c>
      <c r="BF71" s="233">
        <f t="shared" si="42"/>
        <v>43.1</v>
      </c>
      <c r="BG71" s="233">
        <f t="shared" si="40"/>
        <v>30.5</v>
      </c>
      <c r="BH71" s="233">
        <f t="shared" si="40"/>
        <v>26.4</v>
      </c>
      <c r="BI71" s="233">
        <f t="shared" si="40"/>
        <v>23.9</v>
      </c>
      <c r="BJ71" s="233">
        <f t="shared" si="40"/>
        <v>13.1</v>
      </c>
      <c r="BK71" s="233">
        <f t="shared" si="40"/>
        <v>15</v>
      </c>
      <c r="BL71" s="233">
        <f t="shared" si="40"/>
        <v>23</v>
      </c>
      <c r="BM71" s="233">
        <f t="shared" si="40"/>
        <v>-1</v>
      </c>
      <c r="BN71" s="233">
        <f t="shared" si="40"/>
        <v>0</v>
      </c>
      <c r="BO71" s="233">
        <f t="shared" si="40"/>
        <v>0</v>
      </c>
      <c r="BP71" s="233">
        <f t="shared" si="40"/>
        <v>2.8</v>
      </c>
      <c r="BQ71" s="233">
        <f t="shared" si="43"/>
        <v>3.7</v>
      </c>
      <c r="BR71" s="233">
        <f t="shared" si="44"/>
        <v>6.3</v>
      </c>
      <c r="BS71" s="232">
        <f t="shared" si="45"/>
        <v>5</v>
      </c>
      <c r="BT71" s="232">
        <f t="shared" si="46"/>
        <v>4.2</v>
      </c>
      <c r="BU71" s="232">
        <f t="shared" si="46"/>
        <v>4</v>
      </c>
      <c r="BV71" s="232">
        <f t="shared" si="46"/>
        <v>27.8</v>
      </c>
      <c r="BW71" s="232">
        <f t="shared" si="47"/>
        <v>2.7</v>
      </c>
    </row>
    <row r="72" spans="1:75" x14ac:dyDescent="0.25">
      <c r="A72" s="71" t="s">
        <v>72</v>
      </c>
      <c r="B72" s="65">
        <v>3.3</v>
      </c>
      <c r="C72" s="65">
        <v>3.3</v>
      </c>
      <c r="D72" s="65">
        <v>3.3</v>
      </c>
      <c r="E72" s="65">
        <v>3.3</v>
      </c>
      <c r="F72" s="65">
        <v>3.3</v>
      </c>
      <c r="G72" s="65">
        <v>3.3</v>
      </c>
      <c r="H72" s="65">
        <v>3.3</v>
      </c>
      <c r="I72" s="65">
        <v>3.3</v>
      </c>
      <c r="J72" s="65">
        <v>3.3</v>
      </c>
      <c r="K72" s="65">
        <v>3.3</v>
      </c>
      <c r="L72" s="65">
        <v>3.3</v>
      </c>
      <c r="M72" s="65">
        <v>3.3</v>
      </c>
      <c r="N72" s="65">
        <v>3.3</v>
      </c>
      <c r="O72" s="65">
        <v>3.3</v>
      </c>
      <c r="P72" s="65">
        <v>3.3</v>
      </c>
      <c r="Q72" s="65">
        <v>3.3</v>
      </c>
      <c r="R72" s="65">
        <v>3.3</v>
      </c>
      <c r="S72" s="65">
        <v>3.3</v>
      </c>
      <c r="T72" s="65">
        <v>3.3</v>
      </c>
      <c r="U72" s="65">
        <v>3.3</v>
      </c>
      <c r="V72" s="65">
        <v>3.3</v>
      </c>
      <c r="W72" s="65">
        <v>3.3</v>
      </c>
      <c r="X72" s="65">
        <v>3.3</v>
      </c>
      <c r="Y72" s="65">
        <v>3.3</v>
      </c>
      <c r="Z72" s="65">
        <v>3.3</v>
      </c>
      <c r="AA72" s="65">
        <v>3.3</v>
      </c>
      <c r="AB72" s="65">
        <v>2.9</v>
      </c>
      <c r="AC72" s="65">
        <v>2.9</v>
      </c>
      <c r="AD72" s="65">
        <v>2.9</v>
      </c>
      <c r="AE72" s="65">
        <v>2.9</v>
      </c>
      <c r="AF72" s="65">
        <v>2.9</v>
      </c>
      <c r="AG72" s="55">
        <v>14</v>
      </c>
      <c r="AH72" s="47">
        <f t="shared" si="8"/>
        <v>3.3</v>
      </c>
      <c r="AI72" s="48">
        <f t="shared" si="9"/>
        <v>2.9</v>
      </c>
      <c r="AK72" s="50"/>
      <c r="AY72" s="1" t="s">
        <v>607</v>
      </c>
      <c r="AZ72" s="233">
        <f>ROUND(C85,0)</f>
        <v>104</v>
      </c>
      <c r="BA72" s="232">
        <f t="shared" si="39"/>
        <v>109.4</v>
      </c>
      <c r="BB72" s="232">
        <f t="shared" si="39"/>
        <v>106</v>
      </c>
      <c r="BC72" s="232">
        <f t="shared" si="39"/>
        <v>106</v>
      </c>
      <c r="BD72" s="232">
        <f t="shared" si="39"/>
        <v>0</v>
      </c>
      <c r="BE72" s="233">
        <f t="shared" si="41"/>
        <v>0</v>
      </c>
      <c r="BF72" s="233">
        <f t="shared" si="42"/>
        <v>0</v>
      </c>
      <c r="BG72" s="233">
        <f t="shared" si="40"/>
        <v>0</v>
      </c>
      <c r="BH72" s="233">
        <f t="shared" si="40"/>
        <v>0</v>
      </c>
      <c r="BI72" s="233">
        <f t="shared" si="40"/>
        <v>0</v>
      </c>
      <c r="BJ72" s="233">
        <f t="shared" si="40"/>
        <v>70</v>
      </c>
      <c r="BK72" s="233">
        <f t="shared" si="40"/>
        <v>98</v>
      </c>
      <c r="BL72" s="233">
        <f t="shared" si="40"/>
        <v>102</v>
      </c>
      <c r="BM72" s="233">
        <f t="shared" si="40"/>
        <v>104</v>
      </c>
      <c r="BN72" s="233">
        <f t="shared" si="40"/>
        <v>103</v>
      </c>
      <c r="BO72" s="233">
        <f t="shared" si="40"/>
        <v>109.6</v>
      </c>
      <c r="BP72" s="233">
        <f t="shared" si="40"/>
        <v>70.599999999999994</v>
      </c>
      <c r="BQ72" s="233">
        <f t="shared" si="43"/>
        <v>0</v>
      </c>
      <c r="BR72" s="233">
        <f t="shared" si="44"/>
        <v>0</v>
      </c>
      <c r="BS72" s="232">
        <f t="shared" si="45"/>
        <v>0</v>
      </c>
      <c r="BT72" s="232">
        <f t="shared" si="46"/>
        <v>0</v>
      </c>
      <c r="BU72" s="232">
        <f t="shared" si="46"/>
        <v>87</v>
      </c>
      <c r="BV72" s="232">
        <f t="shared" si="46"/>
        <v>112.6</v>
      </c>
      <c r="BW72" s="232">
        <f t="shared" si="47"/>
        <v>104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50</v>
      </c>
      <c r="BA73" s="233">
        <f>D91</f>
        <v>41.1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45.7</v>
      </c>
      <c r="BF73" s="233">
        <f>K91</f>
        <v>71.2</v>
      </c>
      <c r="BG73" s="233">
        <f t="shared" ref="BG73:BP73" si="48">M91</f>
        <v>60.8</v>
      </c>
      <c r="BH73" s="233">
        <f t="shared" si="48"/>
        <v>57.3</v>
      </c>
      <c r="BI73" s="233">
        <f t="shared" si="48"/>
        <v>61.5</v>
      </c>
      <c r="BJ73" s="233">
        <f t="shared" si="48"/>
        <v>70</v>
      </c>
      <c r="BK73" s="233">
        <f t="shared" si="48"/>
        <v>62</v>
      </c>
      <c r="BL73" s="233">
        <f t="shared" si="48"/>
        <v>78</v>
      </c>
      <c r="BM73" s="233">
        <f t="shared" si="48"/>
        <v>79.599999999999994</v>
      </c>
      <c r="BN73" s="233">
        <f t="shared" si="48"/>
        <v>75.400000000000006</v>
      </c>
      <c r="BO73" s="233">
        <f t="shared" si="48"/>
        <v>75.3</v>
      </c>
      <c r="BP73" s="233">
        <f t="shared" si="48"/>
        <v>76.099999999999994</v>
      </c>
      <c r="BQ73" s="233">
        <f>X91</f>
        <v>71.900000000000006</v>
      </c>
      <c r="BR73" s="233">
        <f>Z91</f>
        <v>79.7</v>
      </c>
      <c r="BS73" s="233">
        <f>AB91</f>
        <v>79.400000000000006</v>
      </c>
      <c r="BT73" s="233">
        <f>AD91</f>
        <v>72.5</v>
      </c>
      <c r="BU73" s="233">
        <f>AE91</f>
        <v>69.400000000000006</v>
      </c>
      <c r="BV73" s="233">
        <f>AF91</f>
        <v>73.3</v>
      </c>
      <c r="BW73" s="233">
        <f>B91</f>
        <v>49.7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3.54</v>
      </c>
      <c r="AK75" s="50"/>
      <c r="AZ75" s="233">
        <f>VALUE(AZ68)</f>
        <v>67</v>
      </c>
      <c r="BA75" s="233">
        <f t="shared" ref="BA75:BW75" si="49">VALUE(BA68)</f>
        <v>67.7</v>
      </c>
      <c r="BB75" s="233">
        <f t="shared" si="49"/>
        <v>64</v>
      </c>
      <c r="BC75" s="233">
        <f t="shared" si="49"/>
        <v>59.4</v>
      </c>
      <c r="BD75" s="233">
        <f t="shared" si="49"/>
        <v>60</v>
      </c>
      <c r="BE75" s="233">
        <f t="shared" si="49"/>
        <v>61</v>
      </c>
      <c r="BF75" s="233">
        <f t="shared" si="49"/>
        <v>65.400000000000006</v>
      </c>
      <c r="BG75" s="233">
        <f t="shared" si="49"/>
        <v>59.6</v>
      </c>
      <c r="BH75" s="233">
        <f t="shared" si="49"/>
        <v>59.9</v>
      </c>
      <c r="BI75" s="233">
        <f t="shared" si="49"/>
        <v>64.2</v>
      </c>
      <c r="BJ75" s="233">
        <f t="shared" si="49"/>
        <v>50.1</v>
      </c>
      <c r="BK75" s="233">
        <f t="shared" si="49"/>
        <v>53.1</v>
      </c>
      <c r="BL75" s="233">
        <f t="shared" si="49"/>
        <v>51.6</v>
      </c>
      <c r="BM75" s="233">
        <f t="shared" si="49"/>
        <v>64.900000000000006</v>
      </c>
      <c r="BN75" s="233">
        <f t="shared" si="49"/>
        <v>70.5</v>
      </c>
      <c r="BO75" s="233">
        <f t="shared" si="49"/>
        <v>69.900000000000006</v>
      </c>
      <c r="BP75" s="233">
        <f t="shared" si="49"/>
        <v>44.1</v>
      </c>
      <c r="BQ75" s="233">
        <f t="shared" si="49"/>
        <v>44.4</v>
      </c>
      <c r="BR75" s="233">
        <f t="shared" si="49"/>
        <v>73.3</v>
      </c>
      <c r="BS75" s="233">
        <f t="shared" si="49"/>
        <v>67.7</v>
      </c>
      <c r="BT75" s="233">
        <f t="shared" si="49"/>
        <v>63.2</v>
      </c>
      <c r="BU75" s="233">
        <f t="shared" si="49"/>
        <v>58</v>
      </c>
      <c r="BV75" s="233">
        <f t="shared" si="49"/>
        <v>71.900000000000006</v>
      </c>
      <c r="BW75" s="233">
        <f t="shared" si="49"/>
        <v>53.4</v>
      </c>
    </row>
    <row r="76" spans="1:75" ht="15.75" thickBot="1" x14ac:dyDescent="0.3">
      <c r="A76" s="74" t="s">
        <v>76</v>
      </c>
      <c r="B76" s="60">
        <f t="shared" ref="B76:C76" si="50">SUM(B63:B75)</f>
        <v>110.94</v>
      </c>
      <c r="C76" s="60">
        <f t="shared" si="50"/>
        <v>110.94</v>
      </c>
      <c r="D76" s="60">
        <f t="shared" ref="D76" si="51">SUM(D63:D75)</f>
        <v>111.74000000000001</v>
      </c>
      <c r="E76" s="60">
        <f t="shared" ref="E76:AG76" si="52">SUM(E63:E75)</f>
        <v>106.14000000000001</v>
      </c>
      <c r="F76" s="60">
        <f t="shared" si="52"/>
        <v>115.84</v>
      </c>
      <c r="G76" s="60">
        <f t="shared" si="52"/>
        <v>197.43999999999997</v>
      </c>
      <c r="H76" s="60">
        <f t="shared" si="52"/>
        <v>234.23999999999998</v>
      </c>
      <c r="I76" s="60">
        <f t="shared" si="52"/>
        <v>278.54000000000002</v>
      </c>
      <c r="J76" s="60">
        <f t="shared" si="52"/>
        <v>310.44</v>
      </c>
      <c r="K76" s="60">
        <f t="shared" si="52"/>
        <v>297.74</v>
      </c>
      <c r="L76" s="60">
        <f t="shared" si="52"/>
        <v>339.64</v>
      </c>
      <c r="M76" s="60">
        <f t="shared" si="52"/>
        <v>334.94000000000005</v>
      </c>
      <c r="N76" s="60">
        <f t="shared" si="52"/>
        <v>253.83999999999997</v>
      </c>
      <c r="O76" s="60">
        <f t="shared" si="52"/>
        <v>227.93999999999997</v>
      </c>
      <c r="P76" s="60">
        <f t="shared" si="52"/>
        <v>211.63999999999996</v>
      </c>
      <c r="Q76" s="60">
        <f t="shared" si="52"/>
        <v>195.73999999999998</v>
      </c>
      <c r="R76" s="60">
        <f t="shared" si="52"/>
        <v>173.94</v>
      </c>
      <c r="S76" s="60">
        <f t="shared" ref="S76:T76" si="53">SUM(S63:S75)</f>
        <v>200.93999999999997</v>
      </c>
      <c r="T76" s="60">
        <f t="shared" si="53"/>
        <v>210.23999999999995</v>
      </c>
      <c r="U76" s="60">
        <f t="shared" ref="U76:V76" si="54">SUM(U63:U75)</f>
        <v>205.23999999999998</v>
      </c>
      <c r="V76" s="60">
        <f t="shared" si="54"/>
        <v>176.93999999999997</v>
      </c>
      <c r="W76" s="60">
        <f t="shared" ref="W76:Y76" si="55">SUM(W63:W75)</f>
        <v>175.93999999999997</v>
      </c>
      <c r="X76" s="60">
        <f t="shared" si="55"/>
        <v>237.64000000000001</v>
      </c>
      <c r="Y76" s="60">
        <f t="shared" si="55"/>
        <v>341.84</v>
      </c>
      <c r="Z76" s="60">
        <f t="shared" ref="Z76" si="56">SUM(Z63:Z75)</f>
        <v>347.64000000000004</v>
      </c>
      <c r="AA76" s="60">
        <f t="shared" ref="AA76" si="57">SUM(AA63:AA75)</f>
        <v>347.34000000000003</v>
      </c>
      <c r="AB76" s="60">
        <f t="shared" si="52"/>
        <v>280.44</v>
      </c>
      <c r="AC76" s="60">
        <f t="shared" si="52"/>
        <v>260.64</v>
      </c>
      <c r="AD76" s="60">
        <f t="shared" si="52"/>
        <v>264.64</v>
      </c>
      <c r="AE76" s="60">
        <f t="shared" si="52"/>
        <v>205.64</v>
      </c>
      <c r="AF76" s="60">
        <f t="shared" si="52"/>
        <v>129.84</v>
      </c>
      <c r="AG76" s="61">
        <f t="shared" si="52"/>
        <v>489.91</v>
      </c>
      <c r="AH76" s="47">
        <f t="shared" si="8"/>
        <v>347.64000000000004</v>
      </c>
      <c r="AI76" s="48">
        <f t="shared" si="9"/>
        <v>106.14000000000001</v>
      </c>
      <c r="AK76" s="50"/>
      <c r="AZ76" s="233">
        <f t="shared" ref="AZ76:BW80" si="58">VALUE(AZ69)</f>
        <v>0</v>
      </c>
      <c r="BA76" s="233">
        <f t="shared" si="58"/>
        <v>0</v>
      </c>
      <c r="BB76" s="233">
        <f t="shared" si="58"/>
        <v>0</v>
      </c>
      <c r="BC76" s="233">
        <f t="shared" si="58"/>
        <v>0</v>
      </c>
      <c r="BD76" s="233">
        <f t="shared" si="58"/>
        <v>0</v>
      </c>
      <c r="BE76" s="233">
        <f t="shared" si="58"/>
        <v>0</v>
      </c>
      <c r="BF76" s="233">
        <f t="shared" si="58"/>
        <v>0</v>
      </c>
      <c r="BG76" s="233">
        <f t="shared" si="58"/>
        <v>0</v>
      </c>
      <c r="BH76" s="233">
        <f t="shared" si="58"/>
        <v>0</v>
      </c>
      <c r="BI76" s="233">
        <f t="shared" si="58"/>
        <v>0</v>
      </c>
      <c r="BJ76" s="233">
        <f t="shared" si="58"/>
        <v>0</v>
      </c>
      <c r="BK76" s="233">
        <f t="shared" si="58"/>
        <v>0</v>
      </c>
      <c r="BL76" s="233">
        <f t="shared" si="58"/>
        <v>0</v>
      </c>
      <c r="BM76" s="233">
        <f t="shared" si="58"/>
        <v>0</v>
      </c>
      <c r="BN76" s="233">
        <f t="shared" si="58"/>
        <v>0</v>
      </c>
      <c r="BO76" s="233">
        <f t="shared" si="58"/>
        <v>0</v>
      </c>
      <c r="BP76" s="233">
        <f t="shared" si="58"/>
        <v>0</v>
      </c>
      <c r="BQ76" s="233">
        <f t="shared" si="58"/>
        <v>0</v>
      </c>
      <c r="BR76" s="233">
        <f t="shared" si="58"/>
        <v>0</v>
      </c>
      <c r="BS76" s="233">
        <f t="shared" si="58"/>
        <v>0</v>
      </c>
      <c r="BT76" s="233">
        <f t="shared" si="58"/>
        <v>0</v>
      </c>
      <c r="BU76" s="233">
        <f t="shared" si="58"/>
        <v>0</v>
      </c>
      <c r="BV76" s="233">
        <f t="shared" si="58"/>
        <v>0</v>
      </c>
      <c r="BW76" s="233">
        <f t="shared" si="58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>
        <v>19.82</v>
      </c>
      <c r="Z77" s="45">
        <v>10.6</v>
      </c>
      <c r="AA77" s="45">
        <v>0</v>
      </c>
      <c r="AB77" s="45"/>
      <c r="AC77" s="45"/>
      <c r="AD77" s="45"/>
      <c r="AE77" s="45"/>
      <c r="AF77" s="45"/>
      <c r="AG77" s="52">
        <v>60</v>
      </c>
      <c r="AH77" s="47">
        <f t="shared" si="8"/>
        <v>19.82</v>
      </c>
      <c r="AI77" s="48">
        <f t="shared" si="9"/>
        <v>0</v>
      </c>
      <c r="AK77" s="50"/>
      <c r="AZ77" s="233">
        <f t="shared" si="58"/>
        <v>412</v>
      </c>
      <c r="BA77" s="233">
        <f t="shared" si="58"/>
        <v>354.5</v>
      </c>
      <c r="BB77" s="233">
        <f t="shared" si="58"/>
        <v>418.8</v>
      </c>
      <c r="BC77" s="233">
        <f t="shared" si="58"/>
        <v>399</v>
      </c>
      <c r="BD77" s="233">
        <f t="shared" si="58"/>
        <v>442.5</v>
      </c>
      <c r="BE77" s="233">
        <f t="shared" si="58"/>
        <v>445.8</v>
      </c>
      <c r="BF77" s="233">
        <f t="shared" si="58"/>
        <v>357</v>
      </c>
      <c r="BG77" s="233">
        <f t="shared" si="58"/>
        <v>6.5</v>
      </c>
      <c r="BH77" s="233">
        <f t="shared" si="58"/>
        <v>1.9</v>
      </c>
      <c r="BI77" s="233">
        <f t="shared" si="58"/>
        <v>358.1</v>
      </c>
      <c r="BJ77" s="233">
        <f t="shared" si="58"/>
        <v>460</v>
      </c>
      <c r="BK77" s="233">
        <f t="shared" si="58"/>
        <v>451.1</v>
      </c>
      <c r="BL77" s="233">
        <f t="shared" si="58"/>
        <v>475.9</v>
      </c>
      <c r="BM77" s="233">
        <f t="shared" si="58"/>
        <v>488.6</v>
      </c>
      <c r="BN77" s="233">
        <f t="shared" si="58"/>
        <v>488.3</v>
      </c>
      <c r="BO77" s="233">
        <f t="shared" si="58"/>
        <v>480.9</v>
      </c>
      <c r="BP77" s="233">
        <f t="shared" si="58"/>
        <v>420.5</v>
      </c>
      <c r="BQ77" s="233">
        <f t="shared" si="58"/>
        <v>466.6</v>
      </c>
      <c r="BR77" s="233">
        <f t="shared" si="58"/>
        <v>296</v>
      </c>
      <c r="BS77" s="233">
        <f t="shared" si="58"/>
        <v>200</v>
      </c>
      <c r="BT77" s="233">
        <f t="shared" si="58"/>
        <v>370</v>
      </c>
      <c r="BU77" s="233">
        <f t="shared" si="58"/>
        <v>391</v>
      </c>
      <c r="BV77" s="233">
        <f t="shared" si="58"/>
        <v>413</v>
      </c>
      <c r="BW77" s="233">
        <f t="shared" si="58"/>
        <v>412.1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>
        <v>8.9499999999999993</v>
      </c>
      <c r="Z78" s="65">
        <v>4.5999999999999996</v>
      </c>
      <c r="AA78" s="65">
        <v>0</v>
      </c>
      <c r="AB78" s="65"/>
      <c r="AC78" s="65"/>
      <c r="AD78" s="65"/>
      <c r="AE78" s="65"/>
      <c r="AF78" s="65"/>
      <c r="AG78" s="55">
        <v>32</v>
      </c>
      <c r="AH78" s="47">
        <f t="shared" si="8"/>
        <v>8.9499999999999993</v>
      </c>
      <c r="AI78" s="48">
        <f t="shared" si="9"/>
        <v>0</v>
      </c>
      <c r="AK78" s="50"/>
      <c r="AZ78" s="233">
        <f t="shared" si="58"/>
        <v>3</v>
      </c>
      <c r="BA78" s="233">
        <f t="shared" si="58"/>
        <v>19</v>
      </c>
      <c r="BB78" s="233">
        <f t="shared" si="58"/>
        <v>3.6</v>
      </c>
      <c r="BC78" s="233">
        <f t="shared" si="58"/>
        <v>3.6</v>
      </c>
      <c r="BD78" s="233">
        <f t="shared" si="58"/>
        <v>4</v>
      </c>
      <c r="BE78" s="233">
        <f t="shared" si="58"/>
        <v>27.9</v>
      </c>
      <c r="BF78" s="233">
        <f t="shared" si="58"/>
        <v>43.1</v>
      </c>
      <c r="BG78" s="233">
        <f t="shared" si="58"/>
        <v>30.5</v>
      </c>
      <c r="BH78" s="233">
        <f t="shared" si="58"/>
        <v>26.4</v>
      </c>
      <c r="BI78" s="233">
        <f t="shared" si="58"/>
        <v>23.9</v>
      </c>
      <c r="BJ78" s="233">
        <f t="shared" si="58"/>
        <v>13.1</v>
      </c>
      <c r="BK78" s="233">
        <f t="shared" si="58"/>
        <v>15</v>
      </c>
      <c r="BL78" s="233">
        <f t="shared" si="58"/>
        <v>23</v>
      </c>
      <c r="BM78" s="233">
        <f t="shared" si="58"/>
        <v>-1</v>
      </c>
      <c r="BN78" s="233">
        <f t="shared" si="58"/>
        <v>0</v>
      </c>
      <c r="BO78" s="233">
        <f t="shared" si="58"/>
        <v>0</v>
      </c>
      <c r="BP78" s="233">
        <f t="shared" si="58"/>
        <v>2.8</v>
      </c>
      <c r="BQ78" s="233">
        <f t="shared" si="58"/>
        <v>3.7</v>
      </c>
      <c r="BR78" s="233">
        <f t="shared" si="58"/>
        <v>6.3</v>
      </c>
      <c r="BS78" s="233">
        <f t="shared" si="58"/>
        <v>5</v>
      </c>
      <c r="BT78" s="233">
        <f t="shared" si="58"/>
        <v>4.2</v>
      </c>
      <c r="BU78" s="233">
        <f t="shared" si="58"/>
        <v>4</v>
      </c>
      <c r="BV78" s="233">
        <f t="shared" si="58"/>
        <v>27.8</v>
      </c>
      <c r="BW78" s="233">
        <f t="shared" si="58"/>
        <v>2.7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>
        <v>3.16</v>
      </c>
      <c r="Z79" s="67">
        <v>1.7</v>
      </c>
      <c r="AA79" s="67">
        <v>0</v>
      </c>
      <c r="AB79" s="67"/>
      <c r="AC79" s="67"/>
      <c r="AD79" s="67"/>
      <c r="AE79" s="67"/>
      <c r="AF79" s="67"/>
      <c r="AG79" s="68">
        <v>14</v>
      </c>
      <c r="AH79" s="47">
        <f t="shared" si="8"/>
        <v>3.16</v>
      </c>
      <c r="AI79" s="48">
        <f t="shared" si="9"/>
        <v>0</v>
      </c>
      <c r="AK79" s="50"/>
      <c r="AZ79" s="233">
        <f t="shared" si="58"/>
        <v>104</v>
      </c>
      <c r="BA79" s="233">
        <f t="shared" si="58"/>
        <v>109.4</v>
      </c>
      <c r="BB79" s="233">
        <f t="shared" si="58"/>
        <v>106</v>
      </c>
      <c r="BC79" s="233">
        <f t="shared" si="58"/>
        <v>106</v>
      </c>
      <c r="BD79" s="233">
        <f t="shared" si="58"/>
        <v>0</v>
      </c>
      <c r="BE79" s="233">
        <f t="shared" si="58"/>
        <v>0</v>
      </c>
      <c r="BF79" s="233">
        <f t="shared" si="58"/>
        <v>0</v>
      </c>
      <c r="BG79" s="233">
        <f t="shared" si="58"/>
        <v>0</v>
      </c>
      <c r="BH79" s="233">
        <f t="shared" si="58"/>
        <v>0</v>
      </c>
      <c r="BI79" s="233">
        <f t="shared" si="58"/>
        <v>0</v>
      </c>
      <c r="BJ79" s="233">
        <f t="shared" si="58"/>
        <v>70</v>
      </c>
      <c r="BK79" s="233">
        <f t="shared" si="58"/>
        <v>98</v>
      </c>
      <c r="BL79" s="233">
        <f t="shared" si="58"/>
        <v>102</v>
      </c>
      <c r="BM79" s="233">
        <f t="shared" si="58"/>
        <v>104</v>
      </c>
      <c r="BN79" s="233">
        <f t="shared" si="58"/>
        <v>103</v>
      </c>
      <c r="BO79" s="233">
        <f t="shared" si="58"/>
        <v>109.6</v>
      </c>
      <c r="BP79" s="233">
        <f t="shared" si="58"/>
        <v>70.599999999999994</v>
      </c>
      <c r="BQ79" s="233">
        <f t="shared" si="58"/>
        <v>0</v>
      </c>
      <c r="BR79" s="233">
        <f t="shared" si="58"/>
        <v>0</v>
      </c>
      <c r="BS79" s="233">
        <f t="shared" si="58"/>
        <v>0</v>
      </c>
      <c r="BT79" s="233">
        <f t="shared" si="58"/>
        <v>0</v>
      </c>
      <c r="BU79" s="233">
        <f t="shared" si="58"/>
        <v>87</v>
      </c>
      <c r="BV79" s="233">
        <f t="shared" si="58"/>
        <v>112.6</v>
      </c>
      <c r="BW79" s="233">
        <f t="shared" si="58"/>
        <v>104</v>
      </c>
    </row>
    <row r="80" spans="1:75" ht="15.75" thickBot="1" x14ac:dyDescent="0.3">
      <c r="A80" s="74" t="s">
        <v>80</v>
      </c>
      <c r="B80" s="60">
        <f t="shared" ref="B80:C80" si="59">B77+B78+B79</f>
        <v>0</v>
      </c>
      <c r="C80" s="60">
        <f t="shared" si="59"/>
        <v>0</v>
      </c>
      <c r="D80" s="60">
        <f t="shared" ref="D80" si="60">D77+D78+D79</f>
        <v>0</v>
      </c>
      <c r="E80" s="60">
        <f t="shared" ref="E80:AF80" si="61">E77+E78+E79</f>
        <v>0</v>
      </c>
      <c r="F80" s="60">
        <f t="shared" si="61"/>
        <v>0</v>
      </c>
      <c r="G80" s="60">
        <f t="shared" si="61"/>
        <v>0</v>
      </c>
      <c r="H80" s="60">
        <f t="shared" si="61"/>
        <v>0</v>
      </c>
      <c r="I80" s="60">
        <f t="shared" si="61"/>
        <v>0</v>
      </c>
      <c r="J80" s="60">
        <f t="shared" si="61"/>
        <v>0</v>
      </c>
      <c r="K80" s="60">
        <f t="shared" si="61"/>
        <v>0</v>
      </c>
      <c r="L80" s="60">
        <f t="shared" si="61"/>
        <v>0</v>
      </c>
      <c r="M80" s="60">
        <f t="shared" si="61"/>
        <v>0</v>
      </c>
      <c r="N80" s="60">
        <f t="shared" si="61"/>
        <v>0</v>
      </c>
      <c r="O80" s="60">
        <f t="shared" si="61"/>
        <v>0</v>
      </c>
      <c r="P80" s="60">
        <f t="shared" si="61"/>
        <v>0</v>
      </c>
      <c r="Q80" s="60">
        <f t="shared" si="61"/>
        <v>0</v>
      </c>
      <c r="R80" s="60">
        <f t="shared" si="61"/>
        <v>0</v>
      </c>
      <c r="S80" s="60">
        <f t="shared" ref="S80:T80" si="62">S77+S78+S79</f>
        <v>0</v>
      </c>
      <c r="T80" s="60">
        <f t="shared" si="62"/>
        <v>0</v>
      </c>
      <c r="U80" s="60">
        <f t="shared" ref="U80:V80" si="63">U77+U78+U79</f>
        <v>0</v>
      </c>
      <c r="V80" s="60">
        <f t="shared" si="63"/>
        <v>0</v>
      </c>
      <c r="W80" s="60">
        <f t="shared" ref="W80:Y80" si="64">W77+W78+W79</f>
        <v>0</v>
      </c>
      <c r="X80" s="60">
        <f t="shared" si="64"/>
        <v>0</v>
      </c>
      <c r="Y80" s="60">
        <f t="shared" si="64"/>
        <v>31.93</v>
      </c>
      <c r="Z80" s="60">
        <f t="shared" ref="Z80" si="65">Z77+Z78+Z79</f>
        <v>16.899999999999999</v>
      </c>
      <c r="AA80" s="60">
        <f t="shared" ref="AA80" si="66">AA77+AA78+AA79</f>
        <v>0</v>
      </c>
      <c r="AB80" s="60">
        <f t="shared" si="61"/>
        <v>0</v>
      </c>
      <c r="AC80" s="60">
        <f t="shared" si="61"/>
        <v>0</v>
      </c>
      <c r="AD80" s="60">
        <f t="shared" si="61"/>
        <v>0</v>
      </c>
      <c r="AE80" s="60">
        <f t="shared" si="61"/>
        <v>0</v>
      </c>
      <c r="AF80" s="60">
        <f t="shared" si="61"/>
        <v>0</v>
      </c>
      <c r="AG80" s="61">
        <f>SUM(AG77:AG79)</f>
        <v>106</v>
      </c>
      <c r="AH80" s="47">
        <f t="shared" si="8"/>
        <v>31.93</v>
      </c>
      <c r="AI80" s="48">
        <f t="shared" si="9"/>
        <v>0</v>
      </c>
      <c r="AK80" s="50"/>
      <c r="AZ80" s="233">
        <f t="shared" si="58"/>
        <v>50</v>
      </c>
      <c r="BA80" s="233">
        <f t="shared" si="58"/>
        <v>41.1</v>
      </c>
      <c r="BB80" s="233">
        <f t="shared" si="58"/>
        <v>0</v>
      </c>
      <c r="BC80" s="233">
        <f t="shared" si="58"/>
        <v>0</v>
      </c>
      <c r="BD80" s="233">
        <f t="shared" si="58"/>
        <v>0</v>
      </c>
      <c r="BE80" s="233">
        <f t="shared" si="58"/>
        <v>45.7</v>
      </c>
      <c r="BF80" s="233">
        <f t="shared" si="58"/>
        <v>71.2</v>
      </c>
      <c r="BG80" s="233">
        <f t="shared" si="58"/>
        <v>60.8</v>
      </c>
      <c r="BH80" s="233">
        <f t="shared" si="58"/>
        <v>57.3</v>
      </c>
      <c r="BI80" s="233">
        <f t="shared" si="58"/>
        <v>61.5</v>
      </c>
      <c r="BJ80" s="233">
        <f t="shared" si="58"/>
        <v>70</v>
      </c>
      <c r="BK80" s="233">
        <f t="shared" si="58"/>
        <v>62</v>
      </c>
      <c r="BL80" s="233">
        <f t="shared" si="58"/>
        <v>78</v>
      </c>
      <c r="BM80" s="233">
        <f t="shared" si="58"/>
        <v>79.599999999999994</v>
      </c>
      <c r="BN80" s="233">
        <f t="shared" si="58"/>
        <v>75.400000000000006</v>
      </c>
      <c r="BO80" s="233">
        <f t="shared" si="58"/>
        <v>75.3</v>
      </c>
      <c r="BP80" s="233">
        <f t="shared" si="58"/>
        <v>76.099999999999994</v>
      </c>
      <c r="BQ80" s="233">
        <f t="shared" si="58"/>
        <v>71.900000000000006</v>
      </c>
      <c r="BR80" s="233">
        <f t="shared" si="58"/>
        <v>79.7</v>
      </c>
      <c r="BS80" s="233">
        <f t="shared" si="58"/>
        <v>79.400000000000006</v>
      </c>
      <c r="BT80" s="233">
        <f t="shared" si="58"/>
        <v>72.5</v>
      </c>
      <c r="BU80" s="233">
        <f t="shared" si="58"/>
        <v>69.400000000000006</v>
      </c>
      <c r="BV80" s="233">
        <f t="shared" si="58"/>
        <v>73.3</v>
      </c>
      <c r="BW80" s="233">
        <f t="shared" si="58"/>
        <v>49.7</v>
      </c>
    </row>
    <row r="81" spans="1:64" x14ac:dyDescent="0.25">
      <c r="A81" s="44" t="s">
        <v>81</v>
      </c>
      <c r="B81" s="45">
        <v>53.4</v>
      </c>
      <c r="C81" s="45">
        <v>66.599999999999994</v>
      </c>
      <c r="D81" s="45">
        <v>67.7</v>
      </c>
      <c r="E81" s="45">
        <v>64</v>
      </c>
      <c r="F81" s="45">
        <v>59.4</v>
      </c>
      <c r="G81" s="45">
        <v>60</v>
      </c>
      <c r="H81" s="45">
        <v>61.6</v>
      </c>
      <c r="I81" s="45">
        <v>61</v>
      </c>
      <c r="J81" s="45">
        <v>65.400000000000006</v>
      </c>
      <c r="K81" s="45">
        <v>65.400000000000006</v>
      </c>
      <c r="L81" s="45">
        <v>63.9</v>
      </c>
      <c r="M81" s="45">
        <v>59.6</v>
      </c>
      <c r="N81" s="45">
        <v>59.9</v>
      </c>
      <c r="O81" s="45">
        <v>64.2</v>
      </c>
      <c r="P81" s="45">
        <v>50.1</v>
      </c>
      <c r="Q81" s="45">
        <v>53.1</v>
      </c>
      <c r="R81" s="45">
        <v>51.6</v>
      </c>
      <c r="S81" s="45">
        <v>64.900000000000006</v>
      </c>
      <c r="T81" s="45">
        <v>70.5</v>
      </c>
      <c r="U81" s="45">
        <v>69.900000000000006</v>
      </c>
      <c r="V81" s="45">
        <v>44.1</v>
      </c>
      <c r="W81" s="45">
        <v>60.3</v>
      </c>
      <c r="X81" s="45">
        <v>44.4</v>
      </c>
      <c r="Y81" s="45">
        <v>73.5</v>
      </c>
      <c r="Z81" s="45">
        <v>73.3</v>
      </c>
      <c r="AA81" s="45">
        <v>65</v>
      </c>
      <c r="AB81" s="45">
        <v>67.7</v>
      </c>
      <c r="AC81" s="45">
        <v>62.8</v>
      </c>
      <c r="AD81" s="45">
        <v>63.2</v>
      </c>
      <c r="AE81" s="45">
        <v>58</v>
      </c>
      <c r="AF81" s="45">
        <v>71.900000000000006</v>
      </c>
      <c r="AG81" s="52"/>
      <c r="AH81" s="47">
        <f t="shared" si="8"/>
        <v>73.5</v>
      </c>
      <c r="AI81" s="48">
        <f t="shared" si="9"/>
        <v>44.1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67">MAX(B82:AF82)</f>
        <v>0</v>
      </c>
      <c r="AI82" s="48">
        <f t="shared" ref="AI82:AI123" si="68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412.1</v>
      </c>
      <c r="C83" s="65">
        <v>412.1</v>
      </c>
      <c r="D83" s="65">
        <v>354.5</v>
      </c>
      <c r="E83" s="65">
        <v>418.8</v>
      </c>
      <c r="F83" s="65">
        <v>399</v>
      </c>
      <c r="G83" s="65">
        <v>442.5</v>
      </c>
      <c r="H83" s="65">
        <v>436.5</v>
      </c>
      <c r="I83" s="65">
        <v>445.8</v>
      </c>
      <c r="J83" s="65">
        <v>347</v>
      </c>
      <c r="K83" s="65">
        <v>357</v>
      </c>
      <c r="L83" s="65">
        <v>208.7</v>
      </c>
      <c r="M83" s="65">
        <v>6.5</v>
      </c>
      <c r="N83" s="65">
        <v>1.9</v>
      </c>
      <c r="O83" s="65">
        <v>358.1</v>
      </c>
      <c r="P83" s="65">
        <v>460</v>
      </c>
      <c r="Q83" s="65">
        <v>451.1</v>
      </c>
      <c r="R83" s="65">
        <v>475.9</v>
      </c>
      <c r="S83" s="65">
        <v>488.6</v>
      </c>
      <c r="T83" s="65">
        <v>488.3</v>
      </c>
      <c r="U83" s="65">
        <v>480.9</v>
      </c>
      <c r="V83" s="65">
        <v>420.5</v>
      </c>
      <c r="W83" s="65">
        <v>486.6</v>
      </c>
      <c r="X83" s="65">
        <v>466.6</v>
      </c>
      <c r="Y83" s="65">
        <v>360.7</v>
      </c>
      <c r="Z83" s="65">
        <v>296</v>
      </c>
      <c r="AA83" s="65">
        <v>185.8</v>
      </c>
      <c r="AB83" s="65">
        <v>200</v>
      </c>
      <c r="AC83" s="65">
        <v>205</v>
      </c>
      <c r="AD83" s="65">
        <v>370</v>
      </c>
      <c r="AE83" s="65">
        <v>391</v>
      </c>
      <c r="AF83" s="65">
        <v>413</v>
      </c>
      <c r="AG83" s="75"/>
      <c r="AH83" s="47">
        <f t="shared" si="67"/>
        <v>488.6</v>
      </c>
      <c r="AI83" s="48">
        <f t="shared" si="68"/>
        <v>1.9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2.7</v>
      </c>
      <c r="C84" s="65">
        <v>2.7</v>
      </c>
      <c r="D84" s="65">
        <v>19</v>
      </c>
      <c r="E84" s="76">
        <v>3.6</v>
      </c>
      <c r="F84" s="76">
        <v>3.6</v>
      </c>
      <c r="G84" s="76">
        <v>4</v>
      </c>
      <c r="H84" s="76">
        <v>23.5</v>
      </c>
      <c r="I84" s="76">
        <v>27.9</v>
      </c>
      <c r="J84" s="76">
        <v>45.3</v>
      </c>
      <c r="K84" s="76">
        <v>43.1</v>
      </c>
      <c r="L84" s="76">
        <v>37.6</v>
      </c>
      <c r="M84" s="76">
        <v>30.5</v>
      </c>
      <c r="N84" s="76">
        <v>26.4</v>
      </c>
      <c r="O84" s="76">
        <v>23.9</v>
      </c>
      <c r="P84" s="76">
        <v>13.1</v>
      </c>
      <c r="Q84" s="76">
        <v>15</v>
      </c>
      <c r="R84" s="76">
        <v>23</v>
      </c>
      <c r="S84" s="76">
        <v>-1</v>
      </c>
      <c r="T84" s="76">
        <v>0</v>
      </c>
      <c r="U84" s="76">
        <v>0</v>
      </c>
      <c r="V84" s="76">
        <v>2.8</v>
      </c>
      <c r="W84" s="76">
        <v>3.4</v>
      </c>
      <c r="X84" s="76">
        <v>3.7</v>
      </c>
      <c r="Y84" s="76">
        <v>6.2</v>
      </c>
      <c r="Z84" s="76">
        <v>6.3</v>
      </c>
      <c r="AA84" s="76">
        <v>5.6</v>
      </c>
      <c r="AB84" s="76">
        <v>5</v>
      </c>
      <c r="AC84" s="76">
        <v>5</v>
      </c>
      <c r="AD84" s="76">
        <v>4.2</v>
      </c>
      <c r="AE84" s="76">
        <v>4</v>
      </c>
      <c r="AF84" s="76">
        <v>27.8</v>
      </c>
      <c r="AG84" s="75"/>
      <c r="AH84" s="47">
        <f t="shared" si="67"/>
        <v>45.3</v>
      </c>
      <c r="AI84" s="48">
        <f t="shared" si="68"/>
        <v>-1</v>
      </c>
      <c r="AK84" s="50"/>
      <c r="AY84" s="233"/>
      <c r="BF84" s="232"/>
      <c r="BG84" s="233">
        <f t="array" ref="BG84:BL107">TRANSPOSE(AZ68:BW73)</f>
        <v>67</v>
      </c>
      <c r="BH84" s="233">
        <v>0</v>
      </c>
      <c r="BI84" s="233">
        <v>412</v>
      </c>
      <c r="BJ84" s="233">
        <v>3</v>
      </c>
      <c r="BK84" s="233">
        <v>104</v>
      </c>
      <c r="BL84" s="233">
        <v>50</v>
      </c>
    </row>
    <row r="85" spans="1:64" x14ac:dyDescent="0.25">
      <c r="A85" s="54" t="s">
        <v>85</v>
      </c>
      <c r="B85" s="45">
        <v>104</v>
      </c>
      <c r="C85" s="45">
        <v>104</v>
      </c>
      <c r="D85" s="45">
        <v>109.4</v>
      </c>
      <c r="E85" s="45">
        <v>106</v>
      </c>
      <c r="F85" s="45">
        <v>106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70</v>
      </c>
      <c r="Q85" s="45">
        <v>98</v>
      </c>
      <c r="R85" s="45">
        <v>102</v>
      </c>
      <c r="S85" s="45">
        <v>104</v>
      </c>
      <c r="T85" s="45">
        <v>103</v>
      </c>
      <c r="U85" s="45">
        <v>109.6</v>
      </c>
      <c r="V85" s="45">
        <v>70.599999999999994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/>
      <c r="AC85" s="45"/>
      <c r="AD85" s="45"/>
      <c r="AE85" s="45">
        <v>87</v>
      </c>
      <c r="AF85" s="45">
        <v>112.6</v>
      </c>
      <c r="AG85" s="75"/>
      <c r="AH85" s="47">
        <f t="shared" si="67"/>
        <v>112.6</v>
      </c>
      <c r="AI85" s="48">
        <f t="shared" si="68"/>
        <v>0</v>
      </c>
      <c r="AK85" s="50"/>
      <c r="AY85" s="233"/>
      <c r="BF85" s="232"/>
      <c r="BG85" s="233">
        <v>67.7</v>
      </c>
      <c r="BH85" s="233">
        <v>0</v>
      </c>
      <c r="BI85" s="233">
        <v>354.5</v>
      </c>
      <c r="BJ85" s="233">
        <v>19</v>
      </c>
      <c r="BK85" s="233">
        <v>109.4</v>
      </c>
      <c r="BL85" s="233">
        <v>41.1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67"/>
        <v>0</v>
      </c>
      <c r="AI86" s="48">
        <f t="shared" si="68"/>
        <v>0</v>
      </c>
      <c r="AK86" s="50"/>
      <c r="AY86" s="233"/>
      <c r="BF86" s="232"/>
      <c r="BG86" s="233">
        <v>64</v>
      </c>
      <c r="BH86" s="233">
        <v>0</v>
      </c>
      <c r="BI86" s="233">
        <v>418.8</v>
      </c>
      <c r="BJ86" s="233">
        <v>3.6</v>
      </c>
      <c r="BK86" s="233">
        <v>106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67"/>
        <v>0</v>
      </c>
      <c r="AI87" s="48">
        <f t="shared" si="68"/>
        <v>0</v>
      </c>
      <c r="AK87" s="50"/>
      <c r="AL87" s="78" t="s">
        <v>88</v>
      </c>
      <c r="AM87" s="78"/>
      <c r="AY87" s="233"/>
      <c r="BF87" s="233"/>
      <c r="BG87" s="233">
        <v>59.4</v>
      </c>
      <c r="BH87" s="233">
        <v>0</v>
      </c>
      <c r="BI87" s="233">
        <v>399</v>
      </c>
      <c r="BJ87" s="233">
        <v>3.6</v>
      </c>
      <c r="BK87" s="233">
        <v>106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67"/>
        <v>0</v>
      </c>
      <c r="AI88" s="48">
        <f t="shared" si="68"/>
        <v>0</v>
      </c>
      <c r="AK88" s="79"/>
      <c r="AL88" s="80"/>
      <c r="AM88" s="80"/>
      <c r="AN88" s="81"/>
      <c r="AY88" s="233"/>
      <c r="BF88" s="233"/>
      <c r="BG88" s="233">
        <v>60</v>
      </c>
      <c r="BH88" s="233">
        <v>0</v>
      </c>
      <c r="BI88" s="233">
        <v>442.5</v>
      </c>
      <c r="BJ88" s="233">
        <v>4</v>
      </c>
      <c r="BK88" s="233">
        <v>0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67"/>
        <v>0</v>
      </c>
      <c r="AI89" s="48">
        <f t="shared" si="68"/>
        <v>0</v>
      </c>
      <c r="AK89" s="82" t="s">
        <v>91</v>
      </c>
      <c r="AL89" s="65"/>
      <c r="AM89" s="76"/>
      <c r="AN89" s="83"/>
      <c r="AY89" s="233"/>
      <c r="BF89" s="233"/>
      <c r="BG89" s="233">
        <v>61</v>
      </c>
      <c r="BH89" s="233">
        <v>0</v>
      </c>
      <c r="BI89" s="233">
        <v>445.8</v>
      </c>
      <c r="BJ89" s="233">
        <v>27.9</v>
      </c>
      <c r="BK89" s="233">
        <v>0</v>
      </c>
      <c r="BL89" s="233">
        <v>45.7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67"/>
        <v>0</v>
      </c>
      <c r="AI90" s="48">
        <f t="shared" si="68"/>
        <v>0</v>
      </c>
      <c r="AK90" s="82" t="s">
        <v>93</v>
      </c>
      <c r="AL90" s="76"/>
      <c r="AM90" s="76"/>
      <c r="AN90" s="83"/>
      <c r="AY90" s="233"/>
      <c r="BF90" s="233"/>
      <c r="BG90" s="233">
        <v>65.400000000000006</v>
      </c>
      <c r="BH90" s="233">
        <v>0</v>
      </c>
      <c r="BI90" s="233">
        <v>357</v>
      </c>
      <c r="BJ90" s="233">
        <v>43.1</v>
      </c>
      <c r="BK90" s="233">
        <v>0</v>
      </c>
      <c r="BL90" s="233">
        <v>71.2</v>
      </c>
    </row>
    <row r="91" spans="1:64" ht="15.75" thickBot="1" x14ac:dyDescent="0.3">
      <c r="A91" s="84" t="s">
        <v>394</v>
      </c>
      <c r="B91" s="77">
        <v>49.7</v>
      </c>
      <c r="C91" s="77">
        <v>49.7</v>
      </c>
      <c r="D91" s="77">
        <v>41.1</v>
      </c>
      <c r="E91" s="77">
        <v>0</v>
      </c>
      <c r="F91" s="77">
        <v>0</v>
      </c>
      <c r="G91" s="77">
        <v>0</v>
      </c>
      <c r="H91" s="77">
        <v>41.5</v>
      </c>
      <c r="I91" s="77">
        <v>45.7</v>
      </c>
      <c r="J91" s="77">
        <v>74.7</v>
      </c>
      <c r="K91" s="77">
        <v>71.2</v>
      </c>
      <c r="L91" s="77">
        <v>68</v>
      </c>
      <c r="M91" s="77">
        <v>60.8</v>
      </c>
      <c r="N91" s="77">
        <v>57.3</v>
      </c>
      <c r="O91" s="77">
        <v>61.5</v>
      </c>
      <c r="P91" s="77">
        <v>70</v>
      </c>
      <c r="Q91" s="77">
        <v>62</v>
      </c>
      <c r="R91" s="77">
        <v>78</v>
      </c>
      <c r="S91" s="77">
        <v>79.599999999999994</v>
      </c>
      <c r="T91" s="77">
        <v>75.400000000000006</v>
      </c>
      <c r="U91" s="77">
        <v>75.3</v>
      </c>
      <c r="V91" s="77">
        <v>76.099999999999994</v>
      </c>
      <c r="W91" s="77">
        <v>69.400000000000006</v>
      </c>
      <c r="X91" s="77">
        <v>71.900000000000006</v>
      </c>
      <c r="Y91" s="77">
        <v>80.900000000000006</v>
      </c>
      <c r="Z91" s="77">
        <v>79.7</v>
      </c>
      <c r="AA91" s="77">
        <v>78.900000000000006</v>
      </c>
      <c r="AB91" s="77">
        <v>79.400000000000006</v>
      </c>
      <c r="AC91" s="77">
        <v>75.3</v>
      </c>
      <c r="AD91" s="77">
        <v>72.5</v>
      </c>
      <c r="AE91" s="77">
        <v>69.400000000000006</v>
      </c>
      <c r="AF91" s="77">
        <v>73.3</v>
      </c>
      <c r="AG91" s="85"/>
      <c r="AH91" s="47">
        <f t="shared" si="67"/>
        <v>80.900000000000006</v>
      </c>
      <c r="AI91" s="48">
        <f t="shared" si="68"/>
        <v>0</v>
      </c>
      <c r="AK91" s="86"/>
      <c r="AL91" s="45"/>
      <c r="AM91" s="45"/>
      <c r="AN91" s="87"/>
      <c r="AY91" s="233"/>
      <c r="BF91" s="233"/>
      <c r="BG91" s="233">
        <v>59.6</v>
      </c>
      <c r="BH91" s="233">
        <v>0</v>
      </c>
      <c r="BI91" s="233">
        <v>6.5</v>
      </c>
      <c r="BJ91" s="233">
        <v>30.5</v>
      </c>
      <c r="BK91" s="233">
        <v>0</v>
      </c>
      <c r="BL91" s="233">
        <v>60.8</v>
      </c>
    </row>
    <row r="92" spans="1:64" ht="15.75" thickBot="1" x14ac:dyDescent="0.3">
      <c r="A92" s="74" t="s">
        <v>94</v>
      </c>
      <c r="B92" s="60">
        <f t="shared" ref="B92:C92" si="69">SUMIF(B81:B91,"&gt;0")</f>
        <v>621.90000000000009</v>
      </c>
      <c r="C92" s="60">
        <f t="shared" si="69"/>
        <v>635.10000000000014</v>
      </c>
      <c r="D92" s="60">
        <f t="shared" ref="D92" si="70">SUMIF(D81:D91,"&gt;0")</f>
        <v>591.70000000000005</v>
      </c>
      <c r="E92" s="60">
        <f t="shared" ref="E92:AF92" si="71">SUMIF(E81:E91,"&gt;0")</f>
        <v>592.40000000000009</v>
      </c>
      <c r="F92" s="60">
        <f t="shared" si="71"/>
        <v>568</v>
      </c>
      <c r="G92" s="60">
        <f t="shared" si="71"/>
        <v>506.5</v>
      </c>
      <c r="H92" s="60">
        <f t="shared" si="71"/>
        <v>563.1</v>
      </c>
      <c r="I92" s="60">
        <f t="shared" si="71"/>
        <v>580.40000000000009</v>
      </c>
      <c r="J92" s="60">
        <f t="shared" si="71"/>
        <v>532.4</v>
      </c>
      <c r="K92" s="60">
        <f t="shared" si="71"/>
        <v>536.70000000000005</v>
      </c>
      <c r="L92" s="60">
        <f t="shared" si="71"/>
        <v>378.2</v>
      </c>
      <c r="M92" s="60">
        <f t="shared" si="71"/>
        <v>157.39999999999998</v>
      </c>
      <c r="N92" s="60">
        <f t="shared" si="71"/>
        <v>145.5</v>
      </c>
      <c r="O92" s="60">
        <f t="shared" si="71"/>
        <v>507.7</v>
      </c>
      <c r="P92" s="60">
        <f t="shared" si="71"/>
        <v>663.2</v>
      </c>
      <c r="Q92" s="60">
        <f t="shared" si="71"/>
        <v>679.2</v>
      </c>
      <c r="R92" s="60">
        <f t="shared" si="71"/>
        <v>730.5</v>
      </c>
      <c r="S92" s="60">
        <f t="shared" ref="S92:T92" si="72">SUMIF(S81:S91,"&gt;0")</f>
        <v>737.1</v>
      </c>
      <c r="T92" s="60">
        <f t="shared" si="72"/>
        <v>737.19999999999993</v>
      </c>
      <c r="U92" s="60">
        <f t="shared" ref="U92:V92" si="73">SUMIF(U81:U91,"&gt;0")</f>
        <v>735.69999999999993</v>
      </c>
      <c r="V92" s="60">
        <f t="shared" si="73"/>
        <v>614.1</v>
      </c>
      <c r="W92" s="60">
        <f t="shared" ref="W92:Y92" si="74">SUMIF(W81:W91,"&gt;0")</f>
        <v>619.69999999999993</v>
      </c>
      <c r="X92" s="60">
        <f t="shared" si="74"/>
        <v>586.6</v>
      </c>
      <c r="Y92" s="60">
        <f t="shared" si="74"/>
        <v>521.29999999999995</v>
      </c>
      <c r="Z92" s="60">
        <f t="shared" ref="Z92" si="75">SUMIF(Z81:Z91,"&gt;0")</f>
        <v>455.3</v>
      </c>
      <c r="AA92" s="60">
        <f t="shared" ref="AA92" si="76">SUMIF(AA81:AA91,"&gt;0")</f>
        <v>335.30000000000007</v>
      </c>
      <c r="AB92" s="60">
        <f t="shared" si="71"/>
        <v>352.1</v>
      </c>
      <c r="AC92" s="60">
        <f t="shared" si="71"/>
        <v>348.1</v>
      </c>
      <c r="AD92" s="60">
        <f t="shared" si="71"/>
        <v>509.9</v>
      </c>
      <c r="AE92" s="60">
        <f t="shared" si="71"/>
        <v>609.4</v>
      </c>
      <c r="AF92" s="60">
        <f t="shared" si="71"/>
        <v>698.59999999999991</v>
      </c>
      <c r="AG92" s="88">
        <f>SUM(AG81:AG91)</f>
        <v>0</v>
      </c>
      <c r="AH92" s="47">
        <f t="shared" si="67"/>
        <v>737.19999999999993</v>
      </c>
      <c r="AI92" s="48">
        <f t="shared" si="68"/>
        <v>145.5</v>
      </c>
      <c r="AK92" s="86"/>
      <c r="AL92" s="77"/>
      <c r="AM92" s="89"/>
      <c r="AN92" s="257"/>
      <c r="AY92" s="233"/>
      <c r="BF92" s="233"/>
      <c r="BG92" s="233">
        <v>59.9</v>
      </c>
      <c r="BH92" s="233">
        <v>0</v>
      </c>
      <c r="BI92" s="233">
        <v>1.9</v>
      </c>
      <c r="BJ92" s="233">
        <v>26.4</v>
      </c>
      <c r="BK92" s="233">
        <v>0</v>
      </c>
      <c r="BL92" s="233">
        <v>57.3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67"/>
        <v>0</v>
      </c>
      <c r="AI93" s="48">
        <f t="shared" si="68"/>
        <v>0</v>
      </c>
      <c r="AK93" s="86"/>
      <c r="AL93" s="77"/>
      <c r="AM93" s="77"/>
      <c r="AN93" s="258"/>
      <c r="BF93" s="233"/>
      <c r="BG93" s="233">
        <v>64.2</v>
      </c>
      <c r="BH93" s="233">
        <v>0</v>
      </c>
      <c r="BI93" s="233">
        <v>358.1</v>
      </c>
      <c r="BJ93" s="233">
        <v>23.9</v>
      </c>
      <c r="BK93" s="233">
        <v>0</v>
      </c>
      <c r="BL93" s="233">
        <v>61.5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67"/>
        <v>0</v>
      </c>
      <c r="AI94" s="48">
        <f t="shared" si="68"/>
        <v>0</v>
      </c>
      <c r="AK94" s="91"/>
      <c r="AL94" s="92"/>
      <c r="AM94" s="92"/>
      <c r="AN94" s="93"/>
      <c r="BF94" s="233"/>
      <c r="BG94" s="233">
        <v>50.1</v>
      </c>
      <c r="BH94" s="233">
        <v>0</v>
      </c>
      <c r="BI94" s="233">
        <v>460</v>
      </c>
      <c r="BJ94" s="233">
        <v>13.1</v>
      </c>
      <c r="BK94" s="233">
        <v>70</v>
      </c>
      <c r="BL94" s="233">
        <v>70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67"/>
        <v>0</v>
      </c>
      <c r="AI95" s="48">
        <f t="shared" si="68"/>
        <v>0</v>
      </c>
      <c r="BF95" s="233"/>
      <c r="BG95" s="233">
        <v>53.1</v>
      </c>
      <c r="BH95" s="233">
        <v>0</v>
      </c>
      <c r="BI95" s="233">
        <v>451.1</v>
      </c>
      <c r="BJ95" s="233">
        <v>15</v>
      </c>
      <c r="BK95" s="233">
        <v>98</v>
      </c>
      <c r="BL95" s="233">
        <v>62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67"/>
        <v>0</v>
      </c>
      <c r="AI96" s="48">
        <f t="shared" si="68"/>
        <v>0</v>
      </c>
      <c r="BF96" s="233"/>
      <c r="BG96" s="233">
        <v>51.6</v>
      </c>
      <c r="BH96" s="233">
        <v>0</v>
      </c>
      <c r="BI96" s="233">
        <v>475.9</v>
      </c>
      <c r="BJ96" s="233">
        <v>23</v>
      </c>
      <c r="BK96" s="233">
        <v>102</v>
      </c>
      <c r="BL96" s="233">
        <v>78</v>
      </c>
    </row>
    <row r="97" spans="1:64" ht="15.75" thickBot="1" x14ac:dyDescent="0.3">
      <c r="A97" s="74" t="s">
        <v>99</v>
      </c>
      <c r="B97" s="95">
        <f t="shared" ref="B97:C97" si="77">B58+B62+B80+B76+B92+B96</f>
        <v>1238.0900000000001</v>
      </c>
      <c r="C97" s="95">
        <f t="shared" si="77"/>
        <v>1251.2900000000002</v>
      </c>
      <c r="D97" s="95">
        <f t="shared" ref="D97" si="78">D58+D62+D80+D76+D92+D96</f>
        <v>1208.69</v>
      </c>
      <c r="E97" s="95">
        <f t="shared" ref="E97:AG97" si="79">E58+E62+E80+E76+E92+E96</f>
        <v>1203.69</v>
      </c>
      <c r="F97" s="95">
        <f t="shared" si="79"/>
        <v>1186.0900000000001</v>
      </c>
      <c r="G97" s="95">
        <f t="shared" si="79"/>
        <v>1206.0900000000001</v>
      </c>
      <c r="H97" s="95">
        <f t="shared" si="79"/>
        <v>1299.5900000000001</v>
      </c>
      <c r="I97" s="95">
        <f t="shared" si="79"/>
        <v>1361.19</v>
      </c>
      <c r="J97" s="95">
        <f t="shared" si="79"/>
        <v>1494.9900000000002</v>
      </c>
      <c r="K97" s="95">
        <f t="shared" si="79"/>
        <v>1441.69</v>
      </c>
      <c r="L97" s="95">
        <f t="shared" si="79"/>
        <v>1445.09</v>
      </c>
      <c r="M97" s="95">
        <f t="shared" si="79"/>
        <v>1398.79</v>
      </c>
      <c r="N97" s="95">
        <f t="shared" si="79"/>
        <v>1294.8899999999999</v>
      </c>
      <c r="O97" s="95">
        <f t="shared" si="79"/>
        <v>1236.0899999999999</v>
      </c>
      <c r="P97" s="95">
        <f t="shared" si="79"/>
        <v>1373.0900000000001</v>
      </c>
      <c r="Q97" s="95">
        <f t="shared" si="79"/>
        <v>1373.39</v>
      </c>
      <c r="R97" s="95">
        <f t="shared" si="79"/>
        <v>1400.29</v>
      </c>
      <c r="S97" s="95">
        <f t="shared" ref="S97:T97" si="80">S58+S62+S80+S76+S92+S96</f>
        <v>1433.8899999999999</v>
      </c>
      <c r="T97" s="95">
        <f t="shared" si="80"/>
        <v>1443.29</v>
      </c>
      <c r="U97" s="95">
        <f t="shared" ref="U97:V97" si="81">U58+U62+U80+U76+U92+U96</f>
        <v>1471.79</v>
      </c>
      <c r="V97" s="95">
        <f t="shared" si="81"/>
        <v>1301.8899999999999</v>
      </c>
      <c r="W97" s="95">
        <f t="shared" ref="W97:Y97" si="82">W58+W62+W80+W76+W92+W96</f>
        <v>1306.4899999999998</v>
      </c>
      <c r="X97" s="95">
        <f t="shared" si="82"/>
        <v>1320.0900000000001</v>
      </c>
      <c r="Y97" s="95">
        <f t="shared" si="82"/>
        <v>1607.02</v>
      </c>
      <c r="Z97" s="95">
        <f t="shared" ref="Z97" si="83">Z58+Z62+Z80+Z76+Z92+Z96</f>
        <v>1541.79</v>
      </c>
      <c r="AA97" s="95">
        <f t="shared" ref="AA97" si="84">AA58+AA62+AA80+AA76+AA92+AA96</f>
        <v>1504.5900000000001</v>
      </c>
      <c r="AB97" s="95">
        <f t="shared" si="79"/>
        <v>1410.8899999999999</v>
      </c>
      <c r="AC97" s="95">
        <f t="shared" si="79"/>
        <v>1287.0900000000001</v>
      </c>
      <c r="AD97" s="95">
        <f t="shared" si="79"/>
        <v>1402.8899999999999</v>
      </c>
      <c r="AE97" s="95">
        <f t="shared" si="79"/>
        <v>1333.3899999999999</v>
      </c>
      <c r="AF97" s="95">
        <f t="shared" si="79"/>
        <v>1326.79</v>
      </c>
      <c r="AG97" s="61">
        <f t="shared" si="79"/>
        <v>2231.81</v>
      </c>
      <c r="AH97" s="47">
        <f t="shared" si="67"/>
        <v>1607.02</v>
      </c>
      <c r="AI97" s="48">
        <f t="shared" si="68"/>
        <v>1186.0900000000001</v>
      </c>
      <c r="BF97" s="233"/>
      <c r="BG97" s="233">
        <v>64.900000000000006</v>
      </c>
      <c r="BH97" s="233">
        <v>0</v>
      </c>
      <c r="BI97" s="233">
        <v>488.6</v>
      </c>
      <c r="BJ97" s="233">
        <v>-1</v>
      </c>
      <c r="BK97" s="233">
        <v>104</v>
      </c>
      <c r="BL97" s="233">
        <v>79.599999999999994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250</v>
      </c>
      <c r="M98" s="97">
        <v>250</v>
      </c>
      <c r="N98" s="97">
        <v>250</v>
      </c>
      <c r="O98" s="97">
        <v>200</v>
      </c>
      <c r="P98" s="97"/>
      <c r="Q98" s="97"/>
      <c r="R98" s="97"/>
      <c r="S98" s="97"/>
      <c r="T98" s="97"/>
      <c r="U98" s="97"/>
      <c r="V98" s="97"/>
      <c r="W98" s="97"/>
      <c r="X98" s="97"/>
      <c r="Y98" s="97">
        <v>200</v>
      </c>
      <c r="Z98" s="97">
        <v>200</v>
      </c>
      <c r="AA98" s="97">
        <v>200</v>
      </c>
      <c r="AB98" s="97">
        <v>200</v>
      </c>
      <c r="AC98" s="97">
        <v>200</v>
      </c>
      <c r="AD98" s="97">
        <v>100</v>
      </c>
      <c r="AE98" s="97"/>
      <c r="AF98" s="97"/>
      <c r="AG98" s="88"/>
      <c r="AH98" s="47">
        <f t="shared" si="67"/>
        <v>250</v>
      </c>
      <c r="AI98" s="48">
        <f t="shared" si="68"/>
        <v>100</v>
      </c>
      <c r="BF98" s="233"/>
      <c r="BG98" s="233">
        <v>70.5</v>
      </c>
      <c r="BH98" s="233">
        <v>0</v>
      </c>
      <c r="BI98" s="233">
        <v>488.3</v>
      </c>
      <c r="BJ98" s="233">
        <v>0</v>
      </c>
      <c r="BK98" s="233">
        <v>103</v>
      </c>
      <c r="BL98" s="233">
        <v>75.400000000000006</v>
      </c>
    </row>
    <row r="99" spans="1:64" ht="15.75" thickBot="1" x14ac:dyDescent="0.3">
      <c r="A99" s="74" t="s">
        <v>101</v>
      </c>
      <c r="B99" s="95">
        <f t="shared" ref="B99:C99" si="85">B97+B98</f>
        <v>1238.0900000000001</v>
      </c>
      <c r="C99" s="95">
        <f t="shared" si="85"/>
        <v>1251.2900000000002</v>
      </c>
      <c r="D99" s="95">
        <f t="shared" ref="D99" si="86">D97+D98</f>
        <v>1208.69</v>
      </c>
      <c r="E99" s="95">
        <f t="shared" ref="E99:AF99" si="87">E97+E98</f>
        <v>1203.69</v>
      </c>
      <c r="F99" s="95">
        <f t="shared" si="87"/>
        <v>1186.0900000000001</v>
      </c>
      <c r="G99" s="95">
        <f t="shared" si="87"/>
        <v>1206.0900000000001</v>
      </c>
      <c r="H99" s="95">
        <f t="shared" si="87"/>
        <v>1299.5900000000001</v>
      </c>
      <c r="I99" s="95">
        <f t="shared" si="87"/>
        <v>1361.19</v>
      </c>
      <c r="J99" s="95">
        <f t="shared" si="87"/>
        <v>1494.9900000000002</v>
      </c>
      <c r="K99" s="95">
        <f t="shared" si="87"/>
        <v>1591.69</v>
      </c>
      <c r="L99" s="95">
        <f t="shared" si="87"/>
        <v>1695.09</v>
      </c>
      <c r="M99" s="95">
        <f t="shared" si="87"/>
        <v>1648.79</v>
      </c>
      <c r="N99" s="95">
        <f t="shared" si="87"/>
        <v>1544.8899999999999</v>
      </c>
      <c r="O99" s="95">
        <f t="shared" si="87"/>
        <v>1436.09</v>
      </c>
      <c r="P99" s="95">
        <f t="shared" si="87"/>
        <v>1373.0900000000001</v>
      </c>
      <c r="Q99" s="95">
        <f t="shared" si="87"/>
        <v>1373.39</v>
      </c>
      <c r="R99" s="95">
        <f t="shared" si="87"/>
        <v>1400.29</v>
      </c>
      <c r="S99" s="95">
        <f t="shared" ref="S99:T99" si="88">S97+S98</f>
        <v>1433.8899999999999</v>
      </c>
      <c r="T99" s="95">
        <f t="shared" si="88"/>
        <v>1443.29</v>
      </c>
      <c r="U99" s="95">
        <f t="shared" ref="U99:V99" si="89">U97+U98</f>
        <v>1471.79</v>
      </c>
      <c r="V99" s="95">
        <f t="shared" si="89"/>
        <v>1301.8899999999999</v>
      </c>
      <c r="W99" s="95">
        <f t="shared" ref="W99:Y99" si="90">W97+W98</f>
        <v>1306.4899999999998</v>
      </c>
      <c r="X99" s="95">
        <f t="shared" si="90"/>
        <v>1320.0900000000001</v>
      </c>
      <c r="Y99" s="95">
        <f t="shared" si="90"/>
        <v>1807.02</v>
      </c>
      <c r="Z99" s="95">
        <f t="shared" ref="Z99" si="91">Z97+Z98</f>
        <v>1741.79</v>
      </c>
      <c r="AA99" s="95">
        <f t="shared" ref="AA99" si="92">AA97+AA98</f>
        <v>1704.5900000000001</v>
      </c>
      <c r="AB99" s="95">
        <f t="shared" si="87"/>
        <v>1610.8899999999999</v>
      </c>
      <c r="AC99" s="95">
        <f t="shared" si="87"/>
        <v>1487.0900000000001</v>
      </c>
      <c r="AD99" s="95">
        <f t="shared" si="87"/>
        <v>1502.8899999999999</v>
      </c>
      <c r="AE99" s="95">
        <f t="shared" si="87"/>
        <v>1333.3899999999999</v>
      </c>
      <c r="AF99" s="95">
        <f t="shared" si="87"/>
        <v>1326.79</v>
      </c>
      <c r="AG99" s="88">
        <f>AG96+AG92+AG80+AG76+AG58+AG98</f>
        <v>1693.71</v>
      </c>
      <c r="AH99" s="47">
        <f t="shared" si="67"/>
        <v>1807.02</v>
      </c>
      <c r="AI99" s="48">
        <f t="shared" si="68"/>
        <v>1186.0900000000001</v>
      </c>
      <c r="BF99" s="233"/>
      <c r="BG99" s="233">
        <v>69.900000000000006</v>
      </c>
      <c r="BH99" s="233">
        <v>0</v>
      </c>
      <c r="BI99" s="233">
        <v>480.9</v>
      </c>
      <c r="BJ99" s="233">
        <v>0</v>
      </c>
      <c r="BK99" s="233">
        <v>109.6</v>
      </c>
      <c r="BL99" s="233">
        <v>75.3</v>
      </c>
    </row>
    <row r="100" spans="1:64" ht="15.75" thickBot="1" x14ac:dyDescent="0.3">
      <c r="A100" s="74" t="s">
        <v>102</v>
      </c>
      <c r="B100" s="95">
        <f t="shared" ref="B100:C100" si="93">B99-(B107)</f>
        <v>1238.0900000000001</v>
      </c>
      <c r="C100" s="95">
        <f t="shared" si="93"/>
        <v>1251.2900000000002</v>
      </c>
      <c r="D100" s="95">
        <f t="shared" ref="D100" si="94">D99-(D107)</f>
        <v>1208.69</v>
      </c>
      <c r="E100" s="95">
        <f t="shared" ref="E100:M100" si="95">E99-(E107)</f>
        <v>1203.69</v>
      </c>
      <c r="F100" s="95">
        <f t="shared" si="95"/>
        <v>1186.0900000000001</v>
      </c>
      <c r="G100" s="95">
        <f t="shared" si="95"/>
        <v>1206.0900000000001</v>
      </c>
      <c r="H100" s="95">
        <f t="shared" si="95"/>
        <v>1299.5900000000001</v>
      </c>
      <c r="I100" s="95">
        <f t="shared" si="95"/>
        <v>1361.19</v>
      </c>
      <c r="J100" s="95">
        <f t="shared" si="95"/>
        <v>1494.9900000000002</v>
      </c>
      <c r="K100" s="95">
        <f t="shared" si="95"/>
        <v>1591.69</v>
      </c>
      <c r="L100" s="95">
        <f t="shared" si="95"/>
        <v>1695.09</v>
      </c>
      <c r="M100" s="95">
        <f t="shared" si="95"/>
        <v>1648.79</v>
      </c>
      <c r="N100" s="95">
        <f>N99-(N107)</f>
        <v>1544.8899999999999</v>
      </c>
      <c r="O100" s="95">
        <f t="shared" ref="O100:AF100" si="96">O99-(O107)</f>
        <v>1436.09</v>
      </c>
      <c r="P100" s="95">
        <f t="shared" si="96"/>
        <v>1373.0900000000001</v>
      </c>
      <c r="Q100" s="95">
        <f t="shared" si="96"/>
        <v>1373.39</v>
      </c>
      <c r="R100" s="95">
        <f t="shared" si="96"/>
        <v>1400.29</v>
      </c>
      <c r="S100" s="95">
        <f t="shared" ref="S100:T100" si="97">S99-(S107)</f>
        <v>1433.8899999999999</v>
      </c>
      <c r="T100" s="95">
        <f t="shared" si="97"/>
        <v>1443.29</v>
      </c>
      <c r="U100" s="95">
        <f t="shared" ref="U100:V100" si="98">U99-(U107)</f>
        <v>1471.79</v>
      </c>
      <c r="V100" s="95">
        <f t="shared" si="98"/>
        <v>1301.8899999999999</v>
      </c>
      <c r="W100" s="95">
        <f t="shared" ref="W100:Y100" si="99">W99-(W107)</f>
        <v>1306.4899999999998</v>
      </c>
      <c r="X100" s="95">
        <f t="shared" si="99"/>
        <v>1320.0900000000001</v>
      </c>
      <c r="Y100" s="95">
        <f t="shared" si="99"/>
        <v>1807.02</v>
      </c>
      <c r="Z100" s="95">
        <f t="shared" ref="Z100" si="100">Z99-(Z107)</f>
        <v>1741.79</v>
      </c>
      <c r="AA100" s="95">
        <f t="shared" ref="AA100" si="101">AA99-(AA107)</f>
        <v>1704.5900000000001</v>
      </c>
      <c r="AB100" s="95">
        <f t="shared" si="96"/>
        <v>1610.8899999999999</v>
      </c>
      <c r="AC100" s="95">
        <f t="shared" si="96"/>
        <v>1487.0900000000001</v>
      </c>
      <c r="AD100" s="95">
        <f t="shared" si="96"/>
        <v>1502.8899999999999</v>
      </c>
      <c r="AE100" s="95">
        <f t="shared" si="96"/>
        <v>1333.3899999999999</v>
      </c>
      <c r="AF100" s="95">
        <f t="shared" si="96"/>
        <v>1326.79</v>
      </c>
      <c r="AG100" s="88"/>
      <c r="AH100" s="47">
        <f t="shared" si="67"/>
        <v>1807.02</v>
      </c>
      <c r="AI100" s="48">
        <f t="shared" si="68"/>
        <v>1186.0900000000001</v>
      </c>
      <c r="BF100" s="233"/>
      <c r="BG100" s="233">
        <v>44.1</v>
      </c>
      <c r="BH100" s="233">
        <v>0</v>
      </c>
      <c r="BI100" s="233">
        <v>420.5</v>
      </c>
      <c r="BJ100" s="233">
        <v>2.8</v>
      </c>
      <c r="BK100" s="233">
        <v>70.599999999999994</v>
      </c>
      <c r="BL100" s="233">
        <v>76.099999999999994</v>
      </c>
    </row>
    <row r="101" spans="1:64" x14ac:dyDescent="0.25">
      <c r="A101" s="44" t="s">
        <v>84</v>
      </c>
      <c r="B101" s="76">
        <f t="shared" ref="B101:C101" si="102">IF(B84&lt;0,B84*-1,0)</f>
        <v>0</v>
      </c>
      <c r="C101" s="76">
        <f t="shared" si="102"/>
        <v>0</v>
      </c>
      <c r="D101" s="76">
        <f t="shared" ref="D101" si="103">IF(D84&lt;0,D84*-1,0)</f>
        <v>0</v>
      </c>
      <c r="E101" s="76">
        <f t="shared" ref="E101:AF101" si="104">IF(E84&lt;0,E84*-1,0)</f>
        <v>0</v>
      </c>
      <c r="F101" s="76">
        <f t="shared" si="104"/>
        <v>0</v>
      </c>
      <c r="G101" s="76">
        <f t="shared" si="104"/>
        <v>0</v>
      </c>
      <c r="H101" s="76">
        <f t="shared" si="104"/>
        <v>0</v>
      </c>
      <c r="I101" s="76">
        <f t="shared" si="104"/>
        <v>0</v>
      </c>
      <c r="J101" s="76">
        <f t="shared" si="104"/>
        <v>0</v>
      </c>
      <c r="K101" s="76">
        <f t="shared" si="104"/>
        <v>0</v>
      </c>
      <c r="L101" s="76">
        <f t="shared" si="104"/>
        <v>0</v>
      </c>
      <c r="M101" s="76">
        <f t="shared" si="104"/>
        <v>0</v>
      </c>
      <c r="N101" s="76">
        <f t="shared" si="104"/>
        <v>0</v>
      </c>
      <c r="O101" s="76">
        <f t="shared" si="104"/>
        <v>0</v>
      </c>
      <c r="P101" s="76">
        <f t="shared" si="104"/>
        <v>0</v>
      </c>
      <c r="Q101" s="76">
        <f t="shared" si="104"/>
        <v>0</v>
      </c>
      <c r="R101" s="76">
        <f t="shared" si="104"/>
        <v>0</v>
      </c>
      <c r="S101" s="76">
        <v>0</v>
      </c>
      <c r="T101" s="76">
        <v>0</v>
      </c>
      <c r="U101" s="76">
        <v>0</v>
      </c>
      <c r="V101" s="76">
        <v>0</v>
      </c>
      <c r="W101" s="76">
        <v>0</v>
      </c>
      <c r="X101" s="76">
        <v>0</v>
      </c>
      <c r="Y101" s="76">
        <v>0</v>
      </c>
      <c r="Z101" s="76">
        <v>0</v>
      </c>
      <c r="AA101" s="76">
        <v>0</v>
      </c>
      <c r="AB101" s="76">
        <f t="shared" si="104"/>
        <v>0</v>
      </c>
      <c r="AC101" s="76">
        <f t="shared" si="104"/>
        <v>0</v>
      </c>
      <c r="AD101" s="76">
        <f t="shared" si="104"/>
        <v>0</v>
      </c>
      <c r="AE101" s="76">
        <f t="shared" si="104"/>
        <v>0</v>
      </c>
      <c r="AF101" s="76">
        <f t="shared" si="104"/>
        <v>0</v>
      </c>
      <c r="AG101" s="52"/>
      <c r="AH101" s="47">
        <f t="shared" si="67"/>
        <v>0</v>
      </c>
      <c r="AI101" s="48">
        <f t="shared" si="68"/>
        <v>0</v>
      </c>
      <c r="BF101" s="232"/>
      <c r="BG101" s="233">
        <v>44.4</v>
      </c>
      <c r="BH101" s="233">
        <v>0</v>
      </c>
      <c r="BI101" s="233">
        <v>466.6</v>
      </c>
      <c r="BJ101" s="233">
        <v>3.7</v>
      </c>
      <c r="BK101" s="233">
        <v>0</v>
      </c>
      <c r="BL101" s="233">
        <v>71.900000000000006</v>
      </c>
    </row>
    <row r="102" spans="1:64" x14ac:dyDescent="0.25">
      <c r="A102" s="54" t="s">
        <v>82</v>
      </c>
      <c r="B102" s="76">
        <f t="shared" ref="B102:C102" si="105">IF(B82&lt;0,B82*-1,0)</f>
        <v>0</v>
      </c>
      <c r="C102" s="76">
        <f t="shared" si="105"/>
        <v>0</v>
      </c>
      <c r="D102" s="76">
        <f t="shared" ref="D102" si="106">IF(D82&lt;0,D82*-1,0)</f>
        <v>0</v>
      </c>
      <c r="E102" s="76">
        <f t="shared" ref="E102:AF102" si="107">IF(E82&lt;0,E82*-1,0)</f>
        <v>0</v>
      </c>
      <c r="F102" s="76">
        <f t="shared" si="107"/>
        <v>0</v>
      </c>
      <c r="G102" s="76">
        <f t="shared" si="107"/>
        <v>0</v>
      </c>
      <c r="H102" s="76">
        <f t="shared" si="107"/>
        <v>0</v>
      </c>
      <c r="I102" s="76">
        <f t="shared" si="107"/>
        <v>0</v>
      </c>
      <c r="J102" s="76">
        <f t="shared" si="107"/>
        <v>0</v>
      </c>
      <c r="K102" s="76">
        <f t="shared" si="107"/>
        <v>0</v>
      </c>
      <c r="L102" s="76">
        <f t="shared" si="107"/>
        <v>0</v>
      </c>
      <c r="M102" s="76">
        <f t="shared" si="107"/>
        <v>0</v>
      </c>
      <c r="N102" s="76">
        <f t="shared" si="107"/>
        <v>0</v>
      </c>
      <c r="O102" s="76">
        <f t="shared" si="107"/>
        <v>0</v>
      </c>
      <c r="P102" s="76">
        <f t="shared" si="107"/>
        <v>0</v>
      </c>
      <c r="Q102" s="76">
        <f t="shared" si="107"/>
        <v>0</v>
      </c>
      <c r="R102" s="76">
        <f t="shared" si="107"/>
        <v>0</v>
      </c>
      <c r="S102" s="76">
        <f t="shared" ref="S102:T102" si="108">IF(S82&lt;0,S82*-1,0)</f>
        <v>0</v>
      </c>
      <c r="T102" s="76">
        <f t="shared" si="108"/>
        <v>0</v>
      </c>
      <c r="U102" s="76">
        <f t="shared" ref="U102:V102" si="109">IF(U82&lt;0,U82*-1,0)</f>
        <v>0</v>
      </c>
      <c r="V102" s="76">
        <f t="shared" si="109"/>
        <v>0</v>
      </c>
      <c r="W102" s="76">
        <f t="shared" ref="W102:Y102" si="110">IF(W82&lt;0,W82*-1,0)</f>
        <v>0</v>
      </c>
      <c r="X102" s="76">
        <f t="shared" si="110"/>
        <v>0</v>
      </c>
      <c r="Y102" s="76">
        <f t="shared" si="110"/>
        <v>0</v>
      </c>
      <c r="Z102" s="76">
        <f t="shared" ref="Z102" si="111">IF(Z82&lt;0,Z82*-1,0)</f>
        <v>0</v>
      </c>
      <c r="AA102" s="76">
        <f t="shared" ref="AA102" si="112">IF(AA82&lt;0,AA82*-1,0)</f>
        <v>0</v>
      </c>
      <c r="AB102" s="76">
        <f t="shared" si="107"/>
        <v>0</v>
      </c>
      <c r="AC102" s="76">
        <f t="shared" si="107"/>
        <v>0</v>
      </c>
      <c r="AD102" s="76">
        <f t="shared" si="107"/>
        <v>0</v>
      </c>
      <c r="AE102" s="76">
        <f t="shared" si="107"/>
        <v>0</v>
      </c>
      <c r="AF102" s="76">
        <f t="shared" si="107"/>
        <v>0</v>
      </c>
      <c r="AG102" s="55"/>
      <c r="AH102" s="47">
        <f t="shared" si="67"/>
        <v>0</v>
      </c>
      <c r="AI102" s="48">
        <f t="shared" si="68"/>
        <v>0</v>
      </c>
      <c r="BF102" s="232"/>
      <c r="BG102" s="233">
        <v>73.3</v>
      </c>
      <c r="BH102" s="233">
        <v>0</v>
      </c>
      <c r="BI102" s="233">
        <v>296</v>
      </c>
      <c r="BJ102" s="233">
        <v>6.3</v>
      </c>
      <c r="BK102" s="233">
        <v>0</v>
      </c>
      <c r="BL102" s="233">
        <v>79.7</v>
      </c>
    </row>
    <row r="103" spans="1:64" x14ac:dyDescent="0.25">
      <c r="A103" s="84" t="s">
        <v>103</v>
      </c>
      <c r="B103" s="76">
        <f t="shared" ref="B103:C103" si="113">IF(B85&lt;0,B85*-1,0)</f>
        <v>0</v>
      </c>
      <c r="C103" s="76">
        <f t="shared" si="113"/>
        <v>0</v>
      </c>
      <c r="D103" s="76">
        <f t="shared" ref="D103" si="114">IF(D85&lt;0,D85*-1,0)</f>
        <v>0</v>
      </c>
      <c r="E103" s="76">
        <f t="shared" ref="E103:AF103" si="115">IF(E85&lt;0,E85*-1,0)</f>
        <v>0</v>
      </c>
      <c r="F103" s="76">
        <f t="shared" si="115"/>
        <v>0</v>
      </c>
      <c r="G103" s="76">
        <f t="shared" si="115"/>
        <v>0</v>
      </c>
      <c r="H103" s="76">
        <f t="shared" si="115"/>
        <v>0</v>
      </c>
      <c r="I103" s="76">
        <f t="shared" si="115"/>
        <v>0</v>
      </c>
      <c r="J103" s="76">
        <f t="shared" si="115"/>
        <v>0</v>
      </c>
      <c r="K103" s="76">
        <f t="shared" si="115"/>
        <v>0</v>
      </c>
      <c r="L103" s="76">
        <f t="shared" si="115"/>
        <v>0</v>
      </c>
      <c r="M103" s="76">
        <f t="shared" si="115"/>
        <v>0</v>
      </c>
      <c r="N103" s="76">
        <f t="shared" si="115"/>
        <v>0</v>
      </c>
      <c r="O103" s="76">
        <f t="shared" si="115"/>
        <v>0</v>
      </c>
      <c r="P103" s="76">
        <f t="shared" si="115"/>
        <v>0</v>
      </c>
      <c r="Q103" s="76">
        <f t="shared" si="115"/>
        <v>0</v>
      </c>
      <c r="R103" s="76">
        <f t="shared" si="115"/>
        <v>0</v>
      </c>
      <c r="S103" s="76">
        <f t="shared" ref="S103:T103" si="116">IF(S85&lt;0,S85*-1,0)</f>
        <v>0</v>
      </c>
      <c r="T103" s="76">
        <f t="shared" si="116"/>
        <v>0</v>
      </c>
      <c r="U103" s="76">
        <f t="shared" ref="U103:V103" si="117">IF(U85&lt;0,U85*-1,0)</f>
        <v>0</v>
      </c>
      <c r="V103" s="76">
        <f t="shared" si="117"/>
        <v>0</v>
      </c>
      <c r="W103" s="76">
        <f t="shared" ref="W103:Y103" si="118">IF(W85&lt;0,W85*-1,0)</f>
        <v>0</v>
      </c>
      <c r="X103" s="76">
        <f t="shared" si="118"/>
        <v>0</v>
      </c>
      <c r="Y103" s="76">
        <f t="shared" si="118"/>
        <v>0</v>
      </c>
      <c r="Z103" s="76">
        <f t="shared" ref="Z103" si="119">IF(Z85&lt;0,Z85*-1,0)</f>
        <v>0</v>
      </c>
      <c r="AA103" s="76">
        <f t="shared" ref="AA103" si="120">IF(AA85&lt;0,AA85*-1,0)</f>
        <v>0</v>
      </c>
      <c r="AB103" s="76">
        <f t="shared" si="115"/>
        <v>0</v>
      </c>
      <c r="AC103" s="76">
        <f t="shared" si="115"/>
        <v>0</v>
      </c>
      <c r="AD103" s="76">
        <f t="shared" si="115"/>
        <v>0</v>
      </c>
      <c r="AE103" s="76">
        <f t="shared" si="115"/>
        <v>0</v>
      </c>
      <c r="AF103" s="76">
        <f t="shared" si="115"/>
        <v>0</v>
      </c>
      <c r="AG103" s="98"/>
      <c r="AH103" s="47">
        <f t="shared" si="67"/>
        <v>0</v>
      </c>
      <c r="AI103" s="48">
        <f t="shared" si="68"/>
        <v>0</v>
      </c>
      <c r="BF103" s="232"/>
      <c r="BG103" s="233">
        <v>67.7</v>
      </c>
      <c r="BH103" s="233">
        <v>0</v>
      </c>
      <c r="BI103" s="233">
        <v>200</v>
      </c>
      <c r="BJ103" s="233">
        <v>5</v>
      </c>
      <c r="BK103" s="233">
        <v>0</v>
      </c>
      <c r="BL103" s="233">
        <v>79.400000000000006</v>
      </c>
    </row>
    <row r="104" spans="1:64" x14ac:dyDescent="0.25">
      <c r="A104" s="84" t="s">
        <v>104</v>
      </c>
      <c r="B104" s="76">
        <f t="shared" ref="B104:C104" si="121">IF(B83&lt;0,B83*-1,0)</f>
        <v>0</v>
      </c>
      <c r="C104" s="76">
        <f t="shared" si="121"/>
        <v>0</v>
      </c>
      <c r="D104" s="76">
        <f t="shared" ref="D104" si="122">IF(D83&lt;0,D83*-1,0)</f>
        <v>0</v>
      </c>
      <c r="E104" s="76">
        <f t="shared" ref="E104:AF104" si="123">IF(E83&lt;0,E83*-1,0)</f>
        <v>0</v>
      </c>
      <c r="F104" s="76">
        <f t="shared" si="123"/>
        <v>0</v>
      </c>
      <c r="G104" s="76">
        <f t="shared" si="123"/>
        <v>0</v>
      </c>
      <c r="H104" s="76">
        <f t="shared" si="123"/>
        <v>0</v>
      </c>
      <c r="I104" s="76">
        <f t="shared" si="123"/>
        <v>0</v>
      </c>
      <c r="J104" s="76">
        <f t="shared" si="123"/>
        <v>0</v>
      </c>
      <c r="K104" s="76">
        <f t="shared" si="123"/>
        <v>0</v>
      </c>
      <c r="L104" s="76">
        <f t="shared" si="123"/>
        <v>0</v>
      </c>
      <c r="M104" s="76">
        <f t="shared" si="123"/>
        <v>0</v>
      </c>
      <c r="N104" s="76">
        <f t="shared" si="123"/>
        <v>0</v>
      </c>
      <c r="O104" s="76">
        <f t="shared" si="123"/>
        <v>0</v>
      </c>
      <c r="P104" s="76">
        <f t="shared" si="123"/>
        <v>0</v>
      </c>
      <c r="Q104" s="76">
        <f t="shared" si="123"/>
        <v>0</v>
      </c>
      <c r="R104" s="76">
        <f t="shared" si="123"/>
        <v>0</v>
      </c>
      <c r="S104" s="76">
        <f t="shared" ref="S104:T104" si="124">IF(S83&lt;0,S83*-1,0)</f>
        <v>0</v>
      </c>
      <c r="T104" s="76">
        <f t="shared" si="124"/>
        <v>0</v>
      </c>
      <c r="U104" s="76">
        <f t="shared" ref="U104:V104" si="125">IF(U83&lt;0,U83*-1,0)</f>
        <v>0</v>
      </c>
      <c r="V104" s="76">
        <f t="shared" si="125"/>
        <v>0</v>
      </c>
      <c r="W104" s="76">
        <f t="shared" ref="W104:Y104" si="126">IF(W83&lt;0,W83*-1,0)</f>
        <v>0</v>
      </c>
      <c r="X104" s="76">
        <f t="shared" si="126"/>
        <v>0</v>
      </c>
      <c r="Y104" s="76">
        <f t="shared" si="126"/>
        <v>0</v>
      </c>
      <c r="Z104" s="76">
        <f t="shared" ref="Z104" si="127">IF(Z83&lt;0,Z83*-1,0)</f>
        <v>0</v>
      </c>
      <c r="AA104" s="76">
        <f t="shared" ref="AA104" si="128">IF(AA83&lt;0,AA83*-1,0)</f>
        <v>0</v>
      </c>
      <c r="AB104" s="76">
        <f t="shared" si="123"/>
        <v>0</v>
      </c>
      <c r="AC104" s="76">
        <f t="shared" si="123"/>
        <v>0</v>
      </c>
      <c r="AD104" s="76">
        <f t="shared" si="123"/>
        <v>0</v>
      </c>
      <c r="AE104" s="76">
        <f t="shared" si="123"/>
        <v>0</v>
      </c>
      <c r="AF104" s="76">
        <f t="shared" si="123"/>
        <v>0</v>
      </c>
      <c r="AG104" s="98"/>
      <c r="AH104" s="47">
        <f t="shared" si="67"/>
        <v>0</v>
      </c>
      <c r="AI104" s="48">
        <f t="shared" si="68"/>
        <v>0</v>
      </c>
      <c r="BF104" s="232"/>
      <c r="BG104" s="233">
        <v>63.2</v>
      </c>
      <c r="BH104" s="233">
        <v>0</v>
      </c>
      <c r="BI104" s="233">
        <v>370</v>
      </c>
      <c r="BJ104" s="233">
        <v>4.2</v>
      </c>
      <c r="BK104" s="233">
        <v>0</v>
      </c>
      <c r="BL104" s="233">
        <v>72.5</v>
      </c>
    </row>
    <row r="105" spans="1:64" x14ac:dyDescent="0.25">
      <c r="A105" s="84" t="s">
        <v>81</v>
      </c>
      <c r="B105" s="76">
        <f t="shared" ref="B105:C105" si="129">IF(B81&lt;0,B81*-1,0)</f>
        <v>0</v>
      </c>
      <c r="C105" s="76">
        <f t="shared" si="129"/>
        <v>0</v>
      </c>
      <c r="D105" s="76">
        <f t="shared" ref="D105" si="130">IF(D81&lt;0,D81*-1,0)</f>
        <v>0</v>
      </c>
      <c r="E105" s="76">
        <f t="shared" ref="E105:AF105" si="131">IF(E81&lt;0,E81*-1,0)</f>
        <v>0</v>
      </c>
      <c r="F105" s="76">
        <f t="shared" si="131"/>
        <v>0</v>
      </c>
      <c r="G105" s="76">
        <f t="shared" si="131"/>
        <v>0</v>
      </c>
      <c r="H105" s="76">
        <f t="shared" si="131"/>
        <v>0</v>
      </c>
      <c r="I105" s="76">
        <f t="shared" si="131"/>
        <v>0</v>
      </c>
      <c r="J105" s="76">
        <f t="shared" si="131"/>
        <v>0</v>
      </c>
      <c r="K105" s="76">
        <f t="shared" si="131"/>
        <v>0</v>
      </c>
      <c r="L105" s="76">
        <f t="shared" si="131"/>
        <v>0</v>
      </c>
      <c r="M105" s="76">
        <f t="shared" si="131"/>
        <v>0</v>
      </c>
      <c r="N105" s="76">
        <f t="shared" si="131"/>
        <v>0</v>
      </c>
      <c r="O105" s="76">
        <f t="shared" si="131"/>
        <v>0</v>
      </c>
      <c r="P105" s="76">
        <f t="shared" si="131"/>
        <v>0</v>
      </c>
      <c r="Q105" s="76">
        <f t="shared" si="131"/>
        <v>0</v>
      </c>
      <c r="R105" s="76">
        <f t="shared" si="131"/>
        <v>0</v>
      </c>
      <c r="S105" s="76">
        <f t="shared" ref="S105:T105" si="132">IF(S81&lt;0,S81*-1,0)</f>
        <v>0</v>
      </c>
      <c r="T105" s="76">
        <f t="shared" si="132"/>
        <v>0</v>
      </c>
      <c r="U105" s="76">
        <f t="shared" ref="U105:V105" si="133">IF(U81&lt;0,U81*-1,0)</f>
        <v>0</v>
      </c>
      <c r="V105" s="76">
        <f t="shared" si="133"/>
        <v>0</v>
      </c>
      <c r="W105" s="76">
        <f t="shared" ref="W105:Y105" si="134">IF(W81&lt;0,W81*-1,0)</f>
        <v>0</v>
      </c>
      <c r="X105" s="76">
        <f t="shared" si="134"/>
        <v>0</v>
      </c>
      <c r="Y105" s="76">
        <f t="shared" si="134"/>
        <v>0</v>
      </c>
      <c r="Z105" s="76">
        <f t="shared" ref="Z105" si="135">IF(Z81&lt;0,Z81*-1,0)</f>
        <v>0</v>
      </c>
      <c r="AA105" s="76">
        <f t="shared" ref="AA105" si="136">IF(AA81&lt;0,AA81*-1,0)</f>
        <v>0</v>
      </c>
      <c r="AB105" s="76">
        <f t="shared" si="131"/>
        <v>0</v>
      </c>
      <c r="AC105" s="76">
        <f t="shared" si="131"/>
        <v>0</v>
      </c>
      <c r="AD105" s="76">
        <f t="shared" si="131"/>
        <v>0</v>
      </c>
      <c r="AE105" s="76">
        <f t="shared" si="131"/>
        <v>0</v>
      </c>
      <c r="AF105" s="76">
        <f t="shared" si="131"/>
        <v>0</v>
      </c>
      <c r="AG105" s="98"/>
      <c r="AH105" s="47">
        <f t="shared" si="67"/>
        <v>0</v>
      </c>
      <c r="AI105" s="48">
        <f t="shared" si="68"/>
        <v>0</v>
      </c>
      <c r="BF105" s="232"/>
      <c r="BG105" s="233">
        <v>58</v>
      </c>
      <c r="BH105" s="233">
        <v>0</v>
      </c>
      <c r="BI105" s="233">
        <v>391</v>
      </c>
      <c r="BJ105" s="233">
        <v>4</v>
      </c>
      <c r="BK105" s="233">
        <v>87</v>
      </c>
      <c r="BL105" s="233">
        <v>69.400000000000006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67"/>
        <v>0</v>
      </c>
      <c r="AI106" s="48">
        <f t="shared" si="68"/>
        <v>0</v>
      </c>
      <c r="BG106" s="233">
        <v>71.900000000000006</v>
      </c>
      <c r="BH106" s="233">
        <v>0</v>
      </c>
      <c r="BI106" s="233">
        <v>413</v>
      </c>
      <c r="BJ106" s="233">
        <v>27.8</v>
      </c>
      <c r="BK106" s="233">
        <v>112.6</v>
      </c>
      <c r="BL106" s="233">
        <v>73.3</v>
      </c>
    </row>
    <row r="107" spans="1:64" ht="15.75" thickBot="1" x14ac:dyDescent="0.3">
      <c r="A107" s="99" t="s">
        <v>106</v>
      </c>
      <c r="B107" s="60">
        <f t="shared" ref="B107:C107" si="137">SUM(B101:B106)</f>
        <v>0</v>
      </c>
      <c r="C107" s="60">
        <f t="shared" si="137"/>
        <v>0</v>
      </c>
      <c r="D107" s="60">
        <f t="shared" ref="D107" si="138">SUM(D101:D106)</f>
        <v>0</v>
      </c>
      <c r="E107" s="60">
        <f t="shared" ref="E107:AF107" si="139">SUM(E101:E106)</f>
        <v>0</v>
      </c>
      <c r="F107" s="60">
        <f t="shared" si="139"/>
        <v>0</v>
      </c>
      <c r="G107" s="60">
        <f t="shared" si="139"/>
        <v>0</v>
      </c>
      <c r="H107" s="60">
        <f t="shared" si="139"/>
        <v>0</v>
      </c>
      <c r="I107" s="60">
        <f t="shared" si="139"/>
        <v>0</v>
      </c>
      <c r="J107" s="60">
        <f t="shared" si="139"/>
        <v>0</v>
      </c>
      <c r="K107" s="60">
        <f t="shared" si="139"/>
        <v>0</v>
      </c>
      <c r="L107" s="60">
        <f t="shared" si="139"/>
        <v>0</v>
      </c>
      <c r="M107" s="60">
        <f t="shared" si="139"/>
        <v>0</v>
      </c>
      <c r="N107" s="60">
        <f t="shared" si="139"/>
        <v>0</v>
      </c>
      <c r="O107" s="60">
        <f t="shared" si="139"/>
        <v>0</v>
      </c>
      <c r="P107" s="60">
        <f t="shared" si="139"/>
        <v>0</v>
      </c>
      <c r="Q107" s="60">
        <f t="shared" si="139"/>
        <v>0</v>
      </c>
      <c r="R107" s="60">
        <f t="shared" si="139"/>
        <v>0</v>
      </c>
      <c r="S107" s="60">
        <f t="shared" ref="S107:T107" si="140">SUM(S101:S106)</f>
        <v>0</v>
      </c>
      <c r="T107" s="60">
        <f t="shared" si="140"/>
        <v>0</v>
      </c>
      <c r="U107" s="60">
        <f t="shared" ref="U107:V107" si="141">SUM(U101:U106)</f>
        <v>0</v>
      </c>
      <c r="V107" s="60">
        <f t="shared" si="141"/>
        <v>0</v>
      </c>
      <c r="W107" s="60">
        <f t="shared" ref="W107:Y107" si="142">SUM(W101:W106)</f>
        <v>0</v>
      </c>
      <c r="X107" s="60">
        <f t="shared" si="142"/>
        <v>0</v>
      </c>
      <c r="Y107" s="60">
        <f t="shared" si="142"/>
        <v>0</v>
      </c>
      <c r="Z107" s="60">
        <f t="shared" ref="Z107" si="143">SUM(Z101:Z106)</f>
        <v>0</v>
      </c>
      <c r="AA107" s="60">
        <f t="shared" ref="AA107" si="144">SUM(AA101:AA106)</f>
        <v>0</v>
      </c>
      <c r="AB107" s="60">
        <f t="shared" si="139"/>
        <v>0</v>
      </c>
      <c r="AC107" s="60">
        <f t="shared" si="139"/>
        <v>0</v>
      </c>
      <c r="AD107" s="60">
        <f t="shared" si="139"/>
        <v>0</v>
      </c>
      <c r="AE107" s="60">
        <f t="shared" si="139"/>
        <v>0</v>
      </c>
      <c r="AF107" s="60">
        <f t="shared" si="139"/>
        <v>0</v>
      </c>
      <c r="AG107" s="88"/>
      <c r="AH107" s="47">
        <f t="shared" si="67"/>
        <v>0</v>
      </c>
      <c r="AI107" s="48">
        <f t="shared" si="68"/>
        <v>0</v>
      </c>
      <c r="AK107" s="50"/>
      <c r="BG107" s="233">
        <v>53.4</v>
      </c>
      <c r="BH107" s="233">
        <v>0</v>
      </c>
      <c r="BI107" s="233">
        <v>412.1</v>
      </c>
      <c r="BJ107" s="233">
        <v>2.7</v>
      </c>
      <c r="BK107" s="233">
        <v>104</v>
      </c>
      <c r="BL107" s="233">
        <v>49.7</v>
      </c>
    </row>
    <row r="108" spans="1:64" ht="15.75" thickBot="1" x14ac:dyDescent="0.3">
      <c r="A108" s="74" t="s">
        <v>107</v>
      </c>
      <c r="B108" s="60">
        <f t="shared" ref="B108:C108" si="145">B92-B107</f>
        <v>621.90000000000009</v>
      </c>
      <c r="C108" s="60">
        <f t="shared" si="145"/>
        <v>635.10000000000014</v>
      </c>
      <c r="D108" s="60">
        <f t="shared" ref="D108" si="146">D92-D107</f>
        <v>591.70000000000005</v>
      </c>
      <c r="E108" s="60">
        <f t="shared" ref="E108:AF108" si="147">E92-E107</f>
        <v>592.40000000000009</v>
      </c>
      <c r="F108" s="60">
        <f t="shared" si="147"/>
        <v>568</v>
      </c>
      <c r="G108" s="60">
        <f t="shared" si="147"/>
        <v>506.5</v>
      </c>
      <c r="H108" s="60">
        <f t="shared" si="147"/>
        <v>563.1</v>
      </c>
      <c r="I108" s="60">
        <f t="shared" si="147"/>
        <v>580.40000000000009</v>
      </c>
      <c r="J108" s="60">
        <f t="shared" si="147"/>
        <v>532.4</v>
      </c>
      <c r="K108" s="60">
        <f t="shared" si="147"/>
        <v>536.70000000000005</v>
      </c>
      <c r="L108" s="60">
        <f t="shared" si="147"/>
        <v>378.2</v>
      </c>
      <c r="M108" s="60">
        <f t="shared" si="147"/>
        <v>157.39999999999998</v>
      </c>
      <c r="N108" s="60">
        <f t="shared" si="147"/>
        <v>145.5</v>
      </c>
      <c r="O108" s="60">
        <f t="shared" si="147"/>
        <v>507.7</v>
      </c>
      <c r="P108" s="60">
        <f t="shared" si="147"/>
        <v>663.2</v>
      </c>
      <c r="Q108" s="60">
        <f t="shared" si="147"/>
        <v>679.2</v>
      </c>
      <c r="R108" s="60">
        <f t="shared" si="147"/>
        <v>730.5</v>
      </c>
      <c r="S108" s="60">
        <f t="shared" ref="S108:T108" si="148">S92-S107</f>
        <v>737.1</v>
      </c>
      <c r="T108" s="60">
        <f t="shared" si="148"/>
        <v>737.19999999999993</v>
      </c>
      <c r="U108" s="60">
        <f t="shared" ref="U108:V108" si="149">U92-U107</f>
        <v>735.69999999999993</v>
      </c>
      <c r="V108" s="60">
        <f t="shared" si="149"/>
        <v>614.1</v>
      </c>
      <c r="W108" s="60">
        <f t="shared" ref="W108:Y108" si="150">W92-W107</f>
        <v>619.69999999999993</v>
      </c>
      <c r="X108" s="60">
        <f t="shared" si="150"/>
        <v>586.6</v>
      </c>
      <c r="Y108" s="60">
        <f t="shared" si="150"/>
        <v>521.29999999999995</v>
      </c>
      <c r="Z108" s="60">
        <f t="shared" ref="Z108" si="151">Z92-Z107</f>
        <v>455.3</v>
      </c>
      <c r="AA108" s="60">
        <f t="shared" ref="AA108" si="152">AA92-AA107</f>
        <v>335.30000000000007</v>
      </c>
      <c r="AB108" s="60">
        <f t="shared" si="147"/>
        <v>352.1</v>
      </c>
      <c r="AC108" s="60">
        <f t="shared" si="147"/>
        <v>348.1</v>
      </c>
      <c r="AD108" s="60">
        <f t="shared" si="147"/>
        <v>509.9</v>
      </c>
      <c r="AE108" s="60">
        <f t="shared" si="147"/>
        <v>609.4</v>
      </c>
      <c r="AF108" s="60">
        <f t="shared" si="147"/>
        <v>698.59999999999991</v>
      </c>
      <c r="AG108" s="88"/>
      <c r="AH108" s="47">
        <f t="shared" si="67"/>
        <v>737.19999999999993</v>
      </c>
      <c r="AI108" s="48">
        <f t="shared" si="68"/>
        <v>145.5</v>
      </c>
    </row>
    <row r="109" spans="1:64" x14ac:dyDescent="0.25">
      <c r="A109" s="100" t="s">
        <v>108</v>
      </c>
      <c r="B109" s="101">
        <v>50.03</v>
      </c>
      <c r="C109" s="101">
        <v>50.04</v>
      </c>
      <c r="D109" s="101">
        <v>50</v>
      </c>
      <c r="E109" s="101">
        <v>50.015000000000001</v>
      </c>
      <c r="F109" s="101">
        <v>49.954999999999998</v>
      </c>
      <c r="G109" s="101">
        <v>50.029000000000003</v>
      </c>
      <c r="H109" s="101">
        <v>49.898000000000003</v>
      </c>
      <c r="I109" s="101">
        <v>50.045999999999999</v>
      </c>
      <c r="J109" s="101">
        <v>50.081000000000003</v>
      </c>
      <c r="K109" s="101">
        <v>50</v>
      </c>
      <c r="L109" s="101">
        <v>49.935000000000002</v>
      </c>
      <c r="M109" s="101">
        <v>50.113</v>
      </c>
      <c r="N109" s="101">
        <v>50.015000000000001</v>
      </c>
      <c r="O109" s="101">
        <v>50.067</v>
      </c>
      <c r="P109" s="101">
        <v>50.103000000000002</v>
      </c>
      <c r="Q109" s="101">
        <v>50.045999999999999</v>
      </c>
      <c r="R109" s="101">
        <v>49.923999999999999</v>
      </c>
      <c r="S109" s="101">
        <v>50</v>
      </c>
      <c r="T109" s="101">
        <v>49.93</v>
      </c>
      <c r="U109" s="101">
        <v>49.98</v>
      </c>
      <c r="V109" s="101">
        <v>50.04</v>
      </c>
      <c r="W109" s="101">
        <v>50.09</v>
      </c>
      <c r="X109" s="101">
        <v>49.98</v>
      </c>
      <c r="Y109" s="101">
        <v>49.96</v>
      </c>
      <c r="Z109" s="101">
        <v>50.01</v>
      </c>
      <c r="AA109" s="101">
        <v>49.91</v>
      </c>
      <c r="AB109" s="101">
        <v>50.066000000000003</v>
      </c>
      <c r="AC109" s="101">
        <v>50.008000000000003</v>
      </c>
      <c r="AD109" s="101">
        <v>50.085000000000001</v>
      </c>
      <c r="AE109" s="101">
        <v>49.981999999999999</v>
      </c>
      <c r="AF109" s="101">
        <v>49.851999999999997</v>
      </c>
      <c r="AG109" s="102"/>
      <c r="AH109" s="47">
        <f t="shared" si="67"/>
        <v>50.113</v>
      </c>
      <c r="AI109" s="48">
        <f t="shared" si="68"/>
        <v>49.851999999999997</v>
      </c>
    </row>
    <row r="110" spans="1:64" x14ac:dyDescent="0.25">
      <c r="A110" s="103" t="s">
        <v>109</v>
      </c>
      <c r="B110" s="65">
        <v>128.30000000000001</v>
      </c>
      <c r="C110" s="65">
        <v>128.30000000000001</v>
      </c>
      <c r="D110" s="65">
        <v>128.30000000000001</v>
      </c>
      <c r="E110" s="65">
        <v>128.30000000000001</v>
      </c>
      <c r="F110" s="65">
        <v>129.69999999999999</v>
      </c>
      <c r="G110" s="65">
        <v>125.8</v>
      </c>
      <c r="H110" s="65">
        <v>126.1</v>
      </c>
      <c r="I110" s="65">
        <v>125.8</v>
      </c>
      <c r="J110" s="65">
        <v>123.8</v>
      </c>
      <c r="K110" s="65">
        <v>128.5</v>
      </c>
      <c r="L110" s="65">
        <v>126.6</v>
      </c>
      <c r="M110" s="65">
        <v>126.6</v>
      </c>
      <c r="N110" s="65">
        <v>127.4</v>
      </c>
      <c r="O110" s="65">
        <v>127.6</v>
      </c>
      <c r="P110" s="65">
        <v>124.7</v>
      </c>
      <c r="Q110" s="65">
        <v>124.2</v>
      </c>
      <c r="R110" s="65">
        <v>124.6</v>
      </c>
      <c r="S110" s="65">
        <v>122.5</v>
      </c>
      <c r="T110" s="65">
        <v>122.7</v>
      </c>
      <c r="U110" s="65">
        <v>123.5</v>
      </c>
      <c r="V110" s="65">
        <v>128.6</v>
      </c>
      <c r="W110" s="65">
        <v>126</v>
      </c>
      <c r="X110" s="65">
        <v>126.8</v>
      </c>
      <c r="Y110" s="65">
        <v>124.4</v>
      </c>
      <c r="Z110" s="65">
        <v>126.8</v>
      </c>
      <c r="AA110" s="65">
        <v>126.8</v>
      </c>
      <c r="AB110" s="65">
        <v>128.30000000000001</v>
      </c>
      <c r="AC110" s="65">
        <v>127.8</v>
      </c>
      <c r="AD110" s="65">
        <v>125.2</v>
      </c>
      <c r="AE110" s="65">
        <v>130</v>
      </c>
      <c r="AF110" s="65">
        <v>128.5</v>
      </c>
      <c r="AG110" s="104"/>
      <c r="AH110" s="47">
        <f t="shared" si="67"/>
        <v>130</v>
      </c>
      <c r="AI110" s="48">
        <f t="shared" si="68"/>
        <v>122.5</v>
      </c>
    </row>
    <row r="111" spans="1:64" x14ac:dyDescent="0.25">
      <c r="A111" s="103" t="s">
        <v>110</v>
      </c>
      <c r="B111" s="65">
        <v>131.80000000000001</v>
      </c>
      <c r="C111" s="65">
        <v>131.80000000000001</v>
      </c>
      <c r="D111" s="65">
        <v>131.80000000000001</v>
      </c>
      <c r="E111" s="65">
        <v>131.6</v>
      </c>
      <c r="F111" s="65">
        <v>132.69999999999999</v>
      </c>
      <c r="G111" s="65">
        <v>130.4</v>
      </c>
      <c r="H111" s="65">
        <v>130.5</v>
      </c>
      <c r="I111" s="65">
        <v>129.9</v>
      </c>
      <c r="J111" s="65">
        <v>128.1</v>
      </c>
      <c r="K111" s="65">
        <v>130.1</v>
      </c>
      <c r="L111" s="65">
        <v>128.1</v>
      </c>
      <c r="M111" s="65">
        <v>128.1</v>
      </c>
      <c r="N111" s="65">
        <v>129.19999999999999</v>
      </c>
      <c r="O111" s="65">
        <v>129.69999999999999</v>
      </c>
      <c r="P111" s="65">
        <v>127.5</v>
      </c>
      <c r="Q111" s="65">
        <v>127.2</v>
      </c>
      <c r="R111" s="65">
        <v>127.4</v>
      </c>
      <c r="S111" s="65">
        <v>125.8</v>
      </c>
      <c r="T111" s="65">
        <v>126</v>
      </c>
      <c r="U111" s="65">
        <v>126.6</v>
      </c>
      <c r="V111" s="65">
        <v>131.1</v>
      </c>
      <c r="W111" s="65">
        <v>128.9</v>
      </c>
      <c r="X111" s="65">
        <v>129.80000000000001</v>
      </c>
      <c r="Y111" s="65">
        <v>127.1</v>
      </c>
      <c r="Z111" s="65">
        <v>128.9</v>
      </c>
      <c r="AA111" s="65">
        <v>128.9</v>
      </c>
      <c r="AB111" s="65">
        <v>131.1</v>
      </c>
      <c r="AC111" s="65">
        <v>130.9</v>
      </c>
      <c r="AD111" s="65">
        <v>129.30000000000001</v>
      </c>
      <c r="AE111" s="65">
        <v>133.30000000000001</v>
      </c>
      <c r="AF111" s="65">
        <v>132.4</v>
      </c>
      <c r="AG111" s="104"/>
      <c r="AH111" s="47">
        <f t="shared" si="67"/>
        <v>133.30000000000001</v>
      </c>
      <c r="AI111" s="48">
        <f t="shared" si="68"/>
        <v>125.8</v>
      </c>
    </row>
    <row r="112" spans="1:64" x14ac:dyDescent="0.25">
      <c r="A112" s="103" t="s">
        <v>111</v>
      </c>
      <c r="B112" s="65">
        <v>128.9</v>
      </c>
      <c r="C112" s="65">
        <v>128.9</v>
      </c>
      <c r="D112" s="65">
        <v>128.9</v>
      </c>
      <c r="E112" s="65">
        <v>128.80000000000001</v>
      </c>
      <c r="F112" s="65">
        <v>132.80000000000001</v>
      </c>
      <c r="G112" s="65">
        <v>126.8</v>
      </c>
      <c r="H112" s="65">
        <v>126.3</v>
      </c>
      <c r="I112" s="65">
        <v>128.30000000000001</v>
      </c>
      <c r="J112" s="65">
        <v>128.4</v>
      </c>
      <c r="K112" s="65">
        <v>129.69999999999999</v>
      </c>
      <c r="L112" s="65">
        <v>125.8</v>
      </c>
      <c r="M112" s="65">
        <v>125.8</v>
      </c>
      <c r="N112" s="65">
        <v>127.5</v>
      </c>
      <c r="O112" s="65">
        <v>128.30000000000001</v>
      </c>
      <c r="P112" s="65">
        <v>123.9</v>
      </c>
      <c r="Q112" s="65">
        <v>130.19999999999999</v>
      </c>
      <c r="R112" s="65">
        <v>127.3</v>
      </c>
      <c r="S112" s="65">
        <v>124</v>
      </c>
      <c r="T112" s="65">
        <v>126</v>
      </c>
      <c r="U112" s="65">
        <v>128.30000000000001</v>
      </c>
      <c r="V112" s="65">
        <v>130</v>
      </c>
      <c r="W112" s="65">
        <v>130.6</v>
      </c>
      <c r="X112" s="65">
        <v>128.80000000000001</v>
      </c>
      <c r="Y112" s="65">
        <v>128.4</v>
      </c>
      <c r="Z112" s="65">
        <v>129.6</v>
      </c>
      <c r="AA112" s="65">
        <v>129.6</v>
      </c>
      <c r="AB112" s="65">
        <v>130</v>
      </c>
      <c r="AC112" s="65">
        <v>128.80000000000001</v>
      </c>
      <c r="AD112" s="65">
        <v>131</v>
      </c>
      <c r="AE112" s="65">
        <v>128</v>
      </c>
      <c r="AF112" s="65">
        <v>128.1</v>
      </c>
      <c r="AG112" s="104"/>
      <c r="AH112" s="47">
        <f t="shared" si="67"/>
        <v>132.80000000000001</v>
      </c>
      <c r="AI112" s="48">
        <f t="shared" si="68"/>
        <v>123.9</v>
      </c>
    </row>
    <row r="113" spans="1:35" x14ac:dyDescent="0.25">
      <c r="A113" s="105" t="s">
        <v>112</v>
      </c>
      <c r="B113" s="65">
        <v>132.80000000000001</v>
      </c>
      <c r="C113" s="65">
        <v>132.80000000000001</v>
      </c>
      <c r="D113" s="65">
        <v>132.80000000000001</v>
      </c>
      <c r="E113" s="65">
        <v>130.4</v>
      </c>
      <c r="F113" s="65">
        <v>134</v>
      </c>
      <c r="G113" s="65">
        <v>129.4</v>
      </c>
      <c r="H113" s="65">
        <v>128.4</v>
      </c>
      <c r="I113" s="65">
        <v>130.80000000000001</v>
      </c>
      <c r="J113" s="65">
        <v>128.9</v>
      </c>
      <c r="K113" s="65">
        <v>129</v>
      </c>
      <c r="L113" s="65">
        <v>125.7</v>
      </c>
      <c r="M113" s="65">
        <v>125.7</v>
      </c>
      <c r="N113" s="65">
        <v>124.9</v>
      </c>
      <c r="O113" s="65">
        <v>127.3</v>
      </c>
      <c r="P113" s="65">
        <v>124.1</v>
      </c>
      <c r="Q113" s="65">
        <v>129</v>
      </c>
      <c r="R113" s="65">
        <v>129.19999999999999</v>
      </c>
      <c r="S113" s="65">
        <v>125.3</v>
      </c>
      <c r="T113" s="65">
        <v>125.3</v>
      </c>
      <c r="U113" s="65">
        <v>128.80000000000001</v>
      </c>
      <c r="V113" s="65">
        <v>128.69999999999999</v>
      </c>
      <c r="W113" s="65">
        <v>128.19999999999999</v>
      </c>
      <c r="X113" s="65">
        <v>126.9</v>
      </c>
      <c r="Y113" s="65">
        <v>125.2</v>
      </c>
      <c r="Z113" s="65">
        <v>127.6</v>
      </c>
      <c r="AA113" s="65">
        <v>127.6</v>
      </c>
      <c r="AB113" s="65">
        <v>131.4</v>
      </c>
      <c r="AC113" s="65">
        <v>130</v>
      </c>
      <c r="AD113" s="65">
        <v>132.4</v>
      </c>
      <c r="AE113" s="65">
        <v>130.5</v>
      </c>
      <c r="AF113" s="65">
        <v>130.69999999999999</v>
      </c>
      <c r="AG113" s="104"/>
      <c r="AH113" s="47">
        <f t="shared" si="67"/>
        <v>134</v>
      </c>
      <c r="AI113" s="48">
        <f t="shared" si="68"/>
        <v>124.1</v>
      </c>
    </row>
    <row r="114" spans="1:35" x14ac:dyDescent="0.25">
      <c r="A114" s="105" t="s">
        <v>113</v>
      </c>
      <c r="B114" s="106">
        <v>130.5</v>
      </c>
      <c r="C114" s="106">
        <v>130.5</v>
      </c>
      <c r="D114" s="106">
        <v>130.5</v>
      </c>
      <c r="E114" s="106">
        <v>130.9</v>
      </c>
      <c r="F114" s="106">
        <v>130.9</v>
      </c>
      <c r="G114" s="106">
        <v>131.19999999999999</v>
      </c>
      <c r="H114" s="106">
        <v>134.9</v>
      </c>
      <c r="I114" s="106">
        <v>135</v>
      </c>
      <c r="J114" s="106">
        <v>134.1</v>
      </c>
      <c r="K114" s="106">
        <v>137.19999999999999</v>
      </c>
      <c r="L114" s="106">
        <v>135</v>
      </c>
      <c r="M114" s="106">
        <v>135</v>
      </c>
      <c r="N114" s="106">
        <v>135.80000000000001</v>
      </c>
      <c r="O114" s="106">
        <v>135.80000000000001</v>
      </c>
      <c r="P114" s="106">
        <v>131.4</v>
      </c>
      <c r="Q114" s="106">
        <v>130.69999999999999</v>
      </c>
      <c r="R114" s="106">
        <v>133.6</v>
      </c>
      <c r="S114" s="106">
        <v>131.5</v>
      </c>
      <c r="T114" s="106">
        <v>131.1</v>
      </c>
      <c r="U114" s="106">
        <v>133</v>
      </c>
      <c r="V114" s="106">
        <v>135.4</v>
      </c>
      <c r="W114" s="106">
        <v>134.9</v>
      </c>
      <c r="X114" s="106">
        <v>134.6</v>
      </c>
      <c r="Y114" s="106">
        <v>135.30000000000001</v>
      </c>
      <c r="Z114" s="106">
        <v>135.80000000000001</v>
      </c>
      <c r="AA114" s="106">
        <v>135.80000000000001</v>
      </c>
      <c r="AB114" s="106">
        <v>138.6</v>
      </c>
      <c r="AC114" s="106">
        <v>138.5</v>
      </c>
      <c r="AD114" s="106">
        <v>135</v>
      </c>
      <c r="AE114" s="106">
        <v>133.69999999999999</v>
      </c>
      <c r="AF114" s="106">
        <v>130.1</v>
      </c>
      <c r="AG114" s="107"/>
      <c r="AH114" s="47">
        <f t="shared" si="67"/>
        <v>138.6</v>
      </c>
      <c r="AI114" s="48">
        <f t="shared" si="68"/>
        <v>130.1</v>
      </c>
    </row>
    <row r="115" spans="1:35" x14ac:dyDescent="0.25">
      <c r="A115" s="103" t="s">
        <v>114</v>
      </c>
      <c r="B115" s="65">
        <v>133.80000000000001</v>
      </c>
      <c r="C115" s="65">
        <v>133.80000000000001</v>
      </c>
      <c r="D115" s="65">
        <v>133.80000000000001</v>
      </c>
      <c r="E115" s="65">
        <v>132.9</v>
      </c>
      <c r="F115" s="65">
        <v>134.80000000000001</v>
      </c>
      <c r="G115" s="65">
        <v>129.19999999999999</v>
      </c>
      <c r="H115" s="65">
        <v>129.9</v>
      </c>
      <c r="I115" s="65">
        <v>133.5</v>
      </c>
      <c r="J115" s="65">
        <v>129.80000000000001</v>
      </c>
      <c r="K115" s="65">
        <v>131.1</v>
      </c>
      <c r="L115" s="65">
        <v>130.9</v>
      </c>
      <c r="M115" s="65">
        <v>130.9</v>
      </c>
      <c r="N115" s="65">
        <v>132.30000000000001</v>
      </c>
      <c r="O115" s="65">
        <v>131.80000000000001</v>
      </c>
      <c r="P115" s="65">
        <v>130.9</v>
      </c>
      <c r="Q115" s="65">
        <v>135.1</v>
      </c>
      <c r="R115" s="65">
        <v>132</v>
      </c>
      <c r="S115" s="65">
        <v>132</v>
      </c>
      <c r="T115" s="65">
        <v>132</v>
      </c>
      <c r="U115" s="65">
        <v>122.8</v>
      </c>
      <c r="V115" s="65">
        <v>137.6</v>
      </c>
      <c r="W115" s="65">
        <v>135.4</v>
      </c>
      <c r="X115" s="65">
        <v>137.80000000000001</v>
      </c>
      <c r="Y115" s="65">
        <v>125.6</v>
      </c>
      <c r="Z115" s="65">
        <v>129.19999999999999</v>
      </c>
      <c r="AA115" s="65">
        <v>129.19999999999999</v>
      </c>
      <c r="AB115" s="65">
        <v>135.69999999999999</v>
      </c>
      <c r="AC115" s="65">
        <v>135.5</v>
      </c>
      <c r="AD115" s="65">
        <v>133.30000000000001</v>
      </c>
      <c r="AE115" s="65">
        <v>130</v>
      </c>
      <c r="AF115" s="65">
        <v>130.69999999999999</v>
      </c>
      <c r="AG115" s="104"/>
      <c r="AH115" s="47">
        <f t="shared" si="67"/>
        <v>137.80000000000001</v>
      </c>
      <c r="AI115" s="48">
        <f t="shared" si="68"/>
        <v>122.8</v>
      </c>
    </row>
    <row r="116" spans="1:35" ht="15.75" thickBot="1" x14ac:dyDescent="0.3">
      <c r="A116" s="103" t="s">
        <v>115</v>
      </c>
      <c r="B116" s="92">
        <v>66.099999999999994</v>
      </c>
      <c r="C116" s="92">
        <v>66.099999999999994</v>
      </c>
      <c r="D116" s="92">
        <v>66.099999999999994</v>
      </c>
      <c r="E116" s="92">
        <v>66.400000000000006</v>
      </c>
      <c r="F116" s="92">
        <v>66.7</v>
      </c>
      <c r="G116" s="92">
        <v>65.5</v>
      </c>
      <c r="H116" s="92">
        <v>65.599999999999994</v>
      </c>
      <c r="I116" s="92">
        <v>65.2</v>
      </c>
      <c r="J116" s="92">
        <v>64.400000000000006</v>
      </c>
      <c r="K116" s="92">
        <v>65.099999999999994</v>
      </c>
      <c r="L116" s="92">
        <v>63.9</v>
      </c>
      <c r="M116" s="92">
        <v>64.400000000000006</v>
      </c>
      <c r="N116" s="92">
        <v>64.8</v>
      </c>
      <c r="O116" s="92">
        <v>65.2</v>
      </c>
      <c r="P116" s="92">
        <v>63.9</v>
      </c>
      <c r="Q116" s="92">
        <v>63.9</v>
      </c>
      <c r="R116" s="92">
        <v>64</v>
      </c>
      <c r="S116" s="92">
        <v>64</v>
      </c>
      <c r="T116" s="92">
        <v>63.2</v>
      </c>
      <c r="U116" s="92">
        <v>63.7</v>
      </c>
      <c r="V116" s="92">
        <v>64.599999999999994</v>
      </c>
      <c r="W116" s="92">
        <v>64.7</v>
      </c>
      <c r="X116" s="92">
        <v>65.2</v>
      </c>
      <c r="Y116" s="92">
        <v>64.400000000000006</v>
      </c>
      <c r="Z116" s="92">
        <v>64.900000000000006</v>
      </c>
      <c r="AA116" s="92">
        <v>64.900000000000006</v>
      </c>
      <c r="AB116" s="92">
        <v>65.8</v>
      </c>
      <c r="AC116" s="92">
        <v>65.599999999999994</v>
      </c>
      <c r="AD116" s="92">
        <v>65.2</v>
      </c>
      <c r="AE116" s="92">
        <v>67</v>
      </c>
      <c r="AF116" s="92">
        <v>66.7</v>
      </c>
      <c r="AG116" s="108"/>
      <c r="AH116" s="47">
        <f t="shared" si="67"/>
        <v>67</v>
      </c>
      <c r="AI116" s="48">
        <f t="shared" si="68"/>
        <v>63.2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67"/>
        <v>0</v>
      </c>
      <c r="AI117" s="48">
        <f t="shared" si="68"/>
        <v>0</v>
      </c>
    </row>
    <row r="118" spans="1:35" ht="15.75" thickBot="1" x14ac:dyDescent="0.3">
      <c r="A118" s="110" t="s">
        <v>117</v>
      </c>
      <c r="B118" s="111">
        <f t="shared" ref="B118:C118" si="153">SUM(B22,B28,B31:B32,B66,B68:B69,B71,B73,B119:B123,B155,B161,B167,B176,B178,B190,B197,B200:B201,B208,B210,B212,B216:B218,B220:B222,B227,B233:B234,B236:B238,B246,B251)</f>
        <v>150.10000000000002</v>
      </c>
      <c r="C118" s="111">
        <f t="shared" si="153"/>
        <v>140.56</v>
      </c>
      <c r="D118" s="111">
        <f t="shared" ref="D118" si="154">SUM(D22,D28,D31:D32,D66,D68:D69,D71,D73,D119:D123,D155,D161,D167,D176,D178,D190,D197,D200:D201,D208,D210,D212,D216:D218,D220:D222,D227,D233:D234,D236:D238,D246,D251)</f>
        <v>134.38</v>
      </c>
      <c r="E118" s="111">
        <f t="shared" ref="E118:O118" si="155">SUM(E22,E28,E31:E32,E66,E68:E69,E71,E73,E119:E123,E155,E161,E167,E176,E178,E190,E197,E200:E201,E208,E210,E212,E216:E218,E220:E222,E227,E233:E234,E236:E238,E246,E251)</f>
        <v>126.131</v>
      </c>
      <c r="F118" s="111">
        <f t="shared" si="155"/>
        <v>125.931</v>
      </c>
      <c r="G118" s="111">
        <f t="shared" si="155"/>
        <v>141.60499999999999</v>
      </c>
      <c r="H118" s="111">
        <f t="shared" si="155"/>
        <v>181.5</v>
      </c>
      <c r="I118" s="111">
        <f t="shared" si="155"/>
        <v>212.13800000000001</v>
      </c>
      <c r="J118" s="111">
        <f t="shared" si="155"/>
        <v>280.62599999999998</v>
      </c>
      <c r="K118" s="111">
        <f t="shared" si="155"/>
        <v>340.57499999999999</v>
      </c>
      <c r="L118" s="111">
        <f t="shared" si="155"/>
        <v>364.815</v>
      </c>
      <c r="M118" s="111">
        <f t="shared" si="155"/>
        <v>369.44</v>
      </c>
      <c r="N118" s="111">
        <f t="shared" si="155"/>
        <v>336.74</v>
      </c>
      <c r="O118" s="111">
        <f t="shared" si="155"/>
        <v>322.26</v>
      </c>
      <c r="P118" s="111">
        <v>42</v>
      </c>
      <c r="Q118" s="111">
        <f t="shared" ref="Q118:AF118" si="156">SUM(Q22,Q28,Q31:Q32,Q66,Q68:Q69,Q71,Q73,Q119:Q123,Q155,Q161,Q167,Q176,Q178,Q190,Q197,Q200:Q201,Q208,Q210,Q212,Q216:Q218,Q220:Q222,Q227,Q233:Q234,Q236:Q238,Q246,Q251)</f>
        <v>289.99999999999994</v>
      </c>
      <c r="R118" s="111">
        <f t="shared" si="156"/>
        <v>291.61200000000002</v>
      </c>
      <c r="S118" s="111">
        <f t="shared" ref="S118:T118" si="157">SUM(S22,S28,S31:S32,S66,S68:S69,S71,S73,S119:S123,S155,S161,S167,S176,S178,S190,S197,S200:S201,S208,S210,S212,S216:S218,S220:S222,S227,S233:S234,S236:S238,S246,S251)</f>
        <v>281.10000000000002</v>
      </c>
      <c r="T118" s="111">
        <f t="shared" si="157"/>
        <v>285.56</v>
      </c>
      <c r="U118" s="111">
        <f t="shared" ref="U118:V118" si="158">SUM(U22,U28,U31:U32,U66,U68:U69,U71,U73,U119:U123,U155,U161,U167,U176,U178,U190,U197,U200:U201,U208,U210,U212,U216:U218,U220:U222,U227,U233:U234,U236:U238,U246,U251)</f>
        <v>293.34000000000003</v>
      </c>
      <c r="V118" s="111">
        <f t="shared" si="158"/>
        <v>285.68</v>
      </c>
      <c r="W118" s="111">
        <f t="shared" ref="W118:Y118" si="159">SUM(W22,W28,W31:W32,W66,W68:W69,W71,W73,W119:W123,W155,W161,W167,W176,W178,W190,W197,W200:W201,W208,W210,W212,W216:W218,W220:W222,W227,W233:W234,W236:W238,W246,W251)</f>
        <v>294.3</v>
      </c>
      <c r="X118" s="111">
        <f t="shared" si="159"/>
        <v>313.88</v>
      </c>
      <c r="Y118" s="111">
        <f t="shared" si="159"/>
        <v>396.50000000000006</v>
      </c>
      <c r="Z118" s="111">
        <f t="shared" ref="Z118" si="160">SUM(Z22,Z28,Z31:Z32,Z66,Z68:Z69,Z71,Z73,Z119:Z123,Z155,Z161,Z167,Z176,Z178,Z190,Z197,Z200:Z201,Z208,Z210,Z212,Z216:Z218,Z220:Z222,Z227,Z233:Z234,Z236:Z238,Z246,Z251)</f>
        <v>400.71999999999997</v>
      </c>
      <c r="AA118" s="111">
        <f t="shared" ref="AA118" si="161">SUM(AA22,AA28,AA31:AA32,AA66,AA68:AA69,AA71,AA73,AA119:AA123,AA155,AA161,AA167,AA176,AA178,AA190,AA197,AA200:AA201,AA208,AA210,AA212,AA216:AA218,AA220:AA222,AA227,AA233:AA234,AA236:AA238,AA246,AA251)</f>
        <v>381.2</v>
      </c>
      <c r="AB118" s="111">
        <f t="shared" si="156"/>
        <v>339.6</v>
      </c>
      <c r="AC118" s="111">
        <f t="shared" si="156"/>
        <v>316.08</v>
      </c>
      <c r="AD118" s="111">
        <f t="shared" si="156"/>
        <v>285.86</v>
      </c>
      <c r="AE118" s="111">
        <f t="shared" si="156"/>
        <v>201.74</v>
      </c>
      <c r="AF118" s="111">
        <f t="shared" si="156"/>
        <v>173.20000000000002</v>
      </c>
      <c r="AG118" s="112"/>
      <c r="AH118" s="47">
        <f t="shared" si="67"/>
        <v>400.71999999999997</v>
      </c>
      <c r="AI118" s="48">
        <f t="shared" si="68"/>
        <v>42</v>
      </c>
    </row>
    <row r="119" spans="1:35" x14ac:dyDescent="0.25">
      <c r="A119" s="172" t="s">
        <v>118</v>
      </c>
      <c r="B119" s="113">
        <v>-11.1</v>
      </c>
      <c r="C119" s="113">
        <v>-4.7</v>
      </c>
      <c r="D119" s="113">
        <v>-4.5</v>
      </c>
      <c r="E119" s="113">
        <v>-20.3</v>
      </c>
      <c r="F119" s="113">
        <v>-20.8</v>
      </c>
      <c r="G119" s="113">
        <v>-3.8</v>
      </c>
      <c r="H119" s="113">
        <v>12.9</v>
      </c>
      <c r="I119" s="113">
        <v>19.7</v>
      </c>
      <c r="J119" s="113">
        <v>37.200000000000003</v>
      </c>
      <c r="K119" s="113">
        <v>38.6</v>
      </c>
      <c r="L119" s="113">
        <v>47.3</v>
      </c>
      <c r="M119" s="113">
        <v>50.8</v>
      </c>
      <c r="N119" s="113">
        <v>39.200000000000003</v>
      </c>
      <c r="O119" s="113">
        <v>34.700000000000003</v>
      </c>
      <c r="P119" s="113">
        <v>12.6</v>
      </c>
      <c r="Q119" s="113">
        <v>12.6</v>
      </c>
      <c r="R119" s="113">
        <v>5</v>
      </c>
      <c r="S119" s="113">
        <v>4.5</v>
      </c>
      <c r="T119" s="113">
        <v>7.5</v>
      </c>
      <c r="U119" s="113">
        <v>6.9</v>
      </c>
      <c r="V119" s="113">
        <v>10.1</v>
      </c>
      <c r="W119" s="113">
        <v>11.4</v>
      </c>
      <c r="X119" s="113">
        <v>27.8</v>
      </c>
      <c r="Y119" s="113">
        <v>38.200000000000003</v>
      </c>
      <c r="Z119" s="113">
        <v>38.700000000000003</v>
      </c>
      <c r="AA119" s="113">
        <v>42.5</v>
      </c>
      <c r="AB119" s="113">
        <v>34.5</v>
      </c>
      <c r="AC119" s="113">
        <v>29.2</v>
      </c>
      <c r="AD119" s="113">
        <v>35</v>
      </c>
      <c r="AE119" s="113">
        <v>8.5</v>
      </c>
      <c r="AF119" s="113">
        <v>3.7</v>
      </c>
      <c r="AG119" s="114">
        <v>75</v>
      </c>
      <c r="AH119" s="47">
        <f t="shared" si="67"/>
        <v>50.8</v>
      </c>
      <c r="AI119" s="48">
        <f t="shared" si="68"/>
        <v>-20.8</v>
      </c>
    </row>
    <row r="120" spans="1:35" x14ac:dyDescent="0.25">
      <c r="A120" s="173" t="s">
        <v>119</v>
      </c>
      <c r="B120" s="115">
        <v>-17.7</v>
      </c>
      <c r="C120" s="115">
        <v>-9.9</v>
      </c>
      <c r="D120" s="115">
        <v>-9.1</v>
      </c>
      <c r="E120" s="115">
        <v>-29.8</v>
      </c>
      <c r="F120" s="115">
        <v>-28.5</v>
      </c>
      <c r="G120" s="115">
        <v>-1.5</v>
      </c>
      <c r="H120" s="115">
        <v>19.5</v>
      </c>
      <c r="I120" s="115">
        <v>28.6</v>
      </c>
      <c r="J120" s="115">
        <v>51.1</v>
      </c>
      <c r="K120" s="115">
        <v>51.5</v>
      </c>
      <c r="L120" s="115">
        <v>62.4</v>
      </c>
      <c r="M120" s="115">
        <v>66.900000000000006</v>
      </c>
      <c r="N120" s="115">
        <v>52.8</v>
      </c>
      <c r="O120" s="115">
        <v>47.2</v>
      </c>
      <c r="P120" s="115">
        <v>19.3</v>
      </c>
      <c r="Q120" s="115">
        <v>15.2</v>
      </c>
      <c r="R120" s="115">
        <v>3.4</v>
      </c>
      <c r="S120" s="115">
        <v>3.1</v>
      </c>
      <c r="T120" s="115">
        <v>7.3</v>
      </c>
      <c r="U120" s="115">
        <v>6.4</v>
      </c>
      <c r="V120" s="115">
        <v>11.7</v>
      </c>
      <c r="W120" s="115">
        <v>13.9</v>
      </c>
      <c r="X120" s="115">
        <v>35.700000000000003</v>
      </c>
      <c r="Y120" s="115">
        <v>48.2</v>
      </c>
      <c r="Z120" s="115">
        <v>48.4</v>
      </c>
      <c r="AA120" s="115">
        <v>53.8</v>
      </c>
      <c r="AB120" s="115">
        <v>44.5</v>
      </c>
      <c r="AC120" s="115">
        <v>37.9</v>
      </c>
      <c r="AD120" s="115">
        <v>40</v>
      </c>
      <c r="AE120" s="115">
        <v>3.1</v>
      </c>
      <c r="AF120" s="115">
        <v>-1.1000000000000001</v>
      </c>
      <c r="AG120" s="114">
        <v>240</v>
      </c>
      <c r="AH120" s="47">
        <f t="shared" si="67"/>
        <v>66.900000000000006</v>
      </c>
      <c r="AI120" s="48">
        <f t="shared" si="68"/>
        <v>-29.8</v>
      </c>
    </row>
    <row r="121" spans="1:35" x14ac:dyDescent="0.25">
      <c r="A121" s="173" t="s">
        <v>120</v>
      </c>
      <c r="B121" s="115">
        <v>-12.4</v>
      </c>
      <c r="C121" s="115">
        <v>-16.5</v>
      </c>
      <c r="D121" s="115">
        <v>-20</v>
      </c>
      <c r="E121" s="115">
        <v>-14.1</v>
      </c>
      <c r="F121" s="115">
        <v>-15.4</v>
      </c>
      <c r="G121" s="115">
        <v>-44</v>
      </c>
      <c r="H121" s="115">
        <v>-38.4</v>
      </c>
      <c r="I121" s="115">
        <v>-31.8</v>
      </c>
      <c r="J121" s="115">
        <v>-20.5</v>
      </c>
      <c r="K121" s="115">
        <v>18.899999999999999</v>
      </c>
      <c r="L121" s="115">
        <v>22.5</v>
      </c>
      <c r="M121" s="115">
        <v>15.9</v>
      </c>
      <c r="N121" s="115">
        <f>4.3+5</f>
        <v>9.3000000000000007</v>
      </c>
      <c r="O121" s="115">
        <f>9.5+10.5</f>
        <v>20</v>
      </c>
      <c r="P121" s="115">
        <v>20.6</v>
      </c>
      <c r="Q121" s="115">
        <f>6.4+7.5</f>
        <v>13.9</v>
      </c>
      <c r="R121" s="115">
        <f>8.3+9.4</f>
        <v>17.700000000000003</v>
      </c>
      <c r="S121" s="115">
        <v>15</v>
      </c>
      <c r="T121" s="115">
        <v>16</v>
      </c>
      <c r="U121" s="115">
        <v>18.7</v>
      </c>
      <c r="V121" s="115">
        <v>38</v>
      </c>
      <c r="W121" s="115">
        <v>29</v>
      </c>
      <c r="X121" s="115">
        <v>25</v>
      </c>
      <c r="Y121" s="115">
        <v>42</v>
      </c>
      <c r="Z121" s="115">
        <v>47</v>
      </c>
      <c r="AA121" s="115">
        <v>34</v>
      </c>
      <c r="AB121" s="115">
        <v>22</v>
      </c>
      <c r="AC121" s="115">
        <v>18</v>
      </c>
      <c r="AD121" s="115">
        <v>-6</v>
      </c>
      <c r="AE121" s="115">
        <v>0</v>
      </c>
      <c r="AF121" s="115">
        <v>-7</v>
      </c>
      <c r="AG121" s="114">
        <v>240</v>
      </c>
      <c r="AH121" s="47">
        <f t="shared" si="67"/>
        <v>47</v>
      </c>
      <c r="AI121" s="48">
        <f t="shared" si="68"/>
        <v>-44</v>
      </c>
    </row>
    <row r="122" spans="1:35" ht="15.75" thickBot="1" x14ac:dyDescent="0.3">
      <c r="A122" s="173" t="s">
        <v>121</v>
      </c>
      <c r="B122" s="115">
        <v>-5.3</v>
      </c>
      <c r="C122" s="115">
        <v>-7.5</v>
      </c>
      <c r="D122" s="115">
        <v>-5.9</v>
      </c>
      <c r="E122" s="115">
        <v>-7.5</v>
      </c>
      <c r="F122" s="115">
        <v>-9.9</v>
      </c>
      <c r="G122" s="115">
        <v>-9.3000000000000007</v>
      </c>
      <c r="H122" s="115">
        <v>-7</v>
      </c>
      <c r="I122" s="115">
        <v>-3.1</v>
      </c>
      <c r="J122" s="115">
        <v>1.7</v>
      </c>
      <c r="K122" s="115">
        <v>20.100000000000001</v>
      </c>
      <c r="L122" s="115">
        <v>22.4</v>
      </c>
      <c r="M122" s="115">
        <v>19.600000000000001</v>
      </c>
      <c r="N122" s="115">
        <v>16</v>
      </c>
      <c r="O122" s="115">
        <v>16.7</v>
      </c>
      <c r="P122" s="115">
        <v>7</v>
      </c>
      <c r="Q122" s="115">
        <v>1.2</v>
      </c>
      <c r="R122" s="115">
        <v>4.3</v>
      </c>
      <c r="S122" s="115">
        <v>-0.5</v>
      </c>
      <c r="T122" s="115">
        <v>0.2</v>
      </c>
      <c r="U122" s="115">
        <v>5.0999999999999996</v>
      </c>
      <c r="V122" s="115">
        <v>17.899999999999999</v>
      </c>
      <c r="W122" s="115">
        <v>16.7</v>
      </c>
      <c r="X122" s="115">
        <v>20.5</v>
      </c>
      <c r="Y122" s="115">
        <v>26.1</v>
      </c>
      <c r="Z122" s="115">
        <v>37.9</v>
      </c>
      <c r="AA122" s="115">
        <v>25.7</v>
      </c>
      <c r="AB122" s="115">
        <v>21.3</v>
      </c>
      <c r="AC122" s="115">
        <v>18</v>
      </c>
      <c r="AD122" s="115">
        <v>5</v>
      </c>
      <c r="AE122" s="115">
        <v>4.2</v>
      </c>
      <c r="AF122" s="115">
        <v>0</v>
      </c>
      <c r="AG122" s="114">
        <v>60</v>
      </c>
      <c r="AH122" s="47">
        <f t="shared" si="67"/>
        <v>37.9</v>
      </c>
      <c r="AI122" s="48">
        <f t="shared" si="68"/>
        <v>-9.9</v>
      </c>
    </row>
    <row r="123" spans="1:35" x14ac:dyDescent="0.25">
      <c r="A123" s="172" t="s">
        <v>259</v>
      </c>
      <c r="B123" s="117">
        <f>62.6*1.6</f>
        <v>100.16000000000001</v>
      </c>
      <c r="C123" s="117">
        <f>51.7*1.6</f>
        <v>82.720000000000013</v>
      </c>
      <c r="D123" s="117">
        <f>48.4*1.6</f>
        <v>77.44</v>
      </c>
      <c r="E123" s="117">
        <f>65.7*1.63</f>
        <v>107.09099999999999</v>
      </c>
      <c r="F123" s="117">
        <f>65.7*1.63</f>
        <v>107.09099999999999</v>
      </c>
      <c r="G123" s="117">
        <f>65.5*1.63</f>
        <v>106.76499999999999</v>
      </c>
      <c r="H123" s="117">
        <f>62*1.63</f>
        <v>101.05999999999999</v>
      </c>
      <c r="I123" s="117">
        <f>64.6*1.63</f>
        <v>105.29799999999999</v>
      </c>
      <c r="J123" s="117">
        <f>72.2*1.63</f>
        <v>117.68599999999999</v>
      </c>
      <c r="K123" s="117">
        <f>74.5*1.63</f>
        <v>121.43499999999999</v>
      </c>
      <c r="L123" s="117">
        <f>72.5*1.63</f>
        <v>118.175</v>
      </c>
      <c r="M123" s="117">
        <v>120</v>
      </c>
      <c r="N123" s="117">
        <f>70*1.64</f>
        <v>114.8</v>
      </c>
      <c r="O123" s="117">
        <f>58*1.64</f>
        <v>95.11999999999999</v>
      </c>
      <c r="P123" s="117">
        <f>84*1.64</f>
        <v>137.76</v>
      </c>
      <c r="Q123" s="117">
        <f>84*1.64</f>
        <v>137.76</v>
      </c>
      <c r="R123" s="117">
        <f>92*1.641</f>
        <v>150.97200000000001</v>
      </c>
      <c r="S123" s="117">
        <f>95.6*1.6</f>
        <v>152.96</v>
      </c>
      <c r="T123" s="117">
        <f>94.7*1.6</f>
        <v>151.52000000000001</v>
      </c>
      <c r="U123" s="117">
        <f>99.5*1.6</f>
        <v>159.20000000000002</v>
      </c>
      <c r="V123" s="117">
        <f>74.9*1.6</f>
        <v>119.84000000000002</v>
      </c>
      <c r="W123" s="117">
        <f>85.1*1.6</f>
        <v>136.16</v>
      </c>
      <c r="X123" s="117">
        <f>73.9*1.6</f>
        <v>118.24000000000001</v>
      </c>
      <c r="Y123" s="117">
        <f>97.1*1.6</f>
        <v>155.36000000000001</v>
      </c>
      <c r="Z123" s="117">
        <f>88.8*1.6</f>
        <v>142.08000000000001</v>
      </c>
      <c r="AA123" s="117">
        <f>86.6*1.6</f>
        <v>138.56</v>
      </c>
      <c r="AB123" s="117">
        <f>83.1*1.6</f>
        <v>132.96</v>
      </c>
      <c r="AC123" s="117">
        <f>80.4*1.6</f>
        <v>128.64000000000001</v>
      </c>
      <c r="AD123" s="117">
        <f>77.2*1.6</f>
        <v>123.52000000000001</v>
      </c>
      <c r="AE123" s="117">
        <f>61*1.6</f>
        <v>97.600000000000009</v>
      </c>
      <c r="AF123" s="117">
        <f>53.1*1.6</f>
        <v>84.960000000000008</v>
      </c>
      <c r="AG123" s="118">
        <v>120</v>
      </c>
      <c r="AH123" s="47">
        <f t="shared" si="67"/>
        <v>159.20000000000002</v>
      </c>
      <c r="AI123" s="48">
        <f t="shared" si="68"/>
        <v>77.44</v>
      </c>
    </row>
    <row r="124" spans="1:35" x14ac:dyDescent="0.25">
      <c r="A124" s="173" t="s">
        <v>258</v>
      </c>
      <c r="B124" s="117">
        <v>73.599999999999994</v>
      </c>
      <c r="C124" s="117">
        <v>64.2</v>
      </c>
      <c r="D124" s="117">
        <v>62.4</v>
      </c>
      <c r="E124" s="117">
        <v>78.3</v>
      </c>
      <c r="F124" s="117">
        <v>77.8</v>
      </c>
      <c r="G124" s="117">
        <v>78</v>
      </c>
      <c r="H124" s="117">
        <v>74.7</v>
      </c>
      <c r="I124" s="117">
        <v>77.099999999999994</v>
      </c>
      <c r="J124" s="117">
        <v>81.099999999999994</v>
      </c>
      <c r="K124" s="117">
        <v>83.9</v>
      </c>
      <c r="L124" s="117">
        <v>81.599999999999994</v>
      </c>
      <c r="M124" s="117">
        <v>79.3</v>
      </c>
      <c r="N124" s="117">
        <v>78.7</v>
      </c>
      <c r="O124" s="117">
        <v>68.5</v>
      </c>
      <c r="P124" s="117">
        <v>90.7</v>
      </c>
      <c r="Q124" s="117">
        <v>87</v>
      </c>
      <c r="R124" s="117">
        <v>96.5</v>
      </c>
      <c r="S124" s="117">
        <v>98.2</v>
      </c>
      <c r="T124" s="117">
        <v>98</v>
      </c>
      <c r="U124" s="117">
        <v>102</v>
      </c>
      <c r="V124" s="117">
        <v>82.7</v>
      </c>
      <c r="W124" s="117">
        <v>91</v>
      </c>
      <c r="X124" s="117">
        <v>82.9</v>
      </c>
      <c r="Y124" s="117">
        <v>100.8</v>
      </c>
      <c r="Z124" s="117">
        <v>93.9</v>
      </c>
      <c r="AA124" s="117">
        <v>92</v>
      </c>
      <c r="AB124" s="117">
        <v>90.1</v>
      </c>
      <c r="AC124" s="117">
        <v>89.5</v>
      </c>
      <c r="AD124" s="117">
        <v>87</v>
      </c>
      <c r="AE124" s="117">
        <v>73</v>
      </c>
      <c r="AF124" s="117">
        <v>68</v>
      </c>
      <c r="AG124" s="118"/>
      <c r="AH124" s="47"/>
      <c r="AI124" s="48"/>
    </row>
    <row r="125" spans="1:35" x14ac:dyDescent="0.25">
      <c r="A125" s="173" t="s">
        <v>255</v>
      </c>
      <c r="B125" s="117">
        <v>62.1</v>
      </c>
      <c r="C125" s="117">
        <v>50.9</v>
      </c>
      <c r="D125" s="117">
        <v>52</v>
      </c>
      <c r="E125" s="117">
        <v>78.599999999999994</v>
      </c>
      <c r="F125" s="117">
        <v>69.099999999999994</v>
      </c>
      <c r="G125" s="117">
        <v>63.6</v>
      </c>
      <c r="H125" s="117">
        <v>36.9</v>
      </c>
      <c r="I125" s="117">
        <v>26.9</v>
      </c>
      <c r="J125" s="117">
        <v>0.5</v>
      </c>
      <c r="K125" s="117">
        <v>-19.899999999999999</v>
      </c>
      <c r="L125" s="117">
        <v>32.4</v>
      </c>
      <c r="M125" s="117">
        <v>-33.1</v>
      </c>
      <c r="N125" s="117">
        <v>-15.8</v>
      </c>
      <c r="O125" s="117">
        <v>-17</v>
      </c>
      <c r="P125" s="117">
        <v>23</v>
      </c>
      <c r="Q125" s="117">
        <v>29.5</v>
      </c>
      <c r="R125" s="117">
        <v>44.4</v>
      </c>
      <c r="S125" s="117">
        <v>50.5</v>
      </c>
      <c r="T125" s="117">
        <v>41.7</v>
      </c>
      <c r="U125" s="117">
        <v>46.6</v>
      </c>
      <c r="V125" s="117">
        <v>12.6</v>
      </c>
      <c r="W125" s="117">
        <v>20.7</v>
      </c>
      <c r="X125" s="117">
        <v>-5.4</v>
      </c>
      <c r="Y125" s="117">
        <v>-16.7</v>
      </c>
      <c r="Z125" s="117">
        <v>-25</v>
      </c>
      <c r="AA125" s="117">
        <v>-21.6</v>
      </c>
      <c r="AB125" s="117">
        <v>-6.2</v>
      </c>
      <c r="AC125" s="117">
        <v>0.7</v>
      </c>
      <c r="AD125" s="117">
        <v>17</v>
      </c>
      <c r="AE125" s="117">
        <v>33.1</v>
      </c>
      <c r="AF125" s="117">
        <v>39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80.98</v>
      </c>
      <c r="C126" s="117">
        <v>66.900000000000006</v>
      </c>
      <c r="D126" s="117">
        <v>63.1</v>
      </c>
      <c r="E126" s="117">
        <v>85.9</v>
      </c>
      <c r="F126" s="117">
        <v>91.9</v>
      </c>
      <c r="G126" s="117">
        <v>106.3</v>
      </c>
      <c r="H126" s="117">
        <v>93.4</v>
      </c>
      <c r="I126" s="117">
        <v>98.7</v>
      </c>
      <c r="J126" s="117">
        <v>96.1</v>
      </c>
      <c r="K126" s="117">
        <v>79.400000000000006</v>
      </c>
      <c r="L126" s="117">
        <v>74.2</v>
      </c>
      <c r="M126" s="117">
        <v>58.1</v>
      </c>
      <c r="N126" s="117">
        <v>58.5</v>
      </c>
      <c r="O126" s="117">
        <v>71.599999999999994</v>
      </c>
      <c r="P126" s="117">
        <v>82.3</v>
      </c>
      <c r="Q126" s="117">
        <v>83.6</v>
      </c>
      <c r="R126" s="117">
        <v>95.8</v>
      </c>
      <c r="S126" s="117">
        <v>97.1</v>
      </c>
      <c r="T126" s="117">
        <v>95.5</v>
      </c>
      <c r="U126" s="117">
        <v>95.1</v>
      </c>
      <c r="V126" s="117">
        <v>80.900000000000006</v>
      </c>
      <c r="W126" s="117">
        <v>104</v>
      </c>
      <c r="X126" s="117">
        <v>88.7</v>
      </c>
      <c r="Y126" s="117">
        <v>98.6</v>
      </c>
      <c r="Z126" s="117">
        <v>88.7</v>
      </c>
      <c r="AA126" s="117">
        <v>83</v>
      </c>
      <c r="AB126" s="117">
        <v>88</v>
      </c>
      <c r="AC126" s="117">
        <v>91.2</v>
      </c>
      <c r="AD126" s="117">
        <v>103</v>
      </c>
      <c r="AE126" s="117">
        <v>71</v>
      </c>
      <c r="AF126" s="117">
        <v>75</v>
      </c>
      <c r="AG126" s="114"/>
      <c r="AH126" s="47">
        <f>MAX(B126:AF126)</f>
        <v>106.3</v>
      </c>
      <c r="AI126" s="48">
        <f>MIN(B126:AF126)</f>
        <v>58.1</v>
      </c>
    </row>
    <row r="127" spans="1:35" x14ac:dyDescent="0.25">
      <c r="A127" s="172" t="s">
        <v>587</v>
      </c>
      <c r="B127" s="117">
        <v>24.5</v>
      </c>
      <c r="C127" s="117">
        <v>16.3</v>
      </c>
      <c r="D127" s="117">
        <v>15.2</v>
      </c>
      <c r="E127" s="117">
        <v>36.799999999999997</v>
      </c>
      <c r="F127" s="117">
        <v>28.7</v>
      </c>
      <c r="G127" s="117">
        <v>27.1</v>
      </c>
      <c r="H127" s="117">
        <v>1.7</v>
      </c>
      <c r="I127" s="117">
        <v>0</v>
      </c>
      <c r="J127" s="117">
        <v>-17.3</v>
      </c>
      <c r="K127" s="117">
        <v>-10.9</v>
      </c>
      <c r="L127" s="117">
        <v>-20</v>
      </c>
      <c r="M127" s="117">
        <v>-24</v>
      </c>
      <c r="N127" s="117">
        <v>-13.2</v>
      </c>
      <c r="O127" s="117">
        <v>-16.100000000000001</v>
      </c>
      <c r="P127" s="117">
        <v>-4.2</v>
      </c>
      <c r="Q127" s="117">
        <v>-5.2</v>
      </c>
      <c r="R127" s="117">
        <v>2.5</v>
      </c>
      <c r="S127" s="117">
        <v>7.9</v>
      </c>
      <c r="T127" s="117">
        <v>4.9000000000000004</v>
      </c>
      <c r="U127" s="117">
        <v>10</v>
      </c>
      <c r="V127" s="117">
        <v>14.3</v>
      </c>
      <c r="W127" s="117">
        <v>8.8000000000000007</v>
      </c>
      <c r="X127" s="117">
        <v>-3.6</v>
      </c>
      <c r="Y127" s="117">
        <v>-14.4</v>
      </c>
      <c r="Z127" s="117">
        <v>-11.7</v>
      </c>
      <c r="AA127" s="117">
        <v>-13.2</v>
      </c>
      <c r="AB127" s="117">
        <v>-11.6</v>
      </c>
      <c r="AC127" s="117">
        <v>-6.2</v>
      </c>
      <c r="AD127" s="117">
        <v>-6</v>
      </c>
      <c r="AE127" s="117">
        <v>12.7</v>
      </c>
      <c r="AF127" s="117">
        <v>14.2</v>
      </c>
      <c r="AG127" s="114"/>
      <c r="AH127" s="47">
        <f>MAX(B127:AF127)</f>
        <v>36.799999999999997</v>
      </c>
      <c r="AI127" s="48">
        <f>MIN(B127:AF127)</f>
        <v>-24</v>
      </c>
    </row>
    <row r="128" spans="1:35" x14ac:dyDescent="0.25">
      <c r="A128" s="173" t="s">
        <v>123</v>
      </c>
      <c r="B128" s="106">
        <v>-12.4</v>
      </c>
      <c r="C128" s="106">
        <v>-11.5</v>
      </c>
      <c r="D128" s="106">
        <v>-10.4</v>
      </c>
      <c r="E128" s="106">
        <v>-9.3000000000000007</v>
      </c>
      <c r="F128" s="106">
        <v>-10.1</v>
      </c>
      <c r="G128" s="106">
        <v>-11.8</v>
      </c>
      <c r="H128" s="106">
        <v>-19</v>
      </c>
      <c r="I128" s="106">
        <v>-25.6</v>
      </c>
      <c r="J128" s="106">
        <v>-39.4</v>
      </c>
      <c r="K128" s="106">
        <v>-43.7</v>
      </c>
      <c r="L128" s="106">
        <v>-46.1</v>
      </c>
      <c r="M128" s="106">
        <v>-51.3</v>
      </c>
      <c r="N128" s="106">
        <v>-44.7</v>
      </c>
      <c r="O128" s="106">
        <v>-29.4</v>
      </c>
      <c r="P128" s="106">
        <v>-25.5</v>
      </c>
      <c r="Q128" s="106">
        <v>-22.5</v>
      </c>
      <c r="R128" s="106">
        <v>-19.8</v>
      </c>
      <c r="S128" s="106">
        <v>-17.3</v>
      </c>
      <c r="T128" s="106">
        <v>-21.7</v>
      </c>
      <c r="U128" s="106">
        <v>-22</v>
      </c>
      <c r="V128" s="106">
        <v>-36.5</v>
      </c>
      <c r="W128" s="106">
        <v>-44.6</v>
      </c>
      <c r="X128" s="106">
        <v>-51.8</v>
      </c>
      <c r="Y128" s="106">
        <v>-62.4</v>
      </c>
      <c r="Z128" s="106">
        <v>-53.5</v>
      </c>
      <c r="AA128" s="106">
        <v>-48.8</v>
      </c>
      <c r="AB128" s="106">
        <v>-38.9</v>
      </c>
      <c r="AC128" s="106">
        <v>-35.1</v>
      </c>
      <c r="AD128" s="106">
        <v>-28</v>
      </c>
      <c r="AE128" s="106">
        <v>-20</v>
      </c>
      <c r="AF128" s="106">
        <v>-16</v>
      </c>
      <c r="AG128" s="114"/>
      <c r="AH128" s="47">
        <f>MAX(B128:AF128)</f>
        <v>-9.3000000000000007</v>
      </c>
      <c r="AI128" s="48">
        <f>MIN(B128:AF128)</f>
        <v>-62.4</v>
      </c>
    </row>
    <row r="129" spans="1:37" x14ac:dyDescent="0.25">
      <c r="A129" s="173" t="s">
        <v>260</v>
      </c>
      <c r="B129" s="106">
        <v>-21.4</v>
      </c>
      <c r="C129" s="106">
        <v>-12.7</v>
      </c>
      <c r="D129" s="106">
        <v>-9.8000000000000007</v>
      </c>
      <c r="E129" s="106">
        <v>-28.9</v>
      </c>
      <c r="F129" s="106">
        <v>-26.3</v>
      </c>
      <c r="G129" s="106">
        <v>4.2</v>
      </c>
      <c r="H129" s="106">
        <v>14.4</v>
      </c>
      <c r="I129" s="106">
        <v>16.100000000000001</v>
      </c>
      <c r="J129" s="106">
        <v>21.6</v>
      </c>
      <c r="K129" s="106">
        <v>-3.6</v>
      </c>
      <c r="L129" s="106">
        <v>2.2999999999999998</v>
      </c>
      <c r="M129" s="106">
        <v>8.1</v>
      </c>
      <c r="N129" s="106">
        <v>3.9</v>
      </c>
      <c r="O129" s="106">
        <v>-6.8</v>
      </c>
      <c r="P129" s="106">
        <v>18.399999999999999</v>
      </c>
      <c r="Q129" s="106">
        <v>24.9</v>
      </c>
      <c r="R129" s="106">
        <v>26</v>
      </c>
      <c r="S129" s="106">
        <v>26.8</v>
      </c>
      <c r="T129" s="106">
        <v>24.3</v>
      </c>
      <c r="U129" s="106">
        <v>25.3</v>
      </c>
      <c r="V129" s="106">
        <v>-41.9</v>
      </c>
      <c r="W129" s="106">
        <v>-33.6</v>
      </c>
      <c r="X129" s="106">
        <v>-20.3</v>
      </c>
      <c r="Y129" s="106">
        <v>-24.1</v>
      </c>
      <c r="Z129" s="106">
        <v>-15.7</v>
      </c>
      <c r="AA129" s="106">
        <v>-8.4</v>
      </c>
      <c r="AB129" s="106">
        <v>-9.8000000000000007</v>
      </c>
      <c r="AC129" s="106">
        <v>-13</v>
      </c>
      <c r="AD129" s="106">
        <v>1.1000000000000001</v>
      </c>
      <c r="AE129" s="106">
        <v>-21</v>
      </c>
      <c r="AF129" s="106">
        <v>-19</v>
      </c>
      <c r="AG129" s="114"/>
      <c r="AH129" s="47">
        <f>MAX(B129:AF129)</f>
        <v>26.8</v>
      </c>
      <c r="AI129" s="48">
        <f>MIN(B129:AF129)</f>
        <v>-41.9</v>
      </c>
    </row>
    <row r="130" spans="1:37" ht="15.75" thickBot="1" x14ac:dyDescent="0.3">
      <c r="A130" s="173" t="s">
        <v>257</v>
      </c>
      <c r="B130" s="106">
        <v>100</v>
      </c>
      <c r="C130" s="106">
        <v>88.8</v>
      </c>
      <c r="D130" s="106">
        <v>90.8</v>
      </c>
      <c r="E130" s="106">
        <v>89.9</v>
      </c>
      <c r="F130" s="106">
        <v>77.8</v>
      </c>
      <c r="G130" s="106">
        <v>88.2</v>
      </c>
      <c r="H130" s="106">
        <v>90.3</v>
      </c>
      <c r="I130" s="106">
        <v>96.4</v>
      </c>
      <c r="J130" s="106">
        <v>112.5</v>
      </c>
      <c r="K130" s="106">
        <v>104.4</v>
      </c>
      <c r="L130" s="106">
        <v>107</v>
      </c>
      <c r="M130" s="106">
        <v>110.7</v>
      </c>
      <c r="N130" s="106">
        <v>100.5</v>
      </c>
      <c r="O130" s="106">
        <v>89.8</v>
      </c>
      <c r="P130" s="106">
        <v>112.1</v>
      </c>
      <c r="Q130" s="106">
        <v>98</v>
      </c>
      <c r="R130" s="106">
        <v>95.3</v>
      </c>
      <c r="S130" s="106">
        <v>91.4</v>
      </c>
      <c r="T130" s="106">
        <v>101.7</v>
      </c>
      <c r="U130" s="106">
        <v>102.1</v>
      </c>
      <c r="V130" s="106">
        <v>94.7</v>
      </c>
      <c r="W130" s="106">
        <v>96.3</v>
      </c>
      <c r="X130" s="106">
        <v>102.4</v>
      </c>
      <c r="Y130" s="106">
        <v>115.1</v>
      </c>
      <c r="Z130" s="106">
        <v>103.4</v>
      </c>
      <c r="AA130" s="106">
        <v>107.9</v>
      </c>
      <c r="AB130" s="106">
        <v>104</v>
      </c>
      <c r="AC130" s="106">
        <v>107.4</v>
      </c>
      <c r="AD130" s="106">
        <v>106</v>
      </c>
      <c r="AE130" s="106">
        <v>103.1</v>
      </c>
      <c r="AF130" s="106">
        <v>101</v>
      </c>
      <c r="AG130" s="114"/>
      <c r="AH130" s="47">
        <f>MAX(B130:AF130)</f>
        <v>115.1</v>
      </c>
      <c r="AI130" s="48">
        <f>MIN(B130:AF130)</f>
        <v>77.8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17"/>
      <c r="N131" s="117"/>
      <c r="O131" s="117"/>
      <c r="P131" s="117"/>
      <c r="Q131" s="117"/>
      <c r="R131" s="117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1984.7</v>
      </c>
      <c r="C132" s="147">
        <v>1984.9</v>
      </c>
      <c r="D132" s="147">
        <v>1985.1</v>
      </c>
      <c r="E132" s="147">
        <v>1985.37</v>
      </c>
      <c r="F132" s="147">
        <v>1985.47</v>
      </c>
      <c r="G132" s="147">
        <v>1985.68</v>
      </c>
      <c r="H132" s="147"/>
      <c r="I132" s="147">
        <v>1985.92</v>
      </c>
      <c r="J132" s="147"/>
      <c r="K132" s="147">
        <v>1985.9</v>
      </c>
      <c r="L132" s="147"/>
      <c r="M132" s="117">
        <v>1985.32</v>
      </c>
      <c r="N132" s="117">
        <v>1984.38</v>
      </c>
      <c r="O132" s="117">
        <v>1983.62</v>
      </c>
      <c r="P132" s="117">
        <v>1983.85</v>
      </c>
      <c r="Q132" s="117">
        <v>1984.07</v>
      </c>
      <c r="R132" s="117">
        <v>1984.29</v>
      </c>
      <c r="S132" s="147">
        <v>1984.45</v>
      </c>
      <c r="T132" s="147">
        <v>1984.65</v>
      </c>
      <c r="U132" s="147">
        <v>1984.82</v>
      </c>
      <c r="V132" s="147">
        <v>1984.9</v>
      </c>
      <c r="W132" s="147"/>
      <c r="X132" s="147">
        <v>1985.1</v>
      </c>
      <c r="Y132" s="147"/>
      <c r="Z132" s="147">
        <v>1984.9</v>
      </c>
      <c r="AA132" s="147"/>
      <c r="AB132" s="147">
        <v>1984.32</v>
      </c>
      <c r="AC132" s="147"/>
      <c r="AD132" s="147">
        <v>1983.88</v>
      </c>
      <c r="AE132" s="147">
        <v>1983.78</v>
      </c>
      <c r="AF132" s="148">
        <v>1983.98</v>
      </c>
      <c r="AG132" s="149"/>
      <c r="AH132" s="47"/>
      <c r="AI132" s="48"/>
    </row>
    <row r="133" spans="1:37" x14ac:dyDescent="0.25">
      <c r="A133" s="185" t="s">
        <v>238</v>
      </c>
      <c r="B133" s="150">
        <v>521.54</v>
      </c>
      <c r="C133" s="150">
        <v>521.84</v>
      </c>
      <c r="D133" s="150">
        <v>522.14</v>
      </c>
      <c r="E133" s="150">
        <v>522.44000000000005</v>
      </c>
      <c r="F133" s="150">
        <v>522.84</v>
      </c>
      <c r="G133" s="150">
        <v>522.91</v>
      </c>
      <c r="H133" s="150"/>
      <c r="I133" s="150">
        <v>522.88</v>
      </c>
      <c r="J133" s="150"/>
      <c r="K133" s="150">
        <v>522.52</v>
      </c>
      <c r="L133" s="150"/>
      <c r="M133" s="117">
        <v>522.12</v>
      </c>
      <c r="N133" s="117">
        <v>521.80999999999995</v>
      </c>
      <c r="O133" s="117">
        <v>521.75</v>
      </c>
      <c r="P133" s="117">
        <v>521.70000000000005</v>
      </c>
      <c r="Q133" s="117">
        <v>521.64</v>
      </c>
      <c r="R133" s="117">
        <v>521.71</v>
      </c>
      <c r="S133" s="150">
        <v>521.78</v>
      </c>
      <c r="T133" s="150">
        <v>521.82000000000005</v>
      </c>
      <c r="U133" s="150">
        <v>521.82000000000005</v>
      </c>
      <c r="V133" s="150">
        <v>521.88</v>
      </c>
      <c r="W133" s="150"/>
      <c r="X133" s="150">
        <v>521.9</v>
      </c>
      <c r="Y133" s="150"/>
      <c r="Z133" s="150">
        <v>521.5</v>
      </c>
      <c r="AA133" s="150"/>
      <c r="AB133" s="150">
        <v>520.95000000000005</v>
      </c>
      <c r="AC133" s="150"/>
      <c r="AD133" s="150">
        <v>520.63</v>
      </c>
      <c r="AE133" s="150">
        <v>520.27</v>
      </c>
      <c r="AF133" s="151">
        <v>520.41999999999996</v>
      </c>
      <c r="AG133" s="149"/>
      <c r="AH133" s="47"/>
      <c r="AI133" s="48"/>
    </row>
    <row r="134" spans="1:37" x14ac:dyDescent="0.25">
      <c r="A134" s="185" t="s">
        <v>239</v>
      </c>
      <c r="B134" s="150">
        <v>622.15</v>
      </c>
      <c r="C134" s="150">
        <v>622.22</v>
      </c>
      <c r="D134" s="150">
        <v>622.27</v>
      </c>
      <c r="E134" s="150">
        <v>622.30999999999995</v>
      </c>
      <c r="F134" s="150">
        <v>622.94000000000005</v>
      </c>
      <c r="G134" s="150">
        <v>622.99</v>
      </c>
      <c r="H134" s="150"/>
      <c r="I134" s="150">
        <v>622.97</v>
      </c>
      <c r="J134" s="150"/>
      <c r="K134" s="150">
        <v>622.79999999999995</v>
      </c>
      <c r="L134" s="150"/>
      <c r="M134" s="117">
        <v>622.75</v>
      </c>
      <c r="N134" s="117">
        <v>622.66</v>
      </c>
      <c r="O134" s="117">
        <v>622.62</v>
      </c>
      <c r="P134" s="117">
        <v>622.67999999999995</v>
      </c>
      <c r="Q134" s="117">
        <v>622.73</v>
      </c>
      <c r="R134" s="117">
        <v>622.77</v>
      </c>
      <c r="S134" s="150">
        <v>622.84</v>
      </c>
      <c r="T134" s="150">
        <v>622.84</v>
      </c>
      <c r="U134" s="150">
        <v>622.76</v>
      </c>
      <c r="V134" s="150">
        <v>622.67999999999995</v>
      </c>
      <c r="W134" s="150"/>
      <c r="X134" s="150">
        <v>622.69000000000005</v>
      </c>
      <c r="Y134" s="150"/>
      <c r="Z134" s="150">
        <v>622.66</v>
      </c>
      <c r="AA134" s="150"/>
      <c r="AB134" s="150">
        <v>622.54999999999995</v>
      </c>
      <c r="AC134" s="150"/>
      <c r="AD134" s="150">
        <v>622.42999999999995</v>
      </c>
      <c r="AE134" s="150">
        <v>622.33000000000004</v>
      </c>
      <c r="AF134" s="151">
        <v>622.35</v>
      </c>
      <c r="AG134" s="149"/>
      <c r="AH134" s="47"/>
      <c r="AI134" s="48"/>
    </row>
    <row r="135" spans="1:37" x14ac:dyDescent="0.25">
      <c r="A135" s="185" t="s">
        <v>240</v>
      </c>
      <c r="B135" s="150">
        <v>336.48</v>
      </c>
      <c r="C135" s="150">
        <v>336.77</v>
      </c>
      <c r="D135" s="150">
        <v>337.01</v>
      </c>
      <c r="E135" s="150">
        <v>337.35</v>
      </c>
      <c r="F135" s="150">
        <v>337.43</v>
      </c>
      <c r="G135" s="150">
        <v>337.46</v>
      </c>
      <c r="H135" s="150"/>
      <c r="I135" s="150">
        <v>337.3</v>
      </c>
      <c r="J135" s="150"/>
      <c r="K135" s="150">
        <v>336.9</v>
      </c>
      <c r="L135" s="150"/>
      <c r="M135" s="117">
        <v>336.59</v>
      </c>
      <c r="N135" s="117">
        <v>336.27</v>
      </c>
      <c r="O135" s="117">
        <v>336.04</v>
      </c>
      <c r="P135" s="117">
        <v>335.94</v>
      </c>
      <c r="Q135" s="117">
        <v>335.93</v>
      </c>
      <c r="R135" s="117">
        <v>336.11</v>
      </c>
      <c r="S135" s="150">
        <v>336.4</v>
      </c>
      <c r="T135" s="150">
        <v>336.55</v>
      </c>
      <c r="U135" s="150">
        <v>336.66</v>
      </c>
      <c r="V135" s="150">
        <v>336.6</v>
      </c>
      <c r="W135" s="150"/>
      <c r="X135" s="150">
        <v>336.52</v>
      </c>
      <c r="Y135" s="150"/>
      <c r="Z135" s="150">
        <v>336.25</v>
      </c>
      <c r="AA135" s="150"/>
      <c r="AB135" s="150">
        <v>335.87</v>
      </c>
      <c r="AC135" s="150"/>
      <c r="AD135" s="150">
        <v>335.67</v>
      </c>
      <c r="AE135" s="150">
        <v>335.38</v>
      </c>
      <c r="AF135" s="151">
        <v>335.38</v>
      </c>
      <c r="AG135" s="149"/>
      <c r="AH135" s="47"/>
      <c r="AI135" s="48"/>
    </row>
    <row r="136" spans="1:37" x14ac:dyDescent="0.25">
      <c r="A136" s="185" t="s">
        <v>384</v>
      </c>
      <c r="B136" s="150">
        <v>884.8</v>
      </c>
      <c r="C136" s="150">
        <v>885.6</v>
      </c>
      <c r="D136" s="150">
        <v>886.2</v>
      </c>
      <c r="E136" s="150">
        <v>886.7</v>
      </c>
      <c r="F136" s="150">
        <v>887.1</v>
      </c>
      <c r="G136" s="150">
        <v>887.6</v>
      </c>
      <c r="H136" s="150"/>
      <c r="I136" s="150">
        <v>887.6</v>
      </c>
      <c r="J136" s="150"/>
      <c r="K136" s="150">
        <v>887.1</v>
      </c>
      <c r="L136" s="150"/>
      <c r="M136" s="117">
        <v>886.1</v>
      </c>
      <c r="N136" s="117">
        <v>886</v>
      </c>
      <c r="O136" s="117">
        <v>886</v>
      </c>
      <c r="P136" s="117">
        <v>885.8</v>
      </c>
      <c r="Q136" s="117">
        <v>885.5</v>
      </c>
      <c r="R136" s="117">
        <v>885.4</v>
      </c>
      <c r="S136" s="150">
        <v>885.3</v>
      </c>
      <c r="T136" s="150">
        <v>885.1</v>
      </c>
      <c r="U136" s="150">
        <v>884.8</v>
      </c>
      <c r="V136" s="150">
        <v>884.5</v>
      </c>
      <c r="W136" s="150"/>
      <c r="X136" s="150">
        <v>884.5</v>
      </c>
      <c r="Y136" s="150"/>
      <c r="Z136" s="150">
        <v>883.7</v>
      </c>
      <c r="AA136" s="150"/>
      <c r="AB136" s="150">
        <v>881.9</v>
      </c>
      <c r="AC136" s="150"/>
      <c r="AD136" s="150">
        <v>881.9</v>
      </c>
      <c r="AE136" s="150">
        <v>881.7</v>
      </c>
      <c r="AF136" s="151">
        <v>882.9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1519.75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17">
        <v>1519.76</v>
      </c>
      <c r="N137" s="117"/>
      <c r="O137" s="117"/>
      <c r="P137" s="117"/>
      <c r="Q137" s="117"/>
      <c r="R137" s="117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62">SUM(B139:B243)</f>
        <v>0</v>
      </c>
      <c r="C244" s="134">
        <f t="shared" si="162"/>
        <v>0</v>
      </c>
      <c r="D244" s="134">
        <f t="shared" si="162"/>
        <v>0</v>
      </c>
      <c r="E244" s="134">
        <f t="shared" si="162"/>
        <v>0</v>
      </c>
      <c r="F244" s="134">
        <f t="shared" si="162"/>
        <v>0</v>
      </c>
      <c r="G244" s="134">
        <f t="shared" si="162"/>
        <v>0</v>
      </c>
      <c r="H244" s="134">
        <f t="shared" si="162"/>
        <v>0</v>
      </c>
      <c r="I244" s="134">
        <f t="shared" si="162"/>
        <v>0</v>
      </c>
      <c r="J244" s="134">
        <f t="shared" si="162"/>
        <v>0</v>
      </c>
      <c r="K244" s="134">
        <f t="shared" si="162"/>
        <v>0</v>
      </c>
      <c r="L244" s="134">
        <f t="shared" si="162"/>
        <v>0</v>
      </c>
      <c r="M244" s="134">
        <f t="shared" si="162"/>
        <v>0</v>
      </c>
      <c r="N244" s="134">
        <f t="shared" si="162"/>
        <v>0</v>
      </c>
      <c r="O244" s="134">
        <f t="shared" si="162"/>
        <v>0</v>
      </c>
      <c r="P244" s="134">
        <f t="shared" si="162"/>
        <v>0</v>
      </c>
      <c r="Q244" s="134">
        <f t="shared" si="162"/>
        <v>0</v>
      </c>
      <c r="R244" s="134">
        <f t="shared" si="162"/>
        <v>0</v>
      </c>
      <c r="S244" s="134">
        <f t="shared" si="162"/>
        <v>0</v>
      </c>
      <c r="T244" s="134">
        <f t="shared" si="162"/>
        <v>0</v>
      </c>
      <c r="U244" s="134">
        <f t="shared" si="162"/>
        <v>0</v>
      </c>
      <c r="V244" s="134">
        <f t="shared" si="162"/>
        <v>0</v>
      </c>
      <c r="W244" s="134">
        <f t="shared" si="162"/>
        <v>0</v>
      </c>
      <c r="X244" s="134">
        <f t="shared" si="162"/>
        <v>0</v>
      </c>
      <c r="Y244" s="134">
        <f t="shared" si="162"/>
        <v>0</v>
      </c>
      <c r="Z244" s="134">
        <f t="shared" si="162"/>
        <v>0</v>
      </c>
      <c r="AA244" s="134">
        <f t="shared" si="162"/>
        <v>0</v>
      </c>
      <c r="AB244" s="134">
        <f t="shared" si="162"/>
        <v>0</v>
      </c>
      <c r="AC244" s="134">
        <f t="shared" si="162"/>
        <v>0</v>
      </c>
      <c r="AD244" s="134">
        <f t="shared" si="162"/>
        <v>0</v>
      </c>
      <c r="AE244" s="134">
        <f t="shared" si="162"/>
        <v>0</v>
      </c>
      <c r="AF244" s="135">
        <f t="shared" si="162"/>
        <v>0</v>
      </c>
      <c r="AG244" s="136">
        <f t="shared" si="16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63">AF246</f>
        <v>0.3</v>
      </c>
      <c r="C246" s="138">
        <v>0.3</v>
      </c>
      <c r="D246" s="138">
        <f t="shared" ref="D246:S251" si="164">C246</f>
        <v>0.3</v>
      </c>
      <c r="E246" s="138">
        <f t="shared" si="164"/>
        <v>0.3</v>
      </c>
      <c r="F246" s="138">
        <f t="shared" si="164"/>
        <v>0.3</v>
      </c>
      <c r="G246" s="138">
        <f t="shared" si="164"/>
        <v>0.3</v>
      </c>
      <c r="H246" s="138">
        <f t="shared" si="164"/>
        <v>0.3</v>
      </c>
      <c r="I246" s="138">
        <f t="shared" si="164"/>
        <v>0.3</v>
      </c>
      <c r="J246" s="138">
        <f t="shared" si="164"/>
        <v>0.3</v>
      </c>
      <c r="K246" s="138">
        <f t="shared" si="164"/>
        <v>0.3</v>
      </c>
      <c r="L246" s="138">
        <f t="shared" si="164"/>
        <v>0.3</v>
      </c>
      <c r="M246" s="138">
        <f t="shared" si="164"/>
        <v>0.3</v>
      </c>
      <c r="N246" s="138">
        <f t="shared" si="164"/>
        <v>0.3</v>
      </c>
      <c r="O246" s="138">
        <f t="shared" si="164"/>
        <v>0.3</v>
      </c>
      <c r="P246" s="138">
        <f t="shared" si="164"/>
        <v>0.3</v>
      </c>
      <c r="Q246" s="138">
        <f t="shared" si="164"/>
        <v>0.3</v>
      </c>
      <c r="R246" s="138">
        <f t="shared" si="164"/>
        <v>0.3</v>
      </c>
      <c r="S246" s="138">
        <f t="shared" si="164"/>
        <v>0.3</v>
      </c>
      <c r="T246" s="138">
        <f t="shared" ref="T246:AF251" si="165">S246</f>
        <v>0.3</v>
      </c>
      <c r="U246" s="138">
        <f t="shared" si="165"/>
        <v>0.3</v>
      </c>
      <c r="V246" s="138">
        <f t="shared" si="165"/>
        <v>0.3</v>
      </c>
      <c r="W246" s="138">
        <f t="shared" si="165"/>
        <v>0.3</v>
      </c>
      <c r="X246" s="138">
        <f t="shared" si="165"/>
        <v>0.3</v>
      </c>
      <c r="Y246" s="138">
        <f t="shared" si="165"/>
        <v>0.3</v>
      </c>
      <c r="Z246" s="138">
        <f t="shared" si="165"/>
        <v>0.3</v>
      </c>
      <c r="AA246" s="138">
        <f t="shared" si="165"/>
        <v>0.3</v>
      </c>
      <c r="AB246" s="138">
        <f t="shared" si="165"/>
        <v>0.3</v>
      </c>
      <c r="AC246" s="138">
        <f t="shared" si="165"/>
        <v>0.3</v>
      </c>
      <c r="AD246" s="138">
        <f t="shared" si="165"/>
        <v>0.3</v>
      </c>
      <c r="AE246" s="138">
        <f t="shared" si="165"/>
        <v>0.3</v>
      </c>
      <c r="AF246" s="138">
        <f t="shared" si="16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63"/>
        <v>0.4</v>
      </c>
      <c r="C247" s="126">
        <v>0.4</v>
      </c>
      <c r="D247" s="126">
        <f t="shared" si="164"/>
        <v>0.4</v>
      </c>
      <c r="E247" s="126">
        <f t="shared" si="164"/>
        <v>0.4</v>
      </c>
      <c r="F247" s="126">
        <f t="shared" si="164"/>
        <v>0.4</v>
      </c>
      <c r="G247" s="126">
        <f t="shared" si="164"/>
        <v>0.4</v>
      </c>
      <c r="H247" s="126">
        <f t="shared" si="164"/>
        <v>0.4</v>
      </c>
      <c r="I247" s="126">
        <f t="shared" si="164"/>
        <v>0.4</v>
      </c>
      <c r="J247" s="126">
        <f t="shared" si="164"/>
        <v>0.4</v>
      </c>
      <c r="K247" s="126">
        <f t="shared" si="164"/>
        <v>0.4</v>
      </c>
      <c r="L247" s="126">
        <f t="shared" si="164"/>
        <v>0.4</v>
      </c>
      <c r="M247" s="126">
        <f t="shared" si="164"/>
        <v>0.4</v>
      </c>
      <c r="N247" s="126">
        <f t="shared" si="164"/>
        <v>0.4</v>
      </c>
      <c r="O247" s="126">
        <f t="shared" si="164"/>
        <v>0.4</v>
      </c>
      <c r="P247" s="126">
        <f t="shared" si="164"/>
        <v>0.4</v>
      </c>
      <c r="Q247" s="126">
        <f t="shared" si="164"/>
        <v>0.4</v>
      </c>
      <c r="R247" s="126">
        <f t="shared" si="164"/>
        <v>0.4</v>
      </c>
      <c r="S247" s="126">
        <f t="shared" si="164"/>
        <v>0.4</v>
      </c>
      <c r="T247" s="126">
        <f t="shared" si="165"/>
        <v>0.4</v>
      </c>
      <c r="U247" s="126">
        <f t="shared" si="165"/>
        <v>0.4</v>
      </c>
      <c r="V247" s="126">
        <f t="shared" si="165"/>
        <v>0.4</v>
      </c>
      <c r="W247" s="126">
        <f t="shared" si="165"/>
        <v>0.4</v>
      </c>
      <c r="X247" s="126">
        <f t="shared" si="165"/>
        <v>0.4</v>
      </c>
      <c r="Y247" s="126">
        <f t="shared" si="165"/>
        <v>0.4</v>
      </c>
      <c r="Z247" s="126">
        <f t="shared" si="165"/>
        <v>0.4</v>
      </c>
      <c r="AA247" s="126">
        <f t="shared" si="165"/>
        <v>0.4</v>
      </c>
      <c r="AB247" s="126">
        <f t="shared" si="165"/>
        <v>0.4</v>
      </c>
      <c r="AC247" s="126">
        <f t="shared" si="165"/>
        <v>0.4</v>
      </c>
      <c r="AD247" s="126">
        <f t="shared" si="165"/>
        <v>0.4</v>
      </c>
      <c r="AE247" s="126">
        <f t="shared" si="165"/>
        <v>0.4</v>
      </c>
      <c r="AF247" s="126">
        <f t="shared" si="16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63"/>
        <v>1.5</v>
      </c>
      <c r="C248" s="126">
        <v>1.5</v>
      </c>
      <c r="D248" s="126">
        <f t="shared" si="164"/>
        <v>1.5</v>
      </c>
      <c r="E248" s="126">
        <f t="shared" si="164"/>
        <v>1.5</v>
      </c>
      <c r="F248" s="126">
        <f t="shared" si="164"/>
        <v>1.5</v>
      </c>
      <c r="G248" s="126">
        <f t="shared" si="164"/>
        <v>1.5</v>
      </c>
      <c r="H248" s="126">
        <f t="shared" si="164"/>
        <v>1.5</v>
      </c>
      <c r="I248" s="126">
        <f t="shared" si="164"/>
        <v>1.5</v>
      </c>
      <c r="J248" s="126">
        <f t="shared" si="164"/>
        <v>1.5</v>
      </c>
      <c r="K248" s="126">
        <f t="shared" si="164"/>
        <v>1.5</v>
      </c>
      <c r="L248" s="126">
        <f t="shared" si="164"/>
        <v>1.5</v>
      </c>
      <c r="M248" s="126">
        <f t="shared" si="164"/>
        <v>1.5</v>
      </c>
      <c r="N248" s="126">
        <f t="shared" si="164"/>
        <v>1.5</v>
      </c>
      <c r="O248" s="126">
        <f t="shared" si="164"/>
        <v>1.5</v>
      </c>
      <c r="P248" s="126">
        <f t="shared" si="164"/>
        <v>1.5</v>
      </c>
      <c r="Q248" s="126">
        <f t="shared" si="164"/>
        <v>1.5</v>
      </c>
      <c r="R248" s="126">
        <f t="shared" si="164"/>
        <v>1.5</v>
      </c>
      <c r="S248" s="126">
        <f t="shared" si="164"/>
        <v>1.5</v>
      </c>
      <c r="T248" s="126">
        <f t="shared" si="165"/>
        <v>1.5</v>
      </c>
      <c r="U248" s="126">
        <f t="shared" si="165"/>
        <v>1.5</v>
      </c>
      <c r="V248" s="126">
        <f t="shared" si="165"/>
        <v>1.5</v>
      </c>
      <c r="W248" s="126">
        <f t="shared" si="165"/>
        <v>1.5</v>
      </c>
      <c r="X248" s="126">
        <f t="shared" si="165"/>
        <v>1.5</v>
      </c>
      <c r="Y248" s="126">
        <f t="shared" si="165"/>
        <v>1.5</v>
      </c>
      <c r="Z248" s="126">
        <f t="shared" si="165"/>
        <v>1.5</v>
      </c>
      <c r="AA248" s="126">
        <f t="shared" si="165"/>
        <v>1.5</v>
      </c>
      <c r="AB248" s="126">
        <f t="shared" si="165"/>
        <v>1.5</v>
      </c>
      <c r="AC248" s="126">
        <f t="shared" si="165"/>
        <v>1.5</v>
      </c>
      <c r="AD248" s="126">
        <f t="shared" si="165"/>
        <v>1.5</v>
      </c>
      <c r="AE248" s="126">
        <f t="shared" si="165"/>
        <v>1.5</v>
      </c>
      <c r="AF248" s="126">
        <f t="shared" si="16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63"/>
        <v>0.3</v>
      </c>
      <c r="C249" s="126">
        <v>0.3</v>
      </c>
      <c r="D249" s="126">
        <f t="shared" si="164"/>
        <v>0.3</v>
      </c>
      <c r="E249" s="126">
        <f t="shared" si="164"/>
        <v>0.3</v>
      </c>
      <c r="F249" s="126">
        <f t="shared" si="164"/>
        <v>0.3</v>
      </c>
      <c r="G249" s="126">
        <f t="shared" si="164"/>
        <v>0.3</v>
      </c>
      <c r="H249" s="126">
        <f t="shared" si="164"/>
        <v>0.3</v>
      </c>
      <c r="I249" s="126">
        <f t="shared" si="164"/>
        <v>0.3</v>
      </c>
      <c r="J249" s="126">
        <f t="shared" si="164"/>
        <v>0.3</v>
      </c>
      <c r="K249" s="126">
        <f t="shared" si="164"/>
        <v>0.3</v>
      </c>
      <c r="L249" s="126">
        <f t="shared" si="164"/>
        <v>0.3</v>
      </c>
      <c r="M249" s="126">
        <f t="shared" si="164"/>
        <v>0.3</v>
      </c>
      <c r="N249" s="126">
        <f t="shared" si="164"/>
        <v>0.3</v>
      </c>
      <c r="O249" s="126">
        <f t="shared" si="164"/>
        <v>0.3</v>
      </c>
      <c r="P249" s="126">
        <f t="shared" si="164"/>
        <v>0.3</v>
      </c>
      <c r="Q249" s="126">
        <f t="shared" si="164"/>
        <v>0.3</v>
      </c>
      <c r="R249" s="126">
        <f t="shared" si="164"/>
        <v>0.3</v>
      </c>
      <c r="S249" s="126">
        <f t="shared" si="164"/>
        <v>0.3</v>
      </c>
      <c r="T249" s="126">
        <f t="shared" si="165"/>
        <v>0.3</v>
      </c>
      <c r="U249" s="126">
        <f t="shared" si="165"/>
        <v>0.3</v>
      </c>
      <c r="V249" s="126">
        <f t="shared" si="165"/>
        <v>0.3</v>
      </c>
      <c r="W249" s="126">
        <f t="shared" si="165"/>
        <v>0.3</v>
      </c>
      <c r="X249" s="126">
        <f t="shared" si="165"/>
        <v>0.3</v>
      </c>
      <c r="Y249" s="126">
        <f t="shared" si="165"/>
        <v>0.3</v>
      </c>
      <c r="Z249" s="126">
        <f t="shared" si="165"/>
        <v>0.3</v>
      </c>
      <c r="AA249" s="126">
        <f t="shared" si="165"/>
        <v>0.3</v>
      </c>
      <c r="AB249" s="126">
        <f t="shared" si="165"/>
        <v>0.3</v>
      </c>
      <c r="AC249" s="126">
        <f t="shared" si="165"/>
        <v>0.3</v>
      </c>
      <c r="AD249" s="126">
        <f t="shared" si="165"/>
        <v>0.3</v>
      </c>
      <c r="AE249" s="126">
        <f t="shared" si="165"/>
        <v>0.3</v>
      </c>
      <c r="AF249" s="126">
        <f t="shared" si="16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63"/>
        <v>0.4</v>
      </c>
      <c r="C250" s="126">
        <v>0.4</v>
      </c>
      <c r="D250" s="126">
        <f t="shared" si="164"/>
        <v>0.4</v>
      </c>
      <c r="E250" s="126">
        <f t="shared" si="164"/>
        <v>0.4</v>
      </c>
      <c r="F250" s="126">
        <f t="shared" si="164"/>
        <v>0.4</v>
      </c>
      <c r="G250" s="126">
        <f t="shared" si="164"/>
        <v>0.4</v>
      </c>
      <c r="H250" s="126">
        <f t="shared" si="164"/>
        <v>0.4</v>
      </c>
      <c r="I250" s="126">
        <f t="shared" si="164"/>
        <v>0.4</v>
      </c>
      <c r="J250" s="126">
        <f t="shared" si="164"/>
        <v>0.4</v>
      </c>
      <c r="K250" s="126">
        <f t="shared" si="164"/>
        <v>0.4</v>
      </c>
      <c r="L250" s="126">
        <f t="shared" si="164"/>
        <v>0.4</v>
      </c>
      <c r="M250" s="126">
        <f t="shared" si="164"/>
        <v>0.4</v>
      </c>
      <c r="N250" s="126">
        <f t="shared" si="164"/>
        <v>0.4</v>
      </c>
      <c r="O250" s="126">
        <f t="shared" si="164"/>
        <v>0.4</v>
      </c>
      <c r="P250" s="126">
        <f t="shared" si="164"/>
        <v>0.4</v>
      </c>
      <c r="Q250" s="126">
        <f t="shared" si="164"/>
        <v>0.4</v>
      </c>
      <c r="R250" s="126">
        <f t="shared" si="164"/>
        <v>0.4</v>
      </c>
      <c r="S250" s="126">
        <f t="shared" si="164"/>
        <v>0.4</v>
      </c>
      <c r="T250" s="126">
        <f t="shared" si="165"/>
        <v>0.4</v>
      </c>
      <c r="U250" s="126">
        <f t="shared" si="165"/>
        <v>0.4</v>
      </c>
      <c r="V250" s="126">
        <f t="shared" si="165"/>
        <v>0.4</v>
      </c>
      <c r="W250" s="126">
        <f t="shared" si="165"/>
        <v>0.4</v>
      </c>
      <c r="X250" s="126">
        <f t="shared" si="165"/>
        <v>0.4</v>
      </c>
      <c r="Y250" s="126">
        <f t="shared" si="165"/>
        <v>0.4</v>
      </c>
      <c r="Z250" s="126">
        <f t="shared" si="165"/>
        <v>0.4</v>
      </c>
      <c r="AA250" s="126">
        <f t="shared" si="165"/>
        <v>0.4</v>
      </c>
      <c r="AB250" s="126">
        <f t="shared" si="165"/>
        <v>0.4</v>
      </c>
      <c r="AC250" s="126">
        <f t="shared" si="165"/>
        <v>0.4</v>
      </c>
      <c r="AD250" s="126">
        <f t="shared" si="165"/>
        <v>0.4</v>
      </c>
      <c r="AE250" s="126">
        <f t="shared" si="165"/>
        <v>0.4</v>
      </c>
      <c r="AF250" s="126">
        <f t="shared" si="16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63"/>
        <v>0.64</v>
      </c>
      <c r="C251" s="130">
        <v>0.64</v>
      </c>
      <c r="D251" s="130">
        <f t="shared" si="164"/>
        <v>0.64</v>
      </c>
      <c r="E251" s="130">
        <f t="shared" si="164"/>
        <v>0.64</v>
      </c>
      <c r="F251" s="130">
        <f t="shared" si="164"/>
        <v>0.64</v>
      </c>
      <c r="G251" s="130">
        <f t="shared" si="164"/>
        <v>0.64</v>
      </c>
      <c r="H251" s="130">
        <f t="shared" si="164"/>
        <v>0.64</v>
      </c>
      <c r="I251" s="130">
        <f t="shared" si="164"/>
        <v>0.64</v>
      </c>
      <c r="J251" s="130">
        <f t="shared" si="164"/>
        <v>0.64</v>
      </c>
      <c r="K251" s="130">
        <f t="shared" si="164"/>
        <v>0.64</v>
      </c>
      <c r="L251" s="130">
        <f t="shared" si="164"/>
        <v>0.64</v>
      </c>
      <c r="M251" s="130">
        <f t="shared" si="164"/>
        <v>0.64</v>
      </c>
      <c r="N251" s="130">
        <f t="shared" si="164"/>
        <v>0.64</v>
      </c>
      <c r="O251" s="130">
        <f t="shared" si="164"/>
        <v>0.64</v>
      </c>
      <c r="P251" s="130">
        <f t="shared" si="164"/>
        <v>0.64</v>
      </c>
      <c r="Q251" s="130">
        <f t="shared" si="164"/>
        <v>0.64</v>
      </c>
      <c r="R251" s="130">
        <f t="shared" si="164"/>
        <v>0.64</v>
      </c>
      <c r="S251" s="130">
        <f t="shared" si="164"/>
        <v>0.64</v>
      </c>
      <c r="T251" s="130">
        <f t="shared" si="165"/>
        <v>0.64</v>
      </c>
      <c r="U251" s="130">
        <f t="shared" si="165"/>
        <v>0.64</v>
      </c>
      <c r="V251" s="130">
        <f t="shared" si="165"/>
        <v>0.64</v>
      </c>
      <c r="W251" s="130">
        <f t="shared" si="165"/>
        <v>0.64</v>
      </c>
      <c r="X251" s="130">
        <f t="shared" si="165"/>
        <v>0.64</v>
      </c>
      <c r="Y251" s="130">
        <f t="shared" si="165"/>
        <v>0.64</v>
      </c>
      <c r="Z251" s="130">
        <f t="shared" si="165"/>
        <v>0.64</v>
      </c>
      <c r="AA251" s="130">
        <f t="shared" si="165"/>
        <v>0.64</v>
      </c>
      <c r="AB251" s="130">
        <f t="shared" si="165"/>
        <v>0.64</v>
      </c>
      <c r="AC251" s="130">
        <f t="shared" si="165"/>
        <v>0.64</v>
      </c>
      <c r="AD251" s="130">
        <f t="shared" si="165"/>
        <v>0.64</v>
      </c>
      <c r="AE251" s="130">
        <f t="shared" si="165"/>
        <v>0.64</v>
      </c>
      <c r="AF251" s="130">
        <f t="shared" si="16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66">SUM(B246:B251)</f>
        <v>3.54</v>
      </c>
      <c r="C252" s="134">
        <f t="shared" si="166"/>
        <v>3.54</v>
      </c>
      <c r="D252" s="134">
        <f t="shared" si="166"/>
        <v>3.54</v>
      </c>
      <c r="E252" s="134">
        <f t="shared" si="166"/>
        <v>3.54</v>
      </c>
      <c r="F252" s="134">
        <f t="shared" si="166"/>
        <v>3.54</v>
      </c>
      <c r="G252" s="134">
        <f t="shared" si="166"/>
        <v>3.54</v>
      </c>
      <c r="H252" s="134">
        <f t="shared" si="166"/>
        <v>3.54</v>
      </c>
      <c r="I252" s="134">
        <f t="shared" si="166"/>
        <v>3.54</v>
      </c>
      <c r="J252" s="134">
        <f t="shared" si="166"/>
        <v>3.54</v>
      </c>
      <c r="K252" s="134">
        <f t="shared" si="166"/>
        <v>3.54</v>
      </c>
      <c r="L252" s="134">
        <f t="shared" si="166"/>
        <v>3.54</v>
      </c>
      <c r="M252" s="134">
        <f t="shared" si="166"/>
        <v>3.54</v>
      </c>
      <c r="N252" s="134">
        <f t="shared" si="166"/>
        <v>3.54</v>
      </c>
      <c r="O252" s="134">
        <f t="shared" si="166"/>
        <v>3.54</v>
      </c>
      <c r="P252" s="134">
        <f t="shared" si="166"/>
        <v>3.54</v>
      </c>
      <c r="Q252" s="134">
        <f t="shared" si="166"/>
        <v>3.54</v>
      </c>
      <c r="R252" s="134">
        <f t="shared" si="166"/>
        <v>3.54</v>
      </c>
      <c r="S252" s="134">
        <f t="shared" si="166"/>
        <v>3.54</v>
      </c>
      <c r="T252" s="134">
        <f t="shared" si="166"/>
        <v>3.54</v>
      </c>
      <c r="U252" s="134">
        <f t="shared" si="166"/>
        <v>3.54</v>
      </c>
      <c r="V252" s="134">
        <f t="shared" si="166"/>
        <v>3.54</v>
      </c>
      <c r="W252" s="134">
        <f t="shared" si="166"/>
        <v>3.54</v>
      </c>
      <c r="X252" s="134">
        <f t="shared" si="166"/>
        <v>3.54</v>
      </c>
      <c r="Y252" s="134">
        <f t="shared" si="166"/>
        <v>3.54</v>
      </c>
      <c r="Z252" s="134">
        <f t="shared" si="166"/>
        <v>3.54</v>
      </c>
      <c r="AA252" s="134">
        <f t="shared" si="166"/>
        <v>3.54</v>
      </c>
      <c r="AB252" s="134">
        <f t="shared" si="166"/>
        <v>3.54</v>
      </c>
      <c r="AC252" s="134">
        <f t="shared" si="166"/>
        <v>3.54</v>
      </c>
      <c r="AD252" s="134">
        <f t="shared" si="166"/>
        <v>3.54</v>
      </c>
      <c r="AE252" s="134">
        <f t="shared" si="166"/>
        <v>3.54</v>
      </c>
      <c r="AF252" s="134">
        <f t="shared" si="166"/>
        <v>3.54</v>
      </c>
      <c r="AG252" s="143">
        <f t="shared" si="16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1695.09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2080/10/22)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491" priority="90">
      <formula>$AH11=0</formula>
    </cfRule>
  </conditionalFormatting>
  <conditionalFormatting sqref="A132:A253">
    <cfRule type="expression" dxfId="1490" priority="91">
      <formula>$AH132=0</formula>
    </cfRule>
  </conditionalFormatting>
  <conditionalFormatting sqref="B8">
    <cfRule type="expression" dxfId="1489" priority="149">
      <formula>AND(C$9&gt;=14/24,C$9&lt;20/24)</formula>
    </cfRule>
    <cfRule type="expression" dxfId="1488" priority="150">
      <formula>AND(C$9&gt;=8/24,C$9&lt;14/24)</formula>
    </cfRule>
    <cfRule type="expression" dxfId="1487" priority="151">
      <formula>C$9&lt;8/24</formula>
    </cfRule>
    <cfRule type="expression" dxfId="1486" priority="152">
      <formula>C$9&gt;=20/24</formula>
    </cfRule>
  </conditionalFormatting>
  <conditionalFormatting sqref="B9:AF52 B59:D73 E68:F73 E69:O73 P69:AF74 B74:O74 B77:AF99 B101:AF117 B119:AF137 B244:AF244 B246:B252">
    <cfRule type="expression" dxfId="1485" priority="41">
      <formula>B$9&gt;=20/24</formula>
    </cfRule>
    <cfRule type="expression" dxfId="1484" priority="42">
      <formula>AND(B$9&gt;=14/24,B$9&lt;20/24)</formula>
    </cfRule>
    <cfRule type="expression" dxfId="1483" priority="43">
      <formula>AND(B$9&gt;=8/24,B$9&lt;14/24)</formula>
    </cfRule>
    <cfRule type="expression" dxfId="1482" priority="44">
      <formula>B$9&lt;8/24</formula>
    </cfRule>
  </conditionalFormatting>
  <conditionalFormatting sqref="B53:AF57">
    <cfRule type="expression" dxfId="1481" priority="53">
      <formula>B$9&lt;8/24</formula>
    </cfRule>
  </conditionalFormatting>
  <conditionalFormatting sqref="D246:AF252">
    <cfRule type="expression" dxfId="1480" priority="136">
      <formula>AND(D$9&gt;=8/24,D$9&lt;14/24)</formula>
    </cfRule>
    <cfRule type="expression" dxfId="1479" priority="137">
      <formula>D$9&lt;8/24</formula>
    </cfRule>
    <cfRule type="expression" dxfId="1478" priority="135">
      <formula>AND(D$9&gt;=14/24,D$9&lt;20/24)</formula>
    </cfRule>
    <cfRule type="expression" dxfId="1477" priority="134">
      <formula>D$9&gt;=20/24</formula>
    </cfRule>
  </conditionalFormatting>
  <conditionalFormatting sqref="E63:I67 J64:J67 K67">
    <cfRule type="expression" dxfId="1476" priority="57">
      <formula>E$9&lt;8/24</formula>
    </cfRule>
    <cfRule type="expression" dxfId="1475" priority="54">
      <formula>E$9&gt;=20/24</formula>
    </cfRule>
    <cfRule type="expression" dxfId="1474" priority="55">
      <formula>AND(E$9&gt;=14/24,E$9&lt;20/24)</formula>
    </cfRule>
    <cfRule type="expression" dxfId="1473" priority="56">
      <formula>AND(E$9&gt;=8/24,E$9&lt;14/24)</formula>
    </cfRule>
  </conditionalFormatting>
  <conditionalFormatting sqref="E68:K68">
    <cfRule type="expression" dxfId="1472" priority="49">
      <formula>E$9&gt;=20/24</formula>
    </cfRule>
    <cfRule type="expression" dxfId="1471" priority="50">
      <formula>AND(E$9&gt;=14/24,E$9&lt;20/24)</formula>
    </cfRule>
    <cfRule type="expression" dxfId="1470" priority="51">
      <formula>AND(E$9&gt;=8/24,E$9&lt;14/24)</formula>
    </cfRule>
    <cfRule type="expression" dxfId="1469" priority="52">
      <formula>E$9&lt;8/24</formula>
    </cfRule>
  </conditionalFormatting>
  <conditionalFormatting sqref="E11:AF56 B11:D73 AB57:AF61 E57:R65 S57:AA80 AB62:AG62 AB63:AF80 E66:O73 P66:R75 B74:O75 B76:R80 AG80">
    <cfRule type="expression" dxfId="1468" priority="40">
      <formula>B11&gt;$AG11</formula>
    </cfRule>
  </conditionalFormatting>
  <conditionalFormatting sqref="E53:AF55 B53:D57">
    <cfRule type="expression" dxfId="1467" priority="39">
      <formula>AND(B$9&gt;=8/24,B$9&lt;14/24)</formula>
    </cfRule>
    <cfRule type="expression" dxfId="1466" priority="38">
      <formula>AND(B$9&gt;=14/24,B$9&lt;20/24)</formula>
    </cfRule>
    <cfRule type="expression" dxfId="1465" priority="37">
      <formula>B$9&gt;=20/24</formula>
    </cfRule>
  </conditionalFormatting>
  <conditionalFormatting sqref="E56:AF57">
    <cfRule type="expression" dxfId="1464" priority="48">
      <formula>AND(E$9&gt;=8/24,E$9&lt;14/24)</formula>
    </cfRule>
    <cfRule type="expression" dxfId="1463" priority="47">
      <formula>AND(E$9&gt;=14/24,E$9&lt;20/24)</formula>
    </cfRule>
    <cfRule type="expression" dxfId="1462" priority="46">
      <formula>E$9&gt;=20/24</formula>
    </cfRule>
  </conditionalFormatting>
  <conditionalFormatting sqref="E59:AF62">
    <cfRule type="expression" dxfId="1461" priority="69">
      <formula>AND(E$9&gt;=14/24,E$9&lt;20/24)</formula>
    </cfRule>
    <cfRule type="expression" dxfId="1460" priority="70">
      <formula>AND(E$9&gt;=8/24,E$9&lt;14/24)</formula>
    </cfRule>
    <cfRule type="expression" dxfId="1459" priority="71">
      <formula>E$9&lt;8/24</formula>
    </cfRule>
    <cfRule type="expression" dxfId="1458" priority="68">
      <formula>E$9&gt;=20/24</formula>
    </cfRule>
  </conditionalFormatting>
  <conditionalFormatting sqref="F63:L65">
    <cfRule type="expression" dxfId="1457" priority="85">
      <formula>F$9&lt;8/24</formula>
    </cfRule>
    <cfRule type="expression" dxfId="1456" priority="84">
      <formula>AND(F$9&gt;=8/24,F$9&lt;14/24)</formula>
    </cfRule>
    <cfRule type="expression" dxfId="1455" priority="83">
      <formula>AND(F$9&gt;=14/24,F$9&lt;20/24)</formula>
    </cfRule>
    <cfRule type="expression" dxfId="1454" priority="82">
      <formula>F$9&gt;=20/24</formula>
    </cfRule>
  </conditionalFormatting>
  <conditionalFormatting sqref="L68:AF68">
    <cfRule type="expression" dxfId="1453" priority="80">
      <formula>AND(L$9&gt;=8/24,L$9&lt;14/24)</formula>
    </cfRule>
    <cfRule type="expression" dxfId="1452" priority="81">
      <formula>L$9&lt;8/24</formula>
    </cfRule>
    <cfRule type="expression" dxfId="1451" priority="78">
      <formula>L$9&gt;=20/24</formula>
    </cfRule>
    <cfRule type="expression" dxfId="1450" priority="79">
      <formula>AND(L$9&gt;=14/24,L$9&lt;20/24)</formula>
    </cfRule>
  </conditionalFormatting>
  <conditionalFormatting sqref="M8 S8 AB8">
    <cfRule type="expression" dxfId="1449" priority="143">
      <formula>N$9&lt;8/24</formula>
    </cfRule>
    <cfRule type="expression" dxfId="1448" priority="142">
      <formula>AND(N$9&gt;=8/24,N$9&lt;14/24)</formula>
    </cfRule>
    <cfRule type="expression" dxfId="1447" priority="141">
      <formula>AND(N$9&gt;=14/24,N$9&lt;20/24)</formula>
    </cfRule>
  </conditionalFormatting>
  <conditionalFormatting sqref="M63:AE67 AF66:AF67">
    <cfRule type="expression" dxfId="1446" priority="86">
      <formula>M$9&gt;=20/24</formula>
    </cfRule>
    <cfRule type="expression" dxfId="1445" priority="87">
      <formula>AND(M$9&gt;=14/24,M$9&lt;20/24)</formula>
    </cfRule>
    <cfRule type="expression" dxfId="1444" priority="88">
      <formula>AND(M$9&gt;=8/24,M$9&lt;14/24)</formula>
    </cfRule>
    <cfRule type="expression" dxfId="1443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442" priority="140">
      <formula>N$9&gt;=20/24</formula>
    </cfRule>
  </conditionalFormatting>
  <conditionalFormatting sqref="S8">
    <cfRule type="expression" dxfId="1441" priority="130">
      <formula>U$9&lt;8/24</formula>
    </cfRule>
    <cfRule type="expression" dxfId="1440" priority="129">
      <formula>AND(U$9&gt;=8/24,U$9&lt;14/24)</formula>
    </cfRule>
    <cfRule type="expression" dxfId="1439" priority="128">
      <formula>AND(U$9&gt;=14/24,U$9&lt;20/24)</formula>
    </cfRule>
    <cfRule type="expression" dxfId="1438" priority="127">
      <formula>U$9&gt;=20/24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437" priority="124">
      <formula>AND(AD$9&gt;=14/24,AD$9&lt;20/24)</formula>
    </cfRule>
    <cfRule type="expression" dxfId="1436" priority="123">
      <formula>AD$9&gt;=20/24</formula>
    </cfRule>
    <cfRule type="expression" dxfId="1435" priority="126">
      <formula>AD$9&lt;8/24</formula>
    </cfRule>
    <cfRule type="expression" dxfId="1434" priority="125">
      <formula>AND(AD$9&gt;=8/24,AD$9&lt;14/24)</formula>
    </cfRule>
  </conditionalFormatting>
  <conditionalFormatting sqref="AB63:AF68">
    <cfRule type="expression" dxfId="1433" priority="75">
      <formula>AB$9&lt;8/24</formula>
    </cfRule>
    <cfRule type="expression" dxfId="1432" priority="74">
      <formula>AND(AB$9&gt;=8/24,AB$9&lt;14/24)</formula>
    </cfRule>
    <cfRule type="expression" dxfId="1431" priority="73">
      <formula>AND(AB$9&gt;=14/24,AB$9&lt;20/24)</formula>
    </cfRule>
    <cfRule type="expression" dxfId="1430" priority="72">
      <formula>AB$9&gt;=20/24</formula>
    </cfRule>
  </conditionalFormatting>
  <conditionalFormatting sqref="AG58">
    <cfRule type="expression" dxfId="1429" priority="118">
      <formula>AG58&gt;$AG58</formula>
    </cfRule>
  </conditionalFormatting>
  <conditionalFormatting sqref="AG62">
    <cfRule type="expression" dxfId="1428" priority="101">
      <formula>AG$9&gt;=20/24</formula>
    </cfRule>
    <cfRule type="expression" dxfId="1427" priority="102">
      <formula>AND(AG$9&gt;=14/24,AG$9&lt;20/24)</formula>
    </cfRule>
    <cfRule type="expression" dxfId="1426" priority="103">
      <formula>AND(AG$9&gt;=8/24,AG$9&lt;14/24)</formula>
    </cfRule>
    <cfRule type="expression" dxfId="1425" priority="104">
      <formula>AG$9&lt;8/24</formula>
    </cfRule>
  </conditionalFormatting>
  <conditionalFormatting sqref="AG75:AG76">
    <cfRule type="expression" dxfId="1424" priority="96">
      <formula>AG75&gt;$AG75</formula>
    </cfRule>
  </conditionalFormatting>
  <conditionalFormatting sqref="AG80">
    <cfRule type="expression" dxfId="1423" priority="100">
      <formula>AG$9&lt;8/24</formula>
    </cfRule>
    <cfRule type="expression" dxfId="1422" priority="97">
      <formula>AG$9&gt;=20/24</formula>
    </cfRule>
    <cfRule type="expression" dxfId="1421" priority="98">
      <formula>AND(AG$9&gt;=14/24,AG$9&lt;20/24)</formula>
    </cfRule>
    <cfRule type="expression" dxfId="1420" priority="99">
      <formula>AND(AG$9&gt;=8/24,AG$9&lt;14/24)</formula>
    </cfRule>
  </conditionalFormatting>
  <conditionalFormatting sqref="AG97">
    <cfRule type="expression" dxfId="1419" priority="122">
      <formula>AG$9&lt;8/24</formula>
    </cfRule>
    <cfRule type="expression" dxfId="1418" priority="121">
      <formula>AND(AG$9&gt;=8/24,AG$9&lt;14/24)</formula>
    </cfRule>
    <cfRule type="expression" dxfId="1417" priority="119">
      <formula>AG$9&gt;=20/24</formula>
    </cfRule>
    <cfRule type="expression" dxfId="1416" priority="120">
      <formula>AND(AG$9&gt;=14/24,AG$9&lt;20/24)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415" priority="147">
      <formula>AJ$9&lt;8/24</formula>
    </cfRule>
    <cfRule type="expression" dxfId="1414" priority="145">
      <formula>AND(AJ$9&gt;=14/24,AJ$9&lt;20/24)</formula>
    </cfRule>
    <cfRule type="expression" dxfId="1413" priority="144">
      <formula>AJ$9&gt;=20/24</formula>
    </cfRule>
    <cfRule type="expression" dxfId="1412" priority="146">
      <formula>AND(AJ$9&gt;=8/24,AJ$9&lt;14/24)</formula>
    </cfRule>
  </conditionalFormatting>
  <conditionalFormatting sqref="AL88:AN88 AL94:AN94">
    <cfRule type="expression" dxfId="1411" priority="113">
      <formula>AND(AL$9&gt;=8/24,AL$9&lt;14/24)</formula>
    </cfRule>
    <cfRule type="expression" dxfId="1410" priority="111">
      <formula>AL$9&gt;=20/24</formula>
    </cfRule>
    <cfRule type="expression" dxfId="1409" priority="112">
      <formula>AND(AL$9&gt;=14/24,AL$9&lt;20/24)</formula>
    </cfRule>
    <cfRule type="expression" dxfId="1408" priority="114">
      <formula>AL$9&lt;8/24</formula>
    </cfRule>
  </conditionalFormatting>
  <conditionalFormatting sqref="AM15:AM21 AN16:AR21">
    <cfRule type="expression" dxfId="1407" priority="15">
      <formula>AND(AX$9&gt;=8/24,AX$9&lt;14/24)</formula>
    </cfRule>
    <cfRule type="expression" dxfId="1406" priority="16">
      <formula>AX$9&lt;8/24</formula>
    </cfRule>
    <cfRule type="expression" dxfId="1405" priority="14">
      <formula>AND(AX$9&gt;=14/24,AX$9&lt;20/24)</formula>
    </cfRule>
    <cfRule type="expression" dxfId="1404" priority="13">
      <formula>AX$9&gt;=20/24</formula>
    </cfRule>
  </conditionalFormatting>
  <conditionalFormatting sqref="AN89:AN92">
    <cfRule type="expression" dxfId="1403" priority="107">
      <formula>AN$9&gt;=20/24</formula>
    </cfRule>
    <cfRule type="expression" dxfId="1402" priority="108">
      <formula>AND(AN$9&gt;=14/24,AN$9&lt;20/24)</formula>
    </cfRule>
    <cfRule type="expression" dxfId="1401" priority="109">
      <formula>AND(AN$9&gt;=8/24,AN$9&lt;14/24)</formula>
    </cfRule>
    <cfRule type="expression" dxfId="1400" priority="110">
      <formula>AN$9&lt;8/24</formula>
    </cfRule>
  </conditionalFormatting>
  <conditionalFormatting sqref="AN15:AR15">
    <cfRule type="expression" dxfId="1399" priority="2">
      <formula>AND(U$9&gt;=14/24,U$9&lt;20/24)</formula>
    </cfRule>
    <cfRule type="expression" dxfId="1398" priority="3">
      <formula>AND(U$9&gt;=8/24,U$9&lt;14/24)</formula>
    </cfRule>
    <cfRule type="expression" dxfId="1397" priority="4">
      <formula>U$9&lt;8/24</formula>
    </cfRule>
    <cfRule type="expression" dxfId="1396" priority="1">
      <formula>U$9&gt;=20/24</formula>
    </cfRule>
  </conditionalFormatting>
  <conditionalFormatting sqref="AS15">
    <cfRule type="expression" dxfId="1395" priority="12">
      <formula>AA$9&lt;8/24</formula>
    </cfRule>
    <cfRule type="expression" dxfId="1394" priority="9">
      <formula>AA$9&gt;=20/24</formula>
    </cfRule>
    <cfRule type="expression" dxfId="1393" priority="10">
      <formula>AND(AA$9&gt;=14/24,AA$9&lt;20/24)</formula>
    </cfRule>
    <cfRule type="expression" dxfId="1392" priority="11">
      <formula>AND(AA$9&gt;=8/24,AA$9&lt;14/24)</formula>
    </cfRule>
  </conditionalFormatting>
  <conditionalFormatting sqref="AS16:AS21">
    <cfRule type="expression" dxfId="1391" priority="17">
      <formula>BE$9&gt;=20/24</formula>
    </cfRule>
    <cfRule type="expression" dxfId="1390" priority="18">
      <formula>AND(BE$9&gt;=14/24,BE$9&lt;20/24)</formula>
    </cfRule>
    <cfRule type="expression" dxfId="1389" priority="20">
      <formula>BE$9&lt;8/24</formula>
    </cfRule>
    <cfRule type="expression" dxfId="1388" priority="19">
      <formula>AND(BE$9&gt;=8/24,BE$9&lt;14/24)</formula>
    </cfRule>
  </conditionalFormatting>
  <conditionalFormatting sqref="AT15 AX15">
    <cfRule type="expression" dxfId="1387" priority="22">
      <formula>AND(AC$9&gt;=14/24,AC$9&lt;20/24)</formula>
    </cfRule>
    <cfRule type="expression" dxfId="1386" priority="23">
      <formula>AND(AC$9&gt;=8/24,AC$9&lt;14/24)</formula>
    </cfRule>
    <cfRule type="expression" dxfId="1385" priority="24">
      <formula>AC$9&lt;8/24</formula>
    </cfRule>
    <cfRule type="expression" dxfId="1384" priority="21">
      <formula>AC$9&gt;=20/24</formula>
    </cfRule>
  </conditionalFormatting>
  <conditionalFormatting sqref="AT16:AT21">
    <cfRule type="expression" dxfId="1383" priority="25">
      <formula>BG$9&gt;=20/24</formula>
    </cfRule>
    <cfRule type="expression" dxfId="1382" priority="26">
      <formula>AND(BG$9&gt;=14/24,BG$9&lt;20/24)</formula>
    </cfRule>
    <cfRule type="expression" dxfId="1381" priority="27">
      <formula>AND(BG$9&gt;=8/24,BG$9&lt;14/24)</formula>
    </cfRule>
    <cfRule type="expression" dxfId="1380" priority="28">
      <formula>BG$9&lt;8/24</formula>
    </cfRule>
  </conditionalFormatting>
  <conditionalFormatting sqref="AU15:AV15">
    <cfRule type="expression" dxfId="1379" priority="32">
      <formula>AE$9&lt;8/24</formula>
    </cfRule>
    <cfRule type="expression" dxfId="1378" priority="31">
      <formula>AND(AE$9&gt;=8/24,AE$9&lt;14/24)</formula>
    </cfRule>
    <cfRule type="expression" dxfId="1377" priority="30">
      <formula>AND(AE$9&gt;=14/24,AE$9&lt;20/24)</formula>
    </cfRule>
    <cfRule type="expression" dxfId="1376" priority="29">
      <formula>AE$9&gt;=20/24</formula>
    </cfRule>
  </conditionalFormatting>
  <conditionalFormatting sqref="AU16:AX21">
    <cfRule type="expression" dxfId="1375" priority="33">
      <formula>BI$9&gt;=20/24</formula>
    </cfRule>
    <cfRule type="expression" dxfId="1374" priority="34">
      <formula>AND(BI$9&gt;=14/24,BI$9&lt;20/24)</formula>
    </cfRule>
    <cfRule type="expression" dxfId="1373" priority="35">
      <formula>AND(BI$9&gt;=8/24,BI$9&lt;14/24)</formula>
    </cfRule>
    <cfRule type="expression" dxfId="1372" priority="36">
      <formula>BI$9&lt;8/24</formula>
    </cfRule>
  </conditionalFormatting>
  <conditionalFormatting sqref="AW15">
    <cfRule type="expression" dxfId="1371" priority="5">
      <formula>B$9&gt;=20/24</formula>
    </cfRule>
    <cfRule type="expression" dxfId="1370" priority="6">
      <formula>AND(B$9&gt;=14/24,B$9&lt;20/24)</formula>
    </cfRule>
    <cfRule type="expression" dxfId="1369" priority="8">
      <formula>B$9&lt;8/24</formula>
    </cfRule>
    <cfRule type="expression" dxfId="1368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0016-7759-40B1-BFE6-5663B558A360}">
  <dimension ref="A1:CJ294"/>
  <sheetViews>
    <sheetView zoomScale="110" zoomScaleNormal="110" workbookViewId="0">
      <pane xSplit="1" ySplit="10" topLeftCell="C74" activePane="bottomRight" state="frozen"/>
      <selection activeCell="Z63" sqref="Z63"/>
      <selection pane="topRight" activeCell="Z63" sqref="Z63"/>
      <selection pane="bottomLeft" activeCell="Z63" sqref="Z63"/>
      <selection pane="bottomRight" activeCell="Q93" sqref="Q9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2080/10/23</v>
      </c>
      <c r="C4" s="272"/>
      <c r="D4" s="272"/>
      <c r="E4" s="273" t="str">
        <f ca="1">"2080/"&amp;"10/"&amp;INT(MID(CELL("filename",G6),FIND("]",CELL("filename",G6))+1,200))</f>
        <v>2080/10/23</v>
      </c>
      <c r="F4" s="273"/>
      <c r="G4" s="273"/>
      <c r="H4" s="273" t="str">
        <f ca="1">TEXT(E4,"dddd")</f>
        <v>Wednesday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624.90000000000009</v>
      </c>
      <c r="C5" s="30">
        <f t="shared" ref="C5:AE5" si="0">D92</f>
        <v>650.79999999999995</v>
      </c>
      <c r="D5" s="30">
        <f t="shared" si="0"/>
        <v>643.9</v>
      </c>
      <c r="E5" s="30">
        <f t="shared" si="0"/>
        <v>578.79999999999995</v>
      </c>
      <c r="F5" s="30">
        <f t="shared" si="0"/>
        <v>590</v>
      </c>
      <c r="G5" s="30">
        <f t="shared" si="0"/>
        <v>646</v>
      </c>
      <c r="H5" s="30">
        <f t="shared" si="0"/>
        <v>620</v>
      </c>
      <c r="I5" s="30">
        <f t="shared" si="0"/>
        <v>637.9</v>
      </c>
      <c r="J5" s="30">
        <f t="shared" si="0"/>
        <v>238</v>
      </c>
      <c r="K5" s="30">
        <f t="shared" si="0"/>
        <v>186.4</v>
      </c>
      <c r="L5" s="30">
        <f t="shared" si="0"/>
        <v>163.5</v>
      </c>
      <c r="M5" s="30">
        <f t="shared" si="0"/>
        <v>259.60000000000002</v>
      </c>
      <c r="N5" s="30">
        <f t="shared" si="0"/>
        <v>572.59999999999991</v>
      </c>
      <c r="O5" s="30">
        <f t="shared" si="0"/>
        <v>709.5</v>
      </c>
      <c r="P5" s="30">
        <f t="shared" si="0"/>
        <v>69</v>
      </c>
      <c r="Q5" s="30">
        <f t="shared" si="0"/>
        <v>624</v>
      </c>
      <c r="R5" s="30">
        <f t="shared" si="0"/>
        <v>705.1</v>
      </c>
      <c r="S5" s="30">
        <f t="shared" si="0"/>
        <v>722.7</v>
      </c>
      <c r="T5" s="30">
        <f t="shared" si="0"/>
        <v>765.8</v>
      </c>
      <c r="U5" s="30">
        <f t="shared" si="0"/>
        <v>504.20000000000005</v>
      </c>
      <c r="V5" s="30">
        <f t="shared" si="0"/>
        <v>674.1</v>
      </c>
      <c r="W5" s="30">
        <f t="shared" si="0"/>
        <v>726.30000000000007</v>
      </c>
      <c r="X5" s="30">
        <f t="shared" si="0"/>
        <v>659.40000000000009</v>
      </c>
      <c r="Y5" s="30">
        <f t="shared" si="0"/>
        <v>620</v>
      </c>
      <c r="Z5" s="30">
        <f t="shared" si="0"/>
        <v>522.1</v>
      </c>
      <c r="AA5" s="30">
        <f t="shared" si="0"/>
        <v>512.5</v>
      </c>
      <c r="AB5" s="30">
        <f t="shared" si="0"/>
        <v>592</v>
      </c>
      <c r="AC5" s="30">
        <f t="shared" si="0"/>
        <v>649</v>
      </c>
      <c r="AD5" s="30">
        <f t="shared" si="0"/>
        <v>687</v>
      </c>
      <c r="AE5" s="30">
        <f t="shared" si="0"/>
        <v>655</v>
      </c>
      <c r="AF5" s="30">
        <f>B92</f>
        <v>678.39999999999986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Load=330</v>
      </c>
      <c r="B7" s="35">
        <f>B100</f>
        <v>1284.19</v>
      </c>
      <c r="C7" s="35">
        <f t="shared" ref="C7:AF7" si="1">C100</f>
        <v>1240.8900000000001</v>
      </c>
      <c r="D7" s="35">
        <f t="shared" si="1"/>
        <v>1231.79</v>
      </c>
      <c r="E7" s="35">
        <f t="shared" si="1"/>
        <v>1223.69</v>
      </c>
      <c r="F7" s="35">
        <f t="shared" si="1"/>
        <v>1160.49</v>
      </c>
      <c r="G7" s="35">
        <f t="shared" si="1"/>
        <v>1228.69</v>
      </c>
      <c r="H7" s="35">
        <f t="shared" si="1"/>
        <v>1310.6300000000001</v>
      </c>
      <c r="I7" s="35">
        <f t="shared" si="1"/>
        <v>1358.49</v>
      </c>
      <c r="J7" s="35">
        <f t="shared" si="1"/>
        <v>1539.3899999999999</v>
      </c>
      <c r="K7" s="35">
        <f t="shared" si="1"/>
        <v>1603.99</v>
      </c>
      <c r="L7" s="35">
        <f t="shared" si="1"/>
        <v>1705.39</v>
      </c>
      <c r="M7" s="35">
        <f t="shared" si="1"/>
        <v>1650.29</v>
      </c>
      <c r="N7" s="35">
        <f t="shared" si="1"/>
        <v>1537.8899999999999</v>
      </c>
      <c r="O7" s="35">
        <f t="shared" si="1"/>
        <v>1592.6899999999998</v>
      </c>
      <c r="P7" s="35">
        <f t="shared" si="1"/>
        <v>1436.59</v>
      </c>
      <c r="Q7" s="35">
        <f t="shared" si="1"/>
        <v>330.14</v>
      </c>
      <c r="R7" s="35">
        <f t="shared" si="1"/>
        <v>1355.5900000000001</v>
      </c>
      <c r="S7" s="35">
        <f t="shared" si="1"/>
        <v>1443.99</v>
      </c>
      <c r="T7" s="35">
        <f t="shared" si="1"/>
        <v>1469.69</v>
      </c>
      <c r="U7" s="35">
        <f t="shared" si="1"/>
        <v>1460.19</v>
      </c>
      <c r="V7" s="35">
        <f t="shared" si="1"/>
        <v>1491.99</v>
      </c>
      <c r="W7" s="35">
        <f t="shared" si="1"/>
        <v>1467.19</v>
      </c>
      <c r="X7" s="35">
        <f t="shared" si="1"/>
        <v>1455.4900000000002</v>
      </c>
      <c r="Y7" s="35">
        <f t="shared" si="1"/>
        <v>1676.15</v>
      </c>
      <c r="Z7" s="35">
        <f t="shared" si="1"/>
        <v>1729.85</v>
      </c>
      <c r="AA7" s="35">
        <f t="shared" si="1"/>
        <v>1691.9900000000002</v>
      </c>
      <c r="AB7" s="35">
        <f t="shared" si="1"/>
        <v>1642.49</v>
      </c>
      <c r="AC7" s="35">
        <f t="shared" si="1"/>
        <v>1617.29</v>
      </c>
      <c r="AD7" s="35">
        <f t="shared" si="1"/>
        <v>1467.49</v>
      </c>
      <c r="AE7" s="35">
        <f t="shared" si="1"/>
        <v>1396.0900000000001</v>
      </c>
      <c r="AF7" s="35">
        <f t="shared" si="1"/>
        <v>1294.0900000000001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1453.99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1453.99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25.8</v>
      </c>
      <c r="C11" s="45">
        <v>25.8</v>
      </c>
      <c r="D11" s="45">
        <v>25.8</v>
      </c>
      <c r="E11" s="45">
        <v>24.6</v>
      </c>
      <c r="F11" s="45">
        <v>24.6</v>
      </c>
      <c r="G11" s="45">
        <v>24.6</v>
      </c>
      <c r="H11" s="45">
        <v>24.6</v>
      </c>
      <c r="I11" s="45">
        <v>25</v>
      </c>
      <c r="J11" s="45">
        <v>25</v>
      </c>
      <c r="K11" s="45">
        <v>25</v>
      </c>
      <c r="L11" s="45">
        <v>24.9</v>
      </c>
      <c r="M11" s="45">
        <v>24.9</v>
      </c>
      <c r="N11" s="45">
        <v>24.9</v>
      </c>
      <c r="O11" s="45">
        <v>24.9</v>
      </c>
      <c r="P11" s="45">
        <v>24.9</v>
      </c>
      <c r="Q11" s="45" t="s">
        <v>628</v>
      </c>
      <c r="R11" s="45">
        <v>24.9</v>
      </c>
      <c r="S11" s="45">
        <v>22.9</v>
      </c>
      <c r="T11" s="45">
        <v>22.9</v>
      </c>
      <c r="U11" s="45">
        <v>22.9</v>
      </c>
      <c r="V11" s="45">
        <v>22.9</v>
      </c>
      <c r="W11" s="45">
        <v>22.9</v>
      </c>
      <c r="X11" s="45">
        <v>22.9</v>
      </c>
      <c r="Y11" s="45">
        <v>22.9</v>
      </c>
      <c r="Z11" s="45">
        <v>22.9</v>
      </c>
      <c r="AA11" s="45">
        <v>22.9</v>
      </c>
      <c r="AB11" s="45">
        <v>22.9</v>
      </c>
      <c r="AC11" s="45">
        <v>22.9</v>
      </c>
      <c r="AD11" s="45">
        <v>22.9</v>
      </c>
      <c r="AE11" s="45">
        <v>22.9</v>
      </c>
      <c r="AF11" s="45">
        <v>22.9</v>
      </c>
      <c r="AG11" s="46">
        <v>86</v>
      </c>
      <c r="AH11" s="47">
        <f t="shared" ref="AH11:AH16" si="2">MAX(B11:AF11)</f>
        <v>25.8</v>
      </c>
      <c r="AI11" s="48">
        <f t="shared" ref="AI11:AI16" si="3">MIN(B11:AF11)</f>
        <v>22.9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65" t="s">
        <v>629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23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</v>
      </c>
      <c r="L13" s="45">
        <v>10</v>
      </c>
      <c r="M13" s="45">
        <v>10</v>
      </c>
      <c r="N13" s="45">
        <v>10</v>
      </c>
      <c r="O13" s="45">
        <v>10</v>
      </c>
      <c r="P13" s="45">
        <v>10</v>
      </c>
      <c r="Q13" s="65" t="s">
        <v>628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2080/10/23)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</v>
      </c>
      <c r="C14" s="45">
        <v>14</v>
      </c>
      <c r="D14" s="45">
        <v>14</v>
      </c>
      <c r="E14" s="45">
        <v>14</v>
      </c>
      <c r="F14" s="45">
        <v>14</v>
      </c>
      <c r="G14" s="45">
        <v>14</v>
      </c>
      <c r="H14" s="45">
        <v>14</v>
      </c>
      <c r="I14" s="45">
        <v>14</v>
      </c>
      <c r="J14" s="45">
        <v>14</v>
      </c>
      <c r="K14" s="45">
        <v>14</v>
      </c>
      <c r="L14" s="45">
        <v>14</v>
      </c>
      <c r="M14" s="45">
        <v>14</v>
      </c>
      <c r="N14" s="45">
        <v>14</v>
      </c>
      <c r="O14" s="45">
        <v>14</v>
      </c>
      <c r="P14" s="45">
        <v>14</v>
      </c>
      <c r="Q14" s="76" t="s">
        <v>631</v>
      </c>
      <c r="R14" s="45">
        <v>14</v>
      </c>
      <c r="S14" s="45">
        <v>14</v>
      </c>
      <c r="T14" s="45">
        <v>14</v>
      </c>
      <c r="U14" s="45">
        <v>14</v>
      </c>
      <c r="V14" s="45">
        <v>14</v>
      </c>
      <c r="W14" s="45">
        <v>14</v>
      </c>
      <c r="X14" s="45">
        <v>14</v>
      </c>
      <c r="Y14" s="45">
        <v>14</v>
      </c>
      <c r="Z14" s="45">
        <v>14</v>
      </c>
      <c r="AA14" s="45">
        <v>14</v>
      </c>
      <c r="AB14" s="45">
        <v>14</v>
      </c>
      <c r="AC14" s="45">
        <v>14</v>
      </c>
      <c r="AD14" s="45">
        <v>14</v>
      </c>
      <c r="AE14" s="45">
        <v>14</v>
      </c>
      <c r="AF14" s="45">
        <v>14</v>
      </c>
      <c r="AG14" s="46">
        <v>52.4</v>
      </c>
      <c r="AH14" s="47">
        <f t="shared" si="2"/>
        <v>14</v>
      </c>
      <c r="AI14" s="48">
        <f t="shared" si="3"/>
        <v>14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25.5</v>
      </c>
      <c r="C15" s="45">
        <v>25.5</v>
      </c>
      <c r="D15" s="45">
        <v>25.5</v>
      </c>
      <c r="E15" s="45">
        <v>25.5</v>
      </c>
      <c r="F15" s="45">
        <v>25.5</v>
      </c>
      <c r="G15" s="45">
        <v>25.5</v>
      </c>
      <c r="H15" s="45">
        <v>25.5</v>
      </c>
      <c r="I15" s="45">
        <v>25.5</v>
      </c>
      <c r="J15" s="45">
        <v>25.5</v>
      </c>
      <c r="K15" s="45">
        <v>25.5</v>
      </c>
      <c r="L15" s="45">
        <v>25.5</v>
      </c>
      <c r="M15" s="45">
        <v>25.5</v>
      </c>
      <c r="N15" s="45">
        <v>25.5</v>
      </c>
      <c r="O15" s="45">
        <v>25.5</v>
      </c>
      <c r="P15" s="45">
        <v>25.5</v>
      </c>
      <c r="Q15" s="45" t="s">
        <v>632</v>
      </c>
      <c r="R15" s="45">
        <v>25.5</v>
      </c>
      <c r="S15" s="45">
        <v>25.5</v>
      </c>
      <c r="T15" s="45">
        <v>25.5</v>
      </c>
      <c r="U15" s="45">
        <v>25.5</v>
      </c>
      <c r="V15" s="45">
        <v>25.5</v>
      </c>
      <c r="W15" s="45">
        <v>25.5</v>
      </c>
      <c r="X15" s="45">
        <v>25.5</v>
      </c>
      <c r="Y15" s="45">
        <v>25.5</v>
      </c>
      <c r="Z15" s="45">
        <v>25.5</v>
      </c>
      <c r="AA15" s="45">
        <v>25.5</v>
      </c>
      <c r="AB15" s="45">
        <v>25.5</v>
      </c>
      <c r="AC15" s="45">
        <v>25.5</v>
      </c>
      <c r="AD15" s="45">
        <v>25.5</v>
      </c>
      <c r="AE15" s="45">
        <v>25.5</v>
      </c>
      <c r="AF15" s="45">
        <v>25.5</v>
      </c>
      <c r="AG15" s="49">
        <v>50</v>
      </c>
      <c r="AH15" s="47">
        <f t="shared" si="2"/>
        <v>25.5</v>
      </c>
      <c r="AI15" s="48">
        <f t="shared" si="3"/>
        <v>25.5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15.4</v>
      </c>
      <c r="C16" s="45">
        <v>15.4</v>
      </c>
      <c r="D16" s="45">
        <v>15.4</v>
      </c>
      <c r="E16" s="45">
        <v>15.4</v>
      </c>
      <c r="F16" s="45">
        <v>15.4</v>
      </c>
      <c r="G16" s="45">
        <v>15.4</v>
      </c>
      <c r="H16" s="45">
        <v>15.4</v>
      </c>
      <c r="I16" s="45">
        <v>15.4</v>
      </c>
      <c r="J16" s="45">
        <v>15.4</v>
      </c>
      <c r="K16" s="45">
        <v>15.4</v>
      </c>
      <c r="L16" s="45">
        <v>15.4</v>
      </c>
      <c r="M16" s="45">
        <v>15.4</v>
      </c>
      <c r="N16" s="45">
        <v>15.4</v>
      </c>
      <c r="O16" s="45">
        <v>15.4</v>
      </c>
      <c r="P16" s="45">
        <v>15.4</v>
      </c>
      <c r="Q16" s="77" t="s">
        <v>633</v>
      </c>
      <c r="R16" s="45">
        <v>15.4</v>
      </c>
      <c r="S16" s="45">
        <v>15.4</v>
      </c>
      <c r="T16" s="45">
        <v>15.4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15.4</v>
      </c>
      <c r="AE16" s="45">
        <v>15.4</v>
      </c>
      <c r="AF16" s="45">
        <v>15.4</v>
      </c>
      <c r="AG16" s="49">
        <v>45</v>
      </c>
      <c r="AH16" s="47">
        <f t="shared" si="2"/>
        <v>15.4</v>
      </c>
      <c r="AI16" s="48">
        <f t="shared" si="3"/>
        <v>15.4</v>
      </c>
      <c r="AK16" s="50"/>
      <c r="AL16" s="160" t="s">
        <v>7</v>
      </c>
      <c r="AM16" s="227">
        <f>B58</f>
        <v>461.85</v>
      </c>
      <c r="AN16" s="227">
        <f t="shared" ref="AN16:AR16" si="4">C58</f>
        <v>461.85</v>
      </c>
      <c r="AO16" s="227">
        <f t="shared" si="4"/>
        <v>461.85</v>
      </c>
      <c r="AP16" s="227">
        <f t="shared" si="4"/>
        <v>460.65000000000003</v>
      </c>
      <c r="AQ16" s="227">
        <f t="shared" si="4"/>
        <v>460.65000000000003</v>
      </c>
      <c r="AR16" s="227">
        <f t="shared" si="4"/>
        <v>460.65000000000003</v>
      </c>
      <c r="AS16" s="227">
        <f>I58</f>
        <v>461.05</v>
      </c>
      <c r="AT16" s="227">
        <f>K58</f>
        <v>461.05</v>
      </c>
      <c r="AU16" s="227">
        <f t="shared" ref="AU16:AX16" si="5">M58</f>
        <v>460.95000000000005</v>
      </c>
      <c r="AV16" s="227">
        <f t="shared" si="5"/>
        <v>460.95000000000005</v>
      </c>
      <c r="AW16" s="227">
        <f t="shared" si="5"/>
        <v>460.95000000000005</v>
      </c>
      <c r="AX16" s="227">
        <f t="shared" si="5"/>
        <v>460.95000000000005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77" t="s">
        <v>634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36.5</v>
      </c>
      <c r="AN17" s="227">
        <f t="shared" ref="AN17:AR17" si="6">C62</f>
        <v>36.5</v>
      </c>
      <c r="AO17" s="227">
        <f t="shared" si="6"/>
        <v>36.5</v>
      </c>
      <c r="AP17" s="227">
        <f t="shared" si="6"/>
        <v>36.5</v>
      </c>
      <c r="AQ17" s="227">
        <f t="shared" si="6"/>
        <v>38.4</v>
      </c>
      <c r="AR17" s="227">
        <f t="shared" si="6"/>
        <v>38.4</v>
      </c>
      <c r="AS17" s="227">
        <f>I62</f>
        <v>39.799999999999997</v>
      </c>
      <c r="AT17" s="227">
        <f>K62</f>
        <v>394.8</v>
      </c>
      <c r="AU17" s="227">
        <f t="shared" ref="AU17:AX17" si="7">M62</f>
        <v>459.8</v>
      </c>
      <c r="AV17" s="227">
        <f t="shared" si="7"/>
        <v>239.8</v>
      </c>
      <c r="AW17" s="227">
        <f t="shared" si="7"/>
        <v>139.80000000000001</v>
      </c>
      <c r="AX17" s="227">
        <f t="shared" si="7"/>
        <v>54.8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</v>
      </c>
      <c r="C18" s="45">
        <v>6</v>
      </c>
      <c r="D18" s="45">
        <v>6</v>
      </c>
      <c r="E18" s="45">
        <v>6</v>
      </c>
      <c r="F18" s="45">
        <v>6</v>
      </c>
      <c r="G18" s="45">
        <v>6</v>
      </c>
      <c r="H18" s="45">
        <v>6</v>
      </c>
      <c r="I18" s="45">
        <v>6</v>
      </c>
      <c r="J18" s="45">
        <v>6</v>
      </c>
      <c r="K18" s="45">
        <v>6</v>
      </c>
      <c r="L18" s="45">
        <v>6</v>
      </c>
      <c r="M18" s="45">
        <v>6</v>
      </c>
      <c r="N18" s="45">
        <v>6</v>
      </c>
      <c r="O18" s="45">
        <v>6</v>
      </c>
      <c r="P18" s="45">
        <v>6</v>
      </c>
      <c r="Q18" s="77" t="s">
        <v>635</v>
      </c>
      <c r="R18" s="45">
        <v>6</v>
      </c>
      <c r="S18" s="45">
        <v>6</v>
      </c>
      <c r="T18" s="45">
        <v>6</v>
      </c>
      <c r="U18" s="45">
        <v>6</v>
      </c>
      <c r="V18" s="45">
        <v>6</v>
      </c>
      <c r="W18" s="45">
        <v>6</v>
      </c>
      <c r="X18" s="45">
        <v>6</v>
      </c>
      <c r="Y18" s="45">
        <v>6</v>
      </c>
      <c r="Z18" s="45">
        <v>6</v>
      </c>
      <c r="AA18" s="45">
        <v>6</v>
      </c>
      <c r="AB18" s="45">
        <v>6</v>
      </c>
      <c r="AC18" s="45">
        <v>6</v>
      </c>
      <c r="AD18" s="45">
        <v>6</v>
      </c>
      <c r="AE18" s="45">
        <v>6</v>
      </c>
      <c r="AF18" s="45">
        <v>6</v>
      </c>
      <c r="AG18" s="49">
        <v>42</v>
      </c>
      <c r="AH18" s="47">
        <f t="shared" ref="AH18:AH81" si="8">MAX(B18:AF18)</f>
        <v>6</v>
      </c>
      <c r="AI18" s="48">
        <f t="shared" ref="AI18:AI81" si="9">MIN(B18:AF18)</f>
        <v>6</v>
      </c>
      <c r="AK18" s="50"/>
      <c r="AL18" s="160" t="s">
        <v>593</v>
      </c>
      <c r="AM18" s="227">
        <f>B76</f>
        <v>107.44000000000001</v>
      </c>
      <c r="AN18" s="227">
        <f t="shared" ref="AN18:AR18" si="10">C76</f>
        <v>117.64000000000001</v>
      </c>
      <c r="AO18" s="227">
        <f t="shared" si="10"/>
        <v>82.640000000000015</v>
      </c>
      <c r="AP18" s="227">
        <f t="shared" si="10"/>
        <v>82.640000000000015</v>
      </c>
      <c r="AQ18" s="227">
        <f t="shared" si="10"/>
        <v>82.640000000000015</v>
      </c>
      <c r="AR18" s="227">
        <f t="shared" si="10"/>
        <v>139.63999999999999</v>
      </c>
      <c r="AS18" s="227">
        <f>I76</f>
        <v>237.64</v>
      </c>
      <c r="AT18" s="227">
        <f>K76</f>
        <v>360.14000000000004</v>
      </c>
      <c r="AU18" s="227">
        <f t="shared" ref="AU18:AX18" si="11">M76</f>
        <v>316.03999999999991</v>
      </c>
      <c r="AV18" s="227">
        <f t="shared" si="11"/>
        <v>327.53999999999996</v>
      </c>
      <c r="AW18" s="227">
        <f t="shared" si="11"/>
        <v>219.33999999999997</v>
      </c>
      <c r="AX18" s="227">
        <f t="shared" si="11"/>
        <v>211.33999999999997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77" t="s">
        <v>628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678.39999999999986</v>
      </c>
      <c r="AN19" s="227">
        <f t="shared" ref="AN19:AR19" si="12">C92</f>
        <v>624.90000000000009</v>
      </c>
      <c r="AO19" s="227">
        <f t="shared" si="12"/>
        <v>650.79999999999995</v>
      </c>
      <c r="AP19" s="227">
        <f t="shared" si="12"/>
        <v>643.9</v>
      </c>
      <c r="AQ19" s="227">
        <f t="shared" si="12"/>
        <v>578.79999999999995</v>
      </c>
      <c r="AR19" s="227">
        <f t="shared" si="12"/>
        <v>590</v>
      </c>
      <c r="AS19" s="227">
        <f>I92</f>
        <v>620</v>
      </c>
      <c r="AT19" s="227">
        <f>K92</f>
        <v>238</v>
      </c>
      <c r="AU19" s="227">
        <f t="shared" ref="AU19:AX19" si="13">M92</f>
        <v>163.5</v>
      </c>
      <c r="AV19" s="227">
        <f t="shared" si="13"/>
        <v>259.60000000000002</v>
      </c>
      <c r="AW19" s="227">
        <f t="shared" si="13"/>
        <v>572.59999999999991</v>
      </c>
      <c r="AX19" s="227">
        <f t="shared" si="13"/>
        <v>709.5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77" t="s">
        <v>631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77" t="s">
        <v>636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0</v>
      </c>
      <c r="AU21" s="227">
        <f t="shared" ref="AU21:AX21" si="17">M98</f>
        <v>0</v>
      </c>
      <c r="AV21" s="227">
        <f t="shared" si="17"/>
        <v>0</v>
      </c>
      <c r="AW21" s="227">
        <f t="shared" si="17"/>
        <v>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7.2</v>
      </c>
      <c r="C22" s="45">
        <v>7.2</v>
      </c>
      <c r="D22" s="45">
        <v>7.2</v>
      </c>
      <c r="E22" s="45">
        <v>7.2</v>
      </c>
      <c r="F22" s="45">
        <v>7.2</v>
      </c>
      <c r="G22" s="45">
        <v>7.2</v>
      </c>
      <c r="H22" s="45">
        <v>7.2</v>
      </c>
      <c r="I22" s="45">
        <v>7.2</v>
      </c>
      <c r="J22" s="45">
        <v>7.2</v>
      </c>
      <c r="K22" s="45">
        <v>7.2</v>
      </c>
      <c r="L22" s="45">
        <v>7.2</v>
      </c>
      <c r="M22" s="45">
        <v>7.2</v>
      </c>
      <c r="N22" s="45">
        <v>7.2</v>
      </c>
      <c r="O22" s="45">
        <v>7.2</v>
      </c>
      <c r="P22" s="45">
        <v>7.2</v>
      </c>
      <c r="Q22" s="45" t="s">
        <v>630</v>
      </c>
      <c r="R22" s="45">
        <v>7.2</v>
      </c>
      <c r="S22" s="45">
        <v>7.2</v>
      </c>
      <c r="T22" s="45">
        <v>7.2</v>
      </c>
      <c r="U22" s="45">
        <v>7.2</v>
      </c>
      <c r="V22" s="45">
        <v>7.2</v>
      </c>
      <c r="W22" s="45">
        <v>7.2</v>
      </c>
      <c r="X22" s="45">
        <v>7.2</v>
      </c>
      <c r="Y22" s="45">
        <v>7.2</v>
      </c>
      <c r="Z22" s="45">
        <v>7.2</v>
      </c>
      <c r="AA22" s="45">
        <v>7.2</v>
      </c>
      <c r="AB22" s="45">
        <v>7.2</v>
      </c>
      <c r="AC22" s="45">
        <v>7.2</v>
      </c>
      <c r="AD22" s="45">
        <v>7.2</v>
      </c>
      <c r="AE22" s="45">
        <v>7.2</v>
      </c>
      <c r="AF22" s="45">
        <v>7.2</v>
      </c>
      <c r="AG22" s="52">
        <v>30</v>
      </c>
      <c r="AH22" s="47">
        <f t="shared" si="8"/>
        <v>7.2</v>
      </c>
      <c r="AI22" s="48">
        <f t="shared" si="9"/>
        <v>7.2</v>
      </c>
      <c r="AK22" s="50"/>
      <c r="AL22" s="229" t="s">
        <v>597</v>
      </c>
      <c r="AM22" s="228">
        <f>SUM(AM16:AM21)</f>
        <v>1284.19</v>
      </c>
      <c r="AN22" s="228">
        <f t="shared" ref="AN22:AX22" si="18">SUM(AN16:AN21)</f>
        <v>1240.8900000000001</v>
      </c>
      <c r="AO22" s="228">
        <f t="shared" si="18"/>
        <v>1231.79</v>
      </c>
      <c r="AP22" s="228">
        <f t="shared" si="18"/>
        <v>1223.69</v>
      </c>
      <c r="AQ22" s="228">
        <f t="shared" si="18"/>
        <v>1160.49</v>
      </c>
      <c r="AR22" s="228">
        <f t="shared" si="18"/>
        <v>1228.69</v>
      </c>
      <c r="AS22" s="228">
        <f t="shared" si="18"/>
        <v>1358.49</v>
      </c>
      <c r="AT22" s="228">
        <f t="shared" si="18"/>
        <v>1453.99</v>
      </c>
      <c r="AU22" s="228">
        <f t="shared" si="18"/>
        <v>1400.29</v>
      </c>
      <c r="AV22" s="228">
        <f t="shared" si="18"/>
        <v>1287.8899999999999</v>
      </c>
      <c r="AW22" s="228">
        <f t="shared" si="18"/>
        <v>1392.6899999999998</v>
      </c>
      <c r="AX22" s="228">
        <f t="shared" si="18"/>
        <v>1436.59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 t="s">
        <v>609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6.7</v>
      </c>
      <c r="C24" s="45">
        <v>6.7</v>
      </c>
      <c r="D24" s="45">
        <v>6.7</v>
      </c>
      <c r="E24" s="45">
        <v>6.7</v>
      </c>
      <c r="F24" s="45">
        <v>6.7</v>
      </c>
      <c r="G24" s="45">
        <v>6.7</v>
      </c>
      <c r="H24" s="45">
        <v>6.7</v>
      </c>
      <c r="I24" s="45">
        <v>6.7</v>
      </c>
      <c r="J24" s="45">
        <v>6.7</v>
      </c>
      <c r="K24" s="45">
        <v>6.7</v>
      </c>
      <c r="L24" s="45">
        <v>6.7</v>
      </c>
      <c r="M24" s="45">
        <v>6.7</v>
      </c>
      <c r="N24" s="45">
        <v>6.7</v>
      </c>
      <c r="O24" s="45">
        <v>6.7</v>
      </c>
      <c r="P24" s="45">
        <v>6.7</v>
      </c>
      <c r="Q24" s="45"/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6.7</v>
      </c>
      <c r="X24" s="45">
        <v>6.7</v>
      </c>
      <c r="Y24" s="45">
        <v>6.7</v>
      </c>
      <c r="Z24" s="45">
        <v>6.7</v>
      </c>
      <c r="AA24" s="45">
        <v>6.7</v>
      </c>
      <c r="AB24" s="45">
        <v>6.7</v>
      </c>
      <c r="AC24" s="45">
        <v>6.7</v>
      </c>
      <c r="AD24" s="45">
        <v>6.7</v>
      </c>
      <c r="AE24" s="45">
        <v>6.7</v>
      </c>
      <c r="AF24" s="45">
        <v>6.7</v>
      </c>
      <c r="AG24" s="49">
        <v>28</v>
      </c>
      <c r="AH24" s="47">
        <f t="shared" si="8"/>
        <v>6.7</v>
      </c>
      <c r="AI24" s="48">
        <f t="shared" si="9"/>
        <v>6.7</v>
      </c>
      <c r="AK24" s="50"/>
      <c r="AL24" s="229" t="s">
        <v>598</v>
      </c>
      <c r="AM24" s="228">
        <f>AM22+AM23</f>
        <v>1284.19</v>
      </c>
      <c r="AN24" s="228">
        <f t="shared" ref="AN24:AX24" si="21">AN22+AN23</f>
        <v>1240.8900000000001</v>
      </c>
      <c r="AO24" s="228">
        <f t="shared" si="21"/>
        <v>1231.79</v>
      </c>
      <c r="AP24" s="228">
        <f t="shared" si="21"/>
        <v>1223.69</v>
      </c>
      <c r="AQ24" s="228">
        <f t="shared" si="21"/>
        <v>1160.49</v>
      </c>
      <c r="AR24" s="228">
        <f t="shared" si="21"/>
        <v>1228.69</v>
      </c>
      <c r="AS24" s="228">
        <f t="shared" si="21"/>
        <v>1358.49</v>
      </c>
      <c r="AT24" s="228">
        <f t="shared" si="21"/>
        <v>1453.99</v>
      </c>
      <c r="AU24" s="228">
        <f t="shared" si="21"/>
        <v>1400.29</v>
      </c>
      <c r="AV24" s="228">
        <f t="shared" si="21"/>
        <v>1287.8899999999999</v>
      </c>
      <c r="AW24" s="228">
        <f t="shared" si="21"/>
        <v>1392.6899999999998</v>
      </c>
      <c r="AX24" s="228">
        <f t="shared" si="21"/>
        <v>1436.59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5.4</v>
      </c>
      <c r="C25" s="45">
        <v>5.4</v>
      </c>
      <c r="D25" s="45">
        <v>5.4</v>
      </c>
      <c r="E25" s="45">
        <v>5.4</v>
      </c>
      <c r="F25" s="45">
        <v>5.4</v>
      </c>
      <c r="G25" s="45">
        <v>5.4</v>
      </c>
      <c r="H25" s="45">
        <v>5.4</v>
      </c>
      <c r="I25" s="45">
        <v>5.4</v>
      </c>
      <c r="J25" s="45">
        <v>5.4</v>
      </c>
      <c r="K25" s="45">
        <v>5.4</v>
      </c>
      <c r="L25" s="45">
        <v>5.4</v>
      </c>
      <c r="M25" s="45">
        <v>5.4</v>
      </c>
      <c r="N25" s="45">
        <v>5.4</v>
      </c>
      <c r="O25" s="45">
        <v>5.4</v>
      </c>
      <c r="P25" s="45">
        <v>5.4</v>
      </c>
      <c r="Q25" s="45"/>
      <c r="R25" s="45">
        <v>5.4</v>
      </c>
      <c r="S25" s="45">
        <v>5.4</v>
      </c>
      <c r="T25" s="45">
        <v>5.4</v>
      </c>
      <c r="U25" s="45">
        <v>5.4</v>
      </c>
      <c r="V25" s="45">
        <v>5.4</v>
      </c>
      <c r="W25" s="45">
        <v>5.4</v>
      </c>
      <c r="X25" s="45">
        <v>5.4</v>
      </c>
      <c r="Y25" s="45">
        <v>5.4</v>
      </c>
      <c r="Z25" s="45">
        <v>5.4</v>
      </c>
      <c r="AA25" s="45">
        <v>5.4</v>
      </c>
      <c r="AB25" s="45">
        <v>5.4</v>
      </c>
      <c r="AC25" s="45">
        <v>5.4</v>
      </c>
      <c r="AD25" s="45">
        <v>5.4</v>
      </c>
      <c r="AE25" s="45">
        <v>5.4</v>
      </c>
      <c r="AF25" s="45">
        <v>5.4</v>
      </c>
      <c r="AG25" s="52">
        <v>30</v>
      </c>
      <c r="AH25" s="47">
        <f t="shared" si="8"/>
        <v>5.4</v>
      </c>
      <c r="AI25" s="48">
        <f t="shared" si="9"/>
        <v>5.4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8.3000000000000007</v>
      </c>
      <c r="C26" s="45">
        <v>8.3000000000000007</v>
      </c>
      <c r="D26" s="45">
        <v>8.3000000000000007</v>
      </c>
      <c r="E26" s="45">
        <v>8.3000000000000007</v>
      </c>
      <c r="F26" s="45">
        <v>8.3000000000000007</v>
      </c>
      <c r="G26" s="45">
        <v>8.3000000000000007</v>
      </c>
      <c r="H26" s="45">
        <v>8.3000000000000007</v>
      </c>
      <c r="I26" s="45">
        <v>8.3000000000000007</v>
      </c>
      <c r="J26" s="45">
        <v>8.3000000000000007</v>
      </c>
      <c r="K26" s="45">
        <v>8.3000000000000007</v>
      </c>
      <c r="L26" s="45">
        <v>8.3000000000000007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/>
      <c r="R26" s="45">
        <v>8.3000000000000007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8.3000000000000007</v>
      </c>
      <c r="X26" s="45">
        <v>8.3000000000000007</v>
      </c>
      <c r="Y26" s="45">
        <v>8.3000000000000007</v>
      </c>
      <c r="Z26" s="45">
        <v>8.3000000000000007</v>
      </c>
      <c r="AA26" s="45">
        <v>8.3000000000000007</v>
      </c>
      <c r="AB26" s="45">
        <v>8.3000000000000007</v>
      </c>
      <c r="AC26" s="45">
        <v>8.3000000000000007</v>
      </c>
      <c r="AD26" s="45">
        <v>8.3000000000000007</v>
      </c>
      <c r="AE26" s="45">
        <v>8.3000000000000007</v>
      </c>
      <c r="AF26" s="45">
        <v>8.3000000000000007</v>
      </c>
      <c r="AG26" s="49">
        <v>25</v>
      </c>
      <c r="AH26" s="47">
        <f t="shared" si="8"/>
        <v>8.3000000000000007</v>
      </c>
      <c r="AI26" s="48">
        <f t="shared" si="9"/>
        <v>8.3000000000000007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/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/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6.8</v>
      </c>
      <c r="C29" s="45">
        <v>6.8</v>
      </c>
      <c r="D29" s="45">
        <v>6.8</v>
      </c>
      <c r="E29" s="45">
        <v>6.8</v>
      </c>
      <c r="F29" s="45">
        <v>6.8</v>
      </c>
      <c r="G29" s="45">
        <v>6.8</v>
      </c>
      <c r="H29" s="45">
        <v>6.8</v>
      </c>
      <c r="I29" s="45">
        <v>6.8</v>
      </c>
      <c r="J29" s="45">
        <v>6.8</v>
      </c>
      <c r="K29" s="45">
        <v>6.8</v>
      </c>
      <c r="L29" s="45">
        <v>6.8</v>
      </c>
      <c r="M29" s="45">
        <v>6.8</v>
      </c>
      <c r="N29" s="45">
        <v>6.8</v>
      </c>
      <c r="O29" s="45">
        <v>6.8</v>
      </c>
      <c r="P29" s="45">
        <v>6.8</v>
      </c>
      <c r="Q29" s="45"/>
      <c r="R29" s="45">
        <v>6.8</v>
      </c>
      <c r="S29" s="45">
        <v>6.8</v>
      </c>
      <c r="T29" s="45">
        <v>6.8</v>
      </c>
      <c r="U29" s="45">
        <v>6.8</v>
      </c>
      <c r="V29" s="45">
        <v>6.8</v>
      </c>
      <c r="W29" s="45">
        <v>6.8</v>
      </c>
      <c r="X29" s="45">
        <v>6.8</v>
      </c>
      <c r="Y29" s="45">
        <v>6.8</v>
      </c>
      <c r="Z29" s="45">
        <v>6.8</v>
      </c>
      <c r="AA29" s="45">
        <v>6.8</v>
      </c>
      <c r="AB29" s="45">
        <v>6.8</v>
      </c>
      <c r="AC29" s="45">
        <v>6.8</v>
      </c>
      <c r="AD29" s="45">
        <v>6.8</v>
      </c>
      <c r="AE29" s="45">
        <v>6.8</v>
      </c>
      <c r="AF29" s="45">
        <v>6.8</v>
      </c>
      <c r="AG29" s="49">
        <v>25</v>
      </c>
      <c r="AH29" s="47">
        <f t="shared" si="8"/>
        <v>6.8</v>
      </c>
      <c r="AI29" s="48">
        <f t="shared" si="9"/>
        <v>6.8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/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6.9</v>
      </c>
      <c r="X30" s="45">
        <v>6.9</v>
      </c>
      <c r="Y30" s="45">
        <v>6.9</v>
      </c>
      <c r="Z30" s="45">
        <v>6.9</v>
      </c>
      <c r="AA30" s="45">
        <v>6.9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/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/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/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9.3000000000000007</v>
      </c>
      <c r="C34" s="45">
        <v>9.3000000000000007</v>
      </c>
      <c r="D34" s="45">
        <v>9.3000000000000007</v>
      </c>
      <c r="E34" s="45">
        <v>9.3000000000000007</v>
      </c>
      <c r="F34" s="45">
        <v>9.3000000000000007</v>
      </c>
      <c r="G34" s="45">
        <v>9.3000000000000007</v>
      </c>
      <c r="H34" s="45">
        <v>9.3000000000000007</v>
      </c>
      <c r="I34" s="45">
        <v>9.3000000000000007</v>
      </c>
      <c r="J34" s="45">
        <v>9.3000000000000007</v>
      </c>
      <c r="K34" s="45">
        <v>9.3000000000000007</v>
      </c>
      <c r="L34" s="45">
        <v>9.3000000000000007</v>
      </c>
      <c r="M34" s="45">
        <v>9.3000000000000007</v>
      </c>
      <c r="N34" s="45">
        <v>9.3000000000000007</v>
      </c>
      <c r="O34" s="45">
        <v>9.3000000000000007</v>
      </c>
      <c r="P34" s="45">
        <v>9.3000000000000007</v>
      </c>
      <c r="Q34" s="45"/>
      <c r="R34" s="45">
        <v>9.3000000000000007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9.3000000000000007</v>
      </c>
      <c r="X34" s="45">
        <v>9.3000000000000007</v>
      </c>
      <c r="Y34" s="45">
        <v>9.3000000000000007</v>
      </c>
      <c r="Z34" s="45">
        <v>9.3000000000000007</v>
      </c>
      <c r="AA34" s="45">
        <v>9.3000000000000007</v>
      </c>
      <c r="AB34" s="45">
        <v>9.3000000000000007</v>
      </c>
      <c r="AC34" s="45">
        <v>9.3000000000000007</v>
      </c>
      <c r="AD34" s="45">
        <v>9.3000000000000007</v>
      </c>
      <c r="AE34" s="45">
        <v>9.3000000000000007</v>
      </c>
      <c r="AF34" s="45">
        <v>9.3000000000000007</v>
      </c>
      <c r="AG34" s="49">
        <v>22</v>
      </c>
      <c r="AH34" s="47">
        <f t="shared" si="8"/>
        <v>9.3000000000000007</v>
      </c>
      <c r="AI34" s="48">
        <f t="shared" si="9"/>
        <v>9.3000000000000007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/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/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/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/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/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/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/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/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/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/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/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/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/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/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/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/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/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/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/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/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/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/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18.7</v>
      </c>
      <c r="C57" s="57">
        <v>18.7</v>
      </c>
      <c r="D57" s="57">
        <v>19.5</v>
      </c>
      <c r="E57" s="57">
        <f>14.2+6.2</f>
        <v>20.399999999999999</v>
      </c>
      <c r="F57" s="57">
        <f>13.7+6</f>
        <v>19.7</v>
      </c>
      <c r="G57" s="57">
        <f>13.2+5.9</f>
        <v>19.100000000000001</v>
      </c>
      <c r="H57" s="57">
        <f>13.5+5.8</f>
        <v>19.3</v>
      </c>
      <c r="I57" s="57">
        <f>13.2+5.8</f>
        <v>19</v>
      </c>
      <c r="J57" s="57">
        <f t="shared" ref="J57:K57" si="22">13.2+5.8</f>
        <v>19</v>
      </c>
      <c r="K57" s="57">
        <f t="shared" si="22"/>
        <v>19</v>
      </c>
      <c r="L57" s="51">
        <f>13.3+6</f>
        <v>19.3</v>
      </c>
      <c r="M57" s="51">
        <f>5.8+12.9</f>
        <v>18.7</v>
      </c>
      <c r="N57" s="51">
        <f>5.8+12.9</f>
        <v>18.7</v>
      </c>
      <c r="O57" s="51">
        <f>5.8+12.9</f>
        <v>18.7</v>
      </c>
      <c r="P57" s="51">
        <f>5.8+12.9</f>
        <v>18.7</v>
      </c>
      <c r="Q57" s="51"/>
      <c r="R57" s="51">
        <f>6.5+15.1</f>
        <v>21.6</v>
      </c>
      <c r="S57" s="51">
        <f>6.5+15.1</f>
        <v>21.6</v>
      </c>
      <c r="T57" s="51">
        <f>6.5+15.1</f>
        <v>21.6</v>
      </c>
      <c r="U57" s="51">
        <f>6.5+15.1</f>
        <v>21.6</v>
      </c>
      <c r="V57" s="51">
        <f>6.5+15.1</f>
        <v>21.6</v>
      </c>
      <c r="W57" s="51">
        <v>20.2</v>
      </c>
      <c r="X57" s="51">
        <v>18.899999999999999</v>
      </c>
      <c r="Y57" s="51">
        <v>18.899999999999999</v>
      </c>
      <c r="Z57" s="51">
        <v>18.899999999999999</v>
      </c>
      <c r="AA57" s="51">
        <v>18.899999999999999</v>
      </c>
      <c r="AB57" s="57"/>
      <c r="AC57" s="57"/>
      <c r="AD57" s="57"/>
      <c r="AE57" s="57"/>
      <c r="AF57" s="57"/>
      <c r="AG57" s="55">
        <v>240</v>
      </c>
      <c r="AH57" s="47">
        <f t="shared" si="8"/>
        <v>21.6</v>
      </c>
      <c r="AI57" s="48">
        <f t="shared" si="9"/>
        <v>18.7</v>
      </c>
      <c r="AK57" s="50"/>
    </row>
    <row r="58" spans="1:88" ht="15.75" thickBot="1" x14ac:dyDescent="0.3">
      <c r="A58" s="59" t="s">
        <v>58</v>
      </c>
      <c r="B58" s="60">
        <f t="shared" ref="B58:AB58" si="23">SUM(B11:B56)</f>
        <v>461.85</v>
      </c>
      <c r="C58" s="60">
        <f t="shared" si="23"/>
        <v>461.85</v>
      </c>
      <c r="D58" s="60">
        <f t="shared" si="23"/>
        <v>461.85</v>
      </c>
      <c r="E58" s="60">
        <f t="shared" si="23"/>
        <v>460.65000000000003</v>
      </c>
      <c r="F58" s="60">
        <f t="shared" si="23"/>
        <v>460.65000000000003</v>
      </c>
      <c r="G58" s="60">
        <f t="shared" si="23"/>
        <v>460.65000000000003</v>
      </c>
      <c r="H58" s="60">
        <f t="shared" si="23"/>
        <v>460.65000000000003</v>
      </c>
      <c r="I58" s="60">
        <f t="shared" si="23"/>
        <v>461.05</v>
      </c>
      <c r="J58" s="60">
        <f t="shared" si="23"/>
        <v>461.05</v>
      </c>
      <c r="K58" s="60">
        <f t="shared" si="23"/>
        <v>461.05</v>
      </c>
      <c r="L58" s="60">
        <f t="shared" si="23"/>
        <v>460.95000000000005</v>
      </c>
      <c r="M58" s="60">
        <f t="shared" si="23"/>
        <v>460.95000000000005</v>
      </c>
      <c r="N58" s="60">
        <f t="shared" si="23"/>
        <v>460.95000000000005</v>
      </c>
      <c r="O58" s="60">
        <f t="shared" si="23"/>
        <v>460.95000000000005</v>
      </c>
      <c r="P58" s="60">
        <f t="shared" si="23"/>
        <v>460.95000000000005</v>
      </c>
      <c r="Q58" s="60">
        <f>SUM(Q11:Q56)</f>
        <v>0</v>
      </c>
      <c r="R58" s="60">
        <f t="shared" si="23"/>
        <v>460.95000000000005</v>
      </c>
      <c r="S58" s="60">
        <f t="shared" si="23"/>
        <v>458.95000000000005</v>
      </c>
      <c r="T58" s="60">
        <f t="shared" si="23"/>
        <v>458.95000000000005</v>
      </c>
      <c r="U58" s="60">
        <f t="shared" si="23"/>
        <v>458.95000000000005</v>
      </c>
      <c r="V58" s="60">
        <f t="shared" si="23"/>
        <v>458.95000000000005</v>
      </c>
      <c r="W58" s="60">
        <f t="shared" si="23"/>
        <v>458.95000000000005</v>
      </c>
      <c r="X58" s="60">
        <f t="shared" si="23"/>
        <v>458.95000000000005</v>
      </c>
      <c r="Y58" s="60">
        <f t="shared" si="23"/>
        <v>458.95000000000005</v>
      </c>
      <c r="Z58" s="60">
        <f t="shared" si="23"/>
        <v>458.95000000000005</v>
      </c>
      <c r="AA58" s="60">
        <f t="shared" si="23"/>
        <v>458.95000000000005</v>
      </c>
      <c r="AB58" s="60">
        <f t="shared" si="23"/>
        <v>458.95000000000005</v>
      </c>
      <c r="AC58" s="60">
        <f t="shared" ref="AC58:AD58" si="24">SUM(AC11:AC56)</f>
        <v>458.95000000000005</v>
      </c>
      <c r="AD58" s="60">
        <f t="shared" si="24"/>
        <v>458.95000000000005</v>
      </c>
      <c r="AE58" s="60">
        <f t="shared" ref="AE58:AF58" si="25">SUM(AE11:AE56)</f>
        <v>458.95000000000005</v>
      </c>
      <c r="AF58" s="60">
        <f t="shared" si="25"/>
        <v>458.95000000000005</v>
      </c>
      <c r="AG58" s="61">
        <f>SUM(AG14:AG56)</f>
        <v>1042.4000000000001</v>
      </c>
      <c r="AH58" s="47">
        <f t="shared" si="8"/>
        <v>461.85</v>
      </c>
      <c r="AI58" s="48">
        <f t="shared" si="9"/>
        <v>0</v>
      </c>
      <c r="AK58" s="50"/>
    </row>
    <row r="59" spans="1:88" x14ac:dyDescent="0.25">
      <c r="A59" s="62" t="s">
        <v>59</v>
      </c>
      <c r="B59" s="63">
        <v>0</v>
      </c>
      <c r="C59" s="63">
        <v>0</v>
      </c>
      <c r="D59" s="63">
        <v>0</v>
      </c>
      <c r="E59" s="63">
        <v>0</v>
      </c>
      <c r="F59" s="45">
        <v>0</v>
      </c>
      <c r="G59" s="45">
        <v>0</v>
      </c>
      <c r="H59" s="45">
        <v>0</v>
      </c>
      <c r="I59" s="45">
        <v>0</v>
      </c>
      <c r="J59" s="45">
        <v>80</v>
      </c>
      <c r="K59" s="45">
        <v>355</v>
      </c>
      <c r="L59" s="45">
        <v>456</v>
      </c>
      <c r="M59" s="45">
        <v>420</v>
      </c>
      <c r="N59" s="63">
        <v>200</v>
      </c>
      <c r="O59" s="63">
        <v>100</v>
      </c>
      <c r="P59" s="63">
        <v>15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45">
        <v>0</v>
      </c>
      <c r="X59" s="45">
        <v>25</v>
      </c>
      <c r="Y59" s="45">
        <v>175</v>
      </c>
      <c r="Z59" s="45">
        <v>220</v>
      </c>
      <c r="AA59" s="45">
        <v>320</v>
      </c>
      <c r="AB59" s="45">
        <v>350</v>
      </c>
      <c r="AC59" s="45">
        <v>290</v>
      </c>
      <c r="AD59" s="45">
        <v>140</v>
      </c>
      <c r="AE59" s="45">
        <v>60</v>
      </c>
      <c r="AF59" s="45">
        <v>0</v>
      </c>
      <c r="AG59" s="52">
        <v>456</v>
      </c>
      <c r="AH59" s="47">
        <f t="shared" si="8"/>
        <v>456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9.5</v>
      </c>
      <c r="C61" s="67">
        <v>9.5</v>
      </c>
      <c r="D61" s="67">
        <v>9.5</v>
      </c>
      <c r="E61" s="67">
        <v>9.5</v>
      </c>
      <c r="F61" s="67">
        <v>11.4</v>
      </c>
      <c r="G61" s="67">
        <v>11.4</v>
      </c>
      <c r="H61" s="67">
        <v>11.34</v>
      </c>
      <c r="I61" s="67">
        <v>12.8</v>
      </c>
      <c r="J61" s="67">
        <v>12.8</v>
      </c>
      <c r="K61" s="67">
        <v>12.8</v>
      </c>
      <c r="L61" s="67">
        <v>12.8</v>
      </c>
      <c r="M61" s="67">
        <v>12.8</v>
      </c>
      <c r="N61" s="67">
        <v>12.8</v>
      </c>
      <c r="O61" s="67">
        <v>12.8</v>
      </c>
      <c r="P61" s="67">
        <v>12.8</v>
      </c>
      <c r="Q61" s="67">
        <v>16.3</v>
      </c>
      <c r="R61" s="67">
        <v>16.3</v>
      </c>
      <c r="S61" s="67">
        <v>9.1999999999999993</v>
      </c>
      <c r="T61" s="67">
        <v>9.1999999999999993</v>
      </c>
      <c r="U61" s="67">
        <v>9.1999999999999993</v>
      </c>
      <c r="V61" s="67">
        <v>7.6</v>
      </c>
      <c r="W61" s="67">
        <v>7.6</v>
      </c>
      <c r="X61" s="67">
        <v>7.6</v>
      </c>
      <c r="Y61" s="67">
        <v>11.1</v>
      </c>
      <c r="Z61" s="67">
        <v>11.1</v>
      </c>
      <c r="AA61" s="67">
        <v>11.1</v>
      </c>
      <c r="AB61" s="67">
        <v>11.1</v>
      </c>
      <c r="AC61" s="67">
        <v>11.1</v>
      </c>
      <c r="AD61" s="67">
        <v>11.1</v>
      </c>
      <c r="AE61" s="67">
        <v>11.1</v>
      </c>
      <c r="AF61" s="67">
        <v>11.1</v>
      </c>
      <c r="AG61" s="68">
        <v>22.1</v>
      </c>
      <c r="AH61" s="47">
        <f t="shared" si="8"/>
        <v>16.3</v>
      </c>
      <c r="AI61" s="48">
        <f t="shared" si="9"/>
        <v>7.6</v>
      </c>
      <c r="AK61" s="50"/>
    </row>
    <row r="62" spans="1:88" ht="15.75" thickBot="1" x14ac:dyDescent="0.3">
      <c r="A62" s="69" t="s">
        <v>62</v>
      </c>
      <c r="B62" s="60">
        <f t="shared" ref="B62:AG62" si="26">SUM(B59:B61)</f>
        <v>36.5</v>
      </c>
      <c r="C62" s="60">
        <f t="shared" si="26"/>
        <v>36.5</v>
      </c>
      <c r="D62" s="60">
        <f t="shared" si="26"/>
        <v>36.5</v>
      </c>
      <c r="E62" s="60">
        <f t="shared" si="26"/>
        <v>36.5</v>
      </c>
      <c r="F62" s="60">
        <f t="shared" si="26"/>
        <v>38.4</v>
      </c>
      <c r="G62" s="60">
        <f t="shared" si="26"/>
        <v>38.4</v>
      </c>
      <c r="H62" s="60">
        <f t="shared" si="26"/>
        <v>38.340000000000003</v>
      </c>
      <c r="I62" s="60">
        <f t="shared" si="26"/>
        <v>39.799999999999997</v>
      </c>
      <c r="J62" s="60">
        <f t="shared" si="26"/>
        <v>119.8</v>
      </c>
      <c r="K62" s="60">
        <f t="shared" si="26"/>
        <v>394.8</v>
      </c>
      <c r="L62" s="60">
        <f t="shared" si="26"/>
        <v>495.8</v>
      </c>
      <c r="M62" s="60">
        <f t="shared" si="26"/>
        <v>459.8</v>
      </c>
      <c r="N62" s="60">
        <f t="shared" si="26"/>
        <v>239.8</v>
      </c>
      <c r="O62" s="60">
        <f t="shared" si="26"/>
        <v>139.80000000000001</v>
      </c>
      <c r="P62" s="60">
        <f t="shared" si="26"/>
        <v>54.8</v>
      </c>
      <c r="Q62" s="60">
        <f t="shared" si="26"/>
        <v>43.3</v>
      </c>
      <c r="R62" s="60">
        <f t="shared" si="26"/>
        <v>43.3</v>
      </c>
      <c r="S62" s="60">
        <f t="shared" si="26"/>
        <v>36.200000000000003</v>
      </c>
      <c r="T62" s="60">
        <f t="shared" si="26"/>
        <v>36.200000000000003</v>
      </c>
      <c r="U62" s="60">
        <f t="shared" si="26"/>
        <v>36.200000000000003</v>
      </c>
      <c r="V62" s="60">
        <f t="shared" si="26"/>
        <v>34.6</v>
      </c>
      <c r="W62" s="60">
        <f t="shared" si="26"/>
        <v>34.6</v>
      </c>
      <c r="X62" s="60">
        <f t="shared" si="26"/>
        <v>59.6</v>
      </c>
      <c r="Y62" s="60">
        <f t="shared" si="26"/>
        <v>213.1</v>
      </c>
      <c r="Z62" s="60">
        <f t="shared" si="26"/>
        <v>258.10000000000002</v>
      </c>
      <c r="AA62" s="60">
        <f t="shared" si="26"/>
        <v>358.1</v>
      </c>
      <c r="AB62" s="60">
        <f t="shared" si="26"/>
        <v>388.1</v>
      </c>
      <c r="AC62" s="60">
        <f t="shared" ref="AC62:AD62" si="27">SUM(AC59:AC61)</f>
        <v>328.1</v>
      </c>
      <c r="AD62" s="60">
        <f t="shared" si="27"/>
        <v>178.1</v>
      </c>
      <c r="AE62" s="60">
        <f t="shared" ref="AE62:AF62" si="28">SUM(AE59:AE61)</f>
        <v>98.1</v>
      </c>
      <c r="AF62" s="60">
        <f t="shared" si="28"/>
        <v>38.1</v>
      </c>
      <c r="AG62" s="61">
        <f t="shared" si="26"/>
        <v>538.1</v>
      </c>
      <c r="AH62" s="47">
        <f t="shared" si="8"/>
        <v>495.8</v>
      </c>
      <c r="AI62" s="48">
        <f t="shared" si="9"/>
        <v>34.6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28</v>
      </c>
      <c r="I63" s="45">
        <v>60</v>
      </c>
      <c r="J63" s="45">
        <v>120</v>
      </c>
      <c r="K63" s="45">
        <v>144.5</v>
      </c>
      <c r="L63" s="45">
        <v>130</v>
      </c>
      <c r="M63" s="45">
        <v>121.6</v>
      </c>
      <c r="N63" s="45">
        <v>126</v>
      </c>
      <c r="O63" s="45">
        <v>40</v>
      </c>
      <c r="P63" s="45">
        <v>30</v>
      </c>
      <c r="Q63" s="45">
        <v>30.2</v>
      </c>
      <c r="R63" s="45">
        <v>65</v>
      </c>
      <c r="S63" s="45">
        <v>65.5</v>
      </c>
      <c r="T63" s="45">
        <v>97.2</v>
      </c>
      <c r="U63" s="45">
        <v>48.7</v>
      </c>
      <c r="V63" s="45">
        <v>48.7</v>
      </c>
      <c r="W63" s="45">
        <v>0</v>
      </c>
      <c r="X63" s="45">
        <v>0</v>
      </c>
      <c r="Y63" s="45">
        <v>70.5</v>
      </c>
      <c r="Z63" s="45">
        <v>97.8</v>
      </c>
      <c r="AA63" s="45">
        <v>85.3</v>
      </c>
      <c r="AB63" s="45">
        <v>70</v>
      </c>
      <c r="AC63" s="45">
        <v>70</v>
      </c>
      <c r="AD63" s="45">
        <v>60</v>
      </c>
      <c r="AE63" s="45">
        <v>40</v>
      </c>
      <c r="AF63" s="45">
        <v>30</v>
      </c>
      <c r="AG63" s="52">
        <v>144</v>
      </c>
      <c r="AH63" s="47">
        <f t="shared" si="8"/>
        <v>144.5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24.8</v>
      </c>
      <c r="C64" s="65">
        <v>35</v>
      </c>
      <c r="D64" s="65">
        <v>0</v>
      </c>
      <c r="E64" s="65">
        <v>0</v>
      </c>
      <c r="F64" s="65">
        <v>0</v>
      </c>
      <c r="G64" s="65">
        <v>35</v>
      </c>
      <c r="H64" s="65">
        <v>25</v>
      </c>
      <c r="I64" s="65">
        <v>35</v>
      </c>
      <c r="J64" s="65">
        <v>35</v>
      </c>
      <c r="K64" s="65">
        <v>34.799999999999997</v>
      </c>
      <c r="L64" s="65">
        <v>34.799999999999997</v>
      </c>
      <c r="M64" s="65">
        <v>34.799999999999997</v>
      </c>
      <c r="N64" s="65">
        <v>34.799999999999997</v>
      </c>
      <c r="O64" s="65">
        <v>34.799999999999997</v>
      </c>
      <c r="P64" s="65">
        <v>34.700000000000003</v>
      </c>
      <c r="Q64" s="65">
        <v>34.799999999999997</v>
      </c>
      <c r="R64" s="65">
        <v>24</v>
      </c>
      <c r="S64" s="65">
        <v>24.8</v>
      </c>
      <c r="T64" s="65">
        <v>35</v>
      </c>
      <c r="U64" s="65">
        <v>35</v>
      </c>
      <c r="V64" s="65">
        <v>35</v>
      </c>
      <c r="W64" s="45">
        <v>22.6</v>
      </c>
      <c r="X64" s="45">
        <v>34.700000000000003</v>
      </c>
      <c r="Y64" s="45">
        <v>34.799999999999997</v>
      </c>
      <c r="Z64" s="45">
        <v>34.799999999999997</v>
      </c>
      <c r="AA64" s="45">
        <v>34.799999999999997</v>
      </c>
      <c r="AB64" s="45">
        <v>34.799999999999997</v>
      </c>
      <c r="AC64" s="45">
        <v>34.799999999999997</v>
      </c>
      <c r="AD64" s="45">
        <v>25</v>
      </c>
      <c r="AE64" s="45">
        <v>24</v>
      </c>
      <c r="AF64" s="45">
        <v>24</v>
      </c>
      <c r="AG64" s="55">
        <v>70</v>
      </c>
      <c r="AH64" s="47">
        <f t="shared" si="8"/>
        <v>35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22</v>
      </c>
      <c r="H65" s="65">
        <v>30</v>
      </c>
      <c r="I65" s="65">
        <v>45</v>
      </c>
      <c r="J65" s="65">
        <v>60</v>
      </c>
      <c r="K65" s="65">
        <v>69.400000000000006</v>
      </c>
      <c r="L65" s="65">
        <v>60</v>
      </c>
      <c r="M65" s="65">
        <v>56.2</v>
      </c>
      <c r="N65" s="65">
        <v>68</v>
      </c>
      <c r="O65" s="65">
        <v>46.8</v>
      </c>
      <c r="P65" s="65">
        <v>48.9</v>
      </c>
      <c r="Q65" s="65">
        <v>48.5</v>
      </c>
      <c r="R65" s="65">
        <v>34</v>
      </c>
      <c r="S65" s="65">
        <v>39.700000000000003</v>
      </c>
      <c r="T65" s="65">
        <v>21.9</v>
      </c>
      <c r="U65" s="65">
        <v>21.9</v>
      </c>
      <c r="V65" s="65">
        <v>21.9</v>
      </c>
      <c r="W65" s="45">
        <v>0</v>
      </c>
      <c r="X65" s="45">
        <v>0</v>
      </c>
      <c r="Y65" s="45">
        <v>55.3</v>
      </c>
      <c r="Z65" s="45">
        <v>61.5</v>
      </c>
      <c r="AA65" s="45">
        <v>46.7</v>
      </c>
      <c r="AB65" s="45">
        <v>46.7</v>
      </c>
      <c r="AC65" s="45">
        <v>32</v>
      </c>
      <c r="AD65" s="45">
        <v>15</v>
      </c>
      <c r="AE65" s="45">
        <v>16.600000000000001</v>
      </c>
      <c r="AF65" s="45">
        <v>16.600000000000001</v>
      </c>
      <c r="AG65" s="55">
        <v>69</v>
      </c>
      <c r="AH65" s="47">
        <f t="shared" si="8"/>
        <v>69.400000000000006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39.299999999999997</v>
      </c>
      <c r="C66" s="65">
        <v>39.299999999999997</v>
      </c>
      <c r="D66" s="65">
        <v>39.299999999999997</v>
      </c>
      <c r="E66" s="65">
        <v>39.299999999999997</v>
      </c>
      <c r="F66" s="65">
        <v>39.299999999999997</v>
      </c>
      <c r="G66" s="65">
        <v>39.299999999999997</v>
      </c>
      <c r="H66" s="65">
        <v>39.299999999999997</v>
      </c>
      <c r="I66" s="65">
        <v>39.299999999999997</v>
      </c>
      <c r="J66" s="65">
        <v>39.299999999999997</v>
      </c>
      <c r="K66" s="57">
        <v>38</v>
      </c>
      <c r="L66" s="57">
        <v>38</v>
      </c>
      <c r="M66" s="65">
        <v>38</v>
      </c>
      <c r="N66" s="65">
        <v>38</v>
      </c>
      <c r="O66" s="65">
        <v>37</v>
      </c>
      <c r="P66" s="65">
        <v>37</v>
      </c>
      <c r="Q66" s="65">
        <v>37.299999999999997</v>
      </c>
      <c r="R66" s="65">
        <v>37.299999999999997</v>
      </c>
      <c r="S66" s="65">
        <v>39.799999999999997</v>
      </c>
      <c r="T66" s="65">
        <v>33.299999999999997</v>
      </c>
      <c r="U66" s="65">
        <v>33.299999999999997</v>
      </c>
      <c r="V66" s="65">
        <v>33.299999999999997</v>
      </c>
      <c r="W66" s="45">
        <v>36</v>
      </c>
      <c r="X66" s="45">
        <v>36</v>
      </c>
      <c r="Y66" s="45">
        <v>34.299999999999997</v>
      </c>
      <c r="Z66" s="45">
        <v>35.299999999999997</v>
      </c>
      <c r="AA66" s="45">
        <v>32</v>
      </c>
      <c r="AB66" s="45">
        <v>32</v>
      </c>
      <c r="AC66" s="45">
        <v>32</v>
      </c>
      <c r="AD66" s="45">
        <v>32</v>
      </c>
      <c r="AE66" s="45">
        <v>32</v>
      </c>
      <c r="AF66" s="45">
        <v>32</v>
      </c>
      <c r="AG66" s="55">
        <v>60</v>
      </c>
      <c r="AH66" s="47">
        <f t="shared" si="8"/>
        <v>39.799999999999997</v>
      </c>
      <c r="AI66" s="48">
        <f t="shared" si="9"/>
        <v>32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15</v>
      </c>
      <c r="J67" s="65">
        <v>23</v>
      </c>
      <c r="K67" s="65">
        <v>28.6</v>
      </c>
      <c r="L67" s="57">
        <v>22.8</v>
      </c>
      <c r="M67" s="65">
        <v>14.7</v>
      </c>
      <c r="N67" s="65">
        <v>10</v>
      </c>
      <c r="O67" s="65">
        <v>10</v>
      </c>
      <c r="P67" s="65">
        <v>10</v>
      </c>
      <c r="Q67" s="65">
        <v>10.3</v>
      </c>
      <c r="R67" s="65">
        <v>10.3</v>
      </c>
      <c r="S67" s="65">
        <v>14.8</v>
      </c>
      <c r="T67" s="65">
        <v>10.4</v>
      </c>
      <c r="U67" s="65">
        <v>10.4</v>
      </c>
      <c r="V67" s="65">
        <v>10.4</v>
      </c>
      <c r="W67" s="45">
        <v>0</v>
      </c>
      <c r="X67" s="45">
        <v>0</v>
      </c>
      <c r="Y67" s="45">
        <v>9.9</v>
      </c>
      <c r="Z67" s="45">
        <v>23.5</v>
      </c>
      <c r="AA67" s="45">
        <v>14.6</v>
      </c>
      <c r="AB67" s="45">
        <v>10</v>
      </c>
      <c r="AC67" s="45">
        <v>10</v>
      </c>
      <c r="AD67" s="45">
        <v>10</v>
      </c>
      <c r="AE67" s="45">
        <v>0</v>
      </c>
      <c r="AF67" s="45">
        <v>0</v>
      </c>
      <c r="AG67" s="55">
        <v>30</v>
      </c>
      <c r="AH67" s="47">
        <f t="shared" si="8"/>
        <v>28.6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45">
        <v>1.5</v>
      </c>
      <c r="L68" s="65">
        <v>3.3</v>
      </c>
      <c r="M68" s="65">
        <v>7.4</v>
      </c>
      <c r="N68" s="65">
        <v>7.4</v>
      </c>
      <c r="O68" s="65">
        <v>7.4</v>
      </c>
      <c r="P68" s="65">
        <v>7.4</v>
      </c>
      <c r="Q68" s="65">
        <v>13.4</v>
      </c>
      <c r="R68" s="65">
        <v>13.4</v>
      </c>
      <c r="S68" s="65">
        <v>17.7</v>
      </c>
      <c r="T68" s="65">
        <v>14.1</v>
      </c>
      <c r="U68" s="65">
        <v>10</v>
      </c>
      <c r="V68" s="65">
        <v>5</v>
      </c>
      <c r="W68" s="65">
        <v>1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17.7</v>
      </c>
      <c r="AI68" s="48">
        <f t="shared" si="9"/>
        <v>0</v>
      </c>
      <c r="AK68" s="50"/>
      <c r="AY68" s="1" t="s">
        <v>377</v>
      </c>
      <c r="AZ68" s="233">
        <f>ROUND(C81,0)</f>
        <v>67</v>
      </c>
      <c r="BA68" s="232">
        <f t="shared" ref="BA68:BD72" si="29">D81</f>
        <v>66.099999999999994</v>
      </c>
      <c r="BB68" s="232">
        <f t="shared" si="29"/>
        <v>59.5</v>
      </c>
      <c r="BC68" s="232">
        <f t="shared" si="29"/>
        <v>54.6</v>
      </c>
      <c r="BD68" s="232">
        <f t="shared" si="29"/>
        <v>60</v>
      </c>
      <c r="BE68" s="233">
        <f>I81</f>
        <v>60</v>
      </c>
      <c r="BF68" s="233">
        <f>K81</f>
        <v>63.5</v>
      </c>
      <c r="BG68" s="233">
        <f t="shared" ref="BG68:BP72" si="30">M81</f>
        <v>60.7</v>
      </c>
      <c r="BH68" s="233">
        <f t="shared" si="30"/>
        <v>59.6</v>
      </c>
      <c r="BI68" s="233">
        <f t="shared" si="30"/>
        <v>55.7</v>
      </c>
      <c r="BJ68" s="233">
        <f t="shared" si="30"/>
        <v>69</v>
      </c>
      <c r="BK68" s="233" t="str">
        <f>Q11</f>
        <v>s</v>
      </c>
      <c r="BL68" s="233">
        <f t="shared" si="30"/>
        <v>55</v>
      </c>
      <c r="BM68" s="233">
        <f t="shared" si="30"/>
        <v>64.7</v>
      </c>
      <c r="BN68" s="233">
        <f t="shared" si="30"/>
        <v>68.2</v>
      </c>
      <c r="BO68" s="233">
        <f t="shared" si="30"/>
        <v>75.599999999999994</v>
      </c>
      <c r="BP68" s="233">
        <f t="shared" si="30"/>
        <v>61</v>
      </c>
      <c r="BQ68" s="233">
        <f>X81</f>
        <v>67.5</v>
      </c>
      <c r="BR68" s="233">
        <f>Z81</f>
        <v>63.4</v>
      </c>
      <c r="BS68" s="232">
        <f>AB81</f>
        <v>68.5</v>
      </c>
      <c r="BT68" s="232">
        <f>AD81</f>
        <v>64</v>
      </c>
      <c r="BU68" s="232">
        <f>AE81</f>
        <v>67</v>
      </c>
      <c r="BV68" s="232">
        <f>AF81</f>
        <v>60</v>
      </c>
      <c r="BW68" s="232">
        <f>B81</f>
        <v>73.2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29"/>
        <v>0</v>
      </c>
      <c r="BB69" s="232">
        <f t="shared" si="29"/>
        <v>0</v>
      </c>
      <c r="BC69" s="232">
        <f t="shared" si="29"/>
        <v>0</v>
      </c>
      <c r="BD69" s="232">
        <f t="shared" si="29"/>
        <v>0</v>
      </c>
      <c r="BE69" s="233">
        <f t="shared" ref="BE69:BE72" si="31">I82</f>
        <v>0</v>
      </c>
      <c r="BF69" s="233">
        <f t="shared" ref="BF69:BF72" si="32">K82</f>
        <v>0</v>
      </c>
      <c r="BG69" s="233">
        <f t="shared" si="30"/>
        <v>0</v>
      </c>
      <c r="BH69" s="233">
        <f t="shared" si="30"/>
        <v>0</v>
      </c>
      <c r="BI69" s="233">
        <f t="shared" si="30"/>
        <v>0</v>
      </c>
      <c r="BJ69" s="233">
        <f t="shared" si="30"/>
        <v>0</v>
      </c>
      <c r="BK69" s="233" t="str">
        <f>Q12</f>
        <v>y</v>
      </c>
      <c r="BL69" s="233">
        <f t="shared" si="30"/>
        <v>0</v>
      </c>
      <c r="BM69" s="233">
        <f t="shared" si="30"/>
        <v>0</v>
      </c>
      <c r="BN69" s="233">
        <f t="shared" si="30"/>
        <v>0</v>
      </c>
      <c r="BO69" s="233">
        <f t="shared" si="30"/>
        <v>0</v>
      </c>
      <c r="BP69" s="233">
        <f t="shared" si="30"/>
        <v>0</v>
      </c>
      <c r="BQ69" s="233">
        <f t="shared" ref="BQ69:BQ72" si="33">X82</f>
        <v>0</v>
      </c>
      <c r="BR69" s="233">
        <f t="shared" ref="BR69:BR72" si="34">Z82</f>
        <v>0</v>
      </c>
      <c r="BS69" s="232">
        <f t="shared" ref="BS69:BS72" si="35">AB82</f>
        <v>0</v>
      </c>
      <c r="BT69" s="232">
        <f t="shared" ref="BT69:BV72" si="36">AD82</f>
        <v>0</v>
      </c>
      <c r="BU69" s="232">
        <f t="shared" si="36"/>
        <v>0</v>
      </c>
      <c r="BV69" s="232">
        <f t="shared" si="36"/>
        <v>0</v>
      </c>
      <c r="BW69" s="232">
        <f t="shared" ref="BW69:BW72" si="37">B82</f>
        <v>0</v>
      </c>
    </row>
    <row r="70" spans="1:75" x14ac:dyDescent="0.25">
      <c r="A70" s="54" t="s">
        <v>70</v>
      </c>
      <c r="B70" s="65">
        <v>4.5</v>
      </c>
      <c r="C70" s="65">
        <v>4.5</v>
      </c>
      <c r="D70" s="65">
        <v>4.5</v>
      </c>
      <c r="E70" s="65">
        <v>4.5</v>
      </c>
      <c r="F70" s="65">
        <v>4.5</v>
      </c>
      <c r="G70" s="65">
        <v>4.5</v>
      </c>
      <c r="H70" s="65">
        <v>4.5</v>
      </c>
      <c r="I70" s="65">
        <v>4.5</v>
      </c>
      <c r="J70" s="65">
        <v>4.5</v>
      </c>
      <c r="K70" s="65">
        <v>4.5</v>
      </c>
      <c r="L70" s="65">
        <v>4.5</v>
      </c>
      <c r="M70" s="65">
        <v>4.5</v>
      </c>
      <c r="N70" s="65">
        <v>4.5</v>
      </c>
      <c r="O70" s="65">
        <v>4.5</v>
      </c>
      <c r="P70" s="65">
        <v>4.5</v>
      </c>
      <c r="Q70" s="65">
        <v>4.5</v>
      </c>
      <c r="R70" s="65">
        <v>4.5</v>
      </c>
      <c r="S70" s="65">
        <v>2</v>
      </c>
      <c r="T70" s="65">
        <v>2</v>
      </c>
      <c r="U70" s="65">
        <v>2</v>
      </c>
      <c r="V70" s="65">
        <v>2</v>
      </c>
      <c r="W70" s="65">
        <v>2</v>
      </c>
      <c r="X70" s="65">
        <v>2</v>
      </c>
      <c r="Y70" s="65">
        <v>2</v>
      </c>
      <c r="Z70" s="65">
        <v>2</v>
      </c>
      <c r="AA70" s="65">
        <v>2</v>
      </c>
      <c r="AB70" s="65">
        <v>2</v>
      </c>
      <c r="AC70" s="65">
        <v>2</v>
      </c>
      <c r="AD70" s="65">
        <v>2</v>
      </c>
      <c r="AE70" s="65">
        <v>2</v>
      </c>
      <c r="AF70" s="65">
        <v>2</v>
      </c>
      <c r="AG70" s="55">
        <v>15</v>
      </c>
      <c r="AH70" s="47">
        <f t="shared" si="8"/>
        <v>4.5</v>
      </c>
      <c r="AI70" s="48">
        <f t="shared" si="9"/>
        <v>2</v>
      </c>
      <c r="AK70" s="50"/>
      <c r="AL70" s="70"/>
      <c r="AO70" s="70"/>
      <c r="AY70" s="1" t="s">
        <v>605</v>
      </c>
      <c r="AZ70" s="233">
        <f>ROUND(C83,0)</f>
        <v>376</v>
      </c>
      <c r="BA70" s="232">
        <f t="shared" si="29"/>
        <v>408</v>
      </c>
      <c r="BB70" s="232">
        <f t="shared" si="29"/>
        <v>410</v>
      </c>
      <c r="BC70" s="232">
        <f t="shared" si="29"/>
        <v>416</v>
      </c>
      <c r="BD70" s="232">
        <f t="shared" si="29"/>
        <v>439</v>
      </c>
      <c r="BE70" s="233">
        <f t="shared" si="31"/>
        <v>410</v>
      </c>
      <c r="BF70" s="233">
        <f t="shared" si="32"/>
        <v>63</v>
      </c>
      <c r="BG70" s="233">
        <f t="shared" si="30"/>
        <v>0.9</v>
      </c>
      <c r="BH70" s="233">
        <f t="shared" si="30"/>
        <v>99</v>
      </c>
      <c r="BI70" s="233">
        <f t="shared" si="30"/>
        <v>421</v>
      </c>
      <c r="BJ70" s="233">
        <f t="shared" si="30"/>
        <v>452</v>
      </c>
      <c r="BK70" s="233" t="str">
        <f>Q13</f>
        <v>s</v>
      </c>
      <c r="BL70" s="233">
        <f t="shared" si="30"/>
        <v>412</v>
      </c>
      <c r="BM70" s="233">
        <f t="shared" si="30"/>
        <v>432</v>
      </c>
      <c r="BN70" s="233">
        <f t="shared" si="30"/>
        <v>437.3</v>
      </c>
      <c r="BO70" s="233">
        <f t="shared" si="30"/>
        <v>455.8</v>
      </c>
      <c r="BP70" s="233">
        <f t="shared" si="30"/>
        <v>296</v>
      </c>
      <c r="BQ70" s="233">
        <f t="shared" si="33"/>
        <v>465.7</v>
      </c>
      <c r="BR70" s="233">
        <f t="shared" si="34"/>
        <v>306.8</v>
      </c>
      <c r="BS70" s="232">
        <f t="shared" si="35"/>
        <v>197</v>
      </c>
      <c r="BT70" s="232">
        <f t="shared" si="36"/>
        <v>356</v>
      </c>
      <c r="BU70" s="232">
        <f t="shared" si="36"/>
        <v>382</v>
      </c>
      <c r="BV70" s="232">
        <f t="shared" si="36"/>
        <v>398</v>
      </c>
      <c r="BW70" s="232">
        <f t="shared" si="37"/>
        <v>399.4</v>
      </c>
    </row>
    <row r="71" spans="1:75" s="70" customFormat="1" x14ac:dyDescent="0.25">
      <c r="A71" s="54" t="s">
        <v>71</v>
      </c>
      <c r="B71" s="65">
        <v>11.2</v>
      </c>
      <c r="C71" s="65">
        <v>11.2</v>
      </c>
      <c r="D71" s="65">
        <v>11.2</v>
      </c>
      <c r="E71" s="65">
        <v>11.2</v>
      </c>
      <c r="F71" s="65">
        <v>11.2</v>
      </c>
      <c r="G71" s="65">
        <v>11.2</v>
      </c>
      <c r="H71" s="65">
        <v>11.2</v>
      </c>
      <c r="I71" s="65">
        <v>11.2</v>
      </c>
      <c r="J71" s="65">
        <v>11.2</v>
      </c>
      <c r="K71" s="65">
        <v>11.2</v>
      </c>
      <c r="L71" s="65">
        <v>11.2</v>
      </c>
      <c r="M71" s="65">
        <v>11.2</v>
      </c>
      <c r="N71" s="65">
        <v>11.2</v>
      </c>
      <c r="O71" s="65">
        <v>11.2</v>
      </c>
      <c r="P71" s="65">
        <v>11.2</v>
      </c>
      <c r="Q71" s="65">
        <v>11.2</v>
      </c>
      <c r="R71" s="65">
        <v>11.2</v>
      </c>
      <c r="S71" s="65">
        <v>11.2</v>
      </c>
      <c r="T71" s="65">
        <v>9.6999999999999993</v>
      </c>
      <c r="U71" s="65">
        <v>9.6999999999999993</v>
      </c>
      <c r="V71" s="65">
        <v>9.6999999999999993</v>
      </c>
      <c r="W71" s="65">
        <v>9.6999999999999993</v>
      </c>
      <c r="X71" s="65">
        <v>9.6999999999999993</v>
      </c>
      <c r="Y71" s="65">
        <v>9.6999999999999993</v>
      </c>
      <c r="Z71" s="65">
        <v>9.6999999999999993</v>
      </c>
      <c r="AA71" s="65">
        <v>9.3000000000000007</v>
      </c>
      <c r="AB71" s="65">
        <v>9.3000000000000007</v>
      </c>
      <c r="AC71" s="65">
        <v>9.3000000000000007</v>
      </c>
      <c r="AD71" s="65">
        <v>9.3000000000000007</v>
      </c>
      <c r="AE71" s="65">
        <v>9.3000000000000007</v>
      </c>
      <c r="AF71" s="65">
        <v>9.3000000000000007</v>
      </c>
      <c r="AG71" s="55">
        <v>14.1</v>
      </c>
      <c r="AH71" s="47">
        <f t="shared" si="8"/>
        <v>11.2</v>
      </c>
      <c r="AI71" s="48">
        <f t="shared" si="9"/>
        <v>9.3000000000000007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10</v>
      </c>
      <c r="BA71" s="232">
        <f t="shared" si="29"/>
        <v>4.4000000000000004</v>
      </c>
      <c r="BB71" s="232">
        <f t="shared" si="29"/>
        <v>4.3</v>
      </c>
      <c r="BC71" s="232">
        <f t="shared" si="29"/>
        <v>4.2</v>
      </c>
      <c r="BD71" s="232">
        <f t="shared" si="29"/>
        <v>5</v>
      </c>
      <c r="BE71" s="233">
        <f t="shared" si="31"/>
        <v>4</v>
      </c>
      <c r="BF71" s="233">
        <f t="shared" si="32"/>
        <v>41</v>
      </c>
      <c r="BG71" s="233">
        <f t="shared" si="30"/>
        <v>32.5</v>
      </c>
      <c r="BH71" s="233">
        <f t="shared" si="30"/>
        <v>26</v>
      </c>
      <c r="BI71" s="233">
        <f t="shared" si="30"/>
        <v>20.9</v>
      </c>
      <c r="BJ71" s="233">
        <f t="shared" si="30"/>
        <v>26.5</v>
      </c>
      <c r="BK71" s="233" t="str">
        <f>Q14</f>
        <v>t</v>
      </c>
      <c r="BL71" s="233">
        <f t="shared" si="30"/>
        <v>34</v>
      </c>
      <c r="BM71" s="233">
        <f t="shared" si="30"/>
        <v>32.200000000000003</v>
      </c>
      <c r="BN71" s="233">
        <f t="shared" si="30"/>
        <v>30.1</v>
      </c>
      <c r="BO71" s="233">
        <f t="shared" si="30"/>
        <v>54</v>
      </c>
      <c r="BP71" s="233">
        <f t="shared" si="30"/>
        <v>38.6</v>
      </c>
      <c r="BQ71" s="233">
        <f t="shared" si="33"/>
        <v>41.5</v>
      </c>
      <c r="BR71" s="233">
        <f t="shared" si="34"/>
        <v>59</v>
      </c>
      <c r="BS71" s="232">
        <f t="shared" si="35"/>
        <v>60</v>
      </c>
      <c r="BT71" s="232">
        <f t="shared" si="36"/>
        <v>58</v>
      </c>
      <c r="BU71" s="232">
        <f t="shared" si="36"/>
        <v>54</v>
      </c>
      <c r="BV71" s="232">
        <f t="shared" si="36"/>
        <v>4</v>
      </c>
      <c r="BW71" s="232">
        <f t="shared" si="37"/>
        <v>10</v>
      </c>
    </row>
    <row r="72" spans="1:75" x14ac:dyDescent="0.25">
      <c r="A72" s="71" t="s">
        <v>72</v>
      </c>
      <c r="B72" s="65">
        <v>2.9</v>
      </c>
      <c r="C72" s="65">
        <v>2.9</v>
      </c>
      <c r="D72" s="65">
        <v>2.9</v>
      </c>
      <c r="E72" s="65">
        <v>2.9</v>
      </c>
      <c r="F72" s="65">
        <v>2.9</v>
      </c>
      <c r="G72" s="65">
        <v>2.9</v>
      </c>
      <c r="H72" s="65">
        <v>2.9</v>
      </c>
      <c r="I72" s="65">
        <v>2.9</v>
      </c>
      <c r="J72" s="65">
        <v>2.9</v>
      </c>
      <c r="K72" s="65">
        <v>2.9</v>
      </c>
      <c r="L72" s="65">
        <v>2.9</v>
      </c>
      <c r="M72" s="65">
        <v>2.9</v>
      </c>
      <c r="N72" s="65">
        <v>2.9</v>
      </c>
      <c r="O72" s="65">
        <v>2.9</v>
      </c>
      <c r="P72" s="65">
        <v>2.9</v>
      </c>
      <c r="Q72" s="65">
        <v>2.9</v>
      </c>
      <c r="R72" s="65">
        <v>2.9</v>
      </c>
      <c r="S72" s="65">
        <v>3.5</v>
      </c>
      <c r="T72" s="65">
        <v>3.5</v>
      </c>
      <c r="U72" s="65">
        <v>3.5</v>
      </c>
      <c r="V72" s="65">
        <v>3.5</v>
      </c>
      <c r="W72" s="65">
        <v>3.5</v>
      </c>
      <c r="X72" s="65">
        <v>3.5</v>
      </c>
      <c r="Y72" s="65">
        <v>3.5</v>
      </c>
      <c r="Z72" s="65">
        <v>3.5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8"/>
        <v>3.5</v>
      </c>
      <c r="AI72" s="48">
        <f t="shared" si="9"/>
        <v>2.9</v>
      </c>
      <c r="AK72" s="50"/>
      <c r="AY72" s="1" t="s">
        <v>607</v>
      </c>
      <c r="AZ72" s="233">
        <f>ROUND(C85,0)</f>
        <v>122</v>
      </c>
      <c r="BA72" s="232">
        <f t="shared" si="29"/>
        <v>122</v>
      </c>
      <c r="BB72" s="232">
        <f t="shared" si="29"/>
        <v>120</v>
      </c>
      <c r="BC72" s="232">
        <f t="shared" si="29"/>
        <v>104</v>
      </c>
      <c r="BD72" s="232">
        <f t="shared" si="29"/>
        <v>86</v>
      </c>
      <c r="BE72" s="233">
        <f t="shared" si="31"/>
        <v>78</v>
      </c>
      <c r="BF72" s="233">
        <f t="shared" si="32"/>
        <v>0</v>
      </c>
      <c r="BG72" s="233">
        <f t="shared" si="30"/>
        <v>0</v>
      </c>
      <c r="BH72" s="233">
        <f t="shared" si="30"/>
        <v>0</v>
      </c>
      <c r="BI72" s="233">
        <f t="shared" si="30"/>
        <v>0</v>
      </c>
      <c r="BJ72" s="233">
        <f t="shared" si="30"/>
        <v>88</v>
      </c>
      <c r="BK72" s="233" t="str">
        <f>Q15</f>
        <v>e</v>
      </c>
      <c r="BL72" s="233">
        <f t="shared" si="30"/>
        <v>54</v>
      </c>
      <c r="BM72" s="233">
        <f t="shared" si="30"/>
        <v>104</v>
      </c>
      <c r="BN72" s="233">
        <f t="shared" si="30"/>
        <v>112.2</v>
      </c>
      <c r="BO72" s="233">
        <f t="shared" si="30"/>
        <v>100</v>
      </c>
      <c r="BP72" s="233">
        <f t="shared" si="30"/>
        <v>32</v>
      </c>
      <c r="BQ72" s="233">
        <f t="shared" si="33"/>
        <v>85</v>
      </c>
      <c r="BR72" s="233">
        <f t="shared" si="34"/>
        <v>116</v>
      </c>
      <c r="BS72" s="232">
        <f t="shared" si="35"/>
        <v>120</v>
      </c>
      <c r="BT72" s="232">
        <f t="shared" si="36"/>
        <v>102</v>
      </c>
      <c r="BU72" s="232">
        <f t="shared" si="36"/>
        <v>110</v>
      </c>
      <c r="BV72" s="232">
        <f t="shared" si="36"/>
        <v>120</v>
      </c>
      <c r="BW72" s="232">
        <f t="shared" si="37"/>
        <v>122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50</v>
      </c>
      <c r="BA73" s="233">
        <f>D91</f>
        <v>50.3</v>
      </c>
      <c r="BB73" s="233">
        <f>E91</f>
        <v>50.1</v>
      </c>
      <c r="BC73" s="233">
        <f>F91</f>
        <v>0</v>
      </c>
      <c r="BD73" s="233">
        <f>G91</f>
        <v>0</v>
      </c>
      <c r="BE73" s="233">
        <f>I91</f>
        <v>68</v>
      </c>
      <c r="BF73" s="233">
        <f>K91</f>
        <v>70.5</v>
      </c>
      <c r="BG73" s="233">
        <f t="shared" ref="BG73:BP73" si="38">M91</f>
        <v>69.400000000000006</v>
      </c>
      <c r="BH73" s="233">
        <f t="shared" si="38"/>
        <v>75</v>
      </c>
      <c r="BI73" s="233">
        <f t="shared" si="38"/>
        <v>75</v>
      </c>
      <c r="BJ73" s="233">
        <f t="shared" si="38"/>
        <v>74</v>
      </c>
      <c r="BK73" s="233" t="str">
        <f>Q21</f>
        <v>u</v>
      </c>
      <c r="BL73" s="233">
        <f t="shared" si="38"/>
        <v>69</v>
      </c>
      <c r="BM73" s="233">
        <f t="shared" si="38"/>
        <v>72.2</v>
      </c>
      <c r="BN73" s="233">
        <f t="shared" si="38"/>
        <v>74.900000000000006</v>
      </c>
      <c r="BO73" s="233">
        <f t="shared" si="38"/>
        <v>80.400000000000006</v>
      </c>
      <c r="BP73" s="233">
        <f t="shared" si="38"/>
        <v>76.599999999999994</v>
      </c>
      <c r="BQ73" s="233">
        <f>X91</f>
        <v>66.599999999999994</v>
      </c>
      <c r="BR73" s="233">
        <f>Z91</f>
        <v>74.8</v>
      </c>
      <c r="BS73" s="233">
        <f>AB91</f>
        <v>67</v>
      </c>
      <c r="BT73" s="233">
        <f>AD91</f>
        <v>69</v>
      </c>
      <c r="BU73" s="233">
        <f>AE91</f>
        <v>74</v>
      </c>
      <c r="BV73" s="233">
        <f>AF91</f>
        <v>73</v>
      </c>
      <c r="BW73" s="233">
        <f>B91</f>
        <v>73.8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3.5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</v>
      </c>
      <c r="AK75" s="50"/>
      <c r="AZ75" s="233">
        <f>VALUE(AZ68)</f>
        <v>67</v>
      </c>
      <c r="BA75" s="233">
        <f t="shared" ref="BA75:BW75" si="39">VALUE(BA68)</f>
        <v>66.099999999999994</v>
      </c>
      <c r="BB75" s="233">
        <f t="shared" si="39"/>
        <v>59.5</v>
      </c>
      <c r="BC75" s="233">
        <f t="shared" si="39"/>
        <v>54.6</v>
      </c>
      <c r="BD75" s="233">
        <f t="shared" si="39"/>
        <v>60</v>
      </c>
      <c r="BE75" s="233">
        <f t="shared" si="39"/>
        <v>60</v>
      </c>
      <c r="BF75" s="233">
        <f t="shared" si="39"/>
        <v>63.5</v>
      </c>
      <c r="BG75" s="233">
        <f t="shared" si="39"/>
        <v>60.7</v>
      </c>
      <c r="BH75" s="233">
        <f t="shared" si="39"/>
        <v>59.6</v>
      </c>
      <c r="BI75" s="233">
        <f t="shared" si="39"/>
        <v>55.7</v>
      </c>
      <c r="BJ75" s="233">
        <f t="shared" si="39"/>
        <v>69</v>
      </c>
      <c r="BK75" s="233" t="e">
        <f t="shared" si="39"/>
        <v>#VALUE!</v>
      </c>
      <c r="BL75" s="233">
        <f t="shared" si="39"/>
        <v>55</v>
      </c>
      <c r="BM75" s="233">
        <f t="shared" si="39"/>
        <v>64.7</v>
      </c>
      <c r="BN75" s="233">
        <f t="shared" si="39"/>
        <v>68.2</v>
      </c>
      <c r="BO75" s="233">
        <f t="shared" si="39"/>
        <v>75.599999999999994</v>
      </c>
      <c r="BP75" s="233">
        <f t="shared" si="39"/>
        <v>61</v>
      </c>
      <c r="BQ75" s="233">
        <f t="shared" si="39"/>
        <v>67.5</v>
      </c>
      <c r="BR75" s="233">
        <f t="shared" si="39"/>
        <v>63.4</v>
      </c>
      <c r="BS75" s="233">
        <f t="shared" si="39"/>
        <v>68.5</v>
      </c>
      <c r="BT75" s="233">
        <f t="shared" si="39"/>
        <v>64</v>
      </c>
      <c r="BU75" s="233">
        <f t="shared" si="39"/>
        <v>67</v>
      </c>
      <c r="BV75" s="233">
        <f t="shared" si="39"/>
        <v>60</v>
      </c>
      <c r="BW75" s="233">
        <f t="shared" si="39"/>
        <v>73.2</v>
      </c>
    </row>
    <row r="76" spans="1:75" ht="15.75" thickBot="1" x14ac:dyDescent="0.3">
      <c r="A76" s="74" t="s">
        <v>76</v>
      </c>
      <c r="B76" s="60">
        <f t="shared" ref="B76:AG76" si="40">SUM(B63:B75)</f>
        <v>107.44000000000001</v>
      </c>
      <c r="C76" s="60">
        <f t="shared" si="40"/>
        <v>117.64000000000001</v>
      </c>
      <c r="D76" s="60">
        <f t="shared" si="40"/>
        <v>82.640000000000015</v>
      </c>
      <c r="E76" s="60">
        <f t="shared" si="40"/>
        <v>82.640000000000015</v>
      </c>
      <c r="F76" s="60">
        <f t="shared" si="40"/>
        <v>82.640000000000015</v>
      </c>
      <c r="G76" s="60">
        <f t="shared" si="40"/>
        <v>139.63999999999999</v>
      </c>
      <c r="H76" s="60">
        <f t="shared" si="40"/>
        <v>165.64</v>
      </c>
      <c r="I76" s="60">
        <f t="shared" si="40"/>
        <v>237.64</v>
      </c>
      <c r="J76" s="60">
        <f t="shared" si="40"/>
        <v>320.64</v>
      </c>
      <c r="K76" s="60">
        <f t="shared" si="40"/>
        <v>360.14000000000004</v>
      </c>
      <c r="L76" s="60">
        <f t="shared" si="40"/>
        <v>332.24</v>
      </c>
      <c r="M76" s="60">
        <f t="shared" si="40"/>
        <v>316.03999999999991</v>
      </c>
      <c r="N76" s="60">
        <f t="shared" si="40"/>
        <v>327.53999999999996</v>
      </c>
      <c r="O76" s="60">
        <f t="shared" si="40"/>
        <v>219.33999999999997</v>
      </c>
      <c r="P76" s="60">
        <f t="shared" si="40"/>
        <v>211.33999999999997</v>
      </c>
      <c r="Q76" s="60">
        <f t="shared" si="40"/>
        <v>217.84</v>
      </c>
      <c r="R76" s="60">
        <f t="shared" si="40"/>
        <v>227.34</v>
      </c>
      <c r="S76" s="60">
        <f t="shared" si="40"/>
        <v>243.73999999999998</v>
      </c>
      <c r="T76" s="60">
        <f t="shared" si="40"/>
        <v>251.83999999999995</v>
      </c>
      <c r="U76" s="60">
        <f t="shared" si="40"/>
        <v>199.23999999999995</v>
      </c>
      <c r="V76" s="60">
        <f t="shared" si="40"/>
        <v>194.23999999999995</v>
      </c>
      <c r="W76" s="60">
        <f t="shared" si="40"/>
        <v>99.54</v>
      </c>
      <c r="X76" s="60">
        <f t="shared" si="40"/>
        <v>110.64000000000001</v>
      </c>
      <c r="Y76" s="60">
        <f>SUM(Y63:Y75)</f>
        <v>244.69999999999996</v>
      </c>
      <c r="Z76" s="60">
        <f>SUM(Z63:Z75)</f>
        <v>292.79999999999995</v>
      </c>
      <c r="AA76" s="60">
        <f t="shared" si="40"/>
        <v>252.84</v>
      </c>
      <c r="AB76" s="60">
        <f t="shared" si="40"/>
        <v>232.94</v>
      </c>
      <c r="AC76" s="60">
        <f t="shared" ref="AC76:AD76" si="41">SUM(AC63:AC75)</f>
        <v>218.24</v>
      </c>
      <c r="AD76" s="60">
        <f t="shared" si="41"/>
        <v>181.44</v>
      </c>
      <c r="AE76" s="60">
        <f t="shared" ref="AE76:AF76" si="42">SUM(AE63:AE75)</f>
        <v>152.04</v>
      </c>
      <c r="AF76" s="60">
        <f t="shared" si="42"/>
        <v>142.04</v>
      </c>
      <c r="AG76" s="61">
        <f t="shared" si="40"/>
        <v>489.91</v>
      </c>
      <c r="AH76" s="47">
        <f t="shared" si="8"/>
        <v>360.14000000000004</v>
      </c>
      <c r="AI76" s="48">
        <f t="shared" si="9"/>
        <v>82.640000000000015</v>
      </c>
      <c r="AK76" s="50"/>
      <c r="AZ76" s="233">
        <f t="shared" ref="AZ76:BW80" si="43">VALUE(AZ69)</f>
        <v>0</v>
      </c>
      <c r="BA76" s="233">
        <f t="shared" si="43"/>
        <v>0</v>
      </c>
      <c r="BB76" s="233">
        <f t="shared" si="43"/>
        <v>0</v>
      </c>
      <c r="BC76" s="233">
        <f t="shared" si="43"/>
        <v>0</v>
      </c>
      <c r="BD76" s="233">
        <f t="shared" si="43"/>
        <v>0</v>
      </c>
      <c r="BE76" s="233">
        <f t="shared" si="43"/>
        <v>0</v>
      </c>
      <c r="BF76" s="233">
        <f t="shared" si="43"/>
        <v>0</v>
      </c>
      <c r="BG76" s="233">
        <f t="shared" si="43"/>
        <v>0</v>
      </c>
      <c r="BH76" s="233">
        <f t="shared" si="43"/>
        <v>0</v>
      </c>
      <c r="BI76" s="233">
        <f t="shared" si="43"/>
        <v>0</v>
      </c>
      <c r="BJ76" s="233">
        <f t="shared" si="43"/>
        <v>0</v>
      </c>
      <c r="BK76" s="233" t="e">
        <f t="shared" si="43"/>
        <v>#VALUE!</v>
      </c>
      <c r="BL76" s="233">
        <f t="shared" si="43"/>
        <v>0</v>
      </c>
      <c r="BM76" s="233">
        <f t="shared" si="43"/>
        <v>0</v>
      </c>
      <c r="BN76" s="233">
        <f t="shared" si="43"/>
        <v>0</v>
      </c>
      <c r="BO76" s="233">
        <f t="shared" si="43"/>
        <v>0</v>
      </c>
      <c r="BP76" s="233">
        <f t="shared" si="43"/>
        <v>0</v>
      </c>
      <c r="BQ76" s="233">
        <f t="shared" si="43"/>
        <v>0</v>
      </c>
      <c r="BR76" s="233">
        <f t="shared" si="43"/>
        <v>0</v>
      </c>
      <c r="BS76" s="233">
        <f t="shared" si="43"/>
        <v>0</v>
      </c>
      <c r="BT76" s="233">
        <f t="shared" si="43"/>
        <v>0</v>
      </c>
      <c r="BU76" s="233">
        <f t="shared" si="43"/>
        <v>0</v>
      </c>
      <c r="BV76" s="233">
        <f t="shared" si="43"/>
        <v>0</v>
      </c>
      <c r="BW76" s="233">
        <f t="shared" si="43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8"/>
        <v>0</v>
      </c>
      <c r="AI77" s="48">
        <f t="shared" si="9"/>
        <v>0</v>
      </c>
      <c r="AK77" s="50"/>
      <c r="AZ77" s="233">
        <f t="shared" si="43"/>
        <v>376</v>
      </c>
      <c r="BA77" s="233">
        <f t="shared" si="43"/>
        <v>408</v>
      </c>
      <c r="BB77" s="233">
        <f t="shared" si="43"/>
        <v>410</v>
      </c>
      <c r="BC77" s="233">
        <f t="shared" si="43"/>
        <v>416</v>
      </c>
      <c r="BD77" s="233">
        <f t="shared" si="43"/>
        <v>439</v>
      </c>
      <c r="BE77" s="233">
        <f t="shared" si="43"/>
        <v>410</v>
      </c>
      <c r="BF77" s="233">
        <f t="shared" si="43"/>
        <v>63</v>
      </c>
      <c r="BG77" s="233">
        <f t="shared" si="43"/>
        <v>0.9</v>
      </c>
      <c r="BH77" s="233">
        <f t="shared" si="43"/>
        <v>99</v>
      </c>
      <c r="BI77" s="233">
        <f t="shared" si="43"/>
        <v>421</v>
      </c>
      <c r="BJ77" s="233">
        <f t="shared" si="43"/>
        <v>452</v>
      </c>
      <c r="BK77" s="233" t="e">
        <f t="shared" si="43"/>
        <v>#VALUE!</v>
      </c>
      <c r="BL77" s="233">
        <f t="shared" si="43"/>
        <v>412</v>
      </c>
      <c r="BM77" s="233">
        <f t="shared" si="43"/>
        <v>432</v>
      </c>
      <c r="BN77" s="233">
        <f t="shared" si="43"/>
        <v>437.3</v>
      </c>
      <c r="BO77" s="233">
        <f t="shared" si="43"/>
        <v>455.8</v>
      </c>
      <c r="BP77" s="233">
        <f t="shared" si="43"/>
        <v>296</v>
      </c>
      <c r="BQ77" s="233">
        <f t="shared" si="43"/>
        <v>465.7</v>
      </c>
      <c r="BR77" s="233">
        <f t="shared" si="43"/>
        <v>306.8</v>
      </c>
      <c r="BS77" s="233">
        <f t="shared" si="43"/>
        <v>197</v>
      </c>
      <c r="BT77" s="233">
        <f t="shared" si="43"/>
        <v>356</v>
      </c>
      <c r="BU77" s="233">
        <f t="shared" si="43"/>
        <v>382</v>
      </c>
      <c r="BV77" s="233">
        <f t="shared" si="43"/>
        <v>398</v>
      </c>
      <c r="BW77" s="233">
        <f t="shared" si="43"/>
        <v>399.4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8"/>
        <v>0</v>
      </c>
      <c r="AI78" s="48">
        <f t="shared" si="9"/>
        <v>0</v>
      </c>
      <c r="AK78" s="50"/>
      <c r="AZ78" s="233">
        <f t="shared" si="43"/>
        <v>10</v>
      </c>
      <c r="BA78" s="233">
        <f t="shared" si="43"/>
        <v>4.4000000000000004</v>
      </c>
      <c r="BB78" s="233">
        <f t="shared" si="43"/>
        <v>4.3</v>
      </c>
      <c r="BC78" s="233">
        <f t="shared" si="43"/>
        <v>4.2</v>
      </c>
      <c r="BD78" s="233">
        <f t="shared" si="43"/>
        <v>5</v>
      </c>
      <c r="BE78" s="233">
        <f t="shared" si="43"/>
        <v>4</v>
      </c>
      <c r="BF78" s="233">
        <f t="shared" si="43"/>
        <v>41</v>
      </c>
      <c r="BG78" s="233">
        <f t="shared" si="43"/>
        <v>32.5</v>
      </c>
      <c r="BH78" s="233">
        <f t="shared" si="43"/>
        <v>26</v>
      </c>
      <c r="BI78" s="233">
        <f t="shared" si="43"/>
        <v>20.9</v>
      </c>
      <c r="BJ78" s="233">
        <f t="shared" si="43"/>
        <v>26.5</v>
      </c>
      <c r="BK78" s="233" t="e">
        <f t="shared" si="43"/>
        <v>#VALUE!</v>
      </c>
      <c r="BL78" s="233">
        <f t="shared" si="43"/>
        <v>34</v>
      </c>
      <c r="BM78" s="233">
        <f t="shared" si="43"/>
        <v>32.200000000000003</v>
      </c>
      <c r="BN78" s="233">
        <f t="shared" si="43"/>
        <v>30.1</v>
      </c>
      <c r="BO78" s="233">
        <f t="shared" si="43"/>
        <v>54</v>
      </c>
      <c r="BP78" s="233">
        <f t="shared" si="43"/>
        <v>38.6</v>
      </c>
      <c r="BQ78" s="233">
        <f t="shared" si="43"/>
        <v>41.5</v>
      </c>
      <c r="BR78" s="233">
        <f t="shared" si="43"/>
        <v>59</v>
      </c>
      <c r="BS78" s="233">
        <f t="shared" si="43"/>
        <v>60</v>
      </c>
      <c r="BT78" s="233">
        <f t="shared" si="43"/>
        <v>58</v>
      </c>
      <c r="BU78" s="233">
        <f t="shared" si="43"/>
        <v>54</v>
      </c>
      <c r="BV78" s="233">
        <f t="shared" si="43"/>
        <v>4</v>
      </c>
      <c r="BW78" s="233">
        <f t="shared" si="43"/>
        <v>10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8"/>
        <v>0</v>
      </c>
      <c r="AI79" s="48">
        <f t="shared" si="9"/>
        <v>0</v>
      </c>
      <c r="AK79" s="50"/>
      <c r="AZ79" s="233">
        <f t="shared" si="43"/>
        <v>122</v>
      </c>
      <c r="BA79" s="233">
        <f t="shared" si="43"/>
        <v>122</v>
      </c>
      <c r="BB79" s="233">
        <f t="shared" si="43"/>
        <v>120</v>
      </c>
      <c r="BC79" s="233">
        <f t="shared" si="43"/>
        <v>104</v>
      </c>
      <c r="BD79" s="233">
        <f t="shared" si="43"/>
        <v>86</v>
      </c>
      <c r="BE79" s="233">
        <f t="shared" si="43"/>
        <v>78</v>
      </c>
      <c r="BF79" s="233">
        <f t="shared" si="43"/>
        <v>0</v>
      </c>
      <c r="BG79" s="233">
        <f t="shared" si="43"/>
        <v>0</v>
      </c>
      <c r="BH79" s="233">
        <f t="shared" si="43"/>
        <v>0</v>
      </c>
      <c r="BI79" s="233">
        <f t="shared" si="43"/>
        <v>0</v>
      </c>
      <c r="BJ79" s="233">
        <f t="shared" si="43"/>
        <v>88</v>
      </c>
      <c r="BK79" s="233" t="e">
        <f t="shared" si="43"/>
        <v>#VALUE!</v>
      </c>
      <c r="BL79" s="233">
        <f t="shared" si="43"/>
        <v>54</v>
      </c>
      <c r="BM79" s="233">
        <f t="shared" si="43"/>
        <v>104</v>
      </c>
      <c r="BN79" s="233">
        <f t="shared" si="43"/>
        <v>112.2</v>
      </c>
      <c r="BO79" s="233">
        <f t="shared" si="43"/>
        <v>100</v>
      </c>
      <c r="BP79" s="233">
        <f t="shared" si="43"/>
        <v>32</v>
      </c>
      <c r="BQ79" s="233">
        <f t="shared" si="43"/>
        <v>85</v>
      </c>
      <c r="BR79" s="233">
        <f t="shared" si="43"/>
        <v>116</v>
      </c>
      <c r="BS79" s="233">
        <f t="shared" si="43"/>
        <v>120</v>
      </c>
      <c r="BT79" s="233">
        <f t="shared" si="43"/>
        <v>102</v>
      </c>
      <c r="BU79" s="233">
        <f t="shared" si="43"/>
        <v>110</v>
      </c>
      <c r="BV79" s="233">
        <f t="shared" si="43"/>
        <v>120</v>
      </c>
      <c r="BW79" s="233">
        <f t="shared" si="43"/>
        <v>122</v>
      </c>
    </row>
    <row r="80" spans="1:75" ht="15.75" thickBot="1" x14ac:dyDescent="0.3">
      <c r="A80" s="74" t="s">
        <v>80</v>
      </c>
      <c r="B80" s="60">
        <f t="shared" ref="B80:AB80" si="44">B77+B78+B79</f>
        <v>0</v>
      </c>
      <c r="C80" s="60">
        <f t="shared" si="44"/>
        <v>0</v>
      </c>
      <c r="D80" s="60">
        <f t="shared" si="44"/>
        <v>0</v>
      </c>
      <c r="E80" s="60">
        <f t="shared" si="44"/>
        <v>0</v>
      </c>
      <c r="F80" s="60">
        <f t="shared" si="44"/>
        <v>0</v>
      </c>
      <c r="G80" s="60">
        <f t="shared" si="44"/>
        <v>0</v>
      </c>
      <c r="H80" s="60">
        <f t="shared" si="44"/>
        <v>0</v>
      </c>
      <c r="I80" s="60">
        <f t="shared" si="44"/>
        <v>0</v>
      </c>
      <c r="J80" s="60">
        <f t="shared" si="44"/>
        <v>0</v>
      </c>
      <c r="K80" s="60">
        <f t="shared" si="44"/>
        <v>0</v>
      </c>
      <c r="L80" s="60">
        <f t="shared" si="44"/>
        <v>0</v>
      </c>
      <c r="M80" s="60">
        <f t="shared" si="44"/>
        <v>0</v>
      </c>
      <c r="N80" s="60">
        <f t="shared" si="44"/>
        <v>0</v>
      </c>
      <c r="O80" s="60">
        <f t="shared" si="44"/>
        <v>0</v>
      </c>
      <c r="P80" s="60">
        <f t="shared" si="44"/>
        <v>0</v>
      </c>
      <c r="Q80" s="60">
        <f t="shared" si="44"/>
        <v>0</v>
      </c>
      <c r="R80" s="60">
        <f t="shared" si="44"/>
        <v>0</v>
      </c>
      <c r="S80" s="60">
        <f t="shared" si="44"/>
        <v>0</v>
      </c>
      <c r="T80" s="60">
        <f t="shared" si="44"/>
        <v>0</v>
      </c>
      <c r="U80" s="60">
        <f t="shared" si="44"/>
        <v>0</v>
      </c>
      <c r="V80" s="60">
        <f t="shared" si="44"/>
        <v>0</v>
      </c>
      <c r="W80" s="60">
        <f t="shared" si="44"/>
        <v>0</v>
      </c>
      <c r="X80" s="60">
        <f t="shared" si="44"/>
        <v>0</v>
      </c>
      <c r="Y80" s="60">
        <f>Y77+Y78+Y79</f>
        <v>0</v>
      </c>
      <c r="Z80" s="60">
        <f>Z77+Z78+Z79</f>
        <v>0</v>
      </c>
      <c r="AA80" s="60">
        <f t="shared" si="44"/>
        <v>0</v>
      </c>
      <c r="AB80" s="60">
        <f t="shared" si="44"/>
        <v>0</v>
      </c>
      <c r="AC80" s="60">
        <f t="shared" ref="AC80:AD80" si="45">AC77+AC78+AC79</f>
        <v>0</v>
      </c>
      <c r="AD80" s="60">
        <f t="shared" si="45"/>
        <v>0</v>
      </c>
      <c r="AE80" s="60">
        <f t="shared" ref="AE80:AF80" si="46">AE77+AE78+AE79</f>
        <v>0</v>
      </c>
      <c r="AF80" s="60">
        <f t="shared" si="46"/>
        <v>0</v>
      </c>
      <c r="AG80" s="61">
        <f>SUM(AG77:AG79)</f>
        <v>106</v>
      </c>
      <c r="AH80" s="47">
        <f t="shared" si="8"/>
        <v>0</v>
      </c>
      <c r="AI80" s="48">
        <f t="shared" si="9"/>
        <v>0</v>
      </c>
      <c r="AK80" s="50"/>
      <c r="AZ80" s="233">
        <f t="shared" si="43"/>
        <v>50</v>
      </c>
      <c r="BA80" s="233">
        <f t="shared" si="43"/>
        <v>50.3</v>
      </c>
      <c r="BB80" s="233">
        <f t="shared" si="43"/>
        <v>50.1</v>
      </c>
      <c r="BC80" s="233">
        <f t="shared" si="43"/>
        <v>0</v>
      </c>
      <c r="BD80" s="233">
        <f t="shared" si="43"/>
        <v>0</v>
      </c>
      <c r="BE80" s="233">
        <f t="shared" si="43"/>
        <v>68</v>
      </c>
      <c r="BF80" s="233">
        <f t="shared" si="43"/>
        <v>70.5</v>
      </c>
      <c r="BG80" s="233">
        <f t="shared" si="43"/>
        <v>69.400000000000006</v>
      </c>
      <c r="BH80" s="233">
        <f t="shared" si="43"/>
        <v>75</v>
      </c>
      <c r="BI80" s="233">
        <f t="shared" si="43"/>
        <v>75</v>
      </c>
      <c r="BJ80" s="233">
        <f t="shared" si="43"/>
        <v>74</v>
      </c>
      <c r="BK80" s="233" t="e">
        <f t="shared" si="43"/>
        <v>#VALUE!</v>
      </c>
      <c r="BL80" s="233">
        <f t="shared" si="43"/>
        <v>69</v>
      </c>
      <c r="BM80" s="233">
        <f t="shared" si="43"/>
        <v>72.2</v>
      </c>
      <c r="BN80" s="233">
        <f t="shared" si="43"/>
        <v>74.900000000000006</v>
      </c>
      <c r="BO80" s="233">
        <f t="shared" si="43"/>
        <v>80.400000000000006</v>
      </c>
      <c r="BP80" s="233">
        <f t="shared" si="43"/>
        <v>76.599999999999994</v>
      </c>
      <c r="BQ80" s="233">
        <f t="shared" si="43"/>
        <v>66.599999999999994</v>
      </c>
      <c r="BR80" s="233">
        <f t="shared" si="43"/>
        <v>74.8</v>
      </c>
      <c r="BS80" s="233">
        <f t="shared" si="43"/>
        <v>67</v>
      </c>
      <c r="BT80" s="233">
        <f t="shared" si="43"/>
        <v>69</v>
      </c>
      <c r="BU80" s="233">
        <f t="shared" si="43"/>
        <v>74</v>
      </c>
      <c r="BV80" s="233">
        <f t="shared" si="43"/>
        <v>73</v>
      </c>
      <c r="BW80" s="233">
        <f t="shared" si="43"/>
        <v>73.8</v>
      </c>
    </row>
    <row r="81" spans="1:64" x14ac:dyDescent="0.25">
      <c r="A81" s="44" t="s">
        <v>81</v>
      </c>
      <c r="B81" s="45">
        <v>73.2</v>
      </c>
      <c r="C81" s="45">
        <v>67</v>
      </c>
      <c r="D81" s="45">
        <v>66.099999999999994</v>
      </c>
      <c r="E81" s="45">
        <v>59.5</v>
      </c>
      <c r="F81" s="45">
        <v>54.6</v>
      </c>
      <c r="G81" s="45">
        <v>60</v>
      </c>
      <c r="H81" s="45">
        <v>62</v>
      </c>
      <c r="I81" s="45">
        <v>60</v>
      </c>
      <c r="J81" s="45">
        <v>69</v>
      </c>
      <c r="K81" s="45">
        <v>63.5</v>
      </c>
      <c r="L81" s="45">
        <v>63.4</v>
      </c>
      <c r="M81" s="45">
        <v>60.7</v>
      </c>
      <c r="N81" s="45">
        <v>59.6</v>
      </c>
      <c r="O81" s="45">
        <v>55.7</v>
      </c>
      <c r="P81" s="45">
        <v>69</v>
      </c>
      <c r="Q81" s="45">
        <v>69</v>
      </c>
      <c r="R81" s="45">
        <v>55</v>
      </c>
      <c r="S81" s="45">
        <v>64.7</v>
      </c>
      <c r="T81" s="45">
        <v>68.2</v>
      </c>
      <c r="U81" s="45">
        <v>75.599999999999994</v>
      </c>
      <c r="V81" s="45">
        <v>61</v>
      </c>
      <c r="W81" s="45">
        <v>63.9</v>
      </c>
      <c r="X81" s="45">
        <v>67.5</v>
      </c>
      <c r="Y81" s="45">
        <v>62.5</v>
      </c>
      <c r="Z81" s="45">
        <v>63.4</v>
      </c>
      <c r="AA81" s="45">
        <v>69.5</v>
      </c>
      <c r="AB81" s="45">
        <v>68.5</v>
      </c>
      <c r="AC81" s="45">
        <v>67</v>
      </c>
      <c r="AD81" s="45">
        <v>64</v>
      </c>
      <c r="AE81" s="45">
        <v>67</v>
      </c>
      <c r="AF81" s="45">
        <v>60</v>
      </c>
      <c r="AG81" s="52"/>
      <c r="AH81" s="47">
        <f t="shared" si="8"/>
        <v>75.599999999999994</v>
      </c>
      <c r="AI81" s="48">
        <f t="shared" si="9"/>
        <v>54.6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47">MAX(B82:AF82)</f>
        <v>0</v>
      </c>
      <c r="AI82" s="48">
        <f t="shared" ref="AI82:AI123" si="48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399.4</v>
      </c>
      <c r="C83" s="65">
        <v>376</v>
      </c>
      <c r="D83" s="65">
        <v>408</v>
      </c>
      <c r="E83" s="65">
        <v>410</v>
      </c>
      <c r="F83" s="65">
        <v>416</v>
      </c>
      <c r="G83" s="65">
        <v>439</v>
      </c>
      <c r="H83" s="65">
        <v>442</v>
      </c>
      <c r="I83" s="65">
        <v>410</v>
      </c>
      <c r="J83" s="65">
        <v>390</v>
      </c>
      <c r="K83" s="65">
        <v>63</v>
      </c>
      <c r="L83" s="65">
        <v>15</v>
      </c>
      <c r="M83" s="65">
        <v>0.9</v>
      </c>
      <c r="N83" s="65">
        <v>99</v>
      </c>
      <c r="O83" s="65">
        <v>421</v>
      </c>
      <c r="P83" s="65">
        <v>452</v>
      </c>
      <c r="Q83" s="65"/>
      <c r="R83" s="65">
        <v>412</v>
      </c>
      <c r="S83" s="65">
        <v>432</v>
      </c>
      <c r="T83" s="65">
        <v>437.3</v>
      </c>
      <c r="U83" s="65">
        <v>455.8</v>
      </c>
      <c r="V83" s="65">
        <v>296</v>
      </c>
      <c r="W83" s="65">
        <v>463.5</v>
      </c>
      <c r="X83" s="65">
        <v>465.7</v>
      </c>
      <c r="Y83" s="65">
        <v>363</v>
      </c>
      <c r="Z83" s="65">
        <v>306.8</v>
      </c>
      <c r="AA83" s="65">
        <v>204.3</v>
      </c>
      <c r="AB83" s="65">
        <v>197</v>
      </c>
      <c r="AC83" s="65">
        <v>312</v>
      </c>
      <c r="AD83" s="65">
        <v>356</v>
      </c>
      <c r="AE83" s="65">
        <v>382</v>
      </c>
      <c r="AF83" s="65">
        <v>398</v>
      </c>
      <c r="AG83" s="75"/>
      <c r="AH83" s="47">
        <f t="shared" si="47"/>
        <v>465.7</v>
      </c>
      <c r="AI83" s="48">
        <f t="shared" si="48"/>
        <v>0.9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76">
        <v>10</v>
      </c>
      <c r="C84" s="76">
        <v>9.6</v>
      </c>
      <c r="D84" s="65">
        <v>4.4000000000000004</v>
      </c>
      <c r="E84" s="76">
        <v>4.3</v>
      </c>
      <c r="F84" s="76">
        <v>4.2</v>
      </c>
      <c r="G84" s="76">
        <v>5</v>
      </c>
      <c r="H84" s="76">
        <v>4</v>
      </c>
      <c r="I84" s="76">
        <v>4</v>
      </c>
      <c r="J84" s="76">
        <v>28</v>
      </c>
      <c r="K84" s="76">
        <v>41</v>
      </c>
      <c r="L84" s="76">
        <v>38</v>
      </c>
      <c r="M84" s="76">
        <v>32.5</v>
      </c>
      <c r="N84" s="76">
        <v>26</v>
      </c>
      <c r="O84" s="76">
        <v>20.9</v>
      </c>
      <c r="P84" s="76">
        <v>26.5</v>
      </c>
      <c r="Q84" s="76"/>
      <c r="R84" s="76">
        <v>34</v>
      </c>
      <c r="S84" s="76">
        <v>32.200000000000003</v>
      </c>
      <c r="T84" s="76">
        <v>30.1</v>
      </c>
      <c r="U84" s="76">
        <v>54</v>
      </c>
      <c r="V84" s="76">
        <v>38.6</v>
      </c>
      <c r="W84" s="76">
        <v>36.5</v>
      </c>
      <c r="X84" s="76">
        <v>41.5</v>
      </c>
      <c r="Y84" s="76">
        <v>49.2</v>
      </c>
      <c r="Z84" s="76">
        <v>59</v>
      </c>
      <c r="AA84" s="76">
        <v>60</v>
      </c>
      <c r="AB84" s="76">
        <v>60</v>
      </c>
      <c r="AC84" s="76">
        <v>58</v>
      </c>
      <c r="AD84" s="76">
        <v>58</v>
      </c>
      <c r="AE84" s="76">
        <v>54</v>
      </c>
      <c r="AF84" s="76">
        <v>4</v>
      </c>
      <c r="AG84" s="75"/>
      <c r="AH84" s="47">
        <f t="shared" si="47"/>
        <v>60</v>
      </c>
      <c r="AI84" s="48">
        <f t="shared" si="48"/>
        <v>4</v>
      </c>
      <c r="AK84" s="50"/>
      <c r="AY84" s="233"/>
      <c r="BF84" s="232"/>
      <c r="BG84" s="233">
        <f t="array" ref="BG84:BL107">TRANSPOSE(AZ68:BW73)</f>
        <v>67</v>
      </c>
      <c r="BH84" s="233">
        <v>0</v>
      </c>
      <c r="BI84" s="233">
        <v>376</v>
      </c>
      <c r="BJ84" s="233">
        <v>10</v>
      </c>
      <c r="BK84" s="233">
        <v>122</v>
      </c>
      <c r="BL84" s="233">
        <v>50</v>
      </c>
    </row>
    <row r="85" spans="1:64" x14ac:dyDescent="0.25">
      <c r="A85" s="54" t="s">
        <v>85</v>
      </c>
      <c r="B85" s="45">
        <v>122</v>
      </c>
      <c r="C85" s="45">
        <v>122.2</v>
      </c>
      <c r="D85" s="45">
        <v>122</v>
      </c>
      <c r="E85" s="45">
        <v>120</v>
      </c>
      <c r="F85" s="45">
        <v>104</v>
      </c>
      <c r="G85" s="45">
        <v>86</v>
      </c>
      <c r="H85" s="45">
        <v>78</v>
      </c>
      <c r="I85" s="45">
        <v>78</v>
      </c>
      <c r="J85" s="45">
        <v>78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88</v>
      </c>
      <c r="Q85" s="45"/>
      <c r="R85" s="45">
        <v>54</v>
      </c>
      <c r="S85" s="45">
        <v>104</v>
      </c>
      <c r="T85" s="45">
        <v>112.2</v>
      </c>
      <c r="U85" s="45">
        <v>100</v>
      </c>
      <c r="V85" s="45">
        <v>32</v>
      </c>
      <c r="W85" s="45">
        <v>45</v>
      </c>
      <c r="X85" s="45">
        <v>85</v>
      </c>
      <c r="Y85" s="45">
        <v>114</v>
      </c>
      <c r="Z85" s="45">
        <v>116</v>
      </c>
      <c r="AA85" s="45">
        <v>120.4</v>
      </c>
      <c r="AB85" s="45">
        <v>120</v>
      </c>
      <c r="AC85" s="45">
        <v>94</v>
      </c>
      <c r="AD85" s="45">
        <v>102</v>
      </c>
      <c r="AE85" s="45">
        <v>110</v>
      </c>
      <c r="AF85" s="45">
        <v>120</v>
      </c>
      <c r="AG85" s="75"/>
      <c r="AH85" s="47">
        <f t="shared" si="47"/>
        <v>122.2</v>
      </c>
      <c r="AI85" s="48">
        <f t="shared" si="48"/>
        <v>0</v>
      </c>
      <c r="AK85" s="50"/>
      <c r="AY85" s="233"/>
      <c r="BF85" s="232"/>
      <c r="BG85" s="233">
        <v>66.099999999999994</v>
      </c>
      <c r="BH85" s="233">
        <v>0</v>
      </c>
      <c r="BI85" s="233">
        <v>408</v>
      </c>
      <c r="BJ85" s="233">
        <v>4.4000000000000004</v>
      </c>
      <c r="BK85" s="233">
        <v>122</v>
      </c>
      <c r="BL85" s="233">
        <v>50.3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7"/>
        <v>0</v>
      </c>
      <c r="AI86" s="48">
        <f t="shared" si="48"/>
        <v>0</v>
      </c>
      <c r="AK86" s="50"/>
      <c r="AY86" s="233"/>
      <c r="BF86" s="232"/>
      <c r="BG86" s="233">
        <v>59.5</v>
      </c>
      <c r="BH86" s="233">
        <v>0</v>
      </c>
      <c r="BI86" s="233">
        <v>410</v>
      </c>
      <c r="BJ86" s="233">
        <v>4.3</v>
      </c>
      <c r="BK86" s="233">
        <v>120</v>
      </c>
      <c r="BL86" s="233">
        <v>50.1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7"/>
        <v>0</v>
      </c>
      <c r="AI87" s="48">
        <f t="shared" si="48"/>
        <v>0</v>
      </c>
      <c r="AK87" s="50"/>
      <c r="AL87" s="78" t="s">
        <v>88</v>
      </c>
      <c r="AM87" s="78"/>
      <c r="AY87" s="233"/>
      <c r="BF87" s="233"/>
      <c r="BG87" s="233">
        <v>54.6</v>
      </c>
      <c r="BH87" s="233">
        <v>0</v>
      </c>
      <c r="BI87" s="233">
        <v>416</v>
      </c>
      <c r="BJ87" s="233">
        <v>4.2</v>
      </c>
      <c r="BK87" s="233">
        <v>104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7"/>
        <v>0</v>
      </c>
      <c r="AI88" s="48">
        <f t="shared" si="48"/>
        <v>0</v>
      </c>
      <c r="AK88" s="79"/>
      <c r="AL88" s="80"/>
      <c r="AM88" s="80"/>
      <c r="AN88" s="81"/>
      <c r="AY88" s="233"/>
      <c r="BF88" s="233"/>
      <c r="BG88" s="233">
        <v>60</v>
      </c>
      <c r="BH88" s="233">
        <v>0</v>
      </c>
      <c r="BI88" s="233">
        <v>439</v>
      </c>
      <c r="BJ88" s="233">
        <v>5</v>
      </c>
      <c r="BK88" s="233">
        <v>86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7"/>
        <v>0</v>
      </c>
      <c r="AI89" s="48">
        <f t="shared" si="48"/>
        <v>0</v>
      </c>
      <c r="AK89" s="82" t="s">
        <v>91</v>
      </c>
      <c r="AL89" s="65"/>
      <c r="AM89" s="76"/>
      <c r="AN89" s="83"/>
      <c r="AY89" s="233"/>
      <c r="BF89" s="233"/>
      <c r="BG89" s="233">
        <v>60</v>
      </c>
      <c r="BH89" s="233">
        <v>0</v>
      </c>
      <c r="BI89" s="233">
        <v>410</v>
      </c>
      <c r="BJ89" s="233">
        <v>4</v>
      </c>
      <c r="BK89" s="233">
        <v>78</v>
      </c>
      <c r="BL89" s="233">
        <v>68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7"/>
        <v>0</v>
      </c>
      <c r="AI90" s="48">
        <f t="shared" si="48"/>
        <v>0</v>
      </c>
      <c r="AK90" s="82" t="s">
        <v>93</v>
      </c>
      <c r="AL90" s="76"/>
      <c r="AM90" s="76"/>
      <c r="AN90" s="83"/>
      <c r="AY90" s="233"/>
      <c r="BF90" s="233"/>
      <c r="BG90" s="233">
        <v>63.5</v>
      </c>
      <c r="BH90" s="233">
        <v>0</v>
      </c>
      <c r="BI90" s="233">
        <v>63</v>
      </c>
      <c r="BJ90" s="233">
        <v>41</v>
      </c>
      <c r="BK90" s="233">
        <v>0</v>
      </c>
      <c r="BL90" s="233">
        <v>70.5</v>
      </c>
    </row>
    <row r="91" spans="1:64" ht="15.75" thickBot="1" x14ac:dyDescent="0.3">
      <c r="A91" s="84" t="s">
        <v>394</v>
      </c>
      <c r="B91" s="77">
        <v>73.8</v>
      </c>
      <c r="C91" s="77">
        <v>50.1</v>
      </c>
      <c r="D91" s="77">
        <v>50.3</v>
      </c>
      <c r="E91" s="77">
        <v>50.1</v>
      </c>
      <c r="F91" s="77">
        <v>0</v>
      </c>
      <c r="G91" s="77"/>
      <c r="H91" s="77">
        <v>60</v>
      </c>
      <c r="I91" s="77">
        <v>68</v>
      </c>
      <c r="J91" s="77">
        <v>72.900000000000006</v>
      </c>
      <c r="K91" s="77">
        <v>70.5</v>
      </c>
      <c r="L91" s="77">
        <v>70</v>
      </c>
      <c r="M91" s="77">
        <v>69.400000000000006</v>
      </c>
      <c r="N91" s="77">
        <v>75</v>
      </c>
      <c r="O91" s="77">
        <v>75</v>
      </c>
      <c r="P91" s="77">
        <v>74</v>
      </c>
      <c r="Q91" s="77"/>
      <c r="R91" s="77">
        <v>69</v>
      </c>
      <c r="S91" s="77">
        <v>72.2</v>
      </c>
      <c r="T91" s="77">
        <v>74.900000000000006</v>
      </c>
      <c r="U91" s="77">
        <v>80.400000000000006</v>
      </c>
      <c r="V91" s="77">
        <v>76.599999999999994</v>
      </c>
      <c r="W91" s="77">
        <v>65.2</v>
      </c>
      <c r="X91" s="77">
        <v>66.599999999999994</v>
      </c>
      <c r="Y91" s="77">
        <v>70.7</v>
      </c>
      <c r="Z91" s="77">
        <v>74.8</v>
      </c>
      <c r="AA91" s="77">
        <v>67.900000000000006</v>
      </c>
      <c r="AB91" s="77">
        <v>67</v>
      </c>
      <c r="AC91" s="77">
        <v>61</v>
      </c>
      <c r="AD91" s="77">
        <v>69</v>
      </c>
      <c r="AE91" s="77">
        <v>74</v>
      </c>
      <c r="AF91" s="77">
        <v>73</v>
      </c>
      <c r="AG91" s="85"/>
      <c r="AH91" s="47">
        <f t="shared" si="47"/>
        <v>80.400000000000006</v>
      </c>
      <c r="AI91" s="48">
        <f t="shared" si="48"/>
        <v>0</v>
      </c>
      <c r="AK91" s="86"/>
      <c r="AL91" s="45"/>
      <c r="AM91" s="45"/>
      <c r="AN91" s="87"/>
      <c r="AY91" s="233"/>
      <c r="BF91" s="233"/>
      <c r="BG91" s="233">
        <v>60.7</v>
      </c>
      <c r="BH91" s="233">
        <v>0</v>
      </c>
      <c r="BI91" s="233">
        <v>0.9</v>
      </c>
      <c r="BJ91" s="233">
        <v>32.5</v>
      </c>
      <c r="BK91" s="233">
        <v>0</v>
      </c>
      <c r="BL91" s="233">
        <v>69.400000000000006</v>
      </c>
    </row>
    <row r="92" spans="1:64" ht="15.75" thickBot="1" x14ac:dyDescent="0.3">
      <c r="A92" s="74" t="s">
        <v>94</v>
      </c>
      <c r="B92" s="60">
        <f t="shared" ref="B92:AB92" si="49">SUMIF(B81:B91,"&gt;0")</f>
        <v>678.39999999999986</v>
      </c>
      <c r="C92" s="60">
        <f t="shared" si="49"/>
        <v>624.90000000000009</v>
      </c>
      <c r="D92" s="60">
        <f t="shared" si="49"/>
        <v>650.79999999999995</v>
      </c>
      <c r="E92" s="60">
        <f t="shared" si="49"/>
        <v>643.9</v>
      </c>
      <c r="F92" s="60">
        <f t="shared" si="49"/>
        <v>578.79999999999995</v>
      </c>
      <c r="G92" s="60">
        <f t="shared" si="49"/>
        <v>590</v>
      </c>
      <c r="H92" s="60">
        <f t="shared" si="49"/>
        <v>646</v>
      </c>
      <c r="I92" s="60">
        <f t="shared" si="49"/>
        <v>620</v>
      </c>
      <c r="J92" s="60">
        <f t="shared" si="49"/>
        <v>637.9</v>
      </c>
      <c r="K92" s="60">
        <f t="shared" si="49"/>
        <v>238</v>
      </c>
      <c r="L92" s="60">
        <f t="shared" si="49"/>
        <v>186.4</v>
      </c>
      <c r="M92" s="60">
        <f t="shared" si="49"/>
        <v>163.5</v>
      </c>
      <c r="N92" s="60">
        <f t="shared" si="49"/>
        <v>259.60000000000002</v>
      </c>
      <c r="O92" s="60">
        <f t="shared" si="49"/>
        <v>572.59999999999991</v>
      </c>
      <c r="P92" s="60">
        <f t="shared" si="49"/>
        <v>709.5</v>
      </c>
      <c r="Q92" s="60">
        <f t="shared" si="49"/>
        <v>69</v>
      </c>
      <c r="R92" s="60">
        <f t="shared" si="49"/>
        <v>624</v>
      </c>
      <c r="S92" s="60">
        <f t="shared" si="49"/>
        <v>705.1</v>
      </c>
      <c r="T92" s="60">
        <f t="shared" si="49"/>
        <v>722.7</v>
      </c>
      <c r="U92" s="60">
        <f t="shared" si="49"/>
        <v>765.8</v>
      </c>
      <c r="V92" s="60">
        <f t="shared" si="49"/>
        <v>504.20000000000005</v>
      </c>
      <c r="W92" s="60">
        <f t="shared" si="49"/>
        <v>674.1</v>
      </c>
      <c r="X92" s="60">
        <f t="shared" si="49"/>
        <v>726.30000000000007</v>
      </c>
      <c r="Y92" s="60">
        <f>SUMIF(Y81:Y91,"&gt;0")</f>
        <v>659.40000000000009</v>
      </c>
      <c r="Z92" s="60">
        <f>SUMIF(Z81:Z91,"&gt;0")</f>
        <v>620</v>
      </c>
      <c r="AA92" s="60">
        <f t="shared" si="49"/>
        <v>522.1</v>
      </c>
      <c r="AB92" s="60">
        <f t="shared" si="49"/>
        <v>512.5</v>
      </c>
      <c r="AC92" s="60">
        <f t="shared" ref="AC92:AD92" si="50">SUMIF(AC81:AC91,"&gt;0")</f>
        <v>592</v>
      </c>
      <c r="AD92" s="60">
        <f t="shared" si="50"/>
        <v>649</v>
      </c>
      <c r="AE92" s="60">
        <f t="shared" ref="AE92:AF92" si="51">SUMIF(AE81:AE91,"&gt;0")</f>
        <v>687</v>
      </c>
      <c r="AF92" s="60">
        <f t="shared" si="51"/>
        <v>655</v>
      </c>
      <c r="AG92" s="88">
        <f>SUM(AG81:AG91)</f>
        <v>0</v>
      </c>
      <c r="AH92" s="47">
        <f t="shared" si="47"/>
        <v>765.8</v>
      </c>
      <c r="AI92" s="48">
        <f t="shared" si="48"/>
        <v>69</v>
      </c>
      <c r="AK92" s="86"/>
      <c r="AL92" s="77"/>
      <c r="AM92" s="89"/>
      <c r="AN92" s="257"/>
      <c r="AY92" s="233"/>
      <c r="BF92" s="233"/>
      <c r="BG92" s="233">
        <v>59.6</v>
      </c>
      <c r="BH92" s="233">
        <v>0</v>
      </c>
      <c r="BI92" s="233">
        <v>99</v>
      </c>
      <c r="BJ92" s="233">
        <v>26</v>
      </c>
      <c r="BK92" s="233">
        <v>0</v>
      </c>
      <c r="BL92" s="233">
        <v>75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7"/>
        <v>0</v>
      </c>
      <c r="AI93" s="48">
        <f t="shared" si="48"/>
        <v>0</v>
      </c>
      <c r="AK93" s="86"/>
      <c r="AL93" s="77"/>
      <c r="AM93" s="77"/>
      <c r="AN93" s="258"/>
      <c r="BF93" s="233"/>
      <c r="BG93" s="233">
        <v>55.7</v>
      </c>
      <c r="BH93" s="233">
        <v>0</v>
      </c>
      <c r="BI93" s="233">
        <v>421</v>
      </c>
      <c r="BJ93" s="233">
        <v>20.9</v>
      </c>
      <c r="BK93" s="233">
        <v>0</v>
      </c>
      <c r="BL93" s="233">
        <v>75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7"/>
        <v>0</v>
      </c>
      <c r="AI94" s="48">
        <f t="shared" si="48"/>
        <v>0</v>
      </c>
      <c r="AK94" s="91"/>
      <c r="AL94" s="92"/>
      <c r="AM94" s="92"/>
      <c r="AN94" s="93"/>
      <c r="BF94" s="233"/>
      <c r="BG94" s="233">
        <v>69</v>
      </c>
      <c r="BH94" s="233">
        <v>0</v>
      </c>
      <c r="BI94" s="233">
        <v>452</v>
      </c>
      <c r="BJ94" s="233">
        <v>26.5</v>
      </c>
      <c r="BK94" s="233">
        <v>88</v>
      </c>
      <c r="BL94" s="233">
        <v>74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7"/>
        <v>0</v>
      </c>
      <c r="AI95" s="48">
        <f t="shared" si="48"/>
        <v>0</v>
      </c>
      <c r="BF95" s="233"/>
      <c r="BG95" s="233" t="str">
        <v>s</v>
      </c>
      <c r="BH95" s="233" t="str">
        <v>y</v>
      </c>
      <c r="BI95" s="233" t="str">
        <v>s</v>
      </c>
      <c r="BJ95" s="233" t="str">
        <v>t</v>
      </c>
      <c r="BK95" s="233" t="str">
        <v>e</v>
      </c>
      <c r="BL95" s="233" t="str">
        <v>u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>
        <v>150</v>
      </c>
      <c r="L96" s="60">
        <v>230</v>
      </c>
      <c r="M96" s="60">
        <v>250</v>
      </c>
      <c r="N96" s="60">
        <v>250</v>
      </c>
      <c r="O96" s="60">
        <v>200</v>
      </c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7"/>
        <v>250</v>
      </c>
      <c r="AI96" s="48">
        <f t="shared" si="48"/>
        <v>0</v>
      </c>
      <c r="BF96" s="233"/>
      <c r="BG96" s="233">
        <v>55</v>
      </c>
      <c r="BH96" s="233">
        <v>0</v>
      </c>
      <c r="BI96" s="233">
        <v>412</v>
      </c>
      <c r="BJ96" s="233">
        <v>34</v>
      </c>
      <c r="BK96" s="233">
        <v>54</v>
      </c>
      <c r="BL96" s="233">
        <v>69</v>
      </c>
    </row>
    <row r="97" spans="1:64" ht="15.75" thickBot="1" x14ac:dyDescent="0.3">
      <c r="A97" s="74" t="s">
        <v>99</v>
      </c>
      <c r="B97" s="95">
        <f t="shared" ref="B97:AG97" si="52">B58+B62+B80+B76+B92+B96</f>
        <v>1284.19</v>
      </c>
      <c r="C97" s="95">
        <f t="shared" si="52"/>
        <v>1240.8900000000001</v>
      </c>
      <c r="D97" s="95">
        <f t="shared" si="52"/>
        <v>1231.79</v>
      </c>
      <c r="E97" s="95">
        <f t="shared" si="52"/>
        <v>1223.69</v>
      </c>
      <c r="F97" s="95">
        <f t="shared" si="52"/>
        <v>1160.49</v>
      </c>
      <c r="G97" s="95">
        <f t="shared" si="52"/>
        <v>1228.69</v>
      </c>
      <c r="H97" s="95">
        <f t="shared" si="52"/>
        <v>1310.6300000000001</v>
      </c>
      <c r="I97" s="95">
        <f t="shared" si="52"/>
        <v>1358.49</v>
      </c>
      <c r="J97" s="95">
        <f t="shared" si="52"/>
        <v>1539.3899999999999</v>
      </c>
      <c r="K97" s="95">
        <f t="shared" si="52"/>
        <v>1603.99</v>
      </c>
      <c r="L97" s="95">
        <f t="shared" si="52"/>
        <v>1705.39</v>
      </c>
      <c r="M97" s="95">
        <f t="shared" si="52"/>
        <v>1650.29</v>
      </c>
      <c r="N97" s="95">
        <f t="shared" si="52"/>
        <v>1537.8899999999999</v>
      </c>
      <c r="O97" s="95">
        <f t="shared" si="52"/>
        <v>1592.6899999999998</v>
      </c>
      <c r="P97" s="95">
        <f t="shared" si="52"/>
        <v>1436.59</v>
      </c>
      <c r="Q97" s="95">
        <f t="shared" si="52"/>
        <v>330.14</v>
      </c>
      <c r="R97" s="95">
        <f t="shared" si="52"/>
        <v>1355.5900000000001</v>
      </c>
      <c r="S97" s="95">
        <f t="shared" si="52"/>
        <v>1443.99</v>
      </c>
      <c r="T97" s="95">
        <f t="shared" si="52"/>
        <v>1469.69</v>
      </c>
      <c r="U97" s="95">
        <f t="shared" si="52"/>
        <v>1460.19</v>
      </c>
      <c r="V97" s="95">
        <f t="shared" si="52"/>
        <v>1191.99</v>
      </c>
      <c r="W97" s="95">
        <f t="shared" si="52"/>
        <v>1267.19</v>
      </c>
      <c r="X97" s="95">
        <f t="shared" si="52"/>
        <v>1355.4900000000002</v>
      </c>
      <c r="Y97" s="95">
        <f>Y58+Y62+Y80+Y76+Y92+Y96</f>
        <v>1576.15</v>
      </c>
      <c r="Z97" s="95">
        <f>Z58+Z62+Z80+Z76+Z92+Z96</f>
        <v>1629.85</v>
      </c>
      <c r="AA97" s="95">
        <f t="shared" si="52"/>
        <v>1591.9900000000002</v>
      </c>
      <c r="AB97" s="95">
        <f t="shared" si="52"/>
        <v>1592.49</v>
      </c>
      <c r="AC97" s="95">
        <f t="shared" ref="AC97:AD97" si="53">AC58+AC62+AC80+AC76+AC92+AC96</f>
        <v>1597.29</v>
      </c>
      <c r="AD97" s="95">
        <f t="shared" si="53"/>
        <v>1467.49</v>
      </c>
      <c r="AE97" s="95">
        <f t="shared" ref="AE97:AF97" si="54">AE58+AE62+AE80+AE76+AE92+AE96</f>
        <v>1396.0900000000001</v>
      </c>
      <c r="AF97" s="95">
        <f t="shared" si="54"/>
        <v>1294.0900000000001</v>
      </c>
      <c r="AG97" s="61">
        <f t="shared" si="52"/>
        <v>2231.81</v>
      </c>
      <c r="AH97" s="47">
        <f t="shared" si="47"/>
        <v>1705.39</v>
      </c>
      <c r="AI97" s="48">
        <f t="shared" si="48"/>
        <v>330.14</v>
      </c>
      <c r="BF97" s="233"/>
      <c r="BG97" s="233">
        <v>64.7</v>
      </c>
      <c r="BH97" s="233">
        <v>0</v>
      </c>
      <c r="BI97" s="233">
        <v>432</v>
      </c>
      <c r="BJ97" s="233">
        <v>32.200000000000003</v>
      </c>
      <c r="BK97" s="233">
        <v>104</v>
      </c>
      <c r="BL97" s="233">
        <v>72.2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>
        <v>300</v>
      </c>
      <c r="W98" s="97">
        <v>200</v>
      </c>
      <c r="X98" s="97">
        <v>100</v>
      </c>
      <c r="Y98" s="97">
        <v>100</v>
      </c>
      <c r="Z98" s="97">
        <v>100</v>
      </c>
      <c r="AA98" s="97">
        <v>100</v>
      </c>
      <c r="AB98" s="97">
        <v>50</v>
      </c>
      <c r="AC98" s="97">
        <v>20</v>
      </c>
      <c r="AD98" s="97">
        <v>0</v>
      </c>
      <c r="AE98" s="97">
        <v>0</v>
      </c>
      <c r="AF98" s="97">
        <v>0</v>
      </c>
      <c r="AG98" s="88"/>
      <c r="AH98" s="47">
        <f t="shared" si="47"/>
        <v>300</v>
      </c>
      <c r="AI98" s="48">
        <f t="shared" si="48"/>
        <v>0</v>
      </c>
      <c r="BF98" s="233"/>
      <c r="BG98" s="233">
        <v>68.2</v>
      </c>
      <c r="BH98" s="233">
        <v>0</v>
      </c>
      <c r="BI98" s="233">
        <v>437.3</v>
      </c>
      <c r="BJ98" s="233">
        <v>30.1</v>
      </c>
      <c r="BK98" s="233">
        <v>112.2</v>
      </c>
      <c r="BL98" s="233">
        <v>74.900000000000006</v>
      </c>
    </row>
    <row r="99" spans="1:64" ht="15.75" thickBot="1" x14ac:dyDescent="0.3">
      <c r="A99" s="74" t="s">
        <v>101</v>
      </c>
      <c r="B99" s="95">
        <f t="shared" ref="B99:AB99" si="55">B97+B98</f>
        <v>1284.19</v>
      </c>
      <c r="C99" s="95">
        <f t="shared" si="55"/>
        <v>1240.8900000000001</v>
      </c>
      <c r="D99" s="95">
        <f t="shared" si="55"/>
        <v>1231.79</v>
      </c>
      <c r="E99" s="95">
        <f t="shared" si="55"/>
        <v>1223.69</v>
      </c>
      <c r="F99" s="95">
        <f t="shared" si="55"/>
        <v>1160.49</v>
      </c>
      <c r="G99" s="95">
        <f t="shared" si="55"/>
        <v>1228.69</v>
      </c>
      <c r="H99" s="95">
        <f t="shared" si="55"/>
        <v>1310.6300000000001</v>
      </c>
      <c r="I99" s="95">
        <f t="shared" si="55"/>
        <v>1358.49</v>
      </c>
      <c r="J99" s="95">
        <f t="shared" si="55"/>
        <v>1539.3899999999999</v>
      </c>
      <c r="K99" s="95">
        <f t="shared" si="55"/>
        <v>1603.99</v>
      </c>
      <c r="L99" s="95">
        <f t="shared" si="55"/>
        <v>1705.39</v>
      </c>
      <c r="M99" s="95">
        <f t="shared" si="55"/>
        <v>1650.29</v>
      </c>
      <c r="N99" s="95">
        <f t="shared" si="55"/>
        <v>1537.8899999999999</v>
      </c>
      <c r="O99" s="95">
        <f t="shared" si="55"/>
        <v>1592.6899999999998</v>
      </c>
      <c r="P99" s="95">
        <f t="shared" si="55"/>
        <v>1436.59</v>
      </c>
      <c r="Q99" s="95">
        <f t="shared" si="55"/>
        <v>330.14</v>
      </c>
      <c r="R99" s="95">
        <f t="shared" si="55"/>
        <v>1355.5900000000001</v>
      </c>
      <c r="S99" s="95">
        <f t="shared" si="55"/>
        <v>1443.99</v>
      </c>
      <c r="T99" s="95">
        <f t="shared" si="55"/>
        <v>1469.69</v>
      </c>
      <c r="U99" s="95">
        <f t="shared" si="55"/>
        <v>1460.19</v>
      </c>
      <c r="V99" s="95">
        <f t="shared" si="55"/>
        <v>1491.99</v>
      </c>
      <c r="W99" s="95">
        <f t="shared" si="55"/>
        <v>1467.19</v>
      </c>
      <c r="X99" s="95">
        <f t="shared" si="55"/>
        <v>1455.4900000000002</v>
      </c>
      <c r="Y99" s="95">
        <f>Y97+Y98</f>
        <v>1676.15</v>
      </c>
      <c r="Z99" s="95">
        <f>Z97+Z98</f>
        <v>1729.85</v>
      </c>
      <c r="AA99" s="95">
        <f t="shared" si="55"/>
        <v>1691.9900000000002</v>
      </c>
      <c r="AB99" s="95">
        <f t="shared" si="55"/>
        <v>1642.49</v>
      </c>
      <c r="AC99" s="95">
        <f t="shared" ref="AC99:AD99" si="56">AC97+AC98</f>
        <v>1617.29</v>
      </c>
      <c r="AD99" s="95">
        <f t="shared" si="56"/>
        <v>1467.49</v>
      </c>
      <c r="AE99" s="95">
        <f t="shared" ref="AE99:AF99" si="57">AE97+AE98</f>
        <v>1396.0900000000001</v>
      </c>
      <c r="AF99" s="95">
        <f t="shared" si="57"/>
        <v>1294.0900000000001</v>
      </c>
      <c r="AG99" s="88">
        <f>AG96+AG92+AG80+AG76+AG58+AG98</f>
        <v>1693.71</v>
      </c>
      <c r="AH99" s="47">
        <f t="shared" si="47"/>
        <v>1729.85</v>
      </c>
      <c r="AI99" s="48">
        <f t="shared" si="48"/>
        <v>330.14</v>
      </c>
      <c r="BF99" s="233"/>
      <c r="BG99" s="233">
        <v>75.599999999999994</v>
      </c>
      <c r="BH99" s="233">
        <v>0</v>
      </c>
      <c r="BI99" s="233">
        <v>455.8</v>
      </c>
      <c r="BJ99" s="233">
        <v>54</v>
      </c>
      <c r="BK99" s="233">
        <v>100</v>
      </c>
      <c r="BL99" s="233">
        <v>80.400000000000006</v>
      </c>
    </row>
    <row r="100" spans="1:64" ht="15.75" thickBot="1" x14ac:dyDescent="0.3">
      <c r="A100" s="74" t="s">
        <v>102</v>
      </c>
      <c r="B100" s="95">
        <f t="shared" ref="B100:M100" si="58">B99-(B107)</f>
        <v>1284.19</v>
      </c>
      <c r="C100" s="95">
        <f t="shared" si="58"/>
        <v>1240.8900000000001</v>
      </c>
      <c r="D100" s="95">
        <f t="shared" si="58"/>
        <v>1231.79</v>
      </c>
      <c r="E100" s="95">
        <f t="shared" si="58"/>
        <v>1223.69</v>
      </c>
      <c r="F100" s="95">
        <f t="shared" si="58"/>
        <v>1160.49</v>
      </c>
      <c r="G100" s="95">
        <f t="shared" si="58"/>
        <v>1228.69</v>
      </c>
      <c r="H100" s="95">
        <f t="shared" si="58"/>
        <v>1310.6300000000001</v>
      </c>
      <c r="I100" s="95">
        <f t="shared" si="58"/>
        <v>1358.49</v>
      </c>
      <c r="J100" s="95">
        <f t="shared" si="58"/>
        <v>1539.3899999999999</v>
      </c>
      <c r="K100" s="95">
        <f t="shared" si="58"/>
        <v>1603.99</v>
      </c>
      <c r="L100" s="95">
        <f t="shared" si="58"/>
        <v>1705.39</v>
      </c>
      <c r="M100" s="95">
        <f t="shared" si="58"/>
        <v>1650.29</v>
      </c>
      <c r="N100" s="95">
        <f>N99-(N107)</f>
        <v>1537.8899999999999</v>
      </c>
      <c r="O100" s="95">
        <f t="shared" ref="O100:AB100" si="59">O99-(O107)</f>
        <v>1592.6899999999998</v>
      </c>
      <c r="P100" s="95">
        <f t="shared" si="59"/>
        <v>1436.59</v>
      </c>
      <c r="Q100" s="95">
        <f t="shared" si="59"/>
        <v>330.14</v>
      </c>
      <c r="R100" s="95">
        <f t="shared" si="59"/>
        <v>1355.5900000000001</v>
      </c>
      <c r="S100" s="95">
        <f t="shared" si="59"/>
        <v>1443.99</v>
      </c>
      <c r="T100" s="95">
        <f t="shared" si="59"/>
        <v>1469.69</v>
      </c>
      <c r="U100" s="95">
        <f t="shared" si="59"/>
        <v>1460.19</v>
      </c>
      <c r="V100" s="95">
        <f t="shared" si="59"/>
        <v>1491.99</v>
      </c>
      <c r="W100" s="95">
        <f t="shared" si="59"/>
        <v>1467.19</v>
      </c>
      <c r="X100" s="95">
        <f t="shared" si="59"/>
        <v>1455.4900000000002</v>
      </c>
      <c r="Y100" s="95">
        <f t="shared" si="59"/>
        <v>1676.15</v>
      </c>
      <c r="Z100" s="95">
        <f t="shared" si="59"/>
        <v>1729.85</v>
      </c>
      <c r="AA100" s="95">
        <f t="shared" si="59"/>
        <v>1691.9900000000002</v>
      </c>
      <c r="AB100" s="95">
        <f t="shared" si="59"/>
        <v>1642.49</v>
      </c>
      <c r="AC100" s="95">
        <f t="shared" ref="AC100:AD100" si="60">AC99-(AC107)</f>
        <v>1617.29</v>
      </c>
      <c r="AD100" s="95">
        <f t="shared" si="60"/>
        <v>1467.49</v>
      </c>
      <c r="AE100" s="95">
        <f t="shared" ref="AE100:AF100" si="61">AE99-(AE107)</f>
        <v>1396.0900000000001</v>
      </c>
      <c r="AF100" s="95">
        <f t="shared" si="61"/>
        <v>1294.0900000000001</v>
      </c>
      <c r="AG100" s="88"/>
      <c r="AH100" s="47">
        <f t="shared" si="47"/>
        <v>1729.85</v>
      </c>
      <c r="AI100" s="48">
        <f t="shared" si="48"/>
        <v>330.14</v>
      </c>
      <c r="BF100" s="233"/>
      <c r="BG100" s="233">
        <v>61</v>
      </c>
      <c r="BH100" s="233">
        <v>0</v>
      </c>
      <c r="BI100" s="233">
        <v>296</v>
      </c>
      <c r="BJ100" s="233">
        <v>38.6</v>
      </c>
      <c r="BK100" s="233">
        <v>32</v>
      </c>
      <c r="BL100" s="233">
        <v>76.599999999999994</v>
      </c>
    </row>
    <row r="101" spans="1:64" x14ac:dyDescent="0.25">
      <c r="A101" s="44" t="s">
        <v>84</v>
      </c>
      <c r="B101" s="76">
        <f t="shared" ref="B101:AB101" si="62">IF(B84&lt;0,B84*-1,0)</f>
        <v>0</v>
      </c>
      <c r="C101" s="76">
        <f t="shared" si="62"/>
        <v>0</v>
      </c>
      <c r="D101" s="76">
        <f t="shared" si="62"/>
        <v>0</v>
      </c>
      <c r="E101" s="76">
        <f t="shared" si="62"/>
        <v>0</v>
      </c>
      <c r="F101" s="76">
        <f t="shared" si="62"/>
        <v>0</v>
      </c>
      <c r="G101" s="76">
        <f t="shared" si="62"/>
        <v>0</v>
      </c>
      <c r="H101" s="76">
        <f t="shared" si="62"/>
        <v>0</v>
      </c>
      <c r="I101" s="76">
        <f t="shared" si="62"/>
        <v>0</v>
      </c>
      <c r="J101" s="76">
        <f t="shared" si="62"/>
        <v>0</v>
      </c>
      <c r="K101" s="76">
        <f t="shared" si="62"/>
        <v>0</v>
      </c>
      <c r="L101" s="76">
        <f t="shared" si="62"/>
        <v>0</v>
      </c>
      <c r="M101" s="76">
        <f t="shared" si="62"/>
        <v>0</v>
      </c>
      <c r="N101" s="76">
        <f t="shared" si="62"/>
        <v>0</v>
      </c>
      <c r="O101" s="76">
        <f t="shared" si="62"/>
        <v>0</v>
      </c>
      <c r="P101" s="76">
        <f t="shared" si="62"/>
        <v>0</v>
      </c>
      <c r="Q101" s="76">
        <f>IF(Q14&lt;0,Q14*-1,0)</f>
        <v>0</v>
      </c>
      <c r="R101" s="76">
        <f t="shared" si="62"/>
        <v>0</v>
      </c>
      <c r="S101" s="76">
        <f t="shared" si="62"/>
        <v>0</v>
      </c>
      <c r="T101" s="76">
        <f t="shared" si="62"/>
        <v>0</v>
      </c>
      <c r="U101" s="76">
        <f t="shared" si="62"/>
        <v>0</v>
      </c>
      <c r="V101" s="76">
        <f t="shared" si="62"/>
        <v>0</v>
      </c>
      <c r="W101" s="76">
        <f t="shared" si="62"/>
        <v>0</v>
      </c>
      <c r="X101" s="76">
        <f t="shared" si="62"/>
        <v>0</v>
      </c>
      <c r="Y101" s="76">
        <f t="shared" si="62"/>
        <v>0</v>
      </c>
      <c r="Z101" s="76">
        <f t="shared" si="62"/>
        <v>0</v>
      </c>
      <c r="AA101" s="76">
        <f t="shared" si="62"/>
        <v>0</v>
      </c>
      <c r="AB101" s="76">
        <f t="shared" si="62"/>
        <v>0</v>
      </c>
      <c r="AC101" s="76">
        <f t="shared" ref="AC101:AD101" si="63">IF(AC84&lt;0,AC84*-1,0)</f>
        <v>0</v>
      </c>
      <c r="AD101" s="76">
        <f t="shared" si="63"/>
        <v>0</v>
      </c>
      <c r="AE101" s="76">
        <f t="shared" ref="AE101:AF101" si="64">IF(AE84&lt;0,AE84*-1,0)</f>
        <v>0</v>
      </c>
      <c r="AF101" s="76">
        <f t="shared" si="64"/>
        <v>0</v>
      </c>
      <c r="AG101" s="52"/>
      <c r="AH101" s="47">
        <f t="shared" si="47"/>
        <v>0</v>
      </c>
      <c r="AI101" s="48">
        <f t="shared" si="48"/>
        <v>0</v>
      </c>
      <c r="BF101" s="232"/>
      <c r="BG101" s="233">
        <v>67.5</v>
      </c>
      <c r="BH101" s="233">
        <v>0</v>
      </c>
      <c r="BI101" s="233">
        <v>465.7</v>
      </c>
      <c r="BJ101" s="233">
        <v>41.5</v>
      </c>
      <c r="BK101" s="233">
        <v>85</v>
      </c>
      <c r="BL101" s="233">
        <v>66.599999999999994</v>
      </c>
    </row>
    <row r="102" spans="1:64" x14ac:dyDescent="0.25">
      <c r="A102" s="54" t="s">
        <v>82</v>
      </c>
      <c r="B102" s="76">
        <f t="shared" ref="B102:AB102" si="65">IF(B82&lt;0,B82*-1,0)</f>
        <v>0</v>
      </c>
      <c r="C102" s="76">
        <f t="shared" si="65"/>
        <v>0</v>
      </c>
      <c r="D102" s="76">
        <f t="shared" si="65"/>
        <v>0</v>
      </c>
      <c r="E102" s="76">
        <f t="shared" si="65"/>
        <v>0</v>
      </c>
      <c r="F102" s="76">
        <f t="shared" si="65"/>
        <v>0</v>
      </c>
      <c r="G102" s="76">
        <f t="shared" si="65"/>
        <v>0</v>
      </c>
      <c r="H102" s="76">
        <f t="shared" si="65"/>
        <v>0</v>
      </c>
      <c r="I102" s="76">
        <f t="shared" si="65"/>
        <v>0</v>
      </c>
      <c r="J102" s="76">
        <f t="shared" si="65"/>
        <v>0</v>
      </c>
      <c r="K102" s="76">
        <f t="shared" si="65"/>
        <v>0</v>
      </c>
      <c r="L102" s="76">
        <f t="shared" si="65"/>
        <v>0</v>
      </c>
      <c r="M102" s="76">
        <f t="shared" si="65"/>
        <v>0</v>
      </c>
      <c r="N102" s="76">
        <f t="shared" si="65"/>
        <v>0</v>
      </c>
      <c r="O102" s="76">
        <f t="shared" si="65"/>
        <v>0</v>
      </c>
      <c r="P102" s="76">
        <f t="shared" si="65"/>
        <v>0</v>
      </c>
      <c r="Q102" s="76">
        <f>IF(Q12&lt;0,Q12*-1,0)</f>
        <v>0</v>
      </c>
      <c r="R102" s="76">
        <f t="shared" si="65"/>
        <v>0</v>
      </c>
      <c r="S102" s="76">
        <f t="shared" si="65"/>
        <v>0</v>
      </c>
      <c r="T102" s="76">
        <f t="shared" si="65"/>
        <v>0</v>
      </c>
      <c r="U102" s="76">
        <f t="shared" si="65"/>
        <v>0</v>
      </c>
      <c r="V102" s="76">
        <f t="shared" si="65"/>
        <v>0</v>
      </c>
      <c r="W102" s="76">
        <f t="shared" si="65"/>
        <v>0</v>
      </c>
      <c r="X102" s="76">
        <f t="shared" si="65"/>
        <v>0</v>
      </c>
      <c r="Y102" s="76">
        <f t="shared" si="65"/>
        <v>0</v>
      </c>
      <c r="Z102" s="76">
        <f t="shared" si="65"/>
        <v>0</v>
      </c>
      <c r="AA102" s="76">
        <f t="shared" si="65"/>
        <v>0</v>
      </c>
      <c r="AB102" s="76">
        <f t="shared" si="65"/>
        <v>0</v>
      </c>
      <c r="AC102" s="76">
        <f t="shared" ref="AC102:AD102" si="66">IF(AC82&lt;0,AC82*-1,0)</f>
        <v>0</v>
      </c>
      <c r="AD102" s="76">
        <f t="shared" si="66"/>
        <v>0</v>
      </c>
      <c r="AE102" s="76">
        <f t="shared" ref="AE102:AF102" si="67">IF(AE82&lt;0,AE82*-1,0)</f>
        <v>0</v>
      </c>
      <c r="AF102" s="76">
        <f t="shared" si="67"/>
        <v>0</v>
      </c>
      <c r="AG102" s="55"/>
      <c r="AH102" s="47">
        <f t="shared" si="47"/>
        <v>0</v>
      </c>
      <c r="AI102" s="48">
        <f t="shared" si="48"/>
        <v>0</v>
      </c>
      <c r="BF102" s="232"/>
      <c r="BG102" s="233">
        <v>63.4</v>
      </c>
      <c r="BH102" s="233">
        <v>0</v>
      </c>
      <c r="BI102" s="233">
        <v>306.8</v>
      </c>
      <c r="BJ102" s="233">
        <v>59</v>
      </c>
      <c r="BK102" s="233">
        <v>116</v>
      </c>
      <c r="BL102" s="233">
        <v>74.8</v>
      </c>
    </row>
    <row r="103" spans="1:64" x14ac:dyDescent="0.25">
      <c r="A103" s="84" t="s">
        <v>103</v>
      </c>
      <c r="B103" s="76">
        <f t="shared" ref="B103:AB103" si="68">IF(B85&lt;0,B85*-1,0)</f>
        <v>0</v>
      </c>
      <c r="C103" s="76">
        <f t="shared" si="68"/>
        <v>0</v>
      </c>
      <c r="D103" s="76">
        <f t="shared" si="68"/>
        <v>0</v>
      </c>
      <c r="E103" s="76">
        <f t="shared" si="68"/>
        <v>0</v>
      </c>
      <c r="F103" s="76">
        <f t="shared" si="68"/>
        <v>0</v>
      </c>
      <c r="G103" s="76">
        <f t="shared" si="68"/>
        <v>0</v>
      </c>
      <c r="H103" s="76">
        <f t="shared" si="68"/>
        <v>0</v>
      </c>
      <c r="I103" s="76">
        <f t="shared" si="68"/>
        <v>0</v>
      </c>
      <c r="J103" s="76">
        <f t="shared" si="68"/>
        <v>0</v>
      </c>
      <c r="K103" s="76">
        <f t="shared" si="68"/>
        <v>0</v>
      </c>
      <c r="L103" s="76">
        <f t="shared" si="68"/>
        <v>0</v>
      </c>
      <c r="M103" s="76">
        <f t="shared" si="68"/>
        <v>0</v>
      </c>
      <c r="N103" s="76">
        <f t="shared" si="68"/>
        <v>0</v>
      </c>
      <c r="O103" s="76">
        <f t="shared" si="68"/>
        <v>0</v>
      </c>
      <c r="P103" s="76">
        <f t="shared" si="68"/>
        <v>0</v>
      </c>
      <c r="Q103" s="76">
        <f>IF(Q15&lt;0,Q15*-1,0)</f>
        <v>0</v>
      </c>
      <c r="R103" s="76">
        <f t="shared" si="68"/>
        <v>0</v>
      </c>
      <c r="S103" s="76">
        <f t="shared" si="68"/>
        <v>0</v>
      </c>
      <c r="T103" s="76">
        <f t="shared" si="68"/>
        <v>0</v>
      </c>
      <c r="U103" s="76">
        <f t="shared" si="68"/>
        <v>0</v>
      </c>
      <c r="V103" s="76">
        <f t="shared" si="68"/>
        <v>0</v>
      </c>
      <c r="W103" s="76">
        <f t="shared" si="68"/>
        <v>0</v>
      </c>
      <c r="X103" s="76">
        <f t="shared" si="68"/>
        <v>0</v>
      </c>
      <c r="Y103" s="76">
        <f t="shared" si="68"/>
        <v>0</v>
      </c>
      <c r="Z103" s="76">
        <f t="shared" si="68"/>
        <v>0</v>
      </c>
      <c r="AA103" s="76">
        <f t="shared" si="68"/>
        <v>0</v>
      </c>
      <c r="AB103" s="76">
        <f t="shared" si="68"/>
        <v>0</v>
      </c>
      <c r="AC103" s="76">
        <f t="shared" ref="AC103:AD103" si="69">IF(AC85&lt;0,AC85*-1,0)</f>
        <v>0</v>
      </c>
      <c r="AD103" s="76">
        <f t="shared" si="69"/>
        <v>0</v>
      </c>
      <c r="AE103" s="76">
        <f t="shared" ref="AE103:AF103" si="70">IF(AE85&lt;0,AE85*-1,0)</f>
        <v>0</v>
      </c>
      <c r="AF103" s="76">
        <f t="shared" si="70"/>
        <v>0</v>
      </c>
      <c r="AG103" s="98"/>
      <c r="AH103" s="47">
        <f t="shared" si="47"/>
        <v>0</v>
      </c>
      <c r="AI103" s="48">
        <f t="shared" si="48"/>
        <v>0</v>
      </c>
      <c r="BF103" s="232"/>
      <c r="BG103" s="233">
        <v>68.5</v>
      </c>
      <c r="BH103" s="233">
        <v>0</v>
      </c>
      <c r="BI103" s="233">
        <v>197</v>
      </c>
      <c r="BJ103" s="233">
        <v>60</v>
      </c>
      <c r="BK103" s="233">
        <v>120</v>
      </c>
      <c r="BL103" s="233">
        <v>67</v>
      </c>
    </row>
    <row r="104" spans="1:64" x14ac:dyDescent="0.25">
      <c r="A104" s="84" t="s">
        <v>104</v>
      </c>
      <c r="B104" s="76">
        <f t="shared" ref="B104:AB104" si="71">IF(B83&lt;0,B83*-1,0)</f>
        <v>0</v>
      </c>
      <c r="C104" s="76">
        <f t="shared" si="71"/>
        <v>0</v>
      </c>
      <c r="D104" s="76">
        <f t="shared" si="71"/>
        <v>0</v>
      </c>
      <c r="E104" s="76">
        <f t="shared" si="71"/>
        <v>0</v>
      </c>
      <c r="F104" s="76">
        <f t="shared" si="71"/>
        <v>0</v>
      </c>
      <c r="G104" s="76">
        <f t="shared" si="71"/>
        <v>0</v>
      </c>
      <c r="H104" s="76">
        <f t="shared" si="71"/>
        <v>0</v>
      </c>
      <c r="I104" s="76">
        <f t="shared" si="71"/>
        <v>0</v>
      </c>
      <c r="J104" s="76">
        <f t="shared" si="71"/>
        <v>0</v>
      </c>
      <c r="K104" s="76">
        <f t="shared" si="71"/>
        <v>0</v>
      </c>
      <c r="L104" s="76">
        <f t="shared" si="71"/>
        <v>0</v>
      </c>
      <c r="M104" s="76">
        <f t="shared" si="71"/>
        <v>0</v>
      </c>
      <c r="N104" s="76">
        <f t="shared" si="71"/>
        <v>0</v>
      </c>
      <c r="O104" s="76">
        <f t="shared" si="71"/>
        <v>0</v>
      </c>
      <c r="P104" s="76">
        <f t="shared" si="71"/>
        <v>0</v>
      </c>
      <c r="Q104" s="76">
        <f>IF(Q13&lt;0,Q13*-1,0)</f>
        <v>0</v>
      </c>
      <c r="R104" s="76">
        <f t="shared" si="71"/>
        <v>0</v>
      </c>
      <c r="S104" s="76">
        <f t="shared" si="71"/>
        <v>0</v>
      </c>
      <c r="T104" s="76">
        <f t="shared" si="71"/>
        <v>0</v>
      </c>
      <c r="U104" s="76">
        <f t="shared" si="71"/>
        <v>0</v>
      </c>
      <c r="V104" s="76">
        <f t="shared" si="71"/>
        <v>0</v>
      </c>
      <c r="W104" s="76">
        <f t="shared" si="71"/>
        <v>0</v>
      </c>
      <c r="X104" s="76">
        <f t="shared" si="71"/>
        <v>0</v>
      </c>
      <c r="Y104" s="76">
        <f t="shared" si="71"/>
        <v>0</v>
      </c>
      <c r="Z104" s="76">
        <f t="shared" si="71"/>
        <v>0</v>
      </c>
      <c r="AA104" s="76">
        <f t="shared" si="71"/>
        <v>0</v>
      </c>
      <c r="AB104" s="76">
        <f t="shared" si="71"/>
        <v>0</v>
      </c>
      <c r="AC104" s="76">
        <f t="shared" ref="AC104:AD104" si="72">IF(AC83&lt;0,AC83*-1,0)</f>
        <v>0</v>
      </c>
      <c r="AD104" s="76">
        <f t="shared" si="72"/>
        <v>0</v>
      </c>
      <c r="AE104" s="76">
        <f t="shared" ref="AE104:AF104" si="73">IF(AE83&lt;0,AE83*-1,0)</f>
        <v>0</v>
      </c>
      <c r="AF104" s="76">
        <f t="shared" si="73"/>
        <v>0</v>
      </c>
      <c r="AG104" s="98"/>
      <c r="AH104" s="47">
        <f t="shared" si="47"/>
        <v>0</v>
      </c>
      <c r="AI104" s="48">
        <f t="shared" si="48"/>
        <v>0</v>
      </c>
      <c r="BF104" s="232"/>
      <c r="BG104" s="233">
        <v>64</v>
      </c>
      <c r="BH104" s="233">
        <v>0</v>
      </c>
      <c r="BI104" s="233">
        <v>356</v>
      </c>
      <c r="BJ104" s="233">
        <v>58</v>
      </c>
      <c r="BK104" s="233">
        <v>102</v>
      </c>
      <c r="BL104" s="233">
        <v>69</v>
      </c>
    </row>
    <row r="105" spans="1:64" x14ac:dyDescent="0.25">
      <c r="A105" s="84" t="s">
        <v>81</v>
      </c>
      <c r="B105" s="76">
        <f t="shared" ref="B105:AB105" si="74">IF(B81&lt;0,B81*-1,0)</f>
        <v>0</v>
      </c>
      <c r="C105" s="76">
        <f t="shared" si="74"/>
        <v>0</v>
      </c>
      <c r="D105" s="76">
        <f t="shared" si="74"/>
        <v>0</v>
      </c>
      <c r="E105" s="76">
        <f t="shared" si="74"/>
        <v>0</v>
      </c>
      <c r="F105" s="76">
        <f t="shared" si="74"/>
        <v>0</v>
      </c>
      <c r="G105" s="76">
        <f t="shared" si="74"/>
        <v>0</v>
      </c>
      <c r="H105" s="76">
        <f t="shared" si="74"/>
        <v>0</v>
      </c>
      <c r="I105" s="76">
        <f t="shared" si="74"/>
        <v>0</v>
      </c>
      <c r="J105" s="76">
        <f t="shared" si="74"/>
        <v>0</v>
      </c>
      <c r="K105" s="76">
        <f t="shared" si="74"/>
        <v>0</v>
      </c>
      <c r="L105" s="76">
        <f t="shared" si="74"/>
        <v>0</v>
      </c>
      <c r="M105" s="76">
        <f t="shared" si="74"/>
        <v>0</v>
      </c>
      <c r="N105" s="76">
        <f t="shared" si="74"/>
        <v>0</v>
      </c>
      <c r="O105" s="76">
        <f t="shared" si="74"/>
        <v>0</v>
      </c>
      <c r="P105" s="76">
        <f t="shared" si="74"/>
        <v>0</v>
      </c>
      <c r="Q105" s="76">
        <f>IF(Q11&lt;0,Q11*-1,0)</f>
        <v>0</v>
      </c>
      <c r="R105" s="76">
        <f t="shared" si="74"/>
        <v>0</v>
      </c>
      <c r="S105" s="76">
        <f t="shared" si="74"/>
        <v>0</v>
      </c>
      <c r="T105" s="76">
        <f t="shared" si="74"/>
        <v>0</v>
      </c>
      <c r="U105" s="76">
        <f t="shared" si="74"/>
        <v>0</v>
      </c>
      <c r="V105" s="76">
        <f t="shared" si="74"/>
        <v>0</v>
      </c>
      <c r="W105" s="76">
        <f t="shared" si="74"/>
        <v>0</v>
      </c>
      <c r="X105" s="76">
        <f t="shared" si="74"/>
        <v>0</v>
      </c>
      <c r="Y105" s="76">
        <f t="shared" si="74"/>
        <v>0</v>
      </c>
      <c r="Z105" s="76">
        <f t="shared" si="74"/>
        <v>0</v>
      </c>
      <c r="AA105" s="76">
        <f t="shared" si="74"/>
        <v>0</v>
      </c>
      <c r="AB105" s="76">
        <f t="shared" si="74"/>
        <v>0</v>
      </c>
      <c r="AC105" s="76">
        <f t="shared" ref="AC105:AD105" si="75">IF(AC81&lt;0,AC81*-1,0)</f>
        <v>0</v>
      </c>
      <c r="AD105" s="76">
        <f t="shared" si="75"/>
        <v>0</v>
      </c>
      <c r="AE105" s="76">
        <f t="shared" ref="AE105:AF105" si="76">IF(AE81&lt;0,AE81*-1,0)</f>
        <v>0</v>
      </c>
      <c r="AF105" s="76">
        <f t="shared" si="76"/>
        <v>0</v>
      </c>
      <c r="AG105" s="98"/>
      <c r="AH105" s="47">
        <f t="shared" si="47"/>
        <v>0</v>
      </c>
      <c r="AI105" s="48">
        <f t="shared" si="48"/>
        <v>0</v>
      </c>
      <c r="BF105" s="232"/>
      <c r="BG105" s="233">
        <v>67</v>
      </c>
      <c r="BH105" s="233">
        <v>0</v>
      </c>
      <c r="BI105" s="233">
        <v>382</v>
      </c>
      <c r="BJ105" s="233">
        <v>54</v>
      </c>
      <c r="BK105" s="233">
        <v>110</v>
      </c>
      <c r="BL105" s="233">
        <v>74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7"/>
        <v>0</v>
      </c>
      <c r="AI106" s="48">
        <f t="shared" si="48"/>
        <v>0</v>
      </c>
      <c r="BG106" s="233">
        <v>60</v>
      </c>
      <c r="BH106" s="233">
        <v>0</v>
      </c>
      <c r="BI106" s="233">
        <v>398</v>
      </c>
      <c r="BJ106" s="233">
        <v>4</v>
      </c>
      <c r="BK106" s="233">
        <v>120</v>
      </c>
      <c r="BL106" s="233">
        <v>73</v>
      </c>
    </row>
    <row r="107" spans="1:64" ht="15.75" thickBot="1" x14ac:dyDescent="0.3">
      <c r="A107" s="99" t="s">
        <v>106</v>
      </c>
      <c r="B107" s="60">
        <f t="shared" ref="B107:C107" si="77">SUM(B101:B106)</f>
        <v>0</v>
      </c>
      <c r="C107" s="60">
        <f t="shared" si="77"/>
        <v>0</v>
      </c>
      <c r="D107" s="60">
        <f t="shared" ref="D107:AB107" si="78">SUM(D101:D106)</f>
        <v>0</v>
      </c>
      <c r="E107" s="60">
        <f t="shared" si="78"/>
        <v>0</v>
      </c>
      <c r="F107" s="60">
        <f t="shared" si="78"/>
        <v>0</v>
      </c>
      <c r="G107" s="60">
        <f t="shared" si="78"/>
        <v>0</v>
      </c>
      <c r="H107" s="60">
        <f t="shared" si="78"/>
        <v>0</v>
      </c>
      <c r="I107" s="60">
        <f t="shared" si="78"/>
        <v>0</v>
      </c>
      <c r="J107" s="60">
        <f t="shared" si="78"/>
        <v>0</v>
      </c>
      <c r="K107" s="60">
        <f t="shared" si="78"/>
        <v>0</v>
      </c>
      <c r="L107" s="60">
        <f t="shared" si="78"/>
        <v>0</v>
      </c>
      <c r="M107" s="60">
        <f t="shared" si="78"/>
        <v>0</v>
      </c>
      <c r="N107" s="60">
        <f t="shared" si="78"/>
        <v>0</v>
      </c>
      <c r="O107" s="60">
        <f t="shared" si="78"/>
        <v>0</v>
      </c>
      <c r="P107" s="60">
        <f t="shared" si="78"/>
        <v>0</v>
      </c>
      <c r="Q107" s="60">
        <f t="shared" si="78"/>
        <v>0</v>
      </c>
      <c r="R107" s="60">
        <f t="shared" si="78"/>
        <v>0</v>
      </c>
      <c r="S107" s="60">
        <f t="shared" si="78"/>
        <v>0</v>
      </c>
      <c r="T107" s="60">
        <f t="shared" si="78"/>
        <v>0</v>
      </c>
      <c r="U107" s="60">
        <f t="shared" si="78"/>
        <v>0</v>
      </c>
      <c r="V107" s="60">
        <f t="shared" si="78"/>
        <v>0</v>
      </c>
      <c r="W107" s="60">
        <f t="shared" si="78"/>
        <v>0</v>
      </c>
      <c r="X107" s="60">
        <f t="shared" si="78"/>
        <v>0</v>
      </c>
      <c r="Y107" s="60">
        <f t="shared" si="78"/>
        <v>0</v>
      </c>
      <c r="Z107" s="60">
        <f t="shared" si="78"/>
        <v>0</v>
      </c>
      <c r="AA107" s="60">
        <f t="shared" si="78"/>
        <v>0</v>
      </c>
      <c r="AB107" s="60">
        <f t="shared" si="78"/>
        <v>0</v>
      </c>
      <c r="AC107" s="60">
        <v>0</v>
      </c>
      <c r="AD107" s="60">
        <v>0</v>
      </c>
      <c r="AE107" s="60">
        <v>0</v>
      </c>
      <c r="AF107" s="60">
        <v>0</v>
      </c>
      <c r="AG107" s="88"/>
      <c r="AH107" s="47">
        <f t="shared" si="47"/>
        <v>0</v>
      </c>
      <c r="AI107" s="48">
        <f t="shared" si="48"/>
        <v>0</v>
      </c>
      <c r="AK107" s="50"/>
      <c r="BG107" s="233">
        <v>73.2</v>
      </c>
      <c r="BH107" s="233">
        <v>0</v>
      </c>
      <c r="BI107" s="233">
        <v>399.4</v>
      </c>
      <c r="BJ107" s="233">
        <v>10</v>
      </c>
      <c r="BK107" s="233">
        <v>122</v>
      </c>
      <c r="BL107" s="233">
        <v>73.8</v>
      </c>
    </row>
    <row r="108" spans="1:64" ht="15.75" thickBot="1" x14ac:dyDescent="0.3">
      <c r="A108" s="74" t="s">
        <v>107</v>
      </c>
      <c r="B108" s="60">
        <f t="shared" ref="B108:AB108" si="79">B92-B107</f>
        <v>678.39999999999986</v>
      </c>
      <c r="C108" s="60">
        <f t="shared" si="79"/>
        <v>624.90000000000009</v>
      </c>
      <c r="D108" s="60">
        <f t="shared" si="79"/>
        <v>650.79999999999995</v>
      </c>
      <c r="E108" s="60">
        <f t="shared" si="79"/>
        <v>643.9</v>
      </c>
      <c r="F108" s="60">
        <f t="shared" si="79"/>
        <v>578.79999999999995</v>
      </c>
      <c r="G108" s="60">
        <f t="shared" si="79"/>
        <v>590</v>
      </c>
      <c r="H108" s="60">
        <f t="shared" si="79"/>
        <v>646</v>
      </c>
      <c r="I108" s="60">
        <f t="shared" si="79"/>
        <v>620</v>
      </c>
      <c r="J108" s="60">
        <f t="shared" si="79"/>
        <v>637.9</v>
      </c>
      <c r="K108" s="60">
        <f t="shared" si="79"/>
        <v>238</v>
      </c>
      <c r="L108" s="60">
        <f t="shared" si="79"/>
        <v>186.4</v>
      </c>
      <c r="M108" s="60">
        <f t="shared" si="79"/>
        <v>163.5</v>
      </c>
      <c r="N108" s="60">
        <f t="shared" si="79"/>
        <v>259.60000000000002</v>
      </c>
      <c r="O108" s="60">
        <f t="shared" si="79"/>
        <v>572.59999999999991</v>
      </c>
      <c r="P108" s="60">
        <f t="shared" si="79"/>
        <v>709.5</v>
      </c>
      <c r="Q108" s="60">
        <f t="shared" si="79"/>
        <v>69</v>
      </c>
      <c r="R108" s="60">
        <f t="shared" si="79"/>
        <v>624</v>
      </c>
      <c r="S108" s="60">
        <f t="shared" si="79"/>
        <v>705.1</v>
      </c>
      <c r="T108" s="60">
        <f t="shared" si="79"/>
        <v>722.7</v>
      </c>
      <c r="U108" s="60">
        <f t="shared" si="79"/>
        <v>765.8</v>
      </c>
      <c r="V108" s="60">
        <f t="shared" si="79"/>
        <v>504.20000000000005</v>
      </c>
      <c r="W108" s="60">
        <f t="shared" si="79"/>
        <v>674.1</v>
      </c>
      <c r="X108" s="60">
        <f t="shared" si="79"/>
        <v>726.30000000000007</v>
      </c>
      <c r="Y108" s="60">
        <f>Y92-Y107</f>
        <v>659.40000000000009</v>
      </c>
      <c r="Z108" s="60">
        <f>Z92-Z107</f>
        <v>620</v>
      </c>
      <c r="AA108" s="60">
        <f t="shared" si="79"/>
        <v>522.1</v>
      </c>
      <c r="AB108" s="60">
        <f t="shared" si="79"/>
        <v>512.5</v>
      </c>
      <c r="AC108" s="60">
        <f t="shared" ref="AC108:AD108" si="80">AC92-AC107</f>
        <v>592</v>
      </c>
      <c r="AD108" s="60">
        <f t="shared" si="80"/>
        <v>649</v>
      </c>
      <c r="AE108" s="60">
        <f t="shared" ref="AE108:AF108" si="81">AE92-AE107</f>
        <v>687</v>
      </c>
      <c r="AF108" s="60">
        <f t="shared" si="81"/>
        <v>655</v>
      </c>
      <c r="AG108" s="88"/>
      <c r="AH108" s="47">
        <f t="shared" si="47"/>
        <v>765.8</v>
      </c>
      <c r="AI108" s="48">
        <f t="shared" si="48"/>
        <v>69</v>
      </c>
    </row>
    <row r="109" spans="1:64" x14ac:dyDescent="0.25">
      <c r="A109" s="100" t="s">
        <v>108</v>
      </c>
      <c r="B109" s="101">
        <v>49.984999999999999</v>
      </c>
      <c r="C109" s="101">
        <v>50.015000000000001</v>
      </c>
      <c r="D109" s="101">
        <v>49.970999999999997</v>
      </c>
      <c r="E109" s="101">
        <v>50.012</v>
      </c>
      <c r="F109" s="101">
        <v>50.029000000000003</v>
      </c>
      <c r="G109" s="101">
        <v>50.052</v>
      </c>
      <c r="H109" s="101">
        <v>49.875999999999998</v>
      </c>
      <c r="I109" s="101">
        <v>49.875999999999998</v>
      </c>
      <c r="J109" s="101">
        <v>49.984999999999999</v>
      </c>
      <c r="K109" s="101">
        <v>50.03</v>
      </c>
      <c r="L109" s="101">
        <v>50.015999999999998</v>
      </c>
      <c r="M109" s="101">
        <v>50.079000000000001</v>
      </c>
      <c r="N109" s="101">
        <v>50.052999999999997</v>
      </c>
      <c r="O109" s="101">
        <v>50.045999999999999</v>
      </c>
      <c r="P109" s="101">
        <v>50.033999999999999</v>
      </c>
      <c r="Q109" s="101"/>
      <c r="R109" s="101">
        <v>49.991</v>
      </c>
      <c r="S109" s="101">
        <v>50.034999999999997</v>
      </c>
      <c r="T109" s="101">
        <v>50.030999999999999</v>
      </c>
      <c r="U109" s="101">
        <v>49.997999999999998</v>
      </c>
      <c r="V109" s="101">
        <v>50.063000000000002</v>
      </c>
      <c r="W109" s="101">
        <v>50.054000000000002</v>
      </c>
      <c r="X109" s="101">
        <v>50.063800000000001</v>
      </c>
      <c r="Y109" s="101">
        <v>49.991</v>
      </c>
      <c r="Z109" s="101">
        <v>49.951999999999998</v>
      </c>
      <c r="AA109" s="101">
        <v>49.947000000000003</v>
      </c>
      <c r="AB109" s="101">
        <v>50.1</v>
      </c>
      <c r="AC109" s="101">
        <v>49.93</v>
      </c>
      <c r="AD109" s="101">
        <v>50.06</v>
      </c>
      <c r="AE109" s="101">
        <v>50.08</v>
      </c>
      <c r="AF109" s="101">
        <v>49.88</v>
      </c>
      <c r="AG109" s="102"/>
      <c r="AH109" s="47">
        <f t="shared" si="47"/>
        <v>50.1</v>
      </c>
      <c r="AI109" s="48">
        <f t="shared" si="48"/>
        <v>49.875999999999998</v>
      </c>
    </row>
    <row r="110" spans="1:64" x14ac:dyDescent="0.25">
      <c r="A110" s="103" t="s">
        <v>109</v>
      </c>
      <c r="B110" s="65">
        <v>128.9</v>
      </c>
      <c r="C110" s="65">
        <v>129.5</v>
      </c>
      <c r="D110" s="65">
        <v>128.9</v>
      </c>
      <c r="E110" s="65">
        <v>129</v>
      </c>
      <c r="F110" s="65">
        <v>128.19999999999999</v>
      </c>
      <c r="G110" s="65">
        <v>128.19999999999999</v>
      </c>
      <c r="H110" s="65">
        <v>129.30000000000001</v>
      </c>
      <c r="I110" s="65">
        <v>129.30000000000001</v>
      </c>
      <c r="J110" s="65">
        <v>127.8</v>
      </c>
      <c r="K110" s="65">
        <v>126.3</v>
      </c>
      <c r="L110" s="65">
        <v>125.1</v>
      </c>
      <c r="M110" s="65">
        <v>126.2</v>
      </c>
      <c r="N110" s="65">
        <v>127.7</v>
      </c>
      <c r="O110" s="65">
        <v>126.8</v>
      </c>
      <c r="P110" s="65">
        <v>125.6</v>
      </c>
      <c r="Q110" s="65"/>
      <c r="R110" s="65">
        <v>124.9</v>
      </c>
      <c r="S110" s="65">
        <v>126.6</v>
      </c>
      <c r="T110" s="65">
        <v>124.7</v>
      </c>
      <c r="U110" s="65">
        <v>125.8</v>
      </c>
      <c r="V110" s="65">
        <v>131.69999999999999</v>
      </c>
      <c r="W110" s="65">
        <v>127.5</v>
      </c>
      <c r="X110" s="65">
        <v>127.5</v>
      </c>
      <c r="Y110" s="65">
        <v>127</v>
      </c>
      <c r="Z110" s="65">
        <v>126.7</v>
      </c>
      <c r="AA110" s="65">
        <v>127.2</v>
      </c>
      <c r="AB110" s="65">
        <v>128</v>
      </c>
      <c r="AC110" s="65">
        <v>128</v>
      </c>
      <c r="AD110" s="65">
        <v>127</v>
      </c>
      <c r="AE110" s="65">
        <v>128.80000000000001</v>
      </c>
      <c r="AF110" s="65">
        <v>127.6</v>
      </c>
      <c r="AG110" s="104"/>
      <c r="AH110" s="47">
        <f t="shared" si="47"/>
        <v>131.69999999999999</v>
      </c>
      <c r="AI110" s="48">
        <f t="shared" si="48"/>
        <v>124.7</v>
      </c>
    </row>
    <row r="111" spans="1:64" x14ac:dyDescent="0.25">
      <c r="A111" s="103" t="s">
        <v>110</v>
      </c>
      <c r="B111" s="65">
        <v>132.9</v>
      </c>
      <c r="C111" s="65">
        <v>133.19999999999999</v>
      </c>
      <c r="D111" s="65">
        <v>132.9</v>
      </c>
      <c r="E111" s="65">
        <v>132.80000000000001</v>
      </c>
      <c r="F111" s="65">
        <v>131</v>
      </c>
      <c r="G111" s="65">
        <v>132.19999999999999</v>
      </c>
      <c r="H111" s="65">
        <v>132.69999999999999</v>
      </c>
      <c r="I111" s="65">
        <v>132.69999999999999</v>
      </c>
      <c r="J111" s="65">
        <v>129.9</v>
      </c>
      <c r="K111" s="65">
        <v>129</v>
      </c>
      <c r="L111" s="65">
        <v>126.8</v>
      </c>
      <c r="M111" s="65">
        <v>128.4</v>
      </c>
      <c r="N111" s="65">
        <v>129.69999999999999</v>
      </c>
      <c r="O111" s="65">
        <v>129.5</v>
      </c>
      <c r="P111" s="65">
        <v>128.30000000000001</v>
      </c>
      <c r="Q111" s="65"/>
      <c r="R111" s="65">
        <v>127.8</v>
      </c>
      <c r="S111" s="65">
        <v>129.5</v>
      </c>
      <c r="T111" s="65">
        <v>128.4</v>
      </c>
      <c r="U111" s="65">
        <v>129.5</v>
      </c>
      <c r="V111" s="65">
        <v>133.4</v>
      </c>
      <c r="W111" s="65">
        <v>129.6</v>
      </c>
      <c r="X111" s="65">
        <v>129.6</v>
      </c>
      <c r="Y111" s="65">
        <v>128.69999999999999</v>
      </c>
      <c r="Z111" s="65">
        <v>128.4</v>
      </c>
      <c r="AA111" s="65">
        <v>129</v>
      </c>
      <c r="AB111" s="65">
        <v>130</v>
      </c>
      <c r="AC111" s="65">
        <v>130</v>
      </c>
      <c r="AD111" s="65">
        <v>130.6</v>
      </c>
      <c r="AE111" s="65">
        <v>133</v>
      </c>
      <c r="AF111" s="65">
        <v>66.2</v>
      </c>
      <c r="AG111" s="104"/>
      <c r="AH111" s="47">
        <f t="shared" si="47"/>
        <v>133.4</v>
      </c>
      <c r="AI111" s="48">
        <f t="shared" si="48"/>
        <v>66.2</v>
      </c>
    </row>
    <row r="112" spans="1:64" x14ac:dyDescent="0.25">
      <c r="A112" s="103" t="s">
        <v>111</v>
      </c>
      <c r="B112" s="65">
        <v>129.69999999999999</v>
      </c>
      <c r="C112" s="65">
        <v>131.69999999999999</v>
      </c>
      <c r="D112" s="65">
        <v>131.69999999999999</v>
      </c>
      <c r="E112" s="65">
        <v>128.1</v>
      </c>
      <c r="F112" s="65">
        <v>129.30000000000001</v>
      </c>
      <c r="G112" s="65">
        <v>130.5</v>
      </c>
      <c r="H112" s="65">
        <v>128</v>
      </c>
      <c r="I112" s="65">
        <v>128</v>
      </c>
      <c r="J112" s="65">
        <v>127.4</v>
      </c>
      <c r="K112" s="65">
        <v>127.4</v>
      </c>
      <c r="L112" s="65">
        <v>127.8</v>
      </c>
      <c r="M112" s="65">
        <v>128.69999999999999</v>
      </c>
      <c r="N112" s="65">
        <v>129.6</v>
      </c>
      <c r="O112" s="65">
        <v>126.5</v>
      </c>
      <c r="P112" s="65">
        <v>126.6</v>
      </c>
      <c r="Q112" s="65"/>
      <c r="R112" s="65">
        <v>127.5</v>
      </c>
      <c r="S112" s="65">
        <v>127.4</v>
      </c>
      <c r="T112" s="65">
        <v>124.8</v>
      </c>
      <c r="U112" s="65">
        <v>123.6</v>
      </c>
      <c r="V112" s="65">
        <v>126.6</v>
      </c>
      <c r="W112" s="65">
        <v>126.3</v>
      </c>
      <c r="X112" s="65">
        <v>126.3</v>
      </c>
      <c r="Y112" s="65">
        <v>122.6</v>
      </c>
      <c r="Z112" s="65">
        <v>128</v>
      </c>
      <c r="AA112" s="65">
        <v>123.4</v>
      </c>
      <c r="AB112" s="65">
        <v>125</v>
      </c>
      <c r="AC112" s="65">
        <v>125</v>
      </c>
      <c r="AD112" s="65">
        <v>126</v>
      </c>
      <c r="AE112" s="65">
        <v>129</v>
      </c>
      <c r="AF112" s="65">
        <v>127</v>
      </c>
      <c r="AG112" s="104"/>
      <c r="AH112" s="47">
        <f t="shared" si="47"/>
        <v>131.69999999999999</v>
      </c>
      <c r="AI112" s="48">
        <f t="shared" si="48"/>
        <v>122.6</v>
      </c>
    </row>
    <row r="113" spans="1:35" x14ac:dyDescent="0.25">
      <c r="A113" s="105" t="s">
        <v>112</v>
      </c>
      <c r="B113" s="65">
        <v>132.4</v>
      </c>
      <c r="C113" s="65">
        <v>134.30000000000001</v>
      </c>
      <c r="D113" s="65">
        <v>134.80000000000001</v>
      </c>
      <c r="E113" s="65">
        <v>130.9</v>
      </c>
      <c r="F113" s="65">
        <v>132.5</v>
      </c>
      <c r="G113" s="65">
        <v>133.1</v>
      </c>
      <c r="H113" s="65">
        <v>131</v>
      </c>
      <c r="I113" s="65">
        <v>126.5</v>
      </c>
      <c r="J113" s="65">
        <v>126.5</v>
      </c>
      <c r="K113" s="65">
        <v>126.4</v>
      </c>
      <c r="L113" s="65">
        <v>125.5</v>
      </c>
      <c r="M113" s="65">
        <v>125.7</v>
      </c>
      <c r="N113" s="65">
        <v>126.7</v>
      </c>
      <c r="O113" s="65">
        <v>124.3</v>
      </c>
      <c r="P113" s="65">
        <v>125.4</v>
      </c>
      <c r="Q113" s="65"/>
      <c r="R113" s="65">
        <v>126.8</v>
      </c>
      <c r="S113" s="65">
        <v>126.3</v>
      </c>
      <c r="T113" s="65">
        <v>124.1</v>
      </c>
      <c r="U113" s="65">
        <v>121.6</v>
      </c>
      <c r="V113" s="65">
        <v>125</v>
      </c>
      <c r="W113" s="65">
        <v>124.6</v>
      </c>
      <c r="X113" s="65">
        <v>124.6</v>
      </c>
      <c r="Y113" s="65">
        <v>122.2</v>
      </c>
      <c r="Z113" s="65">
        <v>127.7</v>
      </c>
      <c r="AA113" s="65">
        <v>123.9</v>
      </c>
      <c r="AB113" s="65">
        <v>127</v>
      </c>
      <c r="AC113" s="65">
        <v>127</v>
      </c>
      <c r="AD113" s="65">
        <v>129</v>
      </c>
      <c r="AE113" s="65">
        <v>131.80000000000001</v>
      </c>
      <c r="AF113" s="65">
        <v>130</v>
      </c>
      <c r="AG113" s="104"/>
      <c r="AH113" s="47">
        <f t="shared" si="47"/>
        <v>134.80000000000001</v>
      </c>
      <c r="AI113" s="48">
        <f t="shared" si="48"/>
        <v>121.6</v>
      </c>
    </row>
    <row r="114" spans="1:35" x14ac:dyDescent="0.25">
      <c r="A114" s="105" t="s">
        <v>113</v>
      </c>
      <c r="B114" s="106">
        <v>129.4</v>
      </c>
      <c r="C114" s="106">
        <v>129.80000000000001</v>
      </c>
      <c r="D114" s="106">
        <v>129.80000000000001</v>
      </c>
      <c r="E114" s="106">
        <v>130.6</v>
      </c>
      <c r="F114" s="106">
        <v>130.80000000000001</v>
      </c>
      <c r="G114" s="106">
        <v>133.5</v>
      </c>
      <c r="H114" s="106">
        <v>135</v>
      </c>
      <c r="I114" s="106">
        <v>134.19999999999999</v>
      </c>
      <c r="J114" s="106">
        <v>134.19999999999999</v>
      </c>
      <c r="K114" s="106">
        <v>135.80000000000001</v>
      </c>
      <c r="L114" s="106">
        <v>134.30000000000001</v>
      </c>
      <c r="M114" s="106">
        <v>134.1</v>
      </c>
      <c r="N114" s="106">
        <v>136.19999999999999</v>
      </c>
      <c r="O114" s="106">
        <v>134.80000000000001</v>
      </c>
      <c r="P114" s="106">
        <v>131.4</v>
      </c>
      <c r="Q114" s="106"/>
      <c r="R114" s="106">
        <v>132.4</v>
      </c>
      <c r="S114" s="106">
        <v>134.1</v>
      </c>
      <c r="T114" s="106">
        <v>132.69999999999999</v>
      </c>
      <c r="U114" s="106">
        <v>134.1</v>
      </c>
      <c r="V114" s="106">
        <v>137.30000000000001</v>
      </c>
      <c r="W114" s="106">
        <v>132.4</v>
      </c>
      <c r="X114" s="106">
        <v>132.4</v>
      </c>
      <c r="Y114" s="106">
        <v>134</v>
      </c>
      <c r="Z114" s="106">
        <v>136.4</v>
      </c>
      <c r="AA114" s="106">
        <v>132.1</v>
      </c>
      <c r="AB114" s="106">
        <v>136</v>
      </c>
      <c r="AC114" s="106">
        <v>136</v>
      </c>
      <c r="AD114" s="106">
        <v>134</v>
      </c>
      <c r="AE114" s="106">
        <v>132.80000000000001</v>
      </c>
      <c r="AF114" s="106">
        <v>130.6</v>
      </c>
      <c r="AG114" s="107"/>
      <c r="AH114" s="47">
        <f t="shared" si="47"/>
        <v>137.30000000000001</v>
      </c>
      <c r="AI114" s="48">
        <f t="shared" si="48"/>
        <v>129.4</v>
      </c>
    </row>
    <row r="115" spans="1:35" x14ac:dyDescent="0.25">
      <c r="A115" s="103" t="s">
        <v>114</v>
      </c>
      <c r="B115" s="65">
        <v>128.80000000000001</v>
      </c>
      <c r="C115" s="65">
        <v>133.30000000000001</v>
      </c>
      <c r="D115" s="65">
        <v>133.5</v>
      </c>
      <c r="E115" s="65">
        <v>135.19999999999999</v>
      </c>
      <c r="F115" s="65">
        <v>136.4</v>
      </c>
      <c r="G115" s="65">
        <v>130.5</v>
      </c>
      <c r="H115" s="65">
        <v>134</v>
      </c>
      <c r="I115" s="65">
        <v>126.2</v>
      </c>
      <c r="J115" s="65">
        <v>126.2</v>
      </c>
      <c r="K115" s="65">
        <v>129.4</v>
      </c>
      <c r="L115" s="65">
        <v>129.4</v>
      </c>
      <c r="M115" s="65">
        <v>127.4</v>
      </c>
      <c r="N115" s="65">
        <v>131.19999999999999</v>
      </c>
      <c r="O115" s="65">
        <v>128.80000000000001</v>
      </c>
      <c r="P115" s="65">
        <v>130</v>
      </c>
      <c r="Q115" s="65"/>
      <c r="R115" s="65">
        <v>130.1</v>
      </c>
      <c r="S115" s="65">
        <v>130.4</v>
      </c>
      <c r="T115" s="65">
        <v>130.9</v>
      </c>
      <c r="U115" s="65">
        <v>131.80000000000001</v>
      </c>
      <c r="V115" s="65">
        <v>136.5</v>
      </c>
      <c r="W115" s="65">
        <v>132</v>
      </c>
      <c r="X115" s="65">
        <v>132</v>
      </c>
      <c r="Y115" s="65">
        <v>131.80000000000001</v>
      </c>
      <c r="Z115" s="65">
        <v>137</v>
      </c>
      <c r="AA115" s="65">
        <v>133.5</v>
      </c>
      <c r="AB115" s="65">
        <v>131</v>
      </c>
      <c r="AC115" s="65">
        <v>131</v>
      </c>
      <c r="AD115" s="65">
        <v>128</v>
      </c>
      <c r="AE115" s="65">
        <v>130</v>
      </c>
      <c r="AF115" s="65">
        <v>128</v>
      </c>
      <c r="AG115" s="104"/>
      <c r="AH115" s="47">
        <f t="shared" si="47"/>
        <v>137</v>
      </c>
      <c r="AI115" s="48">
        <f t="shared" si="48"/>
        <v>126.2</v>
      </c>
    </row>
    <row r="116" spans="1:35" ht="15.75" thickBot="1" x14ac:dyDescent="0.3">
      <c r="A116" s="103" t="s">
        <v>115</v>
      </c>
      <c r="B116" s="92">
        <v>66.8</v>
      </c>
      <c r="C116" s="92">
        <v>67.2</v>
      </c>
      <c r="D116" s="92">
        <v>67.099999999999994</v>
      </c>
      <c r="E116" s="92">
        <v>67</v>
      </c>
      <c r="F116" s="92">
        <v>66.599999999999994</v>
      </c>
      <c r="G116" s="92">
        <v>66.5</v>
      </c>
      <c r="H116" s="92">
        <v>66.8</v>
      </c>
      <c r="I116" s="92">
        <v>66</v>
      </c>
      <c r="J116" s="92">
        <v>65.3</v>
      </c>
      <c r="K116" s="92">
        <v>64.7</v>
      </c>
      <c r="L116" s="92">
        <v>63.5</v>
      </c>
      <c r="M116" s="92">
        <v>64.400000000000006</v>
      </c>
      <c r="N116" s="92">
        <v>65.2</v>
      </c>
      <c r="O116" s="92">
        <v>65</v>
      </c>
      <c r="P116" s="92">
        <v>64.400000000000006</v>
      </c>
      <c r="Q116" s="92"/>
      <c r="R116" s="92">
        <v>63.8</v>
      </c>
      <c r="S116" s="92">
        <v>65.099999999999994</v>
      </c>
      <c r="T116" s="92">
        <v>64.3</v>
      </c>
      <c r="U116" s="92">
        <v>65.2</v>
      </c>
      <c r="V116" s="92">
        <v>66.900000000000006</v>
      </c>
      <c r="W116" s="92">
        <v>65.099999999999994</v>
      </c>
      <c r="X116" s="92">
        <v>65.099999999999994</v>
      </c>
      <c r="Y116" s="92">
        <v>64.8</v>
      </c>
      <c r="Z116" s="92">
        <v>64.3</v>
      </c>
      <c r="AA116" s="92">
        <v>64.900000000000006</v>
      </c>
      <c r="AB116" s="92">
        <v>65.599999999999994</v>
      </c>
      <c r="AC116" s="92">
        <v>65.599999999999994</v>
      </c>
      <c r="AD116" s="92">
        <v>65.7</v>
      </c>
      <c r="AE116" s="92">
        <v>66.8</v>
      </c>
      <c r="AF116" s="92">
        <v>66.3</v>
      </c>
      <c r="AG116" s="108"/>
      <c r="AH116" s="47">
        <f t="shared" si="47"/>
        <v>67.2</v>
      </c>
      <c r="AI116" s="48">
        <f t="shared" si="48"/>
        <v>63.5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7"/>
        <v>0</v>
      </c>
      <c r="AI117" s="48">
        <f t="shared" si="48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152.04</v>
      </c>
      <c r="C118" s="111">
        <f>SUM(C22,C28,C31:C32,C66,C68:C69,C71,C73,C119:C123,C155,C161,C167,C176,C178,C190,C197,C200:C201,C208,C210,C212,C216:C218,C220:C222,C227,C233:C234,C236:C238,C246,C251)</f>
        <v>141.20000000000002</v>
      </c>
      <c r="D118" s="111">
        <f t="shared" ref="D118:O118" si="82">SUM(D22,D28,D31:D32,D66,D68:D69,D71,D73,D119:D123,D155,D161,D167,D176,D178,D190,D197,D200:D201,D208,D210,D212,D216:D218,D220:D222,D227,D233:D234,D236:D238,D246,D251)</f>
        <v>135.06</v>
      </c>
      <c r="E118" s="111">
        <f t="shared" si="82"/>
        <v>140.96</v>
      </c>
      <c r="F118" s="111">
        <f t="shared" si="82"/>
        <v>145.85999999999999</v>
      </c>
      <c r="G118" s="111">
        <f t="shared" si="82"/>
        <v>184.86</v>
      </c>
      <c r="H118" s="111">
        <f t="shared" si="82"/>
        <v>200.84</v>
      </c>
      <c r="I118" s="111">
        <f t="shared" si="82"/>
        <v>211.33799999999999</v>
      </c>
      <c r="J118" s="111">
        <f t="shared" si="82"/>
        <v>323.91999999999996</v>
      </c>
      <c r="K118" s="111">
        <f t="shared" si="82"/>
        <v>329.86</v>
      </c>
      <c r="L118" s="111">
        <f t="shared" si="82"/>
        <v>353.8</v>
      </c>
      <c r="M118" s="111">
        <f t="shared" si="82"/>
        <v>355.48</v>
      </c>
      <c r="N118" s="111">
        <f t="shared" si="82"/>
        <v>318.24</v>
      </c>
      <c r="O118" s="111">
        <f t="shared" si="82"/>
        <v>292.33999999999997</v>
      </c>
      <c r="P118" s="111">
        <v>42</v>
      </c>
      <c r="Q118" s="111">
        <f t="shared" ref="Q118:AB118" si="83">SUM(Q22,Q28,Q31:Q32,Q66,Q68:Q69,Q71,Q73,Q119:Q123,Q155,Q161,Q167,Q176,Q178,Q190,Q197,Q200:Q201,Q208,Q210,Q212,Q216:Q218,Q220:Q222,Q227,Q233:Q234,Q236:Q238,Q246,Q251)</f>
        <v>82.339999999999989</v>
      </c>
      <c r="R118" s="111">
        <f t="shared" si="83"/>
        <v>275</v>
      </c>
      <c r="S118" s="111">
        <f t="shared" si="83"/>
        <v>277.95600000000002</v>
      </c>
      <c r="T118" s="111">
        <f t="shared" si="83"/>
        <v>278.03800000000001</v>
      </c>
      <c r="U118" s="111">
        <f t="shared" si="83"/>
        <v>288.50099999999998</v>
      </c>
      <c r="V118" s="111">
        <f t="shared" si="83"/>
        <v>269.58999999999997</v>
      </c>
      <c r="W118" s="111">
        <f t="shared" si="83"/>
        <v>277.74</v>
      </c>
      <c r="X118" s="111">
        <f t="shared" si="83"/>
        <v>309.04000000000002</v>
      </c>
      <c r="Y118" s="111">
        <f t="shared" ref="Y118" si="84">SUM(Y20,Y26,Y37:Y38,Y66,Y68:Y69,Y71,Y73,Y119:Y123,Y148,Y154,Y160,Y169,Y171,Y183,Y190,Y193:Y194,Y201,Y203,Y205,Y209:Y211,Y213:Y215,Y220,Y226:Y227,Y229:Y231,Y239,Y244)</f>
        <v>378.988</v>
      </c>
      <c r="Z118" s="111">
        <f>SUM(Z20,Z26,Z37:Z38,Z66,Z68:Z69,Z71,Z73,Z119:Z123,Z148,Z154,Z160,Z169,Z171,Z183,Z190,Z193:Z194,Z201,Z203,Z205,Z209:Z211,Z213:Z215,Z220,Z226:Z227,Z229:Z231,Z239,Z244)</f>
        <v>396.22500000000002</v>
      </c>
      <c r="AA118" s="111">
        <f t="shared" si="83"/>
        <v>374.73199999999997</v>
      </c>
      <c r="AB118" s="111">
        <f t="shared" si="83"/>
        <v>313.44</v>
      </c>
      <c r="AC118" s="111">
        <f t="shared" ref="AC118:AD118" si="85">SUM(AC22,AC28,AC31:AC32,AC66,AC68:AC69,AC71,AC73,AC119:AC123,AC155,AC161,AC167,AC176,AC178,AC190,AC197,AC200:AC201,AC208,AC210,AC212,AC216:AC218,AC220:AC222,AC227,AC233:AC234,AC236:AC238,AC246,AC251)</f>
        <v>318.44</v>
      </c>
      <c r="AD118" s="111">
        <f t="shared" si="85"/>
        <v>285.44</v>
      </c>
      <c r="AE118" s="111">
        <f t="shared" ref="AE118:AF118" si="86">SUM(AE22,AE28,AE31:AE32,AE66,AE68:AE69,AE71,AE73,AE119:AE123,AE155,AE161,AE167,AE176,AE178,AE190,AE197,AE200:AE201,AE208,AE210,AE212,AE216:AE218,AE220:AE222,AE227,AE233:AE234,AE236:AE238,AE246,AE251)</f>
        <v>215.54000000000002</v>
      </c>
      <c r="AF118" s="111">
        <f t="shared" si="86"/>
        <v>156.74</v>
      </c>
      <c r="AG118" s="112"/>
      <c r="AH118" s="47">
        <f t="shared" si="47"/>
        <v>396.22500000000002</v>
      </c>
      <c r="AI118" s="48">
        <f t="shared" si="48"/>
        <v>42</v>
      </c>
    </row>
    <row r="119" spans="1:35" x14ac:dyDescent="0.25">
      <c r="A119" s="172" t="s">
        <v>118</v>
      </c>
      <c r="B119" s="113">
        <v>-6</v>
      </c>
      <c r="C119" s="113">
        <v>-6.3</v>
      </c>
      <c r="D119" s="113">
        <v>-15.7</v>
      </c>
      <c r="E119" s="113">
        <v>-19.7</v>
      </c>
      <c r="F119" s="113">
        <v>-14.7</v>
      </c>
      <c r="G119" s="113">
        <v>-7.5</v>
      </c>
      <c r="H119" s="113">
        <v>5.3</v>
      </c>
      <c r="I119" s="113">
        <v>19.7</v>
      </c>
      <c r="J119" s="113">
        <v>41.5</v>
      </c>
      <c r="K119" s="113">
        <v>42.5</v>
      </c>
      <c r="L119" s="113">
        <v>35.9</v>
      </c>
      <c r="M119" s="113">
        <v>40.9</v>
      </c>
      <c r="N119" s="113">
        <v>52</v>
      </c>
      <c r="O119" s="113">
        <v>30.6</v>
      </c>
      <c r="P119" s="113">
        <v>22.4</v>
      </c>
      <c r="Q119" s="113"/>
      <c r="R119" s="113">
        <v>30.7</v>
      </c>
      <c r="S119" s="113">
        <v>26.7</v>
      </c>
      <c r="T119" s="113">
        <v>27.6</v>
      </c>
      <c r="U119" s="113">
        <v>24.4</v>
      </c>
      <c r="V119" s="113">
        <v>33.799999999999997</v>
      </c>
      <c r="W119" s="113">
        <v>6.6</v>
      </c>
      <c r="X119" s="113">
        <v>11.3</v>
      </c>
      <c r="Y119" s="113">
        <v>25.7</v>
      </c>
      <c r="Z119" s="113">
        <v>36.799999999999997</v>
      </c>
      <c r="AA119" s="113">
        <v>33.200000000000003</v>
      </c>
      <c r="AB119" s="113">
        <v>28</v>
      </c>
      <c r="AC119" s="113">
        <v>25</v>
      </c>
      <c r="AD119" s="113">
        <v>17</v>
      </c>
      <c r="AE119" s="113">
        <v>11.5</v>
      </c>
      <c r="AF119" s="113">
        <v>4.5999999999999996</v>
      </c>
      <c r="AG119" s="114">
        <v>75</v>
      </c>
      <c r="AH119" s="47">
        <f t="shared" si="47"/>
        <v>52</v>
      </c>
      <c r="AI119" s="48">
        <f t="shared" si="48"/>
        <v>-19.7</v>
      </c>
    </row>
    <row r="120" spans="1:35" x14ac:dyDescent="0.25">
      <c r="A120" s="173" t="s">
        <v>119</v>
      </c>
      <c r="B120" s="115">
        <v>-13.4</v>
      </c>
      <c r="C120" s="115">
        <v>-13.2</v>
      </c>
      <c r="D120" s="115">
        <v>-26.4</v>
      </c>
      <c r="E120" s="115">
        <v>-32.9</v>
      </c>
      <c r="F120" s="115">
        <v>-23.8</v>
      </c>
      <c r="G120" s="115">
        <v>-12.7</v>
      </c>
      <c r="H120" s="115">
        <v>-12.1</v>
      </c>
      <c r="I120" s="115">
        <v>28.6</v>
      </c>
      <c r="J120" s="115">
        <v>53</v>
      </c>
      <c r="K120" s="115">
        <v>57.3</v>
      </c>
      <c r="L120" s="115">
        <v>48.5</v>
      </c>
      <c r="M120" s="115">
        <v>56.2</v>
      </c>
      <c r="N120" s="115">
        <v>70.5</v>
      </c>
      <c r="O120" s="115">
        <v>42.6</v>
      </c>
      <c r="P120" s="115">
        <v>23.4</v>
      </c>
      <c r="Q120" s="115"/>
      <c r="R120" s="115">
        <v>36.299999999999997</v>
      </c>
      <c r="S120" s="115">
        <v>30.3</v>
      </c>
      <c r="T120" s="115">
        <v>34.4</v>
      </c>
      <c r="U120" s="115">
        <v>29.2</v>
      </c>
      <c r="V120" s="115">
        <v>47.5</v>
      </c>
      <c r="W120" s="115">
        <v>11</v>
      </c>
      <c r="X120" s="115">
        <v>16.899999999999999</v>
      </c>
      <c r="Y120" s="115">
        <v>34.1</v>
      </c>
      <c r="Z120" s="115">
        <v>48.5</v>
      </c>
      <c r="AA120" s="115">
        <v>45.7</v>
      </c>
      <c r="AB120" s="115">
        <v>38</v>
      </c>
      <c r="AC120" s="115">
        <v>36</v>
      </c>
      <c r="AD120" s="115">
        <v>19</v>
      </c>
      <c r="AE120" s="115">
        <v>12.4</v>
      </c>
      <c r="AF120" s="115">
        <v>2.7</v>
      </c>
      <c r="AG120" s="114">
        <v>240</v>
      </c>
      <c r="AH120" s="47">
        <f t="shared" si="47"/>
        <v>70.5</v>
      </c>
      <c r="AI120" s="48">
        <f t="shared" si="48"/>
        <v>-32.9</v>
      </c>
    </row>
    <row r="121" spans="1:35" x14ac:dyDescent="0.25">
      <c r="A121" s="173" t="s">
        <v>120</v>
      </c>
      <c r="B121" s="115">
        <v>-9.1999999999999993</v>
      </c>
      <c r="C121" s="115">
        <v>-12</v>
      </c>
      <c r="D121" s="115">
        <v>-7.3</v>
      </c>
      <c r="E121" s="115">
        <f>-2.4-3</f>
        <v>-5.4</v>
      </c>
      <c r="F121" s="115">
        <f>-4.8-5.4</f>
        <v>-10.199999999999999</v>
      </c>
      <c r="G121" s="115">
        <v>-0.5</v>
      </c>
      <c r="H121" s="115">
        <v>0</v>
      </c>
      <c r="I121" s="115">
        <v>-31.8</v>
      </c>
      <c r="J121" s="115">
        <v>21</v>
      </c>
      <c r="K121" s="115">
        <f>4+4.3</f>
        <v>8.3000000000000007</v>
      </c>
      <c r="L121" s="115">
        <v>17.2</v>
      </c>
      <c r="M121" s="115">
        <v>15</v>
      </c>
      <c r="N121" s="115">
        <v>7</v>
      </c>
      <c r="O121" s="115">
        <v>9</v>
      </c>
      <c r="P121" s="115">
        <v>12</v>
      </c>
      <c r="Q121" s="115"/>
      <c r="R121" s="115">
        <v>-2</v>
      </c>
      <c r="S121" s="115">
        <v>-3.4</v>
      </c>
      <c r="T121" s="115">
        <v>0</v>
      </c>
      <c r="U121" s="115">
        <v>5.2</v>
      </c>
      <c r="V121" s="115">
        <v>15</v>
      </c>
      <c r="W121" s="115">
        <v>32.4</v>
      </c>
      <c r="X121" s="115">
        <v>42</v>
      </c>
      <c r="Y121" s="115">
        <v>60.2</v>
      </c>
      <c r="Z121" s="115">
        <v>53</v>
      </c>
      <c r="AA121" s="115">
        <v>48</v>
      </c>
      <c r="AB121" s="115">
        <v>19</v>
      </c>
      <c r="AC121" s="115">
        <v>35</v>
      </c>
      <c r="AD121" s="115">
        <v>30</v>
      </c>
      <c r="AE121" s="115">
        <v>5</v>
      </c>
      <c r="AF121" s="115">
        <v>-10</v>
      </c>
      <c r="AG121" s="114">
        <v>240</v>
      </c>
      <c r="AH121" s="47">
        <f t="shared" si="47"/>
        <v>60.2</v>
      </c>
      <c r="AI121" s="48">
        <f t="shared" si="48"/>
        <v>-31.8</v>
      </c>
    </row>
    <row r="122" spans="1:35" ht="15.75" thickBot="1" x14ac:dyDescent="0.3">
      <c r="A122" s="173" t="s">
        <v>121</v>
      </c>
      <c r="B122" s="115">
        <v>-6.4</v>
      </c>
      <c r="C122" s="115">
        <v>-8.1</v>
      </c>
      <c r="D122" s="115">
        <v>-7.7</v>
      </c>
      <c r="E122" s="115">
        <v>-5.2</v>
      </c>
      <c r="F122" s="115">
        <v>-9.6</v>
      </c>
      <c r="G122" s="115">
        <v>-6.8</v>
      </c>
      <c r="H122" s="115">
        <v>0.2</v>
      </c>
      <c r="I122" s="115">
        <v>-3.1</v>
      </c>
      <c r="J122" s="115">
        <v>14.1</v>
      </c>
      <c r="K122" s="115">
        <v>17.399999999999999</v>
      </c>
      <c r="L122" s="115">
        <v>19.8</v>
      </c>
      <c r="M122" s="115">
        <v>20</v>
      </c>
      <c r="N122" s="115">
        <v>18</v>
      </c>
      <c r="O122" s="115">
        <v>14</v>
      </c>
      <c r="P122" s="115">
        <v>5</v>
      </c>
      <c r="Q122" s="115"/>
      <c r="R122" s="115">
        <v>1</v>
      </c>
      <c r="S122" s="115">
        <v>5.3</v>
      </c>
      <c r="T122" s="115">
        <v>0.9</v>
      </c>
      <c r="U122" s="115">
        <v>20.5</v>
      </c>
      <c r="V122" s="115">
        <v>24.7</v>
      </c>
      <c r="W122" s="115">
        <v>16.899999999999999</v>
      </c>
      <c r="X122" s="115">
        <v>16</v>
      </c>
      <c r="Y122" s="115">
        <v>22.2</v>
      </c>
      <c r="Z122" s="115">
        <v>18.3</v>
      </c>
      <c r="AA122" s="115">
        <v>18.100000000000001</v>
      </c>
      <c r="AB122" s="115">
        <v>5</v>
      </c>
      <c r="AC122" s="115">
        <v>9</v>
      </c>
      <c r="AD122" s="115">
        <v>6</v>
      </c>
      <c r="AE122" s="115">
        <v>3.2</v>
      </c>
      <c r="AF122" s="115">
        <v>-4</v>
      </c>
      <c r="AG122" s="114">
        <v>60</v>
      </c>
      <c r="AH122" s="47">
        <f t="shared" si="47"/>
        <v>24.7</v>
      </c>
      <c r="AI122" s="48">
        <f t="shared" si="48"/>
        <v>-9.6</v>
      </c>
    </row>
    <row r="123" spans="1:35" x14ac:dyDescent="0.25">
      <c r="A123" s="172" t="s">
        <v>259</v>
      </c>
      <c r="B123" s="117">
        <f>59*1.6</f>
        <v>94.4</v>
      </c>
      <c r="C123" s="117">
        <f>55.1*1.6</f>
        <v>88.160000000000011</v>
      </c>
      <c r="D123" s="117">
        <f>62.2*1.6</f>
        <v>99.52000000000001</v>
      </c>
      <c r="E123" s="117">
        <f>68*1.64</f>
        <v>111.52</v>
      </c>
      <c r="F123" s="117">
        <f>68*1.64</f>
        <v>111.52</v>
      </c>
      <c r="G123" s="117">
        <f>73*1.64</f>
        <v>119.72</v>
      </c>
      <c r="H123" s="117">
        <f>70*1.64</f>
        <v>114.8</v>
      </c>
      <c r="I123" s="117">
        <f>64.6*1.63</f>
        <v>105.29799999999999</v>
      </c>
      <c r="J123" s="117">
        <f>62*1.64</f>
        <v>101.67999999999999</v>
      </c>
      <c r="K123" s="117">
        <f>68*1.64</f>
        <v>111.52</v>
      </c>
      <c r="L123" s="117">
        <f>84*1.64</f>
        <v>137.76</v>
      </c>
      <c r="M123" s="117">
        <f>76*1.64</f>
        <v>124.63999999999999</v>
      </c>
      <c r="N123" s="117">
        <f>45*1.6</f>
        <v>72</v>
      </c>
      <c r="O123" s="117">
        <f>60*1.64</f>
        <v>98.399999999999991</v>
      </c>
      <c r="P123" s="117">
        <f>76*1.64</f>
        <v>124.63999999999999</v>
      </c>
      <c r="Q123" s="117"/>
      <c r="R123" s="117">
        <f>64*1.64</f>
        <v>104.96</v>
      </c>
      <c r="S123" s="117">
        <f>64.8*1.67</f>
        <v>108.21599999999999</v>
      </c>
      <c r="T123" s="117">
        <f>69.4*1.67</f>
        <v>115.89800000000001</v>
      </c>
      <c r="U123" s="117">
        <f>68.3*1.67</f>
        <v>114.06099999999999</v>
      </c>
      <c r="V123" s="117">
        <f>35*1.67</f>
        <v>58.449999999999996</v>
      </c>
      <c r="W123" s="117">
        <v>122</v>
      </c>
      <c r="X123" s="117">
        <v>135</v>
      </c>
      <c r="Y123" s="117">
        <f>86.4*1.67</f>
        <v>144.28800000000001</v>
      </c>
      <c r="Z123" s="117">
        <f>87.5*1.67</f>
        <v>146.125</v>
      </c>
      <c r="AA123" s="117">
        <f>87.6*1.67</f>
        <v>146.29199999999997</v>
      </c>
      <c r="AB123" s="117">
        <v>140</v>
      </c>
      <c r="AC123" s="117">
        <v>130</v>
      </c>
      <c r="AD123" s="117">
        <v>130</v>
      </c>
      <c r="AE123" s="117">
        <v>100</v>
      </c>
      <c r="AF123" s="117">
        <v>80</v>
      </c>
      <c r="AG123" s="118">
        <v>120</v>
      </c>
      <c r="AH123" s="47">
        <f t="shared" si="47"/>
        <v>146.29199999999997</v>
      </c>
      <c r="AI123" s="48">
        <f t="shared" si="48"/>
        <v>58.449999999999996</v>
      </c>
    </row>
    <row r="124" spans="1:35" x14ac:dyDescent="0.25">
      <c r="A124" s="173" t="s">
        <v>258</v>
      </c>
      <c r="B124" s="117">
        <v>72</v>
      </c>
      <c r="C124" s="117">
        <v>69</v>
      </c>
      <c r="D124" s="117">
        <v>74.5</v>
      </c>
      <c r="E124" s="117">
        <v>78.599999999999994</v>
      </c>
      <c r="F124" s="117">
        <v>78</v>
      </c>
      <c r="G124" s="117">
        <v>82.5</v>
      </c>
      <c r="H124" s="117">
        <v>79.8</v>
      </c>
      <c r="I124" s="117">
        <v>77.099999999999994</v>
      </c>
      <c r="J124" s="117">
        <v>73.900000000000006</v>
      </c>
      <c r="K124" s="117">
        <v>79</v>
      </c>
      <c r="L124" s="117">
        <v>91.6</v>
      </c>
      <c r="M124" s="117">
        <v>83.6</v>
      </c>
      <c r="N124" s="117">
        <v>59</v>
      </c>
      <c r="O124" s="117">
        <v>70</v>
      </c>
      <c r="P124" s="117">
        <v>85.4</v>
      </c>
      <c r="Q124" s="117"/>
      <c r="R124" s="117">
        <v>75</v>
      </c>
      <c r="S124" s="117">
        <v>75.5</v>
      </c>
      <c r="T124" s="117">
        <v>79.599999999999994</v>
      </c>
      <c r="U124" s="117">
        <v>78.3</v>
      </c>
      <c r="V124" s="117">
        <v>50.3</v>
      </c>
      <c r="W124" s="117">
        <v>82.4</v>
      </c>
      <c r="X124" s="117">
        <v>89.5</v>
      </c>
      <c r="Y124" s="117">
        <v>92.5</v>
      </c>
      <c r="Z124" s="117">
        <v>93</v>
      </c>
      <c r="AA124" s="117">
        <v>75</v>
      </c>
      <c r="AB124" s="117">
        <v>93</v>
      </c>
      <c r="AC124" s="117">
        <v>87</v>
      </c>
      <c r="AD124" s="117">
        <v>87</v>
      </c>
      <c r="AE124" s="117">
        <v>73</v>
      </c>
      <c r="AF124" s="117">
        <v>68</v>
      </c>
      <c r="AG124" s="118"/>
      <c r="AH124" s="47"/>
      <c r="AI124" s="48"/>
    </row>
    <row r="125" spans="1:35" x14ac:dyDescent="0.25">
      <c r="A125" s="173" t="s">
        <v>255</v>
      </c>
      <c r="B125" s="117">
        <v>56</v>
      </c>
      <c r="C125" s="117">
        <v>55</v>
      </c>
      <c r="D125" s="117">
        <v>68.3</v>
      </c>
      <c r="E125" s="117">
        <v>72.7</v>
      </c>
      <c r="F125" s="117">
        <v>63.9</v>
      </c>
      <c r="G125" s="117">
        <v>48.4</v>
      </c>
      <c r="H125" s="117">
        <v>52.7</v>
      </c>
      <c r="I125" s="117">
        <v>26.9</v>
      </c>
      <c r="J125" s="117">
        <v>-28.9</v>
      </c>
      <c r="K125" s="117">
        <v>-23.1</v>
      </c>
      <c r="L125" s="117">
        <v>-13.6</v>
      </c>
      <c r="M125" s="117">
        <v>-23</v>
      </c>
      <c r="N125" s="117">
        <v>-44</v>
      </c>
      <c r="O125" s="117">
        <v>-12</v>
      </c>
      <c r="P125" s="117">
        <v>17</v>
      </c>
      <c r="Q125" s="117"/>
      <c r="R125" s="117">
        <v>8.3000000000000007</v>
      </c>
      <c r="S125" s="117">
        <v>13.7</v>
      </c>
      <c r="T125" s="117">
        <v>17.100000000000001</v>
      </c>
      <c r="U125" s="117">
        <v>8.4</v>
      </c>
      <c r="V125" s="117">
        <v>-45.6</v>
      </c>
      <c r="W125" s="117">
        <v>3.8</v>
      </c>
      <c r="X125" s="117">
        <v>1.5</v>
      </c>
      <c r="Y125" s="117">
        <v>-28.7</v>
      </c>
      <c r="Z125" s="117">
        <v>-37.799999999999997</v>
      </c>
      <c r="AA125" s="117">
        <v>-25.9</v>
      </c>
      <c r="AB125" s="117">
        <v>-15</v>
      </c>
      <c r="AC125" s="117">
        <v>-15</v>
      </c>
      <c r="AD125" s="117">
        <v>11</v>
      </c>
      <c r="AE125" s="117">
        <v>22</v>
      </c>
      <c r="AF125" s="117">
        <v>35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79.400000000000006</v>
      </c>
      <c r="C126" s="117">
        <v>75</v>
      </c>
      <c r="D126" s="117">
        <v>81.3</v>
      </c>
      <c r="E126" s="117">
        <v>89.8</v>
      </c>
      <c r="F126" s="117">
        <v>88.9</v>
      </c>
      <c r="G126" s="117">
        <v>93.7</v>
      </c>
      <c r="H126" s="117">
        <v>92.6</v>
      </c>
      <c r="I126" s="117">
        <v>88</v>
      </c>
      <c r="J126" s="117">
        <v>81.2</v>
      </c>
      <c r="K126" s="117">
        <v>63.9</v>
      </c>
      <c r="L126" s="117">
        <v>80.599999999999994</v>
      </c>
      <c r="M126" s="117">
        <v>66</v>
      </c>
      <c r="N126" s="117">
        <v>42</v>
      </c>
      <c r="O126" s="117">
        <v>65</v>
      </c>
      <c r="P126" s="117">
        <v>77</v>
      </c>
      <c r="Q126" s="117"/>
      <c r="R126" s="117">
        <v>60</v>
      </c>
      <c r="S126" s="117">
        <v>64.900000000000006</v>
      </c>
      <c r="T126" s="117">
        <v>65</v>
      </c>
      <c r="U126" s="117">
        <v>63.5</v>
      </c>
      <c r="V126" s="117">
        <v>27</v>
      </c>
      <c r="W126" s="117">
        <v>80</v>
      </c>
      <c r="X126" s="117">
        <v>92.8</v>
      </c>
      <c r="Y126" s="117">
        <v>75</v>
      </c>
      <c r="Z126" s="117">
        <v>76.8</v>
      </c>
      <c r="AA126" s="117">
        <v>74.8</v>
      </c>
      <c r="AB126" s="117">
        <v>76</v>
      </c>
      <c r="AC126" s="117">
        <v>80</v>
      </c>
      <c r="AD126" s="117">
        <v>85</v>
      </c>
      <c r="AE126" s="117">
        <v>78</v>
      </c>
      <c r="AF126" s="117">
        <v>80</v>
      </c>
      <c r="AG126" s="114"/>
      <c r="AH126" s="47">
        <f>MAX(B126:AF126)</f>
        <v>93.7</v>
      </c>
      <c r="AI126" s="48">
        <f>MIN(B126:AF126)</f>
        <v>27</v>
      </c>
    </row>
    <row r="127" spans="1:35" x14ac:dyDescent="0.25">
      <c r="A127" s="172" t="s">
        <v>587</v>
      </c>
      <c r="B127" s="117">
        <v>18.2</v>
      </c>
      <c r="C127" s="117">
        <v>21</v>
      </c>
      <c r="D127" s="117">
        <v>25.6</v>
      </c>
      <c r="E127" s="117">
        <v>36.799999999999997</v>
      </c>
      <c r="F127" s="117">
        <v>39.200000000000003</v>
      </c>
      <c r="G127" s="117">
        <v>31.4</v>
      </c>
      <c r="H127" s="117">
        <v>26.9</v>
      </c>
      <c r="I127" s="117">
        <v>0</v>
      </c>
      <c r="J127" s="117">
        <v>-21.9</v>
      </c>
      <c r="K127" s="117">
        <v>-25</v>
      </c>
      <c r="L127" s="117">
        <v>-24.1</v>
      </c>
      <c r="M127" s="117">
        <v>-17</v>
      </c>
      <c r="N127" s="117">
        <v>-24</v>
      </c>
      <c r="O127" s="117">
        <v>-6</v>
      </c>
      <c r="P127" s="117">
        <v>5</v>
      </c>
      <c r="Q127" s="117"/>
      <c r="R127" s="117">
        <v>-4.5</v>
      </c>
      <c r="S127" s="117">
        <v>-6.2</v>
      </c>
      <c r="T127" s="117">
        <v>-10.4</v>
      </c>
      <c r="U127" s="117">
        <v>-9</v>
      </c>
      <c r="V127" s="117">
        <v>-10.199999999999999</v>
      </c>
      <c r="W127" s="117">
        <v>6.8</v>
      </c>
      <c r="X127" s="117">
        <v>8.3000000000000007</v>
      </c>
      <c r="Y127" s="117">
        <v>-9.6</v>
      </c>
      <c r="Z127" s="117">
        <v>-7.7</v>
      </c>
      <c r="AA127" s="117">
        <v>-5.2</v>
      </c>
      <c r="AB127" s="117">
        <v>0</v>
      </c>
      <c r="AC127" s="117">
        <v>-2.5</v>
      </c>
      <c r="AD127" s="117">
        <v>2.5</v>
      </c>
      <c r="AE127" s="117">
        <v>7.2</v>
      </c>
      <c r="AF127" s="117">
        <v>-13</v>
      </c>
      <c r="AG127" s="114"/>
      <c r="AH127" s="47">
        <f>MAX(B127:AF127)</f>
        <v>39.200000000000003</v>
      </c>
      <c r="AI127" s="48">
        <f>MIN(B127:AF127)</f>
        <v>-25</v>
      </c>
    </row>
    <row r="128" spans="1:35" x14ac:dyDescent="0.25">
      <c r="A128" s="173" t="s">
        <v>123</v>
      </c>
      <c r="B128" s="106">
        <v>-13.6</v>
      </c>
      <c r="C128" s="106">
        <v>-15</v>
      </c>
      <c r="D128" s="106">
        <v>-11.6</v>
      </c>
      <c r="E128" s="106">
        <v>-9.9</v>
      </c>
      <c r="F128" s="106">
        <v>-11.9</v>
      </c>
      <c r="G128" s="106">
        <v>-20.8</v>
      </c>
      <c r="H128" s="106">
        <v>-19.8</v>
      </c>
      <c r="I128" s="106">
        <v>-25.6</v>
      </c>
      <c r="J128" s="106">
        <v>-45</v>
      </c>
      <c r="K128" s="106">
        <v>-46</v>
      </c>
      <c r="L128" s="106">
        <v>-51.5</v>
      </c>
      <c r="M128" s="106">
        <v>-50</v>
      </c>
      <c r="N128" s="106">
        <v>-42</v>
      </c>
      <c r="O128" s="106">
        <v>-34</v>
      </c>
      <c r="P128" s="106">
        <v>-29</v>
      </c>
      <c r="Q128" s="106"/>
      <c r="R128" s="106">
        <v>-24</v>
      </c>
      <c r="S128" s="106">
        <v>-26.7</v>
      </c>
      <c r="T128" s="106">
        <v>-29.9</v>
      </c>
      <c r="U128" s="106">
        <v>-38.6</v>
      </c>
      <c r="V128" s="106">
        <v>-38</v>
      </c>
      <c r="W128" s="106">
        <v>-42.4</v>
      </c>
      <c r="X128" s="106">
        <v>-50.4</v>
      </c>
      <c r="Y128" s="106">
        <v>-60.3</v>
      </c>
      <c r="Z128" s="106">
        <v>-52.5</v>
      </c>
      <c r="AA128" s="106">
        <v>-47.6</v>
      </c>
      <c r="AB128" s="106">
        <v>-41</v>
      </c>
      <c r="AC128" s="106">
        <v>-41</v>
      </c>
      <c r="AD128" s="106">
        <v>-28</v>
      </c>
      <c r="AE128" s="106">
        <v>-20.5</v>
      </c>
      <c r="AF128" s="106">
        <v>-15</v>
      </c>
      <c r="AG128" s="114"/>
      <c r="AH128" s="47">
        <f>MAX(B128:AF128)</f>
        <v>-9.9</v>
      </c>
      <c r="AI128" s="48">
        <f>MIN(B128:AF128)</f>
        <v>-60.3</v>
      </c>
    </row>
    <row r="129" spans="1:37" x14ac:dyDescent="0.25">
      <c r="A129" s="173" t="s">
        <v>260</v>
      </c>
      <c r="B129" s="106">
        <v>-23.1</v>
      </c>
      <c r="C129" s="106">
        <v>-22</v>
      </c>
      <c r="D129" s="106">
        <v>-34.200000000000003</v>
      </c>
      <c r="E129" s="106">
        <v>-33.799999999999997</v>
      </c>
      <c r="F129" s="106">
        <v>-32.5</v>
      </c>
      <c r="G129" s="106">
        <v>-31</v>
      </c>
      <c r="H129" s="106">
        <v>-29.3</v>
      </c>
      <c r="I129" s="106">
        <v>16.100000000000001</v>
      </c>
      <c r="J129" s="106">
        <v>-7.1</v>
      </c>
      <c r="K129" s="106">
        <v>9.3000000000000007</v>
      </c>
      <c r="L129" s="106">
        <v>-4.5</v>
      </c>
      <c r="M129" s="106">
        <v>-3.5</v>
      </c>
      <c r="N129" s="106">
        <v>16.8</v>
      </c>
      <c r="O129" s="106">
        <v>-1.7</v>
      </c>
      <c r="P129" s="106">
        <v>17</v>
      </c>
      <c r="Q129" s="106"/>
      <c r="R129" s="106">
        <v>30</v>
      </c>
      <c r="S129" s="106">
        <v>29.8</v>
      </c>
      <c r="T129" s="106">
        <v>30.9</v>
      </c>
      <c r="U129" s="106">
        <v>29.1</v>
      </c>
      <c r="V129" s="106">
        <v>9.6</v>
      </c>
      <c r="W129" s="106">
        <v>-37.299999999999997</v>
      </c>
      <c r="X129" s="106">
        <v>-44</v>
      </c>
      <c r="Y129" s="106">
        <v>-43.2</v>
      </c>
      <c r="Z129" s="106">
        <v>-38.200000000000003</v>
      </c>
      <c r="AA129" s="106">
        <v>-37.200000000000003</v>
      </c>
      <c r="AB129" s="106">
        <v>-38</v>
      </c>
      <c r="AC129" s="106">
        <v>-36</v>
      </c>
      <c r="AD129" s="106">
        <v>-38</v>
      </c>
      <c r="AE129" s="106">
        <v>-14</v>
      </c>
      <c r="AF129" s="106">
        <v>-12</v>
      </c>
      <c r="AG129" s="114"/>
      <c r="AH129" s="47">
        <f>MAX(B129:AF129)</f>
        <v>30.9</v>
      </c>
      <c r="AI129" s="48">
        <f>MIN(B129:AF129)</f>
        <v>-44</v>
      </c>
    </row>
    <row r="130" spans="1:37" ht="15.75" thickBot="1" x14ac:dyDescent="0.3">
      <c r="A130" s="173" t="s">
        <v>257</v>
      </c>
      <c r="B130" s="106">
        <v>100.2</v>
      </c>
      <c r="C130" s="106">
        <v>95.1</v>
      </c>
      <c r="D130" s="106">
        <v>92.3</v>
      </c>
      <c r="E130" s="106">
        <v>91.5</v>
      </c>
      <c r="F130" s="106">
        <v>91.3</v>
      </c>
      <c r="G130" s="106">
        <v>84.7</v>
      </c>
      <c r="H130" s="106">
        <v>91.1</v>
      </c>
      <c r="I130" s="106">
        <v>96.4</v>
      </c>
      <c r="J130" s="106">
        <v>107.3</v>
      </c>
      <c r="K130" s="106">
        <v>105</v>
      </c>
      <c r="L130" s="106">
        <v>103.1</v>
      </c>
      <c r="M130" s="106">
        <v>100.8</v>
      </c>
      <c r="N130" s="106">
        <v>93.3</v>
      </c>
      <c r="O130" s="106">
        <v>119</v>
      </c>
      <c r="P130" s="106">
        <v>112</v>
      </c>
      <c r="Q130" s="106"/>
      <c r="R130" s="106">
        <v>114</v>
      </c>
      <c r="S130" s="106">
        <v>122.6</v>
      </c>
      <c r="T130" s="106">
        <v>116</v>
      </c>
      <c r="U130" s="106">
        <v>116.4</v>
      </c>
      <c r="V130" s="106">
        <v>112.5</v>
      </c>
      <c r="W130" s="106">
        <v>115</v>
      </c>
      <c r="X130" s="106">
        <v>103</v>
      </c>
      <c r="Y130" s="106">
        <v>123.5</v>
      </c>
      <c r="Z130" s="106">
        <v>119.8</v>
      </c>
      <c r="AA130" s="106">
        <v>120.7</v>
      </c>
      <c r="AB130" s="106">
        <v>128</v>
      </c>
      <c r="AC130" s="106">
        <v>128</v>
      </c>
      <c r="AD130" s="106">
        <v>117</v>
      </c>
      <c r="AE130" s="106">
        <v>107</v>
      </c>
      <c r="AF130" s="106">
        <v>104</v>
      </c>
      <c r="AG130" s="114"/>
      <c r="AH130" s="47">
        <f>MAX(B130:AF130)</f>
        <v>128</v>
      </c>
      <c r="AI130" s="48">
        <f>MIN(B130:AF130)</f>
        <v>84.7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06">
        <v>1984.22</v>
      </c>
      <c r="C132" s="106">
        <v>1984.42</v>
      </c>
      <c r="D132" s="106">
        <v>1984.67</v>
      </c>
      <c r="E132" s="106">
        <v>1984.9</v>
      </c>
      <c r="F132" s="106">
        <v>1985.1</v>
      </c>
      <c r="G132" s="106">
        <v>1985.35</v>
      </c>
      <c r="H132" s="106"/>
      <c r="I132" s="106">
        <v>1985.52</v>
      </c>
      <c r="J132" s="106"/>
      <c r="K132" s="106">
        <v>1985.42</v>
      </c>
      <c r="L132" s="106"/>
      <c r="M132" s="106">
        <v>1984.4</v>
      </c>
      <c r="N132" s="147">
        <v>1983.55</v>
      </c>
      <c r="O132" s="147">
        <v>1983.45</v>
      </c>
      <c r="P132" s="147">
        <v>1983.6</v>
      </c>
      <c r="Q132" s="147">
        <v>1983.8</v>
      </c>
      <c r="R132" s="147">
        <v>1984</v>
      </c>
      <c r="S132" s="147">
        <v>1984.22</v>
      </c>
      <c r="T132" s="147">
        <v>1984.45</v>
      </c>
      <c r="U132" s="147">
        <v>1984.62</v>
      </c>
      <c r="V132" s="147">
        <v>1984.825</v>
      </c>
      <c r="W132" s="147"/>
      <c r="X132" s="147">
        <v>1985.02</v>
      </c>
      <c r="Y132" s="147"/>
      <c r="Z132" s="147">
        <v>1984.87</v>
      </c>
      <c r="AA132" s="147"/>
      <c r="AB132" s="147">
        <v>1984.2</v>
      </c>
      <c r="AC132" s="147"/>
      <c r="AD132" s="147">
        <v>1983.6</v>
      </c>
      <c r="AE132" s="147">
        <v>1983.5</v>
      </c>
      <c r="AF132" s="148"/>
      <c r="AG132" s="149"/>
      <c r="AH132" s="47"/>
      <c r="AI132" s="48"/>
    </row>
    <row r="133" spans="1:37" x14ac:dyDescent="0.25">
      <c r="A133" s="185" t="s">
        <v>238</v>
      </c>
      <c r="B133" s="106">
        <v>520.78</v>
      </c>
      <c r="C133" s="106">
        <v>521.12</v>
      </c>
      <c r="D133" s="106">
        <v>521.45000000000005</v>
      </c>
      <c r="E133" s="106">
        <v>521.73</v>
      </c>
      <c r="F133" s="106">
        <v>522.03</v>
      </c>
      <c r="G133" s="106">
        <v>522.30999999999995</v>
      </c>
      <c r="H133" s="106"/>
      <c r="I133" s="106">
        <v>522.42999999999995</v>
      </c>
      <c r="J133" s="106"/>
      <c r="K133" s="106">
        <v>522.03</v>
      </c>
      <c r="L133" s="106"/>
      <c r="M133" s="106">
        <v>521.57000000000005</v>
      </c>
      <c r="N133" s="150">
        <v>521.08000000000004</v>
      </c>
      <c r="O133" s="150">
        <v>520.78</v>
      </c>
      <c r="P133" s="150">
        <v>520.84</v>
      </c>
      <c r="Q133" s="150">
        <v>521.02</v>
      </c>
      <c r="R133" s="150">
        <v>521.1</v>
      </c>
      <c r="S133" s="150">
        <v>520.99</v>
      </c>
      <c r="T133" s="150">
        <v>520.76</v>
      </c>
      <c r="U133" s="150">
        <v>520.55999999999995</v>
      </c>
      <c r="V133" s="150">
        <v>520.6</v>
      </c>
      <c r="W133" s="150"/>
      <c r="X133" s="150">
        <v>520.79999999999995</v>
      </c>
      <c r="Y133" s="150"/>
      <c r="Z133" s="150">
        <v>520.67999999999995</v>
      </c>
      <c r="AA133" s="150"/>
      <c r="AB133" s="150">
        <v>520.41999999999996</v>
      </c>
      <c r="AC133" s="150"/>
      <c r="AD133" s="150">
        <v>520.28</v>
      </c>
      <c r="AE133" s="150">
        <v>520.25</v>
      </c>
      <c r="AF133" s="151">
        <v>520.35</v>
      </c>
      <c r="AG133" s="149"/>
      <c r="AH133" s="47"/>
      <c r="AI133" s="48"/>
    </row>
    <row r="134" spans="1:37" x14ac:dyDescent="0.25">
      <c r="A134" s="185" t="s">
        <v>239</v>
      </c>
      <c r="B134" s="106">
        <v>622.37</v>
      </c>
      <c r="C134" s="106">
        <v>622.24</v>
      </c>
      <c r="D134" s="106">
        <v>622.44000000000005</v>
      </c>
      <c r="E134" s="106">
        <v>623</v>
      </c>
      <c r="F134" s="106">
        <v>623.29999999999995</v>
      </c>
      <c r="G134" s="106">
        <v>623.12</v>
      </c>
      <c r="H134" s="106"/>
      <c r="I134" s="106">
        <v>623.09</v>
      </c>
      <c r="J134" s="106"/>
      <c r="K134" s="106">
        <v>622.99</v>
      </c>
      <c r="L134" s="106"/>
      <c r="M134" s="106">
        <v>622.85</v>
      </c>
      <c r="N134" s="150">
        <v>622.79999999999995</v>
      </c>
      <c r="O134" s="150">
        <v>622.66</v>
      </c>
      <c r="P134" s="150">
        <v>622.55999999999995</v>
      </c>
      <c r="Q134" s="150">
        <v>622.6</v>
      </c>
      <c r="R134" s="150">
        <v>622.66999999999996</v>
      </c>
      <c r="S134" s="150">
        <v>622.70000000000005</v>
      </c>
      <c r="T134" s="150">
        <v>622.45000000000005</v>
      </c>
      <c r="U134" s="150">
        <v>622.35</v>
      </c>
      <c r="V134" s="150">
        <v>622.30999999999995</v>
      </c>
      <c r="W134" s="150"/>
      <c r="X134" s="150">
        <v>622.29999999999995</v>
      </c>
      <c r="Y134" s="150"/>
      <c r="Z134" s="150">
        <v>622.15</v>
      </c>
      <c r="AA134" s="150"/>
      <c r="AB134" s="150">
        <v>622.04999999999995</v>
      </c>
      <c r="AC134" s="150">
        <v>622.05999999999995</v>
      </c>
      <c r="AD134" s="150">
        <v>622.03</v>
      </c>
      <c r="AE134" s="150">
        <v>622.16</v>
      </c>
      <c r="AF134" s="151">
        <v>622.29</v>
      </c>
      <c r="AG134" s="149"/>
      <c r="AH134" s="47"/>
      <c r="AI134" s="48"/>
    </row>
    <row r="135" spans="1:37" x14ac:dyDescent="0.25">
      <c r="A135" s="185" t="s">
        <v>240</v>
      </c>
      <c r="B135" s="106">
        <v>335.62</v>
      </c>
      <c r="C135" s="106">
        <v>335.9</v>
      </c>
      <c r="D135" s="106">
        <v>336.19</v>
      </c>
      <c r="E135" s="106">
        <v>336.5</v>
      </c>
      <c r="F135" s="106">
        <v>336.7</v>
      </c>
      <c r="G135" s="106">
        <v>336.8</v>
      </c>
      <c r="H135" s="106"/>
      <c r="I135" s="106">
        <v>336.8</v>
      </c>
      <c r="J135" s="106"/>
      <c r="K135" s="106">
        <v>336.54</v>
      </c>
      <c r="L135" s="106"/>
      <c r="M135" s="106">
        <v>336.24</v>
      </c>
      <c r="N135" s="150">
        <v>335.92</v>
      </c>
      <c r="O135" s="150">
        <v>335.46</v>
      </c>
      <c r="P135" s="150">
        <v>335.12</v>
      </c>
      <c r="Q135" s="150">
        <v>334.85</v>
      </c>
      <c r="R135" s="150">
        <v>334.89</v>
      </c>
      <c r="S135" s="150">
        <v>334.87</v>
      </c>
      <c r="T135" s="150">
        <v>334.97</v>
      </c>
      <c r="U135" s="150">
        <v>335.12</v>
      </c>
      <c r="V135" s="150">
        <v>335.27</v>
      </c>
      <c r="W135" s="150"/>
      <c r="X135" s="150">
        <v>335.47</v>
      </c>
      <c r="Y135" s="150"/>
      <c r="Z135" s="150">
        <v>335.41</v>
      </c>
      <c r="AA135" s="150"/>
      <c r="AB135" s="150">
        <v>335.1</v>
      </c>
      <c r="AC135" s="150">
        <v>335.05</v>
      </c>
      <c r="AD135" s="150">
        <v>335.03</v>
      </c>
      <c r="AE135" s="150">
        <v>335.39</v>
      </c>
      <c r="AF135" s="151">
        <v>335.39</v>
      </c>
      <c r="AG135" s="149"/>
      <c r="AH135" s="47"/>
      <c r="AI135" s="48"/>
    </row>
    <row r="136" spans="1:37" x14ac:dyDescent="0.25">
      <c r="A136" s="185" t="s">
        <v>384</v>
      </c>
      <c r="B136" s="106">
        <v>883.8</v>
      </c>
      <c r="C136" s="106">
        <v>884.5</v>
      </c>
      <c r="D136" s="106">
        <v>885.2</v>
      </c>
      <c r="E136" s="106">
        <v>885.8</v>
      </c>
      <c r="F136" s="106">
        <v>886.2</v>
      </c>
      <c r="G136" s="106">
        <v>886.8</v>
      </c>
      <c r="H136" s="106"/>
      <c r="I136" s="106">
        <v>887.1</v>
      </c>
      <c r="J136" s="106"/>
      <c r="K136" s="106">
        <v>886.8</v>
      </c>
      <c r="L136" s="106"/>
      <c r="M136" s="106">
        <v>885.8</v>
      </c>
      <c r="N136" s="150">
        <v>885.6</v>
      </c>
      <c r="O136" s="150">
        <v>885.6</v>
      </c>
      <c r="P136" s="150">
        <v>885.6</v>
      </c>
      <c r="Q136" s="150">
        <v>885.5</v>
      </c>
      <c r="R136" s="150">
        <v>885.1</v>
      </c>
      <c r="S136" s="150">
        <v>885</v>
      </c>
      <c r="T136" s="150">
        <v>884.7</v>
      </c>
      <c r="U136" s="150">
        <v>884.6</v>
      </c>
      <c r="V136" s="150">
        <v>884.4</v>
      </c>
      <c r="W136" s="150"/>
      <c r="X136" s="150">
        <v>885.1</v>
      </c>
      <c r="Y136" s="150"/>
      <c r="Z136" s="150">
        <v>885.2</v>
      </c>
      <c r="AA136" s="150"/>
      <c r="AB136" s="150"/>
      <c r="AC136" s="150">
        <v>884.4</v>
      </c>
      <c r="AD136" s="150"/>
      <c r="AE136" s="150">
        <v>884.3</v>
      </c>
      <c r="AF136" s="151"/>
      <c r="AG136" s="149"/>
      <c r="AH136" s="47"/>
      <c r="AI136" s="48"/>
    </row>
    <row r="137" spans="1:37" ht="15.75" thickBot="1" x14ac:dyDescent="0.3">
      <c r="A137" s="185" t="s">
        <v>241</v>
      </c>
      <c r="B137" s="106">
        <v>1519.79</v>
      </c>
      <c r="C137" s="106"/>
      <c r="D137" s="106"/>
      <c r="E137" s="106"/>
      <c r="F137" s="106"/>
      <c r="G137" s="106"/>
      <c r="H137" s="106"/>
      <c r="I137" s="106"/>
      <c r="J137" s="106"/>
      <c r="K137" s="106">
        <v>1519.8</v>
      </c>
      <c r="L137" s="106"/>
      <c r="M137" s="106"/>
      <c r="N137" s="152"/>
      <c r="O137" s="152"/>
      <c r="P137" s="152"/>
      <c r="Q137" s="152"/>
      <c r="R137" s="152"/>
      <c r="S137" s="152"/>
      <c r="T137" s="152"/>
      <c r="U137" s="152"/>
      <c r="V137" s="152">
        <v>1519.78</v>
      </c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87">SUM(B139:B243)</f>
        <v>0</v>
      </c>
      <c r="C244" s="134">
        <f t="shared" si="87"/>
        <v>0</v>
      </c>
      <c r="D244" s="134">
        <f t="shared" si="87"/>
        <v>0</v>
      </c>
      <c r="E244" s="134">
        <f t="shared" si="87"/>
        <v>0</v>
      </c>
      <c r="F244" s="134">
        <f t="shared" si="87"/>
        <v>0</v>
      </c>
      <c r="G244" s="134">
        <f t="shared" si="87"/>
        <v>0</v>
      </c>
      <c r="H244" s="134">
        <f t="shared" si="87"/>
        <v>0</v>
      </c>
      <c r="I244" s="134">
        <f t="shared" si="87"/>
        <v>0</v>
      </c>
      <c r="J244" s="134">
        <f t="shared" si="87"/>
        <v>0</v>
      </c>
      <c r="K244" s="134">
        <f t="shared" si="87"/>
        <v>0</v>
      </c>
      <c r="L244" s="134">
        <f t="shared" si="87"/>
        <v>0</v>
      </c>
      <c r="M244" s="134">
        <f t="shared" si="87"/>
        <v>0</v>
      </c>
      <c r="N244" s="134">
        <f t="shared" si="87"/>
        <v>0</v>
      </c>
      <c r="O244" s="134">
        <f t="shared" si="87"/>
        <v>0</v>
      </c>
      <c r="P244" s="134">
        <f t="shared" si="87"/>
        <v>0</v>
      </c>
      <c r="Q244" s="134">
        <f t="shared" si="87"/>
        <v>0</v>
      </c>
      <c r="R244" s="134">
        <f t="shared" si="87"/>
        <v>0</v>
      </c>
      <c r="S244" s="134">
        <f t="shared" si="87"/>
        <v>0</v>
      </c>
      <c r="T244" s="134">
        <f t="shared" si="87"/>
        <v>0</v>
      </c>
      <c r="U244" s="134">
        <f t="shared" si="87"/>
        <v>0</v>
      </c>
      <c r="V244" s="134">
        <f t="shared" si="87"/>
        <v>0</v>
      </c>
      <c r="W244" s="134">
        <f t="shared" si="87"/>
        <v>0</v>
      </c>
      <c r="X244" s="134">
        <f t="shared" si="87"/>
        <v>0</v>
      </c>
      <c r="Y244" s="134">
        <f t="shared" si="87"/>
        <v>0</v>
      </c>
      <c r="Z244" s="134">
        <f t="shared" si="87"/>
        <v>0</v>
      </c>
      <c r="AA244" s="134">
        <f t="shared" si="87"/>
        <v>0</v>
      </c>
      <c r="AB244" s="134">
        <f t="shared" si="87"/>
        <v>0</v>
      </c>
      <c r="AC244" s="134">
        <f t="shared" si="87"/>
        <v>0</v>
      </c>
      <c r="AD244" s="134">
        <f t="shared" si="87"/>
        <v>0</v>
      </c>
      <c r="AE244" s="134">
        <f t="shared" si="87"/>
        <v>0</v>
      </c>
      <c r="AF244" s="135">
        <f t="shared" si="87"/>
        <v>0</v>
      </c>
      <c r="AG244" s="136">
        <f t="shared" si="8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88">AF246</f>
        <v>0.3</v>
      </c>
      <c r="C246" s="138">
        <v>0.3</v>
      </c>
      <c r="D246" s="138">
        <f t="shared" ref="D246:S251" si="89">C246</f>
        <v>0.3</v>
      </c>
      <c r="E246" s="138">
        <f t="shared" si="89"/>
        <v>0.3</v>
      </c>
      <c r="F246" s="138">
        <f t="shared" si="89"/>
        <v>0.3</v>
      </c>
      <c r="G246" s="138">
        <f t="shared" si="89"/>
        <v>0.3</v>
      </c>
      <c r="H246" s="138">
        <f t="shared" si="89"/>
        <v>0.3</v>
      </c>
      <c r="I246" s="138">
        <f t="shared" si="89"/>
        <v>0.3</v>
      </c>
      <c r="J246" s="138">
        <f t="shared" si="89"/>
        <v>0.3</v>
      </c>
      <c r="K246" s="138">
        <f t="shared" si="89"/>
        <v>0.3</v>
      </c>
      <c r="L246" s="138">
        <f t="shared" si="89"/>
        <v>0.3</v>
      </c>
      <c r="M246" s="138">
        <f t="shared" si="89"/>
        <v>0.3</v>
      </c>
      <c r="N246" s="138">
        <f t="shared" si="89"/>
        <v>0.3</v>
      </c>
      <c r="O246" s="138">
        <f t="shared" si="89"/>
        <v>0.3</v>
      </c>
      <c r="P246" s="138">
        <f t="shared" si="89"/>
        <v>0.3</v>
      </c>
      <c r="Q246" s="138">
        <f t="shared" si="89"/>
        <v>0.3</v>
      </c>
      <c r="R246" s="138">
        <f t="shared" si="89"/>
        <v>0.3</v>
      </c>
      <c r="S246" s="138">
        <f t="shared" si="89"/>
        <v>0.3</v>
      </c>
      <c r="T246" s="138">
        <f t="shared" ref="T246:AF251" si="90">S246</f>
        <v>0.3</v>
      </c>
      <c r="U246" s="138">
        <f t="shared" si="90"/>
        <v>0.3</v>
      </c>
      <c r="V246" s="138">
        <f t="shared" si="90"/>
        <v>0.3</v>
      </c>
      <c r="W246" s="138">
        <f t="shared" si="90"/>
        <v>0.3</v>
      </c>
      <c r="X246" s="138">
        <f t="shared" si="90"/>
        <v>0.3</v>
      </c>
      <c r="Y246" s="138">
        <f t="shared" si="90"/>
        <v>0.3</v>
      </c>
      <c r="Z246" s="138">
        <f t="shared" si="90"/>
        <v>0.3</v>
      </c>
      <c r="AA246" s="138">
        <f t="shared" si="90"/>
        <v>0.3</v>
      </c>
      <c r="AB246" s="138">
        <f t="shared" si="90"/>
        <v>0.3</v>
      </c>
      <c r="AC246" s="138">
        <f t="shared" si="90"/>
        <v>0.3</v>
      </c>
      <c r="AD246" s="138">
        <f t="shared" si="90"/>
        <v>0.3</v>
      </c>
      <c r="AE246" s="138">
        <f t="shared" si="90"/>
        <v>0.3</v>
      </c>
      <c r="AF246" s="138">
        <f t="shared" si="9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88"/>
        <v>0.4</v>
      </c>
      <c r="C247" s="126">
        <v>0.4</v>
      </c>
      <c r="D247" s="126">
        <f t="shared" si="89"/>
        <v>0.4</v>
      </c>
      <c r="E247" s="126">
        <f t="shared" si="89"/>
        <v>0.4</v>
      </c>
      <c r="F247" s="126">
        <f t="shared" si="89"/>
        <v>0.4</v>
      </c>
      <c r="G247" s="126">
        <f t="shared" si="89"/>
        <v>0.4</v>
      </c>
      <c r="H247" s="126">
        <f t="shared" si="89"/>
        <v>0.4</v>
      </c>
      <c r="I247" s="126">
        <f t="shared" si="89"/>
        <v>0.4</v>
      </c>
      <c r="J247" s="126">
        <f t="shared" si="89"/>
        <v>0.4</v>
      </c>
      <c r="K247" s="126">
        <f t="shared" si="89"/>
        <v>0.4</v>
      </c>
      <c r="L247" s="126">
        <f t="shared" si="89"/>
        <v>0.4</v>
      </c>
      <c r="M247" s="126">
        <f t="shared" si="89"/>
        <v>0.4</v>
      </c>
      <c r="N247" s="126">
        <f t="shared" si="89"/>
        <v>0.4</v>
      </c>
      <c r="O247" s="126">
        <f t="shared" si="89"/>
        <v>0.4</v>
      </c>
      <c r="P247" s="126">
        <f t="shared" si="89"/>
        <v>0.4</v>
      </c>
      <c r="Q247" s="126">
        <f t="shared" si="89"/>
        <v>0.4</v>
      </c>
      <c r="R247" s="126">
        <f t="shared" si="89"/>
        <v>0.4</v>
      </c>
      <c r="S247" s="126">
        <f t="shared" si="89"/>
        <v>0.4</v>
      </c>
      <c r="T247" s="126">
        <f t="shared" si="90"/>
        <v>0.4</v>
      </c>
      <c r="U247" s="126">
        <f t="shared" si="90"/>
        <v>0.4</v>
      </c>
      <c r="V247" s="126">
        <f t="shared" si="90"/>
        <v>0.4</v>
      </c>
      <c r="W247" s="126">
        <f t="shared" si="90"/>
        <v>0.4</v>
      </c>
      <c r="X247" s="126">
        <f t="shared" si="90"/>
        <v>0.4</v>
      </c>
      <c r="Y247" s="126">
        <f t="shared" si="90"/>
        <v>0.4</v>
      </c>
      <c r="Z247" s="126">
        <f t="shared" si="90"/>
        <v>0.4</v>
      </c>
      <c r="AA247" s="126">
        <f t="shared" si="90"/>
        <v>0.4</v>
      </c>
      <c r="AB247" s="126">
        <f t="shared" si="90"/>
        <v>0.4</v>
      </c>
      <c r="AC247" s="126">
        <f t="shared" si="90"/>
        <v>0.4</v>
      </c>
      <c r="AD247" s="126">
        <f t="shared" si="90"/>
        <v>0.4</v>
      </c>
      <c r="AE247" s="126">
        <f t="shared" si="90"/>
        <v>0.4</v>
      </c>
      <c r="AF247" s="126">
        <f t="shared" si="9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88"/>
        <v>1.5</v>
      </c>
      <c r="C248" s="126">
        <v>1.5</v>
      </c>
      <c r="D248" s="126">
        <f t="shared" si="89"/>
        <v>1.5</v>
      </c>
      <c r="E248" s="126">
        <f t="shared" si="89"/>
        <v>1.5</v>
      </c>
      <c r="F248" s="126">
        <f t="shared" si="89"/>
        <v>1.5</v>
      </c>
      <c r="G248" s="126">
        <f t="shared" si="89"/>
        <v>1.5</v>
      </c>
      <c r="H248" s="126">
        <f t="shared" si="89"/>
        <v>1.5</v>
      </c>
      <c r="I248" s="126">
        <f t="shared" si="89"/>
        <v>1.5</v>
      </c>
      <c r="J248" s="126">
        <f t="shared" si="89"/>
        <v>1.5</v>
      </c>
      <c r="K248" s="126">
        <f t="shared" si="89"/>
        <v>1.5</v>
      </c>
      <c r="L248" s="126">
        <f t="shared" si="89"/>
        <v>1.5</v>
      </c>
      <c r="M248" s="126">
        <f t="shared" si="89"/>
        <v>1.5</v>
      </c>
      <c r="N248" s="126">
        <f t="shared" si="89"/>
        <v>1.5</v>
      </c>
      <c r="O248" s="126">
        <f t="shared" si="89"/>
        <v>1.5</v>
      </c>
      <c r="P248" s="126">
        <f t="shared" si="89"/>
        <v>1.5</v>
      </c>
      <c r="Q248" s="126">
        <f t="shared" si="89"/>
        <v>1.5</v>
      </c>
      <c r="R248" s="126">
        <f t="shared" si="89"/>
        <v>1.5</v>
      </c>
      <c r="S248" s="126">
        <f t="shared" si="89"/>
        <v>1.5</v>
      </c>
      <c r="T248" s="126">
        <f t="shared" si="90"/>
        <v>1.5</v>
      </c>
      <c r="U248" s="126">
        <f t="shared" si="90"/>
        <v>1.5</v>
      </c>
      <c r="V248" s="126">
        <f t="shared" si="90"/>
        <v>1.5</v>
      </c>
      <c r="W248" s="126">
        <f t="shared" si="90"/>
        <v>1.5</v>
      </c>
      <c r="X248" s="126">
        <f t="shared" si="90"/>
        <v>1.5</v>
      </c>
      <c r="Y248" s="126">
        <f t="shared" si="90"/>
        <v>1.5</v>
      </c>
      <c r="Z248" s="126">
        <f t="shared" si="90"/>
        <v>1.5</v>
      </c>
      <c r="AA248" s="126">
        <f t="shared" si="90"/>
        <v>1.5</v>
      </c>
      <c r="AB248" s="126">
        <f t="shared" si="90"/>
        <v>1.5</v>
      </c>
      <c r="AC248" s="126">
        <f t="shared" si="90"/>
        <v>1.5</v>
      </c>
      <c r="AD248" s="126">
        <f t="shared" si="90"/>
        <v>1.5</v>
      </c>
      <c r="AE248" s="126">
        <f t="shared" si="90"/>
        <v>1.5</v>
      </c>
      <c r="AF248" s="126">
        <f t="shared" si="9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88"/>
        <v>0.3</v>
      </c>
      <c r="C249" s="126">
        <v>0.3</v>
      </c>
      <c r="D249" s="126">
        <f t="shared" si="89"/>
        <v>0.3</v>
      </c>
      <c r="E249" s="126">
        <f t="shared" si="89"/>
        <v>0.3</v>
      </c>
      <c r="F249" s="126">
        <f t="shared" si="89"/>
        <v>0.3</v>
      </c>
      <c r="G249" s="126">
        <f t="shared" si="89"/>
        <v>0.3</v>
      </c>
      <c r="H249" s="126">
        <f t="shared" si="89"/>
        <v>0.3</v>
      </c>
      <c r="I249" s="126">
        <f t="shared" si="89"/>
        <v>0.3</v>
      </c>
      <c r="J249" s="126">
        <f t="shared" si="89"/>
        <v>0.3</v>
      </c>
      <c r="K249" s="126">
        <f t="shared" si="89"/>
        <v>0.3</v>
      </c>
      <c r="L249" s="126">
        <f t="shared" si="89"/>
        <v>0.3</v>
      </c>
      <c r="M249" s="126">
        <f t="shared" si="89"/>
        <v>0.3</v>
      </c>
      <c r="N249" s="126">
        <f t="shared" si="89"/>
        <v>0.3</v>
      </c>
      <c r="O249" s="126">
        <f t="shared" si="89"/>
        <v>0.3</v>
      </c>
      <c r="P249" s="126">
        <f t="shared" si="89"/>
        <v>0.3</v>
      </c>
      <c r="Q249" s="126">
        <f t="shared" si="89"/>
        <v>0.3</v>
      </c>
      <c r="R249" s="126">
        <f t="shared" si="89"/>
        <v>0.3</v>
      </c>
      <c r="S249" s="126">
        <f t="shared" si="89"/>
        <v>0.3</v>
      </c>
      <c r="T249" s="126">
        <f t="shared" si="90"/>
        <v>0.3</v>
      </c>
      <c r="U249" s="126">
        <f t="shared" si="90"/>
        <v>0.3</v>
      </c>
      <c r="V249" s="126">
        <f t="shared" si="90"/>
        <v>0.3</v>
      </c>
      <c r="W249" s="126">
        <f t="shared" si="90"/>
        <v>0.3</v>
      </c>
      <c r="X249" s="126">
        <f t="shared" si="90"/>
        <v>0.3</v>
      </c>
      <c r="Y249" s="126">
        <f t="shared" si="90"/>
        <v>0.3</v>
      </c>
      <c r="Z249" s="126">
        <f t="shared" si="90"/>
        <v>0.3</v>
      </c>
      <c r="AA249" s="126">
        <f t="shared" si="90"/>
        <v>0.3</v>
      </c>
      <c r="AB249" s="126">
        <f t="shared" si="90"/>
        <v>0.3</v>
      </c>
      <c r="AC249" s="126">
        <f t="shared" si="90"/>
        <v>0.3</v>
      </c>
      <c r="AD249" s="126">
        <f t="shared" si="90"/>
        <v>0.3</v>
      </c>
      <c r="AE249" s="126">
        <f t="shared" si="90"/>
        <v>0.3</v>
      </c>
      <c r="AF249" s="126">
        <f t="shared" si="9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88"/>
        <v>0.4</v>
      </c>
      <c r="C250" s="126">
        <v>0.4</v>
      </c>
      <c r="D250" s="126">
        <f t="shared" si="89"/>
        <v>0.4</v>
      </c>
      <c r="E250" s="126">
        <f t="shared" si="89"/>
        <v>0.4</v>
      </c>
      <c r="F250" s="126">
        <f t="shared" si="89"/>
        <v>0.4</v>
      </c>
      <c r="G250" s="126">
        <f t="shared" si="89"/>
        <v>0.4</v>
      </c>
      <c r="H250" s="126">
        <f t="shared" si="89"/>
        <v>0.4</v>
      </c>
      <c r="I250" s="126">
        <f t="shared" si="89"/>
        <v>0.4</v>
      </c>
      <c r="J250" s="126">
        <f t="shared" si="89"/>
        <v>0.4</v>
      </c>
      <c r="K250" s="126">
        <f t="shared" si="89"/>
        <v>0.4</v>
      </c>
      <c r="L250" s="126">
        <f t="shared" si="89"/>
        <v>0.4</v>
      </c>
      <c r="M250" s="126">
        <f t="shared" si="89"/>
        <v>0.4</v>
      </c>
      <c r="N250" s="126">
        <f t="shared" si="89"/>
        <v>0.4</v>
      </c>
      <c r="O250" s="126">
        <f t="shared" si="89"/>
        <v>0.4</v>
      </c>
      <c r="P250" s="126">
        <f t="shared" si="89"/>
        <v>0.4</v>
      </c>
      <c r="Q250" s="126">
        <f t="shared" si="89"/>
        <v>0.4</v>
      </c>
      <c r="R250" s="126">
        <f t="shared" si="89"/>
        <v>0.4</v>
      </c>
      <c r="S250" s="126">
        <f t="shared" si="89"/>
        <v>0.4</v>
      </c>
      <c r="T250" s="126">
        <f t="shared" si="90"/>
        <v>0.4</v>
      </c>
      <c r="U250" s="126">
        <f t="shared" si="90"/>
        <v>0.4</v>
      </c>
      <c r="V250" s="126">
        <f t="shared" si="90"/>
        <v>0.4</v>
      </c>
      <c r="W250" s="126">
        <f t="shared" si="90"/>
        <v>0.4</v>
      </c>
      <c r="X250" s="126">
        <f t="shared" si="90"/>
        <v>0.4</v>
      </c>
      <c r="Y250" s="126">
        <f t="shared" si="90"/>
        <v>0.4</v>
      </c>
      <c r="Z250" s="126">
        <f t="shared" si="90"/>
        <v>0.4</v>
      </c>
      <c r="AA250" s="126">
        <f t="shared" si="90"/>
        <v>0.4</v>
      </c>
      <c r="AB250" s="126">
        <f t="shared" si="90"/>
        <v>0.4</v>
      </c>
      <c r="AC250" s="126">
        <f t="shared" si="90"/>
        <v>0.4</v>
      </c>
      <c r="AD250" s="126">
        <f t="shared" si="90"/>
        <v>0.4</v>
      </c>
      <c r="AE250" s="126">
        <f t="shared" si="90"/>
        <v>0.4</v>
      </c>
      <c r="AF250" s="126">
        <f t="shared" si="9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88"/>
        <v>0.64</v>
      </c>
      <c r="C251" s="130">
        <v>0.64</v>
      </c>
      <c r="D251" s="130">
        <f t="shared" si="89"/>
        <v>0.64</v>
      </c>
      <c r="E251" s="130">
        <f t="shared" si="89"/>
        <v>0.64</v>
      </c>
      <c r="F251" s="130">
        <f t="shared" si="89"/>
        <v>0.64</v>
      </c>
      <c r="G251" s="130">
        <f t="shared" si="89"/>
        <v>0.64</v>
      </c>
      <c r="H251" s="130">
        <f t="shared" si="89"/>
        <v>0.64</v>
      </c>
      <c r="I251" s="130">
        <f t="shared" si="89"/>
        <v>0.64</v>
      </c>
      <c r="J251" s="130">
        <f t="shared" si="89"/>
        <v>0.64</v>
      </c>
      <c r="K251" s="130">
        <f t="shared" si="89"/>
        <v>0.64</v>
      </c>
      <c r="L251" s="130">
        <f t="shared" si="89"/>
        <v>0.64</v>
      </c>
      <c r="M251" s="130">
        <f t="shared" si="89"/>
        <v>0.64</v>
      </c>
      <c r="N251" s="130">
        <f t="shared" si="89"/>
        <v>0.64</v>
      </c>
      <c r="O251" s="130">
        <f t="shared" si="89"/>
        <v>0.64</v>
      </c>
      <c r="P251" s="130">
        <f t="shared" si="89"/>
        <v>0.64</v>
      </c>
      <c r="Q251" s="130">
        <f t="shared" si="89"/>
        <v>0.64</v>
      </c>
      <c r="R251" s="130">
        <f t="shared" si="89"/>
        <v>0.64</v>
      </c>
      <c r="S251" s="130">
        <f t="shared" si="89"/>
        <v>0.64</v>
      </c>
      <c r="T251" s="130">
        <f t="shared" si="90"/>
        <v>0.64</v>
      </c>
      <c r="U251" s="130">
        <f t="shared" si="90"/>
        <v>0.64</v>
      </c>
      <c r="V251" s="130">
        <f t="shared" si="90"/>
        <v>0.64</v>
      </c>
      <c r="W251" s="130">
        <f t="shared" si="90"/>
        <v>0.64</v>
      </c>
      <c r="X251" s="130">
        <f t="shared" si="90"/>
        <v>0.64</v>
      </c>
      <c r="Y251" s="130">
        <f t="shared" si="90"/>
        <v>0.64</v>
      </c>
      <c r="Z251" s="130">
        <f t="shared" si="90"/>
        <v>0.64</v>
      </c>
      <c r="AA251" s="130">
        <f t="shared" si="90"/>
        <v>0.64</v>
      </c>
      <c r="AB251" s="130">
        <f t="shared" si="90"/>
        <v>0.64</v>
      </c>
      <c r="AC251" s="130">
        <f t="shared" si="90"/>
        <v>0.64</v>
      </c>
      <c r="AD251" s="130">
        <f t="shared" si="90"/>
        <v>0.64</v>
      </c>
      <c r="AE251" s="130">
        <f t="shared" si="90"/>
        <v>0.64</v>
      </c>
      <c r="AF251" s="130">
        <f t="shared" si="9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91">SUM(B246:B251)</f>
        <v>3.54</v>
      </c>
      <c r="C252" s="134">
        <f t="shared" si="91"/>
        <v>3.54</v>
      </c>
      <c r="D252" s="134">
        <f t="shared" si="91"/>
        <v>3.54</v>
      </c>
      <c r="E252" s="134">
        <f t="shared" si="91"/>
        <v>3.54</v>
      </c>
      <c r="F252" s="134">
        <f t="shared" si="91"/>
        <v>3.54</v>
      </c>
      <c r="G252" s="134">
        <f t="shared" si="91"/>
        <v>3.54</v>
      </c>
      <c r="H252" s="134">
        <f t="shared" si="91"/>
        <v>3.54</v>
      </c>
      <c r="I252" s="134">
        <f t="shared" si="91"/>
        <v>3.54</v>
      </c>
      <c r="J252" s="134">
        <f t="shared" si="91"/>
        <v>3.54</v>
      </c>
      <c r="K252" s="134">
        <f t="shared" si="91"/>
        <v>3.54</v>
      </c>
      <c r="L252" s="134">
        <f t="shared" si="91"/>
        <v>3.54</v>
      </c>
      <c r="M252" s="134">
        <f t="shared" si="91"/>
        <v>3.54</v>
      </c>
      <c r="N252" s="134">
        <f t="shared" si="91"/>
        <v>3.54</v>
      </c>
      <c r="O252" s="134">
        <f t="shared" si="91"/>
        <v>3.54</v>
      </c>
      <c r="P252" s="134">
        <f t="shared" si="91"/>
        <v>3.54</v>
      </c>
      <c r="Q252" s="134">
        <f t="shared" si="91"/>
        <v>3.54</v>
      </c>
      <c r="R252" s="134">
        <f t="shared" si="91"/>
        <v>3.54</v>
      </c>
      <c r="S252" s="134">
        <f t="shared" si="91"/>
        <v>3.54</v>
      </c>
      <c r="T252" s="134">
        <f t="shared" si="91"/>
        <v>3.54</v>
      </c>
      <c r="U252" s="134">
        <f t="shared" si="91"/>
        <v>3.54</v>
      </c>
      <c r="V252" s="134">
        <f t="shared" si="91"/>
        <v>3.54</v>
      </c>
      <c r="W252" s="134">
        <f t="shared" si="91"/>
        <v>3.54</v>
      </c>
      <c r="X252" s="134">
        <f t="shared" si="91"/>
        <v>3.54</v>
      </c>
      <c r="Y252" s="134">
        <f t="shared" si="91"/>
        <v>3.54</v>
      </c>
      <c r="Z252" s="134">
        <f t="shared" si="91"/>
        <v>3.54</v>
      </c>
      <c r="AA252" s="134">
        <f t="shared" si="91"/>
        <v>3.54</v>
      </c>
      <c r="AB252" s="134">
        <f t="shared" si="91"/>
        <v>3.54</v>
      </c>
      <c r="AC252" s="134">
        <f t="shared" si="91"/>
        <v>3.54</v>
      </c>
      <c r="AD252" s="134">
        <f t="shared" si="91"/>
        <v>3.54</v>
      </c>
      <c r="AE252" s="134">
        <f t="shared" si="91"/>
        <v>3.54</v>
      </c>
      <c r="AF252" s="134">
        <f t="shared" si="91"/>
        <v>3.54</v>
      </c>
      <c r="AG252" s="143">
        <f t="shared" si="9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1705.39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2080/10/23)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367" priority="110">
      <formula>$AH11=0</formula>
    </cfRule>
  </conditionalFormatting>
  <conditionalFormatting sqref="A132:A253">
    <cfRule type="expression" dxfId="1366" priority="111">
      <formula>$AH132=0</formula>
    </cfRule>
  </conditionalFormatting>
  <conditionalFormatting sqref="B8">
    <cfRule type="expression" dxfId="1365" priority="171">
      <formula>C$9&lt;8/24</formula>
    </cfRule>
    <cfRule type="expression" dxfId="1364" priority="170">
      <formula>AND(C$9&gt;=8/24,C$9&lt;14/24)</formula>
    </cfRule>
    <cfRule type="expression" dxfId="1363" priority="169">
      <formula>AND(C$9&gt;=14/24,C$9&lt;20/24)</formula>
    </cfRule>
    <cfRule type="expression" dxfId="1362" priority="172">
      <formula>C$9&gt;=20/24</formula>
    </cfRule>
  </conditionalFormatting>
  <conditionalFormatting sqref="B59:E61">
    <cfRule type="expression" dxfId="1361" priority="17">
      <formula>B$9&gt;=20/24</formula>
    </cfRule>
    <cfRule type="expression" dxfId="1360" priority="18">
      <formula>AND(B$9&gt;=14/24,B$9&lt;20/24)</formula>
    </cfRule>
    <cfRule type="expression" dxfId="1359" priority="19">
      <formula>AND(B$9&gt;=8/24,B$9&lt;14/24)</formula>
    </cfRule>
    <cfRule type="expression" dxfId="1358" priority="20">
      <formula>B$9&lt;8/24</formula>
    </cfRule>
  </conditionalFormatting>
  <conditionalFormatting sqref="B63:G67 H67:J67">
    <cfRule type="expression" dxfId="1357" priority="15">
      <formula>AND(B$9&gt;=8/24,B$9&lt;14/24)</formula>
    </cfRule>
    <cfRule type="expression" dxfId="1356" priority="16">
      <formula>B$9&lt;8/24</formula>
    </cfRule>
    <cfRule type="expression" dxfId="1355" priority="13">
      <formula>B$9&gt;=20/24</formula>
    </cfRule>
    <cfRule type="expression" dxfId="1354" priority="14">
      <formula>AND(B$9&gt;=14/24,B$9&lt;20/24)</formula>
    </cfRule>
  </conditionalFormatting>
  <conditionalFormatting sqref="B68:J68">
    <cfRule type="expression" dxfId="1353" priority="9">
      <formula>B$9&gt;=20/24</formula>
    </cfRule>
    <cfRule type="expression" dxfId="1352" priority="10">
      <formula>AND(B$9&gt;=14/24,B$9&lt;20/24)</formula>
    </cfRule>
    <cfRule type="expression" dxfId="1351" priority="12">
      <formula>B$9&lt;8/24</formula>
    </cfRule>
    <cfRule type="expression" dxfId="1350" priority="11">
      <formula>AND(B$9&gt;=8/24,B$9&lt;14/24)</formula>
    </cfRule>
  </conditionalFormatting>
  <conditionalFormatting sqref="B81:AB99">
    <cfRule type="expression" dxfId="1349" priority="2">
      <formula>AND(B$9&gt;=14/24,B$9&lt;20/24)</formula>
    </cfRule>
    <cfRule type="expression" dxfId="1348" priority="3">
      <formula>AND(B$9&gt;=8/24,B$9&lt;14/24)</formula>
    </cfRule>
    <cfRule type="expression" dxfId="1347" priority="4">
      <formula>B$9&lt;8/24</formula>
    </cfRule>
    <cfRule type="expression" dxfId="1346" priority="1">
      <formula>B$9&gt;=20/24</formula>
    </cfRule>
  </conditionalFormatting>
  <conditionalFormatting sqref="B9:AF10 Q11:Q21 B11:E52 F12:AF52 E59:E61 B59:D68 C63:G74 H67:J74 B69:AF74 B77:AB80 AC77:AF99 B101:AF117 B244:AF244 B246:B252">
    <cfRule type="expression" dxfId="1345" priority="64">
      <formula>B$9&lt;8/24</formula>
    </cfRule>
    <cfRule type="expression" dxfId="1344" priority="63">
      <formula>AND(B$9&gt;=8/24,B$9&lt;14/24)</formula>
    </cfRule>
    <cfRule type="expression" dxfId="1343" priority="62">
      <formula>AND(B$9&gt;=14/24,B$9&lt;20/24)</formula>
    </cfRule>
  </conditionalFormatting>
  <conditionalFormatting sqref="B119:AF137">
    <cfRule type="expression" dxfId="1342" priority="5">
      <formula>B$9&gt;=20/24</formula>
    </cfRule>
    <cfRule type="expression" dxfId="1341" priority="8">
      <formula>B$9&lt;8/24</formula>
    </cfRule>
    <cfRule type="expression" dxfId="1340" priority="6">
      <formula>AND(B$9&gt;=14/24,B$9&lt;20/24)</formula>
    </cfRule>
    <cfRule type="expression" dxfId="1339" priority="7">
      <formula>AND(B$9&gt;=8/24,B$9&lt;14/24)</formula>
    </cfRule>
  </conditionalFormatting>
  <conditionalFormatting sqref="D246:AF252">
    <cfRule type="expression" dxfId="1338" priority="154">
      <formula>D$9&gt;=20/24</formula>
    </cfRule>
    <cfRule type="expression" dxfId="1337" priority="155">
      <formula>AND(D$9&gt;=14/24,D$9&lt;20/24)</formula>
    </cfRule>
    <cfRule type="expression" dxfId="1336" priority="156">
      <formula>AND(D$9&gt;=8/24,D$9&lt;14/24)</formula>
    </cfRule>
    <cfRule type="expression" dxfId="1335" priority="157">
      <formula>D$9&lt;8/24</formula>
    </cfRule>
  </conditionalFormatting>
  <conditionalFormatting sqref="E11:E56 B11:D61 H12:AB55 F12:G56 AC12:AF80 E58:AB61 B62:AB80 AB56:AB57 E57:AA57 AG62 AG80">
    <cfRule type="expression" dxfId="1334" priority="60">
      <formula>B11&gt;$AG11</formula>
    </cfRule>
  </conditionalFormatting>
  <conditionalFormatting sqref="E63:I67 J64:J67 I66:J67 K67">
    <cfRule type="expression" dxfId="1333" priority="75">
      <formula>AND(E$9&gt;=14/24,E$9&lt;20/24)</formula>
    </cfRule>
    <cfRule type="expression" dxfId="1332" priority="77">
      <formula>E$9&lt;8/24</formula>
    </cfRule>
    <cfRule type="expression" dxfId="1331" priority="76">
      <formula>AND(E$9&gt;=8/24,E$9&lt;14/24)</formula>
    </cfRule>
    <cfRule type="expression" dxfId="1330" priority="74">
      <formula>E$9&gt;=20/24</formula>
    </cfRule>
  </conditionalFormatting>
  <conditionalFormatting sqref="E68:K68">
    <cfRule type="expression" dxfId="1329" priority="71">
      <formula>AND(E$9&gt;=8/24,E$9&lt;14/24)</formula>
    </cfRule>
    <cfRule type="expression" dxfId="1328" priority="70">
      <formula>AND(E$9&gt;=14/24,E$9&lt;20/24)</formula>
    </cfRule>
    <cfRule type="expression" dxfId="1327" priority="72">
      <formula>E$9&lt;8/24</formula>
    </cfRule>
    <cfRule type="expression" dxfId="1326" priority="69">
      <formula>E$9&gt;=20/24</formula>
    </cfRule>
  </conditionalFormatting>
  <conditionalFormatting sqref="E11:P11 R11:AF11">
    <cfRule type="expression" dxfId="1325" priority="80">
      <formula>AND(E$9&gt;=14/24,E$9&lt;20/24)</formula>
    </cfRule>
    <cfRule type="expression" dxfId="1324" priority="79">
      <formula>E$9&gt;=20/24</formula>
    </cfRule>
    <cfRule type="expression" dxfId="1323" priority="78">
      <formula>E11&gt;$AG11</formula>
    </cfRule>
    <cfRule type="expression" dxfId="1322" priority="82">
      <formula>E$9&lt;8/24</formula>
    </cfRule>
    <cfRule type="expression" dxfId="1321" priority="81">
      <formula>AND(E$9&gt;=8/24,E$9&lt;14/24)</formula>
    </cfRule>
  </conditionalFormatting>
  <conditionalFormatting sqref="E53:AA56 AB53:AF55 B53:D57">
    <cfRule type="expression" dxfId="1320" priority="73">
      <formula>B$9&lt;8/24</formula>
    </cfRule>
  </conditionalFormatting>
  <conditionalFormatting sqref="E57:AA57">
    <cfRule type="expression" dxfId="1319" priority="87">
      <formula>E$9&lt;8/24</formula>
    </cfRule>
  </conditionalFormatting>
  <conditionalFormatting sqref="E59:AF62">
    <cfRule type="expression" dxfId="1318" priority="91">
      <formula>E$9&lt;8/24</formula>
    </cfRule>
    <cfRule type="expression" dxfId="1317" priority="90">
      <formula>AND(E$9&gt;=8/24,E$9&lt;14/24)</formula>
    </cfRule>
    <cfRule type="expression" dxfId="1316" priority="89">
      <formula>AND(E$9&gt;=14/24,E$9&lt;20/24)</formula>
    </cfRule>
    <cfRule type="expression" dxfId="1315" priority="88">
      <formula>E$9&gt;=20/24</formula>
    </cfRule>
  </conditionalFormatting>
  <conditionalFormatting sqref="F63:L65">
    <cfRule type="expression" dxfId="1314" priority="103">
      <formula>AND(F$9&gt;=14/24,F$9&lt;20/24)</formula>
    </cfRule>
    <cfRule type="expression" dxfId="1313" priority="102">
      <formula>F$9&gt;=20/24</formula>
    </cfRule>
    <cfRule type="expression" dxfId="1312" priority="105">
      <formula>F$9&lt;8/24</formula>
    </cfRule>
    <cfRule type="expression" dxfId="1311" priority="104">
      <formula>AND(F$9&gt;=8/24,F$9&lt;14/24)</formula>
    </cfRule>
  </conditionalFormatting>
  <conditionalFormatting sqref="H56:AA56">
    <cfRule type="expression" dxfId="1310" priority="68">
      <formula>AND(H$9&gt;=8/24,H$9&lt;14/24)</formula>
    </cfRule>
    <cfRule type="expression" dxfId="1309" priority="67">
      <formula>AND(H$9&gt;=14/24,H$9&lt;20/24)</formula>
    </cfRule>
    <cfRule type="expression" dxfId="1308" priority="66">
      <formula>H$9&gt;=20/24</formula>
    </cfRule>
    <cfRule type="expression" dxfId="1307" priority="65">
      <formula>H56&gt;$AG56</formula>
    </cfRule>
  </conditionalFormatting>
  <conditionalFormatting sqref="H53:AF55 E53:G56 B53:D57">
    <cfRule type="expression" dxfId="1306" priority="59">
      <formula>AND(B$9&gt;=8/24,B$9&lt;14/24)</formula>
    </cfRule>
    <cfRule type="expression" dxfId="1305" priority="57">
      <formula>B$9&gt;=20/24</formula>
    </cfRule>
    <cfRule type="expression" dxfId="1304" priority="58">
      <formula>AND(B$9&gt;=14/24,B$9&lt;20/24)</formula>
    </cfRule>
  </conditionalFormatting>
  <conditionalFormatting sqref="L68:X68">
    <cfRule type="expression" dxfId="1303" priority="98">
      <formula>L$9&gt;=20/24</formula>
    </cfRule>
    <cfRule type="expression" dxfId="1302" priority="100">
      <formula>AND(L$9&gt;=8/24,L$9&lt;14/24)</formula>
    </cfRule>
    <cfRule type="expression" dxfId="1301" priority="101">
      <formula>L$9&lt;8/24</formula>
    </cfRule>
    <cfRule type="expression" dxfId="1300" priority="99">
      <formula>AND(L$9&gt;=14/24,L$9&lt;20/24)</formula>
    </cfRule>
  </conditionalFormatting>
  <conditionalFormatting sqref="M8 S8 AB8">
    <cfRule type="expression" dxfId="1299" priority="161">
      <formula>AND(N$9&gt;=14/24,N$9&lt;20/24)</formula>
    </cfRule>
    <cfRule type="expression" dxfId="1298" priority="162">
      <formula>AND(N$9&gt;=8/24,N$9&lt;14/24)</formula>
    </cfRule>
    <cfRule type="expression" dxfId="1297" priority="163">
      <formula>N$9&lt;8/24</formula>
    </cfRule>
  </conditionalFormatting>
  <conditionalFormatting sqref="M63:V67">
    <cfRule type="expression" dxfId="1296" priority="107">
      <formula>AND(M$9&gt;=14/24,M$9&lt;20/24)</formula>
    </cfRule>
    <cfRule type="expression" dxfId="1295" priority="108">
      <formula>AND(M$9&gt;=8/24,M$9&lt;14/24)</formula>
    </cfRule>
    <cfRule type="expression" dxfId="1294" priority="109">
      <formula>M$9&lt;8/24</formula>
    </cfRule>
    <cfRule type="expression" dxfId="1293" priority="106">
      <formula>M$9&gt;=20/24</formula>
    </cfRule>
  </conditionalFormatting>
  <conditionalFormatting sqref="O3:P3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Q11:Q21 B11:E52 F12:AF52 E59:E61 B59:D68 C63:G74 H67:J74 B69:AF74 B77:AB80 AC77:AF99 B9:AF10 B101:AF117 B244:AF244 B246:B252">
    <cfRule type="expression" dxfId="1292" priority="61">
      <formula>B$9&gt;=20/24</formula>
    </cfRule>
  </conditionalFormatting>
  <conditionalFormatting sqref="S8 AB8 M8">
    <cfRule type="expression" dxfId="1291" priority="160">
      <formula>N$9&gt;=20/24</formula>
    </cfRule>
  </conditionalFormatting>
  <conditionalFormatting sqref="S8">
    <cfRule type="expression" dxfId="1290" priority="150">
      <formula>U$9&lt;8/24</formula>
    </cfRule>
    <cfRule type="expression" dxfId="1289" priority="149">
      <formula>AND(U$9&gt;=8/24,U$9&lt;14/24)</formula>
    </cfRule>
    <cfRule type="expression" dxfId="1288" priority="148">
      <formula>AND(U$9&gt;=14/24,U$9&lt;20/24)</formula>
    </cfRule>
    <cfRule type="expression" dxfId="1287" priority="147">
      <formula>U$9&gt;=20/24</formula>
    </cfRule>
  </conditionalFormatting>
  <conditionalFormatting sqref="T63:AF68">
    <cfRule type="expression" dxfId="1286" priority="95">
      <formula>T$9&lt;8/24</formula>
    </cfRule>
    <cfRule type="expression" dxfId="1285" priority="92">
      <formula>T$9&gt;=20/24</formula>
    </cfRule>
    <cfRule type="expression" dxfId="1284" priority="93">
      <formula>AND(T$9&gt;=14/24,T$9&lt;20/24)</formula>
    </cfRule>
    <cfRule type="expression" dxfId="1283" priority="94">
      <formula>AND(T$9&gt;=8/24,T$9&lt;14/24)</formula>
    </cfRule>
  </conditionalFormatting>
  <conditionalFormatting sqref="V3 AB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82" priority="144">
      <formula>AND(AD$9&gt;=14/24,AD$9&lt;20/24)</formula>
    </cfRule>
    <cfRule type="expression" dxfId="1281" priority="143">
      <formula>AD$9&gt;=20/24</formula>
    </cfRule>
    <cfRule type="expression" dxfId="1280" priority="146">
      <formula>AD$9&lt;8/24</formula>
    </cfRule>
    <cfRule type="expression" dxfId="1279" priority="145">
      <formula>AND(AD$9&gt;=8/24,AD$9&lt;14/24)</formula>
    </cfRule>
  </conditionalFormatting>
  <conditionalFormatting sqref="AB56:AF57 E57:AA57">
    <cfRule type="expression" dxfId="1278" priority="84">
      <formula>E$9&gt;=20/24</formula>
    </cfRule>
    <cfRule type="expression" dxfId="1277" priority="86">
      <formula>AND(E$9&gt;=8/24,E$9&lt;14/24)</formula>
    </cfRule>
    <cfRule type="expression" dxfId="1276" priority="85">
      <formula>AND(E$9&gt;=14/24,E$9&lt;20/24)</formula>
    </cfRule>
  </conditionalFormatting>
  <conditionalFormatting sqref="AB56:AF57">
    <cfRule type="expression" dxfId="1275" priority="96">
      <formula>AB$9&lt;8/24</formula>
    </cfRule>
  </conditionalFormatting>
  <conditionalFormatting sqref="AG58">
    <cfRule type="expression" dxfId="1274" priority="138">
      <formula>AG58&gt;$AG58</formula>
    </cfRule>
  </conditionalFormatting>
  <conditionalFormatting sqref="AG62">
    <cfRule type="expression" dxfId="1273" priority="123">
      <formula>AND(AG$9&gt;=8/24,AG$9&lt;14/24)</formula>
    </cfRule>
    <cfRule type="expression" dxfId="1272" priority="122">
      <formula>AND(AG$9&gt;=14/24,AG$9&lt;20/24)</formula>
    </cfRule>
    <cfRule type="expression" dxfId="1271" priority="121">
      <formula>AG$9&gt;=20/24</formula>
    </cfRule>
    <cfRule type="expression" dxfId="1270" priority="124">
      <formula>AG$9&lt;8/24</formula>
    </cfRule>
  </conditionalFormatting>
  <conditionalFormatting sqref="AG75:AG76">
    <cfRule type="expression" dxfId="1269" priority="116">
      <formula>AG75&gt;$AG75</formula>
    </cfRule>
  </conditionalFormatting>
  <conditionalFormatting sqref="AG80">
    <cfRule type="expression" dxfId="1268" priority="120">
      <formula>AG$9&lt;8/24</formula>
    </cfRule>
    <cfRule type="expression" dxfId="1267" priority="119">
      <formula>AND(AG$9&gt;=8/24,AG$9&lt;14/24)</formula>
    </cfRule>
    <cfRule type="expression" dxfId="1266" priority="118">
      <formula>AND(AG$9&gt;=14/24,AG$9&lt;20/24)</formula>
    </cfRule>
    <cfRule type="expression" dxfId="1265" priority="117">
      <formula>AG$9&gt;=20/24</formula>
    </cfRule>
  </conditionalFormatting>
  <conditionalFormatting sqref="AG97">
    <cfRule type="expression" dxfId="1264" priority="140">
      <formula>AND(AG$9&gt;=14/24,AG$9&lt;20/24)</formula>
    </cfRule>
    <cfRule type="expression" dxfId="1263" priority="141">
      <formula>AND(AG$9&gt;=8/24,AG$9&lt;14/24)</formula>
    </cfRule>
    <cfRule type="expression" dxfId="1262" priority="142">
      <formula>AG$9&lt;8/24</formula>
    </cfRule>
    <cfRule type="expression" dxfId="1261" priority="139">
      <formula>AG$9&gt;=20/24</formula>
    </cfRule>
  </conditionalFormatting>
  <conditionalFormatting sqref="AL4:AL6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60" priority="164">
      <formula>AJ$9&gt;=20/24</formula>
    </cfRule>
    <cfRule type="expression" dxfId="1259" priority="166">
      <formula>AND(AJ$9&gt;=8/24,AJ$9&lt;14/24)</formula>
    </cfRule>
    <cfRule type="expression" dxfId="1258" priority="167">
      <formula>AJ$9&lt;8/24</formula>
    </cfRule>
    <cfRule type="expression" dxfId="1257" priority="165">
      <formula>AND(AJ$9&gt;=14/24,AJ$9&lt;20/24)</formula>
    </cfRule>
  </conditionalFormatting>
  <conditionalFormatting sqref="AL88:AN88 AL94:AN94">
    <cfRule type="expression" dxfId="1256" priority="132">
      <formula>AND(AL$9&gt;=14/24,AL$9&lt;20/24)</formula>
    </cfRule>
    <cfRule type="expression" dxfId="1255" priority="131">
      <formula>AL$9&gt;=20/24</formula>
    </cfRule>
    <cfRule type="expression" dxfId="1254" priority="133">
      <formula>AND(AL$9&gt;=8/24,AL$9&lt;14/24)</formula>
    </cfRule>
    <cfRule type="expression" dxfId="1253" priority="134">
      <formula>AL$9&lt;8/24</formula>
    </cfRule>
  </conditionalFormatting>
  <conditionalFormatting sqref="AM15:AM21 AN16:AR21">
    <cfRule type="expression" dxfId="1252" priority="33">
      <formula>AX$9&gt;=20/24</formula>
    </cfRule>
    <cfRule type="expression" dxfId="1251" priority="34">
      <formula>AND(AX$9&gt;=14/24,AX$9&lt;20/24)</formula>
    </cfRule>
    <cfRule type="expression" dxfId="1250" priority="35">
      <formula>AND(AX$9&gt;=8/24,AX$9&lt;14/24)</formula>
    </cfRule>
    <cfRule type="expression" dxfId="1249" priority="36">
      <formula>AX$9&lt;8/24</formula>
    </cfRule>
  </conditionalFormatting>
  <conditionalFormatting sqref="AN89:AN92">
    <cfRule type="expression" dxfId="1248" priority="129">
      <formula>AND(AN$9&gt;=8/24,AN$9&lt;14/24)</formula>
    </cfRule>
    <cfRule type="expression" dxfId="1247" priority="127">
      <formula>AN$9&gt;=20/24</formula>
    </cfRule>
    <cfRule type="expression" dxfId="1246" priority="128">
      <formula>AND(AN$9&gt;=14/24,AN$9&lt;20/24)</formula>
    </cfRule>
    <cfRule type="expression" dxfId="1245" priority="130">
      <formula>AN$9&lt;8/24</formula>
    </cfRule>
  </conditionalFormatting>
  <conditionalFormatting sqref="AN15:AR15">
    <cfRule type="expression" dxfId="1244" priority="23">
      <formula>AND(U$9&gt;=8/24,U$9&lt;14/24)</formula>
    </cfRule>
    <cfRule type="expression" dxfId="1243" priority="22">
      <formula>AND(U$9&gt;=14/24,U$9&lt;20/24)</formula>
    </cfRule>
    <cfRule type="expression" dxfId="1242" priority="21">
      <formula>U$9&gt;=20/24</formula>
    </cfRule>
    <cfRule type="expression" dxfId="1241" priority="24">
      <formula>U$9&lt;8/24</formula>
    </cfRule>
  </conditionalFormatting>
  <conditionalFormatting sqref="AS15">
    <cfRule type="expression" dxfId="1240" priority="31">
      <formula>AND(AA$9&gt;=8/24,AA$9&lt;14/24)</formula>
    </cfRule>
    <cfRule type="expression" dxfId="1239" priority="30">
      <formula>AND(AA$9&gt;=14/24,AA$9&lt;20/24)</formula>
    </cfRule>
    <cfRule type="expression" dxfId="1238" priority="29">
      <formula>AA$9&gt;=20/24</formula>
    </cfRule>
    <cfRule type="expression" dxfId="1237" priority="32">
      <formula>AA$9&lt;8/24</formula>
    </cfRule>
  </conditionalFormatting>
  <conditionalFormatting sqref="AS16:AS21">
    <cfRule type="expression" dxfId="1236" priority="40">
      <formula>BE$9&lt;8/24</formula>
    </cfRule>
    <cfRule type="expression" dxfId="1235" priority="39">
      <formula>AND(BE$9&gt;=8/24,BE$9&lt;14/24)</formula>
    </cfRule>
    <cfRule type="expression" dxfId="1234" priority="37">
      <formula>BE$9&gt;=20/24</formula>
    </cfRule>
    <cfRule type="expression" dxfId="1233" priority="38">
      <formula>AND(BE$9&gt;=14/24,BE$9&lt;20/24)</formula>
    </cfRule>
  </conditionalFormatting>
  <conditionalFormatting sqref="AT15 AX15">
    <cfRule type="expression" dxfId="1232" priority="43">
      <formula>AND(AC$9&gt;=8/24,AC$9&lt;14/24)</formula>
    </cfRule>
    <cfRule type="expression" dxfId="1231" priority="41">
      <formula>AC$9&gt;=20/24</formula>
    </cfRule>
    <cfRule type="expression" dxfId="1230" priority="44">
      <formula>AC$9&lt;8/24</formula>
    </cfRule>
    <cfRule type="expression" dxfId="1229" priority="42">
      <formula>AND(AC$9&gt;=14/24,AC$9&lt;20/24)</formula>
    </cfRule>
  </conditionalFormatting>
  <conditionalFormatting sqref="AT16:AT21">
    <cfRule type="expression" dxfId="1228" priority="48">
      <formula>BG$9&lt;8/24</formula>
    </cfRule>
    <cfRule type="expression" dxfId="1227" priority="45">
      <formula>BG$9&gt;=20/24</formula>
    </cfRule>
    <cfRule type="expression" dxfId="1226" priority="46">
      <formula>AND(BG$9&gt;=14/24,BG$9&lt;20/24)</formula>
    </cfRule>
    <cfRule type="expression" dxfId="1225" priority="47">
      <formula>AND(BG$9&gt;=8/24,BG$9&lt;14/24)</formula>
    </cfRule>
  </conditionalFormatting>
  <conditionalFormatting sqref="AU15:AV15">
    <cfRule type="expression" dxfId="1224" priority="52">
      <formula>AE$9&lt;8/24</formula>
    </cfRule>
    <cfRule type="expression" dxfId="1223" priority="49">
      <formula>AE$9&gt;=20/24</formula>
    </cfRule>
    <cfRule type="expression" dxfId="1222" priority="50">
      <formula>AND(AE$9&gt;=14/24,AE$9&lt;20/24)</formula>
    </cfRule>
    <cfRule type="expression" dxfId="1221" priority="51">
      <formula>AND(AE$9&gt;=8/24,AE$9&lt;14/24)</formula>
    </cfRule>
  </conditionalFormatting>
  <conditionalFormatting sqref="AU16:AX21">
    <cfRule type="expression" dxfId="1220" priority="56">
      <formula>BI$9&lt;8/24</formula>
    </cfRule>
    <cfRule type="expression" dxfId="1219" priority="55">
      <formula>AND(BI$9&gt;=8/24,BI$9&lt;14/24)</formula>
    </cfRule>
    <cfRule type="expression" dxfId="1218" priority="54">
      <formula>AND(BI$9&gt;=14/24,BI$9&lt;20/24)</formula>
    </cfRule>
    <cfRule type="expression" dxfId="1217" priority="53">
      <formula>BI$9&gt;=20/24</formula>
    </cfRule>
  </conditionalFormatting>
  <conditionalFormatting sqref="AW15">
    <cfRule type="expression" dxfId="1216" priority="28">
      <formula>B$9&lt;8/24</formula>
    </cfRule>
    <cfRule type="expression" dxfId="1215" priority="27">
      <formula>AND(B$9&gt;=8/24,B$9&lt;14/24)</formula>
    </cfRule>
    <cfRule type="expression" dxfId="1214" priority="26">
      <formula>AND(B$9&gt;=14/24,B$9&lt;20/24)</formula>
    </cfRule>
    <cfRule type="expression" dxfId="1213" priority="2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F512-9B86-4965-921B-B5C05582ED37}">
  <dimension ref="A1:CJ294"/>
  <sheetViews>
    <sheetView zoomScale="106" workbookViewId="0">
      <pane xSplit="1" ySplit="10" topLeftCell="T11" activePane="bottomRight" state="frozen"/>
      <selection activeCell="Z63" sqref="Z63"/>
      <selection pane="topRight" activeCell="Z63" sqref="Z63"/>
      <selection pane="bottomLeft" activeCell="Z63" sqref="Z63"/>
      <selection pane="bottomRight" activeCell="AE41" sqref="AE4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10.5703125" style="1" customWidth="1"/>
    <col min="11" max="11" width="8.42578125" style="1" customWidth="1"/>
    <col min="12" max="12" width="6" style="1" bestFit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2080/10/24</v>
      </c>
      <c r="C4" s="272"/>
      <c r="D4" s="272"/>
      <c r="E4" s="273" t="str">
        <f ca="1">"2080/"&amp;"10/"&amp;INT(MID(CELL("filename",G6),FIND("]",CELL("filename",G6))+1,200))</f>
        <v>2080/10/24</v>
      </c>
      <c r="F4" s="273"/>
      <c r="G4" s="273"/>
      <c r="H4" s="273" t="str">
        <f ca="1">TEXT(E4,"dddd")</f>
        <v>Thursday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572.9</v>
      </c>
      <c r="C5" s="30">
        <f t="shared" ref="C5:AE5" si="0">D92</f>
        <v>601.29999999999995</v>
      </c>
      <c r="D5" s="30">
        <f t="shared" si="0"/>
        <v>593.6</v>
      </c>
      <c r="E5" s="30">
        <f t="shared" si="0"/>
        <v>582.79999999999995</v>
      </c>
      <c r="F5" s="30">
        <f t="shared" si="0"/>
        <v>599.70000000000005</v>
      </c>
      <c r="G5" s="30">
        <f t="shared" si="0"/>
        <v>662.7</v>
      </c>
      <c r="H5" s="30">
        <f t="shared" si="0"/>
        <v>670.5</v>
      </c>
      <c r="I5" s="30">
        <f t="shared" si="0"/>
        <v>650.29999999999995</v>
      </c>
      <c r="J5" s="30">
        <f t="shared" si="0"/>
        <v>291.70000000000005</v>
      </c>
      <c r="K5" s="30">
        <f t="shared" si="0"/>
        <v>145.70000000000002</v>
      </c>
      <c r="L5" s="30">
        <f t="shared" si="0"/>
        <v>138.1</v>
      </c>
      <c r="M5" s="30">
        <f t="shared" si="0"/>
        <v>436.6</v>
      </c>
      <c r="N5" s="30">
        <f t="shared" si="0"/>
        <v>611.30000000000007</v>
      </c>
      <c r="O5" s="30">
        <f t="shared" si="0"/>
        <v>677.3</v>
      </c>
      <c r="P5" s="30">
        <f t="shared" si="0"/>
        <v>720.80000000000007</v>
      </c>
      <c r="Q5" s="30">
        <f t="shared" si="0"/>
        <v>717.1</v>
      </c>
      <c r="R5" s="30">
        <f t="shared" si="0"/>
        <v>783.19999999999993</v>
      </c>
      <c r="S5" s="30">
        <f t="shared" si="0"/>
        <v>732.69999999999982</v>
      </c>
      <c r="T5" s="30">
        <f t="shared" si="0"/>
        <v>813.80000000000007</v>
      </c>
      <c r="U5" s="30">
        <f t="shared" si="0"/>
        <v>695.7</v>
      </c>
      <c r="V5" s="30">
        <f t="shared" si="0"/>
        <v>563.9</v>
      </c>
      <c r="W5" s="30">
        <f t="shared" si="0"/>
        <v>563.6</v>
      </c>
      <c r="X5" s="30">
        <f t="shared" si="0"/>
        <v>500.59999999999997</v>
      </c>
      <c r="Y5" s="30">
        <f t="shared" si="0"/>
        <v>441.5</v>
      </c>
      <c r="Z5" s="30">
        <f t="shared" si="0"/>
        <v>349.6</v>
      </c>
      <c r="AA5" s="30">
        <f t="shared" si="0"/>
        <v>332.5</v>
      </c>
      <c r="AB5" s="30">
        <f t="shared" si="0"/>
        <v>475.19999999999993</v>
      </c>
      <c r="AC5" s="30">
        <f t="shared" si="0"/>
        <v>597.90000000000009</v>
      </c>
      <c r="AD5" s="30">
        <f t="shared" si="0"/>
        <v>664.3</v>
      </c>
      <c r="AE5" s="30">
        <f t="shared" si="0"/>
        <v>712.2</v>
      </c>
      <c r="AF5" s="30">
        <f>B92</f>
        <v>602.9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Load=1206</v>
      </c>
      <c r="B7" s="35">
        <f>B100</f>
        <v>1241.99</v>
      </c>
      <c r="C7" s="35">
        <f t="shared" ref="C7:AF7" si="1">C100</f>
        <v>1211.99</v>
      </c>
      <c r="D7" s="35">
        <f t="shared" si="1"/>
        <v>1240.3899999999999</v>
      </c>
      <c r="E7" s="35">
        <f t="shared" si="1"/>
        <v>1217.19</v>
      </c>
      <c r="F7" s="35">
        <f t="shared" si="1"/>
        <v>1206.3899999999999</v>
      </c>
      <c r="G7" s="35">
        <f t="shared" si="1"/>
        <v>1254.29</v>
      </c>
      <c r="H7" s="35">
        <f t="shared" si="1"/>
        <v>1354.69</v>
      </c>
      <c r="I7" s="35">
        <f t="shared" si="1"/>
        <v>1449.5900000000001</v>
      </c>
      <c r="J7" s="35">
        <f t="shared" si="1"/>
        <v>1522.39</v>
      </c>
      <c r="K7" s="35">
        <f t="shared" si="1"/>
        <v>1464.14</v>
      </c>
      <c r="L7" s="35">
        <f t="shared" si="1"/>
        <v>1642.99</v>
      </c>
      <c r="M7" s="35">
        <f t="shared" si="1"/>
        <v>1571.79</v>
      </c>
      <c r="N7" s="35">
        <f t="shared" si="1"/>
        <v>1473.9900000000002</v>
      </c>
      <c r="O7" s="35">
        <f t="shared" si="1"/>
        <v>1529.69</v>
      </c>
      <c r="P7" s="35">
        <f t="shared" si="1"/>
        <v>1536.79</v>
      </c>
      <c r="Q7" s="35">
        <f t="shared" si="1"/>
        <v>1399.0900000000001</v>
      </c>
      <c r="R7" s="35">
        <f t="shared" si="1"/>
        <v>1445.3899999999999</v>
      </c>
      <c r="S7" s="35">
        <f t="shared" si="1"/>
        <v>1473.79</v>
      </c>
      <c r="T7" s="35">
        <f t="shared" si="1"/>
        <v>1419.6899999999998</v>
      </c>
      <c r="U7" s="35">
        <f t="shared" si="1"/>
        <v>1495.79</v>
      </c>
      <c r="V7" s="35">
        <f t="shared" si="1"/>
        <v>1370.79</v>
      </c>
      <c r="W7" s="35">
        <f t="shared" si="1"/>
        <v>1361.99</v>
      </c>
      <c r="X7" s="35">
        <f t="shared" si="1"/>
        <v>1400.67</v>
      </c>
      <c r="Y7" s="35">
        <f t="shared" si="1"/>
        <v>1654.19</v>
      </c>
      <c r="Z7" s="35">
        <f t="shared" si="1"/>
        <v>1763.79</v>
      </c>
      <c r="AA7" s="35">
        <f t="shared" si="1"/>
        <v>1689.5900000000001</v>
      </c>
      <c r="AB7" s="35">
        <f t="shared" si="1"/>
        <v>1627.5900000000001</v>
      </c>
      <c r="AC7" s="35">
        <f t="shared" si="1"/>
        <v>1583.5900000000001</v>
      </c>
      <c r="AD7" s="35">
        <f t="shared" si="1"/>
        <v>1535.49</v>
      </c>
      <c r="AE7" s="35">
        <f t="shared" si="1"/>
        <v>1368.69</v>
      </c>
      <c r="AF7" s="35">
        <f t="shared" si="1"/>
        <v>1306.8900000000001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1571.79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1571.79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22.9</v>
      </c>
      <c r="C11" s="45">
        <v>22.9</v>
      </c>
      <c r="D11" s="45">
        <v>22.9</v>
      </c>
      <c r="E11" s="45">
        <v>22.9</v>
      </c>
      <c r="F11" s="45">
        <v>22.9</v>
      </c>
      <c r="G11" s="45">
        <v>22.9</v>
      </c>
      <c r="H11" s="45">
        <v>22.9</v>
      </c>
      <c r="I11" s="45">
        <v>22.9</v>
      </c>
      <c r="J11" s="45">
        <v>22.9</v>
      </c>
      <c r="K11" s="45">
        <v>22.9</v>
      </c>
      <c r="L11" s="45">
        <v>22.9</v>
      </c>
      <c r="M11" s="45">
        <v>22.9</v>
      </c>
      <c r="N11" s="45">
        <v>22.9</v>
      </c>
      <c r="O11" s="45">
        <v>22.9</v>
      </c>
      <c r="P11" s="45">
        <v>22.9</v>
      </c>
      <c r="Q11" s="45">
        <v>22.9</v>
      </c>
      <c r="R11" s="45">
        <v>22.9</v>
      </c>
      <c r="S11" s="45">
        <v>22.9</v>
      </c>
      <c r="T11" s="45">
        <v>22.9</v>
      </c>
      <c r="U11" s="45">
        <v>22.9</v>
      </c>
      <c r="V11" s="45">
        <v>22.9</v>
      </c>
      <c r="W11" s="45">
        <v>22.9</v>
      </c>
      <c r="X11" s="45">
        <v>22.9</v>
      </c>
      <c r="Y11" s="45">
        <v>22.9</v>
      </c>
      <c r="Z11" s="45">
        <v>22.9</v>
      </c>
      <c r="AA11" s="45">
        <v>22.9</v>
      </c>
      <c r="AB11" s="45">
        <v>23.3</v>
      </c>
      <c r="AC11" s="45">
        <v>23.3</v>
      </c>
      <c r="AD11" s="45">
        <v>23.3</v>
      </c>
      <c r="AE11" s="45">
        <v>23.3</v>
      </c>
      <c r="AF11" s="45">
        <v>23.3</v>
      </c>
      <c r="AG11" s="46">
        <v>86</v>
      </c>
      <c r="AH11" s="47">
        <f t="shared" ref="AH11:AH16" si="2">MAX(B11:AF11)</f>
        <v>23.3</v>
      </c>
      <c r="AI11" s="48">
        <f t="shared" ref="AI11:AI16" si="3">MIN(B11:AF11)</f>
        <v>22.9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24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</v>
      </c>
      <c r="L13" s="45">
        <v>10</v>
      </c>
      <c r="M13" s="45">
        <v>10</v>
      </c>
      <c r="N13" s="45">
        <v>10</v>
      </c>
      <c r="O13" s="45">
        <v>10</v>
      </c>
      <c r="P13" s="45">
        <v>10</v>
      </c>
      <c r="Q13" s="45">
        <v>10</v>
      </c>
      <c r="R13" s="45">
        <v>10</v>
      </c>
      <c r="S13" s="45">
        <v>10</v>
      </c>
      <c r="T13" s="45">
        <v>10</v>
      </c>
      <c r="U13" s="45">
        <v>10</v>
      </c>
      <c r="V13" s="45">
        <v>10</v>
      </c>
      <c r="W13" s="45">
        <v>10</v>
      </c>
      <c r="X13" s="45">
        <v>10</v>
      </c>
      <c r="Y13" s="45">
        <v>10</v>
      </c>
      <c r="Z13" s="45">
        <v>10</v>
      </c>
      <c r="AA13" s="45">
        <v>10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2080/10/24)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</v>
      </c>
      <c r="C14" s="45">
        <v>14</v>
      </c>
      <c r="D14" s="45">
        <v>14</v>
      </c>
      <c r="E14" s="45">
        <v>14</v>
      </c>
      <c r="F14" s="45">
        <v>14</v>
      </c>
      <c r="G14" s="45">
        <v>14</v>
      </c>
      <c r="H14" s="45">
        <v>14</v>
      </c>
      <c r="I14" s="45">
        <v>14</v>
      </c>
      <c r="J14" s="45">
        <v>14</v>
      </c>
      <c r="K14" s="45">
        <v>14</v>
      </c>
      <c r="L14" s="45">
        <v>14</v>
      </c>
      <c r="M14" s="45">
        <v>14</v>
      </c>
      <c r="N14" s="45">
        <v>14</v>
      </c>
      <c r="O14" s="45">
        <v>14</v>
      </c>
      <c r="P14" s="45">
        <v>14</v>
      </c>
      <c r="Q14" s="45">
        <v>14</v>
      </c>
      <c r="R14" s="45">
        <v>14</v>
      </c>
      <c r="S14" s="45">
        <v>14</v>
      </c>
      <c r="T14" s="45">
        <v>14</v>
      </c>
      <c r="U14" s="45">
        <v>14</v>
      </c>
      <c r="V14" s="45">
        <v>14</v>
      </c>
      <c r="W14" s="45">
        <v>14</v>
      </c>
      <c r="X14" s="45">
        <v>14</v>
      </c>
      <c r="Y14" s="45">
        <v>14</v>
      </c>
      <c r="Z14" s="45">
        <v>14</v>
      </c>
      <c r="AA14" s="45">
        <v>14</v>
      </c>
      <c r="AB14" s="45">
        <v>14</v>
      </c>
      <c r="AC14" s="45">
        <v>14</v>
      </c>
      <c r="AD14" s="45">
        <v>14</v>
      </c>
      <c r="AE14" s="45">
        <v>14</v>
      </c>
      <c r="AF14" s="45">
        <v>14</v>
      </c>
      <c r="AG14" s="46">
        <v>52.4</v>
      </c>
      <c r="AH14" s="47">
        <f t="shared" si="2"/>
        <v>14</v>
      </c>
      <c r="AI14" s="48">
        <f t="shared" si="3"/>
        <v>14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25.5</v>
      </c>
      <c r="C15" s="45">
        <v>25.5</v>
      </c>
      <c r="D15" s="45">
        <v>25.5</v>
      </c>
      <c r="E15" s="45">
        <v>25.5</v>
      </c>
      <c r="F15" s="45">
        <v>25.5</v>
      </c>
      <c r="G15" s="45">
        <v>25.5</v>
      </c>
      <c r="H15" s="45">
        <v>25.5</v>
      </c>
      <c r="I15" s="45">
        <v>25.5</v>
      </c>
      <c r="J15" s="45">
        <v>25.5</v>
      </c>
      <c r="K15" s="45">
        <v>25.5</v>
      </c>
      <c r="L15" s="45">
        <v>25.5</v>
      </c>
      <c r="M15" s="45">
        <v>25.5</v>
      </c>
      <c r="N15" s="45">
        <v>25.5</v>
      </c>
      <c r="O15" s="45">
        <v>25.5</v>
      </c>
      <c r="P15" s="45">
        <v>25.5</v>
      </c>
      <c r="Q15" s="45">
        <v>25.5</v>
      </c>
      <c r="R15" s="45">
        <v>25.5</v>
      </c>
      <c r="S15" s="45">
        <v>25.5</v>
      </c>
      <c r="T15" s="45">
        <v>25.5</v>
      </c>
      <c r="U15" s="45">
        <v>25.5</v>
      </c>
      <c r="V15" s="45">
        <v>25.5</v>
      </c>
      <c r="W15" s="45">
        <v>25.5</v>
      </c>
      <c r="X15" s="45">
        <v>25.5</v>
      </c>
      <c r="Y15" s="45">
        <v>25.5</v>
      </c>
      <c r="Z15" s="51">
        <v>25.5</v>
      </c>
      <c r="AA15" s="51">
        <v>25.5</v>
      </c>
      <c r="AB15" s="51">
        <v>25.5</v>
      </c>
      <c r="AC15" s="51">
        <v>25.5</v>
      </c>
      <c r="AD15" s="51">
        <v>25.5</v>
      </c>
      <c r="AE15" s="51">
        <v>25.5</v>
      </c>
      <c r="AF15" s="51">
        <v>25.5</v>
      </c>
      <c r="AG15" s="49">
        <v>50</v>
      </c>
      <c r="AH15" s="47">
        <f t="shared" si="2"/>
        <v>25.5</v>
      </c>
      <c r="AI15" s="48">
        <f t="shared" si="3"/>
        <v>25.5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15.4</v>
      </c>
      <c r="C16" s="45">
        <v>15.4</v>
      </c>
      <c r="D16" s="45">
        <v>15.4</v>
      </c>
      <c r="E16" s="45">
        <v>15.4</v>
      </c>
      <c r="F16" s="45">
        <v>15.4</v>
      </c>
      <c r="G16" s="45">
        <v>15.4</v>
      </c>
      <c r="H16" s="45">
        <v>15.4</v>
      </c>
      <c r="I16" s="45">
        <v>15.4</v>
      </c>
      <c r="J16" s="45">
        <v>15.4</v>
      </c>
      <c r="K16" s="45">
        <v>15.4</v>
      </c>
      <c r="L16" s="45">
        <v>15.4</v>
      </c>
      <c r="M16" s="45">
        <v>15.4</v>
      </c>
      <c r="N16" s="45">
        <v>15.4</v>
      </c>
      <c r="O16" s="45">
        <v>15.4</v>
      </c>
      <c r="P16" s="45">
        <v>15.4</v>
      </c>
      <c r="Q16" s="45">
        <v>15.4</v>
      </c>
      <c r="R16" s="45">
        <v>15.4</v>
      </c>
      <c r="S16" s="45">
        <v>15.4</v>
      </c>
      <c r="T16" s="45">
        <v>15.4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15.4</v>
      </c>
      <c r="AE16" s="45">
        <v>15.4</v>
      </c>
      <c r="AF16" s="45">
        <v>15.4</v>
      </c>
      <c r="AG16" s="49">
        <v>45</v>
      </c>
      <c r="AH16" s="47">
        <f t="shared" si="2"/>
        <v>15.4</v>
      </c>
      <c r="AI16" s="48">
        <f t="shared" si="3"/>
        <v>15.4</v>
      </c>
      <c r="AK16" s="50"/>
      <c r="AL16" s="160" t="s">
        <v>7</v>
      </c>
      <c r="AM16" s="227">
        <f>B58</f>
        <v>458.95000000000005</v>
      </c>
      <c r="AN16" s="227">
        <f t="shared" ref="AN16:AR16" si="4">C58</f>
        <v>458.95000000000005</v>
      </c>
      <c r="AO16" s="227">
        <f t="shared" si="4"/>
        <v>458.95000000000005</v>
      </c>
      <c r="AP16" s="227">
        <f t="shared" si="4"/>
        <v>458.95000000000005</v>
      </c>
      <c r="AQ16" s="227">
        <f t="shared" si="4"/>
        <v>458.95000000000005</v>
      </c>
      <c r="AR16" s="227">
        <f t="shared" si="4"/>
        <v>458.95000000000005</v>
      </c>
      <c r="AS16" s="227">
        <f>I58</f>
        <v>458.95000000000005</v>
      </c>
      <c r="AT16" s="227">
        <f>K58</f>
        <v>458.95000000000005</v>
      </c>
      <c r="AU16" s="227">
        <f t="shared" ref="AU16:AX16" si="5">M58</f>
        <v>458.95000000000005</v>
      </c>
      <c r="AV16" s="227">
        <f t="shared" si="5"/>
        <v>458.95000000000005</v>
      </c>
      <c r="AW16" s="227">
        <f t="shared" si="5"/>
        <v>458.95000000000005</v>
      </c>
      <c r="AX16" s="227">
        <f t="shared" si="5"/>
        <v>458.95000000000005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38.1</v>
      </c>
      <c r="AN17" s="227">
        <f t="shared" ref="AN17:AR17" si="6">C62</f>
        <v>38.1</v>
      </c>
      <c r="AO17" s="227">
        <f t="shared" si="6"/>
        <v>38.1</v>
      </c>
      <c r="AP17" s="227">
        <f t="shared" si="6"/>
        <v>38.1</v>
      </c>
      <c r="AQ17" s="227">
        <f t="shared" si="6"/>
        <v>38.1</v>
      </c>
      <c r="AR17" s="227">
        <f t="shared" si="6"/>
        <v>38.1</v>
      </c>
      <c r="AS17" s="227">
        <f>I62</f>
        <v>108.1</v>
      </c>
      <c r="AT17" s="227">
        <f>K62</f>
        <v>408.1</v>
      </c>
      <c r="AU17" s="227">
        <f t="shared" ref="AU17:AX17" si="7">M62</f>
        <v>437</v>
      </c>
      <c r="AV17" s="227">
        <f t="shared" si="7"/>
        <v>107</v>
      </c>
      <c r="AW17" s="227">
        <f t="shared" si="7"/>
        <v>52</v>
      </c>
      <c r="AX17" s="227">
        <f t="shared" si="7"/>
        <v>38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</v>
      </c>
      <c r="C18" s="45">
        <v>6</v>
      </c>
      <c r="D18" s="45">
        <v>6</v>
      </c>
      <c r="E18" s="45">
        <v>6</v>
      </c>
      <c r="F18" s="45">
        <v>6</v>
      </c>
      <c r="G18" s="45">
        <v>6</v>
      </c>
      <c r="H18" s="45">
        <v>6</v>
      </c>
      <c r="I18" s="45">
        <v>6</v>
      </c>
      <c r="J18" s="45">
        <v>6</v>
      </c>
      <c r="K18" s="45">
        <v>6</v>
      </c>
      <c r="L18" s="45">
        <v>6</v>
      </c>
      <c r="M18" s="45">
        <v>6</v>
      </c>
      <c r="N18" s="45">
        <v>6</v>
      </c>
      <c r="O18" s="45">
        <v>6</v>
      </c>
      <c r="P18" s="45">
        <v>6</v>
      </c>
      <c r="Q18" s="45">
        <v>6</v>
      </c>
      <c r="R18" s="45">
        <v>6</v>
      </c>
      <c r="S18" s="45">
        <v>6</v>
      </c>
      <c r="T18" s="45">
        <v>6</v>
      </c>
      <c r="U18" s="45">
        <v>6</v>
      </c>
      <c r="V18" s="45">
        <v>6</v>
      </c>
      <c r="W18" s="45">
        <v>6</v>
      </c>
      <c r="X18" s="45">
        <v>6</v>
      </c>
      <c r="Y18" s="45">
        <v>6</v>
      </c>
      <c r="Z18" s="45">
        <v>6</v>
      </c>
      <c r="AA18" s="45">
        <v>6</v>
      </c>
      <c r="AB18" s="45">
        <v>6</v>
      </c>
      <c r="AC18" s="45">
        <v>6</v>
      </c>
      <c r="AD18" s="45">
        <v>6</v>
      </c>
      <c r="AE18" s="45">
        <v>6</v>
      </c>
      <c r="AF18" s="45">
        <v>6</v>
      </c>
      <c r="AG18" s="49">
        <v>42</v>
      </c>
      <c r="AH18" s="47">
        <f t="shared" ref="AH18:AH81" si="8">MAX(B18:AF18)</f>
        <v>6</v>
      </c>
      <c r="AI18" s="48">
        <f t="shared" ref="AI18:AI81" si="9">MIN(B18:AF18)</f>
        <v>6</v>
      </c>
      <c r="AK18" s="50"/>
      <c r="AL18" s="160" t="s">
        <v>593</v>
      </c>
      <c r="AM18" s="227">
        <f>B76</f>
        <v>142.04</v>
      </c>
      <c r="AN18" s="227">
        <f t="shared" ref="AN18:AR18" si="10">C76</f>
        <v>142.04</v>
      </c>
      <c r="AO18" s="227">
        <f t="shared" si="10"/>
        <v>142.04</v>
      </c>
      <c r="AP18" s="227">
        <f t="shared" si="10"/>
        <v>126.54</v>
      </c>
      <c r="AQ18" s="227">
        <f t="shared" si="10"/>
        <v>126.54</v>
      </c>
      <c r="AR18" s="227">
        <f t="shared" si="10"/>
        <v>157.54</v>
      </c>
      <c r="AS18" s="227">
        <f>I76</f>
        <v>212.04</v>
      </c>
      <c r="AT18" s="227">
        <f>K76</f>
        <v>305.39</v>
      </c>
      <c r="AU18" s="227">
        <f t="shared" ref="AU18:AX18" si="11">M76</f>
        <v>337.74</v>
      </c>
      <c r="AV18" s="227">
        <f t="shared" si="11"/>
        <v>271.44</v>
      </c>
      <c r="AW18" s="227">
        <f t="shared" si="11"/>
        <v>207.44</v>
      </c>
      <c r="AX18" s="227">
        <f t="shared" si="11"/>
        <v>212.54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602.9</v>
      </c>
      <c r="AN19" s="227">
        <f t="shared" ref="AN19:AR19" si="12">C92</f>
        <v>572.9</v>
      </c>
      <c r="AO19" s="227">
        <f t="shared" si="12"/>
        <v>601.29999999999995</v>
      </c>
      <c r="AP19" s="227">
        <f t="shared" si="12"/>
        <v>593.6</v>
      </c>
      <c r="AQ19" s="227">
        <f t="shared" si="12"/>
        <v>582.79999999999995</v>
      </c>
      <c r="AR19" s="227">
        <f t="shared" si="12"/>
        <v>599.70000000000005</v>
      </c>
      <c r="AS19" s="227">
        <f>I92</f>
        <v>670.5</v>
      </c>
      <c r="AT19" s="227">
        <f>K92</f>
        <v>291.70000000000005</v>
      </c>
      <c r="AU19" s="227">
        <f t="shared" ref="AU19:AX19" si="13">M92</f>
        <v>138.1</v>
      </c>
      <c r="AV19" s="227">
        <f t="shared" si="13"/>
        <v>436.6</v>
      </c>
      <c r="AW19" s="227">
        <f t="shared" si="13"/>
        <v>611.30000000000007</v>
      </c>
      <c r="AX19" s="227">
        <f t="shared" si="13"/>
        <v>677.3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0</v>
      </c>
      <c r="AU21" s="227">
        <f t="shared" ref="AU21:AX21" si="17">M98</f>
        <v>200</v>
      </c>
      <c r="AV21" s="227">
        <f t="shared" si="17"/>
        <v>200</v>
      </c>
      <c r="AW21" s="227">
        <f t="shared" si="17"/>
        <v>200</v>
      </c>
      <c r="AX21" s="227">
        <f t="shared" si="17"/>
        <v>150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7.2</v>
      </c>
      <c r="C22" s="45">
        <v>7.2</v>
      </c>
      <c r="D22" s="45">
        <v>7.2</v>
      </c>
      <c r="E22" s="45">
        <v>7.2</v>
      </c>
      <c r="F22" s="45">
        <v>7.2</v>
      </c>
      <c r="G22" s="45">
        <v>7.2</v>
      </c>
      <c r="H22" s="45">
        <v>7.2</v>
      </c>
      <c r="I22" s="45">
        <v>7.2</v>
      </c>
      <c r="J22" s="45">
        <v>7.2</v>
      </c>
      <c r="K22" s="45">
        <v>7.2</v>
      </c>
      <c r="L22" s="45">
        <v>7.2</v>
      </c>
      <c r="M22" s="45">
        <v>7.2</v>
      </c>
      <c r="N22" s="45">
        <v>7.2</v>
      </c>
      <c r="O22" s="45">
        <v>7.2</v>
      </c>
      <c r="P22" s="45">
        <v>7.2</v>
      </c>
      <c r="Q22" s="45">
        <v>7.2</v>
      </c>
      <c r="R22" s="45">
        <v>7.2</v>
      </c>
      <c r="S22" s="45">
        <v>7.2</v>
      </c>
      <c r="T22" s="45">
        <v>7.2</v>
      </c>
      <c r="U22" s="45">
        <v>7.2</v>
      </c>
      <c r="V22" s="45">
        <v>7.2</v>
      </c>
      <c r="W22" s="45">
        <v>7.2</v>
      </c>
      <c r="X22" s="45">
        <v>7.2</v>
      </c>
      <c r="Y22" s="45">
        <v>7.2</v>
      </c>
      <c r="Z22" s="45">
        <v>7.2</v>
      </c>
      <c r="AA22" s="45">
        <v>7.2</v>
      </c>
      <c r="AB22" s="45">
        <v>7.2</v>
      </c>
      <c r="AC22" s="45">
        <v>7.2</v>
      </c>
      <c r="AD22" s="45">
        <v>7.2</v>
      </c>
      <c r="AE22" s="45">
        <v>7.2</v>
      </c>
      <c r="AF22" s="45">
        <v>7.2</v>
      </c>
      <c r="AG22" s="52">
        <v>30</v>
      </c>
      <c r="AH22" s="47">
        <f t="shared" si="8"/>
        <v>7.2</v>
      </c>
      <c r="AI22" s="48">
        <f t="shared" si="9"/>
        <v>7.2</v>
      </c>
      <c r="AK22" s="50"/>
      <c r="AL22" s="229" t="s">
        <v>597</v>
      </c>
      <c r="AM22" s="228">
        <f>SUM(AM16:AM21)</f>
        <v>1241.99</v>
      </c>
      <c r="AN22" s="228">
        <f t="shared" ref="AN22:AX22" si="18">SUM(AN16:AN21)</f>
        <v>1211.99</v>
      </c>
      <c r="AO22" s="228">
        <f t="shared" si="18"/>
        <v>1240.3899999999999</v>
      </c>
      <c r="AP22" s="228">
        <f t="shared" si="18"/>
        <v>1217.19</v>
      </c>
      <c r="AQ22" s="228">
        <f t="shared" si="18"/>
        <v>1206.3899999999999</v>
      </c>
      <c r="AR22" s="228">
        <f t="shared" si="18"/>
        <v>1254.29</v>
      </c>
      <c r="AS22" s="228">
        <f t="shared" si="18"/>
        <v>1449.5900000000001</v>
      </c>
      <c r="AT22" s="228">
        <f t="shared" si="18"/>
        <v>1464.14</v>
      </c>
      <c r="AU22" s="228">
        <f t="shared" si="18"/>
        <v>1571.79</v>
      </c>
      <c r="AV22" s="228">
        <f t="shared" si="18"/>
        <v>1473.9900000000002</v>
      </c>
      <c r="AW22" s="228">
        <f t="shared" si="18"/>
        <v>1529.69</v>
      </c>
      <c r="AX22" s="228">
        <f t="shared" si="18"/>
        <v>1536.79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6.7</v>
      </c>
      <c r="C24" s="45">
        <v>6.7</v>
      </c>
      <c r="D24" s="45">
        <v>6.7</v>
      </c>
      <c r="E24" s="45">
        <v>6.7</v>
      </c>
      <c r="F24" s="45">
        <v>6.7</v>
      </c>
      <c r="G24" s="45">
        <v>6.7</v>
      </c>
      <c r="H24" s="45">
        <v>6.7</v>
      </c>
      <c r="I24" s="45">
        <v>6.7</v>
      </c>
      <c r="J24" s="45">
        <v>6.7</v>
      </c>
      <c r="K24" s="45">
        <v>6.7</v>
      </c>
      <c r="L24" s="45">
        <v>6.7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6.7</v>
      </c>
      <c r="X24" s="45">
        <v>6.7</v>
      </c>
      <c r="Y24" s="45">
        <v>6.7</v>
      </c>
      <c r="Z24" s="45">
        <v>6.7</v>
      </c>
      <c r="AA24" s="45">
        <v>6.7</v>
      </c>
      <c r="AB24" s="45">
        <v>6.7</v>
      </c>
      <c r="AC24" s="45">
        <v>6.7</v>
      </c>
      <c r="AD24" s="45">
        <v>6.7</v>
      </c>
      <c r="AE24" s="45">
        <v>6.7</v>
      </c>
      <c r="AF24" s="45">
        <v>6.7</v>
      </c>
      <c r="AG24" s="49">
        <v>28</v>
      </c>
      <c r="AH24" s="47">
        <f t="shared" si="8"/>
        <v>6.7</v>
      </c>
      <c r="AI24" s="48">
        <f t="shared" si="9"/>
        <v>6.7</v>
      </c>
      <c r="AK24" s="50"/>
      <c r="AL24" s="229" t="s">
        <v>598</v>
      </c>
      <c r="AM24" s="228">
        <f>AM22+AM23</f>
        <v>1241.99</v>
      </c>
      <c r="AN24" s="228">
        <f t="shared" ref="AN24:AX24" si="21">AN22+AN23</f>
        <v>1211.99</v>
      </c>
      <c r="AO24" s="228">
        <f t="shared" si="21"/>
        <v>1240.3899999999999</v>
      </c>
      <c r="AP24" s="228">
        <f t="shared" si="21"/>
        <v>1217.19</v>
      </c>
      <c r="AQ24" s="228">
        <f t="shared" si="21"/>
        <v>1206.3899999999999</v>
      </c>
      <c r="AR24" s="228">
        <f t="shared" si="21"/>
        <v>1254.29</v>
      </c>
      <c r="AS24" s="228">
        <f t="shared" si="21"/>
        <v>1449.5900000000001</v>
      </c>
      <c r="AT24" s="228">
        <f t="shared" si="21"/>
        <v>1464.14</v>
      </c>
      <c r="AU24" s="228">
        <f t="shared" si="21"/>
        <v>1571.79</v>
      </c>
      <c r="AV24" s="228">
        <f t="shared" si="21"/>
        <v>1473.9900000000002</v>
      </c>
      <c r="AW24" s="228">
        <f t="shared" si="21"/>
        <v>1529.69</v>
      </c>
      <c r="AX24" s="228">
        <f t="shared" si="21"/>
        <v>1536.79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5.4</v>
      </c>
      <c r="C25" s="45">
        <v>5.4</v>
      </c>
      <c r="D25" s="45">
        <v>5.4</v>
      </c>
      <c r="E25" s="45">
        <v>5.4</v>
      </c>
      <c r="F25" s="45">
        <v>5.4</v>
      </c>
      <c r="G25" s="45">
        <v>5.4</v>
      </c>
      <c r="H25" s="45">
        <v>5.4</v>
      </c>
      <c r="I25" s="45">
        <v>5.4</v>
      </c>
      <c r="J25" s="45">
        <v>5.4</v>
      </c>
      <c r="K25" s="45">
        <v>5.4</v>
      </c>
      <c r="L25" s="45">
        <v>5.4</v>
      </c>
      <c r="M25" s="45">
        <v>5.4</v>
      </c>
      <c r="N25" s="45">
        <v>5.4</v>
      </c>
      <c r="O25" s="45">
        <v>5.4</v>
      </c>
      <c r="P25" s="45">
        <v>5.4</v>
      </c>
      <c r="Q25" s="45">
        <v>5.4</v>
      </c>
      <c r="R25" s="45">
        <v>5.4</v>
      </c>
      <c r="S25" s="45">
        <v>5.4</v>
      </c>
      <c r="T25" s="45">
        <v>5.4</v>
      </c>
      <c r="U25" s="45">
        <v>5.4</v>
      </c>
      <c r="V25" s="45">
        <v>5.4</v>
      </c>
      <c r="W25" s="45">
        <v>5.4</v>
      </c>
      <c r="X25" s="45">
        <v>5.4</v>
      </c>
      <c r="Y25" s="45">
        <v>5.4</v>
      </c>
      <c r="Z25" s="45">
        <v>5.4</v>
      </c>
      <c r="AA25" s="45">
        <v>5.4</v>
      </c>
      <c r="AB25" s="45">
        <v>5.4</v>
      </c>
      <c r="AC25" s="45">
        <v>5.4</v>
      </c>
      <c r="AD25" s="45">
        <v>5.4</v>
      </c>
      <c r="AE25" s="45">
        <v>5.4</v>
      </c>
      <c r="AF25" s="45">
        <v>5.4</v>
      </c>
      <c r="AG25" s="52">
        <v>30</v>
      </c>
      <c r="AH25" s="47">
        <f t="shared" si="8"/>
        <v>5.4</v>
      </c>
      <c r="AI25" s="48">
        <f t="shared" si="9"/>
        <v>5.4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8.3000000000000007</v>
      </c>
      <c r="C26" s="45">
        <v>8.3000000000000007</v>
      </c>
      <c r="D26" s="45">
        <v>8.3000000000000007</v>
      </c>
      <c r="E26" s="45">
        <v>8.3000000000000007</v>
      </c>
      <c r="F26" s="45">
        <v>8.3000000000000007</v>
      </c>
      <c r="G26" s="45">
        <v>8.3000000000000007</v>
      </c>
      <c r="H26" s="45">
        <v>8.3000000000000007</v>
      </c>
      <c r="I26" s="45">
        <v>8.3000000000000007</v>
      </c>
      <c r="J26" s="45">
        <v>8.3000000000000007</v>
      </c>
      <c r="K26" s="45">
        <v>8.3000000000000007</v>
      </c>
      <c r="L26" s="45">
        <v>8.3000000000000007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8.3000000000000007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8.3000000000000007</v>
      </c>
      <c r="X26" s="45">
        <v>8.3000000000000007</v>
      </c>
      <c r="Y26" s="45">
        <v>8.3000000000000007</v>
      </c>
      <c r="Z26" s="45">
        <v>8.3000000000000007</v>
      </c>
      <c r="AA26" s="45">
        <v>8.3000000000000007</v>
      </c>
      <c r="AB26" s="45">
        <v>8.3000000000000007</v>
      </c>
      <c r="AC26" s="45">
        <v>8.3000000000000007</v>
      </c>
      <c r="AD26" s="45">
        <v>8.3000000000000007</v>
      </c>
      <c r="AE26" s="45">
        <v>8.3000000000000007</v>
      </c>
      <c r="AF26" s="45">
        <v>8.3000000000000007</v>
      </c>
      <c r="AG26" s="49">
        <v>25</v>
      </c>
      <c r="AH26" s="47">
        <f t="shared" si="8"/>
        <v>8.3000000000000007</v>
      </c>
      <c r="AI26" s="48">
        <f t="shared" si="9"/>
        <v>8.3000000000000007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6.8</v>
      </c>
      <c r="C29" s="45">
        <v>6.8</v>
      </c>
      <c r="D29" s="45">
        <v>6.8</v>
      </c>
      <c r="E29" s="45">
        <v>6.8</v>
      </c>
      <c r="F29" s="45">
        <v>6.8</v>
      </c>
      <c r="G29" s="45">
        <v>6.8</v>
      </c>
      <c r="H29" s="45">
        <v>6.8</v>
      </c>
      <c r="I29" s="45">
        <v>6.8</v>
      </c>
      <c r="J29" s="45">
        <v>6.8</v>
      </c>
      <c r="K29" s="45">
        <v>6.8</v>
      </c>
      <c r="L29" s="45">
        <v>6.8</v>
      </c>
      <c r="M29" s="45">
        <v>6.8</v>
      </c>
      <c r="N29" s="45">
        <v>6.8</v>
      </c>
      <c r="O29" s="45">
        <v>6.8</v>
      </c>
      <c r="P29" s="45">
        <v>6.8</v>
      </c>
      <c r="Q29" s="45">
        <v>6.8</v>
      </c>
      <c r="R29" s="45">
        <v>6.8</v>
      </c>
      <c r="S29" s="45">
        <v>6.8</v>
      </c>
      <c r="T29" s="45">
        <v>6.8</v>
      </c>
      <c r="U29" s="45">
        <v>6.8</v>
      </c>
      <c r="V29" s="45">
        <v>6.8</v>
      </c>
      <c r="W29" s="45">
        <v>6.8</v>
      </c>
      <c r="X29" s="45">
        <v>6.8</v>
      </c>
      <c r="Y29" s="45">
        <v>6.8</v>
      </c>
      <c r="Z29" s="45">
        <v>6.8</v>
      </c>
      <c r="AA29" s="45">
        <v>6.8</v>
      </c>
      <c r="AB29" s="45">
        <v>6.8</v>
      </c>
      <c r="AC29" s="45">
        <v>6.8</v>
      </c>
      <c r="AD29" s="45">
        <v>6.8</v>
      </c>
      <c r="AE29" s="45">
        <v>6.8</v>
      </c>
      <c r="AF29" s="45">
        <v>6.8</v>
      </c>
      <c r="AG29" s="49">
        <v>25</v>
      </c>
      <c r="AH29" s="47">
        <f t="shared" si="8"/>
        <v>6.8</v>
      </c>
      <c r="AI29" s="48">
        <f t="shared" si="9"/>
        <v>6.8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>
        <v>6.9</v>
      </c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6.9</v>
      </c>
      <c r="X30" s="45">
        <v>6.9</v>
      </c>
      <c r="Y30" s="45">
        <v>6.9</v>
      </c>
      <c r="Z30" s="45">
        <v>6.9</v>
      </c>
      <c r="AA30" s="45">
        <v>6.9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9.3000000000000007</v>
      </c>
      <c r="C34" s="45">
        <v>9.3000000000000007</v>
      </c>
      <c r="D34" s="45">
        <v>9.3000000000000007</v>
      </c>
      <c r="E34" s="45">
        <v>9.3000000000000007</v>
      </c>
      <c r="F34" s="45">
        <v>9.3000000000000007</v>
      </c>
      <c r="G34" s="45">
        <v>9.3000000000000007</v>
      </c>
      <c r="H34" s="45">
        <v>9.3000000000000007</v>
      </c>
      <c r="I34" s="45">
        <v>9.3000000000000007</v>
      </c>
      <c r="J34" s="45">
        <v>9.3000000000000007</v>
      </c>
      <c r="K34" s="45">
        <v>9.3000000000000007</v>
      </c>
      <c r="L34" s="45">
        <v>9.3000000000000007</v>
      </c>
      <c r="M34" s="45">
        <v>9.3000000000000007</v>
      </c>
      <c r="N34" s="45">
        <v>9.3000000000000007</v>
      </c>
      <c r="O34" s="45">
        <v>9.3000000000000007</v>
      </c>
      <c r="P34" s="45">
        <v>9.3000000000000007</v>
      </c>
      <c r="Q34" s="45">
        <v>9.3000000000000007</v>
      </c>
      <c r="R34" s="45">
        <v>9.3000000000000007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9.3000000000000007</v>
      </c>
      <c r="X34" s="45">
        <v>9.3000000000000007</v>
      </c>
      <c r="Y34" s="45">
        <v>9.3000000000000007</v>
      </c>
      <c r="Z34" s="45">
        <v>9.3000000000000007</v>
      </c>
      <c r="AA34" s="45">
        <v>9.3000000000000007</v>
      </c>
      <c r="AB34" s="45">
        <v>9.3000000000000007</v>
      </c>
      <c r="AC34" s="45">
        <v>9.3000000000000007</v>
      </c>
      <c r="AD34" s="45">
        <v>9.3000000000000007</v>
      </c>
      <c r="AE34" s="45">
        <v>9.3000000000000007</v>
      </c>
      <c r="AF34" s="45">
        <v>9.3000000000000007</v>
      </c>
      <c r="AG34" s="49">
        <v>22</v>
      </c>
      <c r="AH34" s="47">
        <f t="shared" si="8"/>
        <v>9.3000000000000007</v>
      </c>
      <c r="AI34" s="48">
        <f t="shared" si="9"/>
        <v>9.3000000000000007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4</v>
      </c>
      <c r="Q44" s="45">
        <v>4</v>
      </c>
      <c r="R44" s="45">
        <v>4</v>
      </c>
      <c r="S44" s="45">
        <v>4</v>
      </c>
      <c r="T44" s="45">
        <v>4</v>
      </c>
      <c r="U44" s="45">
        <v>4</v>
      </c>
      <c r="V44" s="45">
        <v>4</v>
      </c>
      <c r="W44" s="45">
        <v>4</v>
      </c>
      <c r="X44" s="45">
        <v>4</v>
      </c>
      <c r="Y44" s="45">
        <v>4</v>
      </c>
      <c r="Z44" s="45">
        <v>4</v>
      </c>
      <c r="AA44" s="45">
        <v>4</v>
      </c>
      <c r="AB44" s="45">
        <v>4</v>
      </c>
      <c r="AC44" s="45">
        <v>4</v>
      </c>
      <c r="AD44" s="45">
        <v>4</v>
      </c>
      <c r="AE44" s="45">
        <v>4</v>
      </c>
      <c r="AF44" s="45">
        <v>4</v>
      </c>
      <c r="AG44" s="49">
        <v>12</v>
      </c>
      <c r="AH44" s="47">
        <f t="shared" si="8"/>
        <v>4</v>
      </c>
      <c r="AI44" s="48">
        <f t="shared" si="9"/>
        <v>4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7"/>
      <c r="AA57" s="57"/>
      <c r="AB57" s="57">
        <f>4.5+10.9</f>
        <v>15.4</v>
      </c>
      <c r="AC57" s="57">
        <f>4.5+10.9</f>
        <v>15.4</v>
      </c>
      <c r="AD57" s="57">
        <f>4.5+10.9</f>
        <v>15.4</v>
      </c>
      <c r="AE57" s="57">
        <f>4.5+10.9</f>
        <v>15.4</v>
      </c>
      <c r="AF57" s="57">
        <f>4.5+10.9</f>
        <v>15.4</v>
      </c>
      <c r="AG57" s="55">
        <v>240</v>
      </c>
      <c r="AH57" s="47">
        <f t="shared" si="8"/>
        <v>15.4</v>
      </c>
      <c r="AI57" s="48">
        <f t="shared" si="9"/>
        <v>15.4</v>
      </c>
      <c r="AK57" s="50"/>
    </row>
    <row r="58" spans="1:88" ht="15.75" thickBot="1" x14ac:dyDescent="0.3">
      <c r="A58" s="59" t="s">
        <v>58</v>
      </c>
      <c r="B58" s="60">
        <f t="shared" ref="B58:C58" si="22">SUM(B11:B56)</f>
        <v>458.95000000000005</v>
      </c>
      <c r="C58" s="60">
        <f t="shared" si="22"/>
        <v>458.95000000000005</v>
      </c>
      <c r="D58" s="60">
        <f t="shared" ref="D58:AF58" si="23">SUM(D11:D56)</f>
        <v>458.95000000000005</v>
      </c>
      <c r="E58" s="60">
        <f t="shared" ref="E58:F58" si="24">SUM(E11:E56)</f>
        <v>458.95000000000005</v>
      </c>
      <c r="F58" s="60">
        <f t="shared" si="24"/>
        <v>458.95000000000005</v>
      </c>
      <c r="G58" s="60">
        <f t="shared" ref="G58:H58" si="25">SUM(G11:G56)</f>
        <v>458.95000000000005</v>
      </c>
      <c r="H58" s="60">
        <f t="shared" si="25"/>
        <v>458.95000000000005</v>
      </c>
      <c r="I58" s="60">
        <f t="shared" ref="I58:J58" si="26">SUM(I11:I56)</f>
        <v>458.95000000000005</v>
      </c>
      <c r="J58" s="60">
        <f t="shared" si="26"/>
        <v>458.95000000000005</v>
      </c>
      <c r="K58" s="60">
        <f t="shared" ref="K58:L58" si="27">SUM(K11:K56)</f>
        <v>458.95000000000005</v>
      </c>
      <c r="L58" s="60">
        <f t="shared" si="27"/>
        <v>458.95000000000005</v>
      </c>
      <c r="M58" s="60">
        <f t="shared" si="23"/>
        <v>458.95000000000005</v>
      </c>
      <c r="N58" s="60">
        <f t="shared" si="23"/>
        <v>458.95000000000005</v>
      </c>
      <c r="O58" s="60">
        <f t="shared" si="23"/>
        <v>458.95000000000005</v>
      </c>
      <c r="P58" s="60">
        <f t="shared" si="23"/>
        <v>458.95000000000005</v>
      </c>
      <c r="Q58" s="60">
        <f t="shared" si="23"/>
        <v>458.95000000000005</v>
      </c>
      <c r="R58" s="60">
        <f t="shared" si="23"/>
        <v>458.95000000000005</v>
      </c>
      <c r="S58" s="60">
        <f t="shared" ref="S58:T58" si="28">SUM(S11:S56)</f>
        <v>458.95000000000005</v>
      </c>
      <c r="T58" s="60">
        <f t="shared" si="28"/>
        <v>458.95000000000005</v>
      </c>
      <c r="U58" s="60">
        <f t="shared" ref="U58:V58" si="29">SUM(U11:U56)</f>
        <v>458.95000000000005</v>
      </c>
      <c r="V58" s="60">
        <f t="shared" si="29"/>
        <v>458.95000000000005</v>
      </c>
      <c r="W58" s="60">
        <f t="shared" ref="W58:X58" si="30">SUM(W11:W56)</f>
        <v>458.95000000000005</v>
      </c>
      <c r="X58" s="60">
        <f t="shared" si="30"/>
        <v>458.95000000000005</v>
      </c>
      <c r="Y58" s="60">
        <f t="shared" ref="Y58:Z58" si="31">SUM(Y11:Y56)</f>
        <v>458.95000000000005</v>
      </c>
      <c r="Z58" s="60">
        <f t="shared" si="31"/>
        <v>458.95000000000005</v>
      </c>
      <c r="AA58" s="60">
        <f t="shared" ref="AA58" si="32">SUM(AA11:AA56)</f>
        <v>458.95000000000005</v>
      </c>
      <c r="AB58" s="60">
        <f t="shared" si="23"/>
        <v>459.35</v>
      </c>
      <c r="AC58" s="60">
        <f t="shared" si="23"/>
        <v>459.35</v>
      </c>
      <c r="AD58" s="60">
        <f t="shared" si="23"/>
        <v>459.35</v>
      </c>
      <c r="AE58" s="60">
        <f t="shared" si="23"/>
        <v>459.35</v>
      </c>
      <c r="AF58" s="60">
        <f t="shared" si="23"/>
        <v>459.35</v>
      </c>
      <c r="AG58" s="61">
        <f>SUM(AG14:AG56)</f>
        <v>1042.4000000000001</v>
      </c>
      <c r="AH58" s="47">
        <f t="shared" si="8"/>
        <v>459.35</v>
      </c>
      <c r="AI58" s="48">
        <f t="shared" si="9"/>
        <v>458.95000000000005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70</v>
      </c>
      <c r="J59" s="45">
        <v>130</v>
      </c>
      <c r="K59" s="45">
        <v>370</v>
      </c>
      <c r="L59" s="45">
        <v>456</v>
      </c>
      <c r="M59" s="45">
        <v>400</v>
      </c>
      <c r="N59" s="63">
        <v>70</v>
      </c>
      <c r="O59" s="63">
        <v>15</v>
      </c>
      <c r="P59" s="63">
        <v>0</v>
      </c>
      <c r="Q59" s="63">
        <v>0</v>
      </c>
      <c r="R59" s="63">
        <v>50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200</v>
      </c>
      <c r="Z59" s="45">
        <v>300</v>
      </c>
      <c r="AA59" s="45">
        <v>350</v>
      </c>
      <c r="AB59" s="45">
        <v>350</v>
      </c>
      <c r="AC59" s="45">
        <v>200</v>
      </c>
      <c r="AD59" s="45">
        <v>70</v>
      </c>
      <c r="AE59" s="45">
        <v>15</v>
      </c>
      <c r="AF59" s="45">
        <v>0</v>
      </c>
      <c r="AG59" s="52">
        <v>456</v>
      </c>
      <c r="AH59" s="47">
        <f t="shared" si="8"/>
        <v>456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11.1</v>
      </c>
      <c r="C61" s="67">
        <v>11.1</v>
      </c>
      <c r="D61" s="67">
        <v>11.1</v>
      </c>
      <c r="E61" s="67">
        <v>11.1</v>
      </c>
      <c r="F61" s="67">
        <v>11.1</v>
      </c>
      <c r="G61" s="67">
        <v>11.1</v>
      </c>
      <c r="H61" s="67">
        <v>11.1</v>
      </c>
      <c r="I61" s="67">
        <v>11.1</v>
      </c>
      <c r="J61" s="67">
        <v>11.1</v>
      </c>
      <c r="K61" s="67">
        <v>11.1</v>
      </c>
      <c r="L61" s="67">
        <v>10.1</v>
      </c>
      <c r="M61" s="67">
        <v>10</v>
      </c>
      <c r="N61" s="67">
        <v>10</v>
      </c>
      <c r="O61" s="67">
        <v>10</v>
      </c>
      <c r="P61" s="67">
        <v>11</v>
      </c>
      <c r="Q61" s="67">
        <v>11</v>
      </c>
      <c r="R61" s="67">
        <v>11</v>
      </c>
      <c r="S61" s="67">
        <v>11</v>
      </c>
      <c r="T61" s="67">
        <v>11</v>
      </c>
      <c r="U61" s="67">
        <v>11</v>
      </c>
      <c r="V61" s="67">
        <v>11</v>
      </c>
      <c r="W61" s="67">
        <v>9</v>
      </c>
      <c r="X61" s="67">
        <v>9</v>
      </c>
      <c r="Y61" s="67">
        <v>9</v>
      </c>
      <c r="Z61" s="67">
        <v>11.1</v>
      </c>
      <c r="AA61" s="67">
        <v>11.1</v>
      </c>
      <c r="AB61" s="67">
        <v>11.1</v>
      </c>
      <c r="AC61" s="67">
        <v>11.1</v>
      </c>
      <c r="AD61" s="67">
        <v>11.1</v>
      </c>
      <c r="AE61" s="67">
        <v>8.1999999999999993</v>
      </c>
      <c r="AF61" s="67">
        <v>8.1999999999999993</v>
      </c>
      <c r="AG61" s="68">
        <v>22.1</v>
      </c>
      <c r="AH61" s="47">
        <f t="shared" si="8"/>
        <v>11.1</v>
      </c>
      <c r="AI61" s="48">
        <f t="shared" si="9"/>
        <v>8.1999999999999993</v>
      </c>
      <c r="AK61" s="50"/>
    </row>
    <row r="62" spans="1:88" ht="15.75" thickBot="1" x14ac:dyDescent="0.3">
      <c r="A62" s="69" t="s">
        <v>62</v>
      </c>
      <c r="B62" s="60">
        <f t="shared" ref="B62:C62" si="33">SUM(B59:B61)</f>
        <v>38.1</v>
      </c>
      <c r="C62" s="60">
        <f t="shared" si="33"/>
        <v>38.1</v>
      </c>
      <c r="D62" s="60">
        <f t="shared" ref="D62:E62" si="34">SUM(D59:D61)</f>
        <v>38.1</v>
      </c>
      <c r="E62" s="60">
        <f t="shared" si="34"/>
        <v>38.1</v>
      </c>
      <c r="F62" s="60">
        <f t="shared" ref="F62:G62" si="35">SUM(F59:F61)</f>
        <v>38.1</v>
      </c>
      <c r="G62" s="60">
        <f t="shared" si="35"/>
        <v>38.1</v>
      </c>
      <c r="H62" s="60">
        <f t="shared" ref="H62:I62" si="36">SUM(H59:H61)</f>
        <v>38.1</v>
      </c>
      <c r="I62" s="60">
        <f t="shared" si="36"/>
        <v>108.1</v>
      </c>
      <c r="J62" s="60">
        <f t="shared" ref="J62:K62" si="37">SUM(J59:J61)</f>
        <v>168.1</v>
      </c>
      <c r="K62" s="60">
        <f t="shared" si="37"/>
        <v>408.1</v>
      </c>
      <c r="L62" s="60">
        <f t="shared" ref="L62" si="38">SUM(L59:L61)</f>
        <v>493.1</v>
      </c>
      <c r="M62" s="60">
        <f t="shared" ref="M62:AG62" si="39">SUM(M59:M61)</f>
        <v>437</v>
      </c>
      <c r="N62" s="60">
        <f t="shared" si="39"/>
        <v>107</v>
      </c>
      <c r="O62" s="60">
        <f t="shared" si="39"/>
        <v>52</v>
      </c>
      <c r="P62" s="60">
        <f t="shared" si="39"/>
        <v>38</v>
      </c>
      <c r="Q62" s="60">
        <f t="shared" si="39"/>
        <v>38</v>
      </c>
      <c r="R62" s="60">
        <f t="shared" si="39"/>
        <v>88</v>
      </c>
      <c r="S62" s="60">
        <f t="shared" ref="S62:T62" si="40">SUM(S59:S61)</f>
        <v>38</v>
      </c>
      <c r="T62" s="60">
        <f t="shared" si="40"/>
        <v>38</v>
      </c>
      <c r="U62" s="60">
        <f t="shared" ref="U62:V62" si="41">SUM(U59:U61)</f>
        <v>38</v>
      </c>
      <c r="V62" s="60">
        <f t="shared" si="41"/>
        <v>38</v>
      </c>
      <c r="W62" s="60">
        <f t="shared" ref="W62:X62" si="42">SUM(W59:W61)</f>
        <v>36</v>
      </c>
      <c r="X62" s="60">
        <f t="shared" si="42"/>
        <v>36</v>
      </c>
      <c r="Y62" s="60">
        <f t="shared" ref="Y62:Z62" si="43">SUM(Y59:Y61)</f>
        <v>236</v>
      </c>
      <c r="Z62" s="60">
        <f t="shared" si="43"/>
        <v>338.1</v>
      </c>
      <c r="AA62" s="60">
        <f t="shared" ref="AA62" si="44">SUM(AA59:AA61)</f>
        <v>388.1</v>
      </c>
      <c r="AB62" s="60">
        <f t="shared" si="39"/>
        <v>388.1</v>
      </c>
      <c r="AC62" s="60">
        <f t="shared" si="39"/>
        <v>238.1</v>
      </c>
      <c r="AD62" s="60">
        <f t="shared" si="39"/>
        <v>108.1</v>
      </c>
      <c r="AE62" s="60">
        <f t="shared" si="39"/>
        <v>50.2</v>
      </c>
      <c r="AF62" s="60">
        <f t="shared" si="39"/>
        <v>35.200000000000003</v>
      </c>
      <c r="AG62" s="61">
        <f t="shared" si="39"/>
        <v>538.1</v>
      </c>
      <c r="AH62" s="47">
        <f t="shared" si="8"/>
        <v>493.1</v>
      </c>
      <c r="AI62" s="48">
        <f t="shared" si="9"/>
        <v>35.200000000000003</v>
      </c>
      <c r="AK62" s="50"/>
    </row>
    <row r="63" spans="1:88" x14ac:dyDescent="0.25">
      <c r="A63" s="44" t="s">
        <v>63</v>
      </c>
      <c r="B63" s="45">
        <v>30</v>
      </c>
      <c r="C63" s="45">
        <v>30</v>
      </c>
      <c r="D63" s="45">
        <v>30</v>
      </c>
      <c r="E63" s="45">
        <v>30</v>
      </c>
      <c r="F63" s="45">
        <v>30</v>
      </c>
      <c r="G63" s="45">
        <v>49</v>
      </c>
      <c r="H63" s="45">
        <v>49</v>
      </c>
      <c r="I63" s="45">
        <v>81.5</v>
      </c>
      <c r="J63" s="45">
        <v>81.2</v>
      </c>
      <c r="K63" s="45">
        <v>120.25</v>
      </c>
      <c r="L63" s="45">
        <v>140.5</v>
      </c>
      <c r="M63" s="45">
        <v>133</v>
      </c>
      <c r="N63" s="45">
        <v>81</v>
      </c>
      <c r="O63" s="45">
        <v>61</v>
      </c>
      <c r="P63" s="45">
        <v>60.6</v>
      </c>
      <c r="Q63" s="45">
        <v>30</v>
      </c>
      <c r="R63" s="45">
        <v>30</v>
      </c>
      <c r="S63" s="45">
        <v>30</v>
      </c>
      <c r="T63" s="45">
        <v>30</v>
      </c>
      <c r="U63" s="45">
        <v>30</v>
      </c>
      <c r="V63" s="45">
        <v>30</v>
      </c>
      <c r="W63" s="45">
        <v>49.4</v>
      </c>
      <c r="X63" s="45">
        <v>83.8</v>
      </c>
      <c r="Y63" s="45">
        <v>134.5</v>
      </c>
      <c r="Z63" s="45">
        <v>130</v>
      </c>
      <c r="AA63" s="45">
        <v>100.9</v>
      </c>
      <c r="AB63" s="45">
        <v>60</v>
      </c>
      <c r="AC63" s="45">
        <v>60</v>
      </c>
      <c r="AD63" s="45">
        <v>48.8</v>
      </c>
      <c r="AE63" s="45">
        <v>30.5</v>
      </c>
      <c r="AF63" s="45">
        <v>0</v>
      </c>
      <c r="AG63" s="52">
        <v>144</v>
      </c>
      <c r="AH63" s="47">
        <f t="shared" si="8"/>
        <v>140.5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24</v>
      </c>
      <c r="C64" s="65">
        <v>24</v>
      </c>
      <c r="D64" s="65">
        <v>24</v>
      </c>
      <c r="E64" s="65">
        <v>22.8</v>
      </c>
      <c r="F64" s="65">
        <v>22.8</v>
      </c>
      <c r="G64" s="65">
        <v>34.799999999999997</v>
      </c>
      <c r="H64" s="65">
        <v>34.799999999999997</v>
      </c>
      <c r="I64" s="65">
        <v>25</v>
      </c>
      <c r="J64" s="65">
        <v>24.9</v>
      </c>
      <c r="K64" s="65">
        <v>34.799999999999997</v>
      </c>
      <c r="L64" s="65">
        <v>34.799999999999997</v>
      </c>
      <c r="M64" s="65">
        <v>34.799999999999997</v>
      </c>
      <c r="N64" s="65">
        <v>35</v>
      </c>
      <c r="O64" s="65">
        <v>29</v>
      </c>
      <c r="P64" s="65">
        <v>24.3</v>
      </c>
      <c r="Q64" s="65">
        <v>24.3</v>
      </c>
      <c r="R64" s="65">
        <v>24.3</v>
      </c>
      <c r="S64" s="65">
        <v>35</v>
      </c>
      <c r="T64" s="65">
        <v>35</v>
      </c>
      <c r="U64" s="65">
        <v>35</v>
      </c>
      <c r="V64" s="65">
        <v>35</v>
      </c>
      <c r="W64" s="65">
        <v>23.7</v>
      </c>
      <c r="X64" s="65">
        <v>23.7</v>
      </c>
      <c r="Y64" s="65">
        <v>23.7</v>
      </c>
      <c r="Z64" s="45">
        <v>27.3</v>
      </c>
      <c r="AA64" s="45">
        <v>22.5</v>
      </c>
      <c r="AB64" s="45">
        <v>22.3</v>
      </c>
      <c r="AC64" s="45">
        <v>22.3</v>
      </c>
      <c r="AD64" s="45">
        <v>22.4</v>
      </c>
      <c r="AE64" s="45">
        <v>22.5</v>
      </c>
      <c r="AF64" s="45">
        <v>0</v>
      </c>
      <c r="AG64" s="55">
        <v>70</v>
      </c>
      <c r="AH64" s="47">
        <f t="shared" si="8"/>
        <v>35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16.600000000000001</v>
      </c>
      <c r="C65" s="65">
        <v>16.600000000000001</v>
      </c>
      <c r="D65" s="65">
        <v>16.600000000000001</v>
      </c>
      <c r="E65" s="65">
        <v>0</v>
      </c>
      <c r="F65" s="65">
        <v>0</v>
      </c>
      <c r="G65" s="65">
        <v>0</v>
      </c>
      <c r="H65" s="65">
        <v>22.4</v>
      </c>
      <c r="I65" s="65">
        <v>16.8</v>
      </c>
      <c r="J65" s="65">
        <v>34.200000000000003</v>
      </c>
      <c r="K65" s="65">
        <v>45.6</v>
      </c>
      <c r="L65" s="65">
        <v>66.8</v>
      </c>
      <c r="M65" s="65">
        <v>66.8</v>
      </c>
      <c r="N65" s="65">
        <v>66</v>
      </c>
      <c r="O65" s="65">
        <v>33</v>
      </c>
      <c r="P65" s="65">
        <v>34</v>
      </c>
      <c r="Q65" s="65">
        <v>33.4</v>
      </c>
      <c r="R65" s="65">
        <v>33.4</v>
      </c>
      <c r="S65" s="65">
        <v>22.1</v>
      </c>
      <c r="T65" s="65">
        <v>22.1</v>
      </c>
      <c r="U65" s="65">
        <v>22.1</v>
      </c>
      <c r="V65" s="65">
        <v>22.1</v>
      </c>
      <c r="W65" s="65">
        <v>44.3</v>
      </c>
      <c r="X65" s="65">
        <v>45.9</v>
      </c>
      <c r="Y65" s="65">
        <v>68</v>
      </c>
      <c r="Z65" s="45">
        <v>68.599999999999994</v>
      </c>
      <c r="AA65" s="45">
        <v>68.400000000000006</v>
      </c>
      <c r="AB65" s="45">
        <v>68.400000000000006</v>
      </c>
      <c r="AC65" s="45">
        <v>68.400000000000006</v>
      </c>
      <c r="AD65" s="45">
        <v>67.900000000000006</v>
      </c>
      <c r="AE65" s="45">
        <v>45.3</v>
      </c>
      <c r="AF65" s="45">
        <v>16.5</v>
      </c>
      <c r="AG65" s="55">
        <v>69</v>
      </c>
      <c r="AH65" s="47">
        <f t="shared" si="8"/>
        <v>68.599999999999994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32</v>
      </c>
      <c r="C66" s="65">
        <v>32</v>
      </c>
      <c r="D66" s="65">
        <v>32</v>
      </c>
      <c r="E66" s="65">
        <v>34.299999999999997</v>
      </c>
      <c r="F66" s="65">
        <v>34.299999999999997</v>
      </c>
      <c r="G66" s="65">
        <v>34.299999999999997</v>
      </c>
      <c r="H66" s="65">
        <v>34.299999999999997</v>
      </c>
      <c r="I66" s="65">
        <v>34.299999999999997</v>
      </c>
      <c r="J66" s="65">
        <v>36.5</v>
      </c>
      <c r="K66" s="65">
        <v>36.5</v>
      </c>
      <c r="L66" s="65">
        <v>36.5</v>
      </c>
      <c r="M66" s="65">
        <v>36.5</v>
      </c>
      <c r="N66" s="65">
        <v>35</v>
      </c>
      <c r="O66" s="65">
        <v>35</v>
      </c>
      <c r="P66" s="65">
        <v>35.299999999999997</v>
      </c>
      <c r="Q66" s="65">
        <v>35.299999999999997</v>
      </c>
      <c r="R66" s="65">
        <v>35.299999999999997</v>
      </c>
      <c r="S66" s="65">
        <v>35.299999999999997</v>
      </c>
      <c r="T66" s="65">
        <v>35.299999999999997</v>
      </c>
      <c r="U66" s="65">
        <v>35.299999999999997</v>
      </c>
      <c r="V66" s="65">
        <v>35.299999999999997</v>
      </c>
      <c r="W66" s="65">
        <v>35.299999999999997</v>
      </c>
      <c r="X66" s="65">
        <v>35.299999999999997</v>
      </c>
      <c r="Y66" s="65">
        <v>35.299999999999997</v>
      </c>
      <c r="Z66" s="45">
        <v>35.299999999999997</v>
      </c>
      <c r="AA66" s="45">
        <v>35.299999999999997</v>
      </c>
      <c r="AB66" s="45">
        <v>33.299999999999997</v>
      </c>
      <c r="AC66" s="45">
        <v>33.299999999999997</v>
      </c>
      <c r="AD66" s="45">
        <v>33.5</v>
      </c>
      <c r="AE66" s="45">
        <v>35.299999999999997</v>
      </c>
      <c r="AF66" s="45">
        <v>35.5</v>
      </c>
      <c r="AG66" s="55">
        <v>60</v>
      </c>
      <c r="AH66" s="47">
        <f t="shared" si="8"/>
        <v>36.5</v>
      </c>
      <c r="AI66" s="48">
        <f t="shared" si="9"/>
        <v>32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15</v>
      </c>
      <c r="I67" s="45">
        <v>15</v>
      </c>
      <c r="J67" s="45">
        <v>28.8</v>
      </c>
      <c r="K67" s="45">
        <v>28.8</v>
      </c>
      <c r="L67" s="45">
        <v>23.5</v>
      </c>
      <c r="M67" s="45">
        <v>23.5</v>
      </c>
      <c r="N67" s="65">
        <v>10</v>
      </c>
      <c r="O67" s="65">
        <v>0</v>
      </c>
      <c r="P67" s="65">
        <v>0</v>
      </c>
      <c r="Q67" s="65">
        <v>0</v>
      </c>
      <c r="R67" s="65">
        <v>0</v>
      </c>
      <c r="S67" s="65">
        <v>14.7</v>
      </c>
      <c r="T67" s="65">
        <v>14.7</v>
      </c>
      <c r="U67" s="65">
        <v>14.7</v>
      </c>
      <c r="V67" s="65">
        <v>14.7</v>
      </c>
      <c r="W67" s="65">
        <v>10.4</v>
      </c>
      <c r="X67" s="65">
        <v>13.98</v>
      </c>
      <c r="Y67" s="65">
        <v>23</v>
      </c>
      <c r="Z67" s="45">
        <v>28.2</v>
      </c>
      <c r="AA67" s="45">
        <v>28</v>
      </c>
      <c r="AB67" s="45">
        <v>27.7</v>
      </c>
      <c r="AC67" s="45">
        <v>23.1</v>
      </c>
      <c r="AD67" s="45">
        <v>14.5</v>
      </c>
      <c r="AE67" s="45">
        <v>9.8000000000000007</v>
      </c>
      <c r="AF67" s="45">
        <v>9.9</v>
      </c>
      <c r="AG67" s="55">
        <v>30</v>
      </c>
      <c r="AH67" s="47">
        <f t="shared" si="8"/>
        <v>28.8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3.7</v>
      </c>
      <c r="M68" s="45">
        <v>3.7</v>
      </c>
      <c r="N68" s="45">
        <v>5</v>
      </c>
      <c r="O68" s="45">
        <v>10</v>
      </c>
      <c r="P68" s="65">
        <v>18.899999999999999</v>
      </c>
      <c r="Q68" s="65">
        <v>18.899999999999999</v>
      </c>
      <c r="R68" s="65">
        <v>18.899999999999999</v>
      </c>
      <c r="S68" s="65">
        <v>17.100000000000001</v>
      </c>
      <c r="T68" s="65">
        <v>13.5</v>
      </c>
      <c r="U68" s="65">
        <v>8.5</v>
      </c>
      <c r="V68" s="65">
        <v>1.6</v>
      </c>
      <c r="W68" s="65">
        <v>0.6</v>
      </c>
      <c r="X68" s="65">
        <v>0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18.899999999999999</v>
      </c>
      <c r="AI68" s="48">
        <f t="shared" si="9"/>
        <v>0</v>
      </c>
      <c r="AK68" s="50"/>
      <c r="AY68" s="1" t="s">
        <v>377</v>
      </c>
      <c r="AZ68" s="233">
        <f>ROUND(C81,0)</f>
        <v>55</v>
      </c>
      <c r="BA68" s="232">
        <f t="shared" ref="BA68:BD72" si="45">D81</f>
        <v>62</v>
      </c>
      <c r="BB68" s="232">
        <f t="shared" si="45"/>
        <v>54.6</v>
      </c>
      <c r="BC68" s="232">
        <f t="shared" si="45"/>
        <v>55.7</v>
      </c>
      <c r="BD68" s="232">
        <f t="shared" si="45"/>
        <v>44.6</v>
      </c>
      <c r="BE68" s="233">
        <f>I81</f>
        <v>48.9</v>
      </c>
      <c r="BF68" s="233">
        <f>K81</f>
        <v>57.1</v>
      </c>
      <c r="BG68" s="233">
        <f t="shared" ref="BG68:BP72" si="46">M81</f>
        <v>62.3</v>
      </c>
      <c r="BH68" s="233">
        <f t="shared" si="46"/>
        <v>56.6</v>
      </c>
      <c r="BI68" s="233">
        <f t="shared" si="46"/>
        <v>66</v>
      </c>
      <c r="BJ68" s="233">
        <f t="shared" si="46"/>
        <v>65</v>
      </c>
      <c r="BK68" s="233">
        <f t="shared" si="46"/>
        <v>54.6</v>
      </c>
      <c r="BL68" s="233">
        <f t="shared" si="46"/>
        <v>52.4</v>
      </c>
      <c r="BM68" s="233">
        <f t="shared" si="46"/>
        <v>65.5</v>
      </c>
      <c r="BN68" s="233">
        <f t="shared" si="46"/>
        <v>60.8</v>
      </c>
      <c r="BO68" s="233">
        <f t="shared" si="46"/>
        <v>66</v>
      </c>
      <c r="BP68" s="233">
        <f t="shared" si="46"/>
        <v>45.2</v>
      </c>
      <c r="BQ68" s="233">
        <f>X81</f>
        <v>67.599999999999994</v>
      </c>
      <c r="BR68" s="233">
        <f>Z81</f>
        <v>70.599999999999994</v>
      </c>
      <c r="BS68" s="232">
        <f>AB81</f>
        <v>66.8</v>
      </c>
      <c r="BT68" s="232">
        <f>AD81</f>
        <v>65.400000000000006</v>
      </c>
      <c r="BU68" s="232">
        <f>AE81</f>
        <v>59.9</v>
      </c>
      <c r="BV68" s="232">
        <f>AF81</f>
        <v>67</v>
      </c>
      <c r="BW68" s="232">
        <f>B81</f>
        <v>54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45"/>
        <v>0</v>
      </c>
      <c r="BB69" s="232">
        <f t="shared" si="45"/>
        <v>0</v>
      </c>
      <c r="BC69" s="232">
        <f t="shared" si="45"/>
        <v>0</v>
      </c>
      <c r="BD69" s="232">
        <f t="shared" si="45"/>
        <v>0</v>
      </c>
      <c r="BE69" s="233">
        <f t="shared" ref="BE69:BE72" si="47">I82</f>
        <v>0</v>
      </c>
      <c r="BF69" s="233">
        <f t="shared" ref="BF69:BF72" si="48">K82</f>
        <v>0</v>
      </c>
      <c r="BG69" s="233">
        <f t="shared" si="46"/>
        <v>0</v>
      </c>
      <c r="BH69" s="233">
        <f t="shared" si="46"/>
        <v>0</v>
      </c>
      <c r="BI69" s="233">
        <f t="shared" si="46"/>
        <v>0</v>
      </c>
      <c r="BJ69" s="233">
        <f t="shared" si="46"/>
        <v>0</v>
      </c>
      <c r="BK69" s="233">
        <f t="shared" si="46"/>
        <v>0</v>
      </c>
      <c r="BL69" s="233">
        <f t="shared" si="46"/>
        <v>0</v>
      </c>
      <c r="BM69" s="233">
        <f t="shared" si="46"/>
        <v>0</v>
      </c>
      <c r="BN69" s="233">
        <f t="shared" si="46"/>
        <v>0</v>
      </c>
      <c r="BO69" s="233">
        <f t="shared" si="46"/>
        <v>0</v>
      </c>
      <c r="BP69" s="233">
        <f t="shared" si="46"/>
        <v>0</v>
      </c>
      <c r="BQ69" s="233">
        <f t="shared" ref="BQ69:BQ72" si="49">X82</f>
        <v>0</v>
      </c>
      <c r="BR69" s="233">
        <f t="shared" ref="BR69:BR72" si="50">Z82</f>
        <v>0</v>
      </c>
      <c r="BS69" s="232">
        <f t="shared" ref="BS69:BS72" si="51">AB82</f>
        <v>0</v>
      </c>
      <c r="BT69" s="232">
        <f t="shared" ref="BT69:BV72" si="52">AD82</f>
        <v>0</v>
      </c>
      <c r="BU69" s="232">
        <f t="shared" si="52"/>
        <v>0</v>
      </c>
      <c r="BV69" s="232">
        <f t="shared" si="52"/>
        <v>0</v>
      </c>
      <c r="BW69" s="232">
        <f t="shared" ref="BW69:BW72" si="53">B82</f>
        <v>0</v>
      </c>
    </row>
    <row r="70" spans="1:75" x14ac:dyDescent="0.25">
      <c r="A70" s="54" t="s">
        <v>70</v>
      </c>
      <c r="B70" s="65">
        <v>2</v>
      </c>
      <c r="C70" s="65">
        <v>2</v>
      </c>
      <c r="D70" s="65">
        <v>2</v>
      </c>
      <c r="E70" s="65">
        <v>2</v>
      </c>
      <c r="F70" s="65">
        <v>2</v>
      </c>
      <c r="G70" s="65">
        <v>2</v>
      </c>
      <c r="H70" s="65">
        <v>2</v>
      </c>
      <c r="I70" s="65">
        <v>2</v>
      </c>
      <c r="J70" s="65">
        <v>2</v>
      </c>
      <c r="K70" s="65">
        <v>2</v>
      </c>
      <c r="L70" s="65">
        <v>2</v>
      </c>
      <c r="M70" s="65">
        <v>2</v>
      </c>
      <c r="N70" s="65">
        <v>2</v>
      </c>
      <c r="O70" s="65">
        <v>2</v>
      </c>
      <c r="P70" s="65">
        <v>2</v>
      </c>
      <c r="Q70" s="65">
        <v>2</v>
      </c>
      <c r="R70" s="65">
        <v>2</v>
      </c>
      <c r="S70" s="65">
        <v>2</v>
      </c>
      <c r="T70" s="65">
        <v>2</v>
      </c>
      <c r="U70" s="65">
        <v>2</v>
      </c>
      <c r="V70" s="65">
        <v>2</v>
      </c>
      <c r="W70" s="65">
        <v>2</v>
      </c>
      <c r="X70" s="65">
        <v>2</v>
      </c>
      <c r="Y70" s="65">
        <v>2</v>
      </c>
      <c r="Z70" s="65">
        <v>2</v>
      </c>
      <c r="AA70" s="65">
        <v>2</v>
      </c>
      <c r="AB70" s="65">
        <v>2</v>
      </c>
      <c r="AC70" s="65">
        <v>2</v>
      </c>
      <c r="AD70" s="65">
        <v>2</v>
      </c>
      <c r="AE70" s="65">
        <v>2</v>
      </c>
      <c r="AF70" s="65">
        <v>2</v>
      </c>
      <c r="AG70" s="55">
        <v>15</v>
      </c>
      <c r="AH70" s="47">
        <f t="shared" si="8"/>
        <v>2</v>
      </c>
      <c r="AI70" s="48">
        <f t="shared" si="9"/>
        <v>2</v>
      </c>
      <c r="AK70" s="50"/>
      <c r="AL70" s="70"/>
      <c r="AO70" s="70"/>
      <c r="AY70" s="1" t="s">
        <v>605</v>
      </c>
      <c r="AZ70" s="233">
        <f>ROUND(C83,0)</f>
        <v>412</v>
      </c>
      <c r="BA70" s="232">
        <f t="shared" si="45"/>
        <v>416</v>
      </c>
      <c r="BB70" s="232">
        <f t="shared" si="45"/>
        <v>414.6</v>
      </c>
      <c r="BC70" s="232">
        <f t="shared" si="45"/>
        <v>408.4</v>
      </c>
      <c r="BD70" s="232">
        <f t="shared" si="45"/>
        <v>438.2</v>
      </c>
      <c r="BE70" s="233">
        <f t="shared" si="47"/>
        <v>405.8</v>
      </c>
      <c r="BF70" s="233">
        <f t="shared" si="48"/>
        <v>56.6</v>
      </c>
      <c r="BG70" s="233">
        <f t="shared" si="46"/>
        <v>8</v>
      </c>
      <c r="BH70" s="233">
        <f t="shared" si="46"/>
        <v>274</v>
      </c>
      <c r="BI70" s="233">
        <f t="shared" si="46"/>
        <v>436</v>
      </c>
      <c r="BJ70" s="233">
        <f t="shared" si="46"/>
        <v>425</v>
      </c>
      <c r="BK70" s="233">
        <f t="shared" si="46"/>
        <v>450</v>
      </c>
      <c r="BL70" s="233">
        <f t="shared" si="46"/>
        <v>473</v>
      </c>
      <c r="BM70" s="233">
        <f t="shared" si="46"/>
        <v>486.4</v>
      </c>
      <c r="BN70" s="233">
        <f t="shared" si="46"/>
        <v>510.4</v>
      </c>
      <c r="BO70" s="233">
        <f t="shared" si="46"/>
        <v>542.20000000000005</v>
      </c>
      <c r="BP70" s="233">
        <f t="shared" si="46"/>
        <v>514.29999999999995</v>
      </c>
      <c r="BQ70" s="233">
        <f t="shared" si="49"/>
        <v>449.9</v>
      </c>
      <c r="BR70" s="233">
        <f t="shared" si="50"/>
        <v>284.8</v>
      </c>
      <c r="BS70" s="232">
        <f t="shared" si="51"/>
        <v>189</v>
      </c>
      <c r="BT70" s="232">
        <f t="shared" si="52"/>
        <v>404.6</v>
      </c>
      <c r="BU70" s="232">
        <f t="shared" si="52"/>
        <v>376.5</v>
      </c>
      <c r="BV70" s="232">
        <f t="shared" si="52"/>
        <v>411.1</v>
      </c>
      <c r="BW70" s="232">
        <f t="shared" si="53"/>
        <v>425</v>
      </c>
    </row>
    <row r="71" spans="1:75" s="70" customFormat="1" x14ac:dyDescent="0.25">
      <c r="A71" s="54" t="s">
        <v>71</v>
      </c>
      <c r="B71" s="65">
        <v>9.3000000000000007</v>
      </c>
      <c r="C71" s="65">
        <v>9.3000000000000007</v>
      </c>
      <c r="D71" s="65">
        <v>9.3000000000000007</v>
      </c>
      <c r="E71" s="65">
        <v>9.3000000000000007</v>
      </c>
      <c r="F71" s="65">
        <v>9.3000000000000007</v>
      </c>
      <c r="G71" s="65">
        <v>9.3000000000000007</v>
      </c>
      <c r="H71" s="65">
        <v>9.3000000000000007</v>
      </c>
      <c r="I71" s="65">
        <v>9.3000000000000007</v>
      </c>
      <c r="J71" s="65">
        <v>9.3000000000000007</v>
      </c>
      <c r="K71" s="65">
        <v>9.3000000000000007</v>
      </c>
      <c r="L71" s="65">
        <v>9.3000000000000007</v>
      </c>
      <c r="M71" s="65">
        <v>9.3000000000000007</v>
      </c>
      <c r="N71" s="65">
        <v>9.3000000000000007</v>
      </c>
      <c r="O71" s="65">
        <v>9.3000000000000007</v>
      </c>
      <c r="P71" s="65">
        <v>9.3000000000000007</v>
      </c>
      <c r="Q71" s="65">
        <v>9.3000000000000007</v>
      </c>
      <c r="R71" s="65">
        <v>9.3000000000000007</v>
      </c>
      <c r="S71" s="65">
        <v>9.3000000000000007</v>
      </c>
      <c r="T71" s="65">
        <v>9.3000000000000007</v>
      </c>
      <c r="U71" s="65">
        <v>9.3000000000000007</v>
      </c>
      <c r="V71" s="65">
        <v>9.3000000000000007</v>
      </c>
      <c r="W71" s="65">
        <v>9.3000000000000007</v>
      </c>
      <c r="X71" s="65">
        <v>9.3000000000000007</v>
      </c>
      <c r="Y71" s="65">
        <v>9.3000000000000007</v>
      </c>
      <c r="Z71" s="65">
        <v>9.3000000000000007</v>
      </c>
      <c r="AA71" s="65">
        <v>9.3000000000000007</v>
      </c>
      <c r="AB71" s="65">
        <v>8.1</v>
      </c>
      <c r="AC71" s="65">
        <v>8.1</v>
      </c>
      <c r="AD71" s="65">
        <v>8.1</v>
      </c>
      <c r="AE71" s="65">
        <v>8.1</v>
      </c>
      <c r="AF71" s="65">
        <v>8.1</v>
      </c>
      <c r="AG71" s="55">
        <v>14.1</v>
      </c>
      <c r="AH71" s="47">
        <f t="shared" si="8"/>
        <v>9.3000000000000007</v>
      </c>
      <c r="AI71" s="48">
        <f t="shared" si="9"/>
        <v>8.1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4</v>
      </c>
      <c r="BA71" s="232">
        <f t="shared" si="45"/>
        <v>3.3</v>
      </c>
      <c r="BB71" s="232">
        <f t="shared" si="45"/>
        <v>3.8</v>
      </c>
      <c r="BC71" s="232">
        <f t="shared" si="45"/>
        <v>3.3</v>
      </c>
      <c r="BD71" s="232">
        <f t="shared" si="45"/>
        <v>3.7</v>
      </c>
      <c r="BE71" s="233">
        <f t="shared" si="47"/>
        <v>32.9</v>
      </c>
      <c r="BF71" s="233">
        <f t="shared" si="48"/>
        <v>33.4</v>
      </c>
      <c r="BG71" s="233">
        <f t="shared" si="46"/>
        <v>4.2</v>
      </c>
      <c r="BH71" s="233">
        <f t="shared" si="46"/>
        <v>30</v>
      </c>
      <c r="BI71" s="233">
        <f t="shared" si="46"/>
        <v>33.700000000000003</v>
      </c>
      <c r="BJ71" s="233">
        <f t="shared" si="46"/>
        <v>34.5</v>
      </c>
      <c r="BK71" s="233">
        <f t="shared" si="46"/>
        <v>45.7</v>
      </c>
      <c r="BL71" s="233">
        <f t="shared" si="46"/>
        <v>27</v>
      </c>
      <c r="BM71" s="233">
        <f t="shared" si="46"/>
        <v>40.700000000000003</v>
      </c>
      <c r="BN71" s="233">
        <f t="shared" si="46"/>
        <v>10.3</v>
      </c>
      <c r="BO71" s="233">
        <f t="shared" si="46"/>
        <v>45.6</v>
      </c>
      <c r="BP71" s="233">
        <f t="shared" si="46"/>
        <v>26.7</v>
      </c>
      <c r="BQ71" s="233">
        <f t="shared" si="49"/>
        <v>3</v>
      </c>
      <c r="BR71" s="233">
        <f t="shared" si="50"/>
        <v>4.7</v>
      </c>
      <c r="BS71" s="232">
        <f t="shared" si="51"/>
        <v>4</v>
      </c>
      <c r="BT71" s="232">
        <f t="shared" si="52"/>
        <v>54.7</v>
      </c>
      <c r="BU71" s="232">
        <f t="shared" si="52"/>
        <v>49.3</v>
      </c>
      <c r="BV71" s="232">
        <f t="shared" si="52"/>
        <v>55.2</v>
      </c>
      <c r="BW71" s="232">
        <f t="shared" si="53"/>
        <v>3.9</v>
      </c>
    </row>
    <row r="72" spans="1:75" x14ac:dyDescent="0.25">
      <c r="A72" s="71" t="s">
        <v>72</v>
      </c>
      <c r="B72" s="65">
        <v>3.4</v>
      </c>
      <c r="C72" s="65">
        <v>3.4</v>
      </c>
      <c r="D72" s="65">
        <v>3.4</v>
      </c>
      <c r="E72" s="65">
        <v>3.4</v>
      </c>
      <c r="F72" s="65">
        <v>3.4</v>
      </c>
      <c r="G72" s="65">
        <v>3.4</v>
      </c>
      <c r="H72" s="65">
        <v>3.4</v>
      </c>
      <c r="I72" s="65">
        <v>3.4</v>
      </c>
      <c r="J72" s="65">
        <v>3.4</v>
      </c>
      <c r="K72" s="65">
        <v>3.4</v>
      </c>
      <c r="L72" s="65">
        <v>3.4</v>
      </c>
      <c r="M72" s="65">
        <v>3.4</v>
      </c>
      <c r="N72" s="65">
        <v>3.4</v>
      </c>
      <c r="O72" s="65">
        <v>3.4</v>
      </c>
      <c r="P72" s="65">
        <v>3.4</v>
      </c>
      <c r="Q72" s="65">
        <v>3.4</v>
      </c>
      <c r="R72" s="65">
        <v>3.4</v>
      </c>
      <c r="S72" s="65">
        <v>3.4</v>
      </c>
      <c r="T72" s="65">
        <v>3.4</v>
      </c>
      <c r="U72" s="65">
        <v>3.4</v>
      </c>
      <c r="V72" s="65">
        <v>3.4</v>
      </c>
      <c r="W72" s="65">
        <v>3.4</v>
      </c>
      <c r="X72" s="65">
        <v>3.4</v>
      </c>
      <c r="Y72" s="65">
        <v>3.4</v>
      </c>
      <c r="Z72" s="65">
        <v>3.4</v>
      </c>
      <c r="AA72" s="65">
        <v>3.4</v>
      </c>
      <c r="AB72" s="65">
        <v>3.4</v>
      </c>
      <c r="AC72" s="65">
        <v>3.4</v>
      </c>
      <c r="AD72" s="65">
        <v>3.4</v>
      </c>
      <c r="AE72" s="65">
        <v>3.4</v>
      </c>
      <c r="AF72" s="65">
        <v>3.4</v>
      </c>
      <c r="AG72" s="55">
        <v>14</v>
      </c>
      <c r="AH72" s="47">
        <f t="shared" si="8"/>
        <v>3.4</v>
      </c>
      <c r="AI72" s="48">
        <f t="shared" si="9"/>
        <v>3.4</v>
      </c>
      <c r="AK72" s="50"/>
      <c r="AY72" s="1" t="s">
        <v>607</v>
      </c>
      <c r="AZ72" s="233">
        <f>ROUND(C85,0)</f>
        <v>102</v>
      </c>
      <c r="BA72" s="232">
        <f t="shared" si="45"/>
        <v>120</v>
      </c>
      <c r="BB72" s="232">
        <f t="shared" si="45"/>
        <v>120.6</v>
      </c>
      <c r="BC72" s="232">
        <f t="shared" si="45"/>
        <v>115.4</v>
      </c>
      <c r="BD72" s="232">
        <f t="shared" si="45"/>
        <v>113.2</v>
      </c>
      <c r="BE72" s="233">
        <f t="shared" si="47"/>
        <v>126.8</v>
      </c>
      <c r="BF72" s="233">
        <f t="shared" si="48"/>
        <v>74.2</v>
      </c>
      <c r="BG72" s="233">
        <f t="shared" si="46"/>
        <v>0</v>
      </c>
      <c r="BH72" s="233">
        <f t="shared" si="46"/>
        <v>0</v>
      </c>
      <c r="BI72" s="233">
        <f t="shared" si="46"/>
        <v>0</v>
      </c>
      <c r="BJ72" s="233">
        <f t="shared" si="46"/>
        <v>90</v>
      </c>
      <c r="BK72" s="233">
        <f t="shared" si="46"/>
        <v>106</v>
      </c>
      <c r="BL72" s="233">
        <f t="shared" si="46"/>
        <v>100</v>
      </c>
      <c r="BM72" s="233">
        <f t="shared" si="46"/>
        <v>126.8</v>
      </c>
      <c r="BN72" s="233">
        <f t="shared" si="46"/>
        <v>97.8</v>
      </c>
      <c r="BO72" s="233">
        <f t="shared" si="46"/>
        <v>101.2</v>
      </c>
      <c r="BP72" s="233">
        <f t="shared" si="46"/>
        <v>53.8</v>
      </c>
      <c r="BQ72" s="233">
        <f t="shared" si="49"/>
        <v>0</v>
      </c>
      <c r="BR72" s="233">
        <f t="shared" si="50"/>
        <v>0</v>
      </c>
      <c r="BS72" s="232">
        <f t="shared" si="51"/>
        <v>0</v>
      </c>
      <c r="BT72" s="232">
        <f t="shared" si="52"/>
        <v>0</v>
      </c>
      <c r="BU72" s="232">
        <f t="shared" si="52"/>
        <v>108.8</v>
      </c>
      <c r="BV72" s="232">
        <f t="shared" si="52"/>
        <v>110.8</v>
      </c>
      <c r="BW72" s="232">
        <f t="shared" si="53"/>
        <v>120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0</v>
      </c>
      <c r="BA73" s="233">
        <f>D91</f>
        <v>0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56.1</v>
      </c>
      <c r="BF73" s="233">
        <f>K91</f>
        <v>70.400000000000006</v>
      </c>
      <c r="BG73" s="233">
        <f t="shared" ref="BG73:BP73" si="54">M91</f>
        <v>63.6</v>
      </c>
      <c r="BH73" s="233">
        <f t="shared" si="54"/>
        <v>76</v>
      </c>
      <c r="BI73" s="233">
        <f t="shared" si="54"/>
        <v>75.599999999999994</v>
      </c>
      <c r="BJ73" s="233">
        <f t="shared" si="54"/>
        <v>62.8</v>
      </c>
      <c r="BK73" s="233">
        <f t="shared" si="54"/>
        <v>64.5</v>
      </c>
      <c r="BL73" s="233">
        <f t="shared" si="54"/>
        <v>64.7</v>
      </c>
      <c r="BM73" s="233">
        <f t="shared" si="54"/>
        <v>63.8</v>
      </c>
      <c r="BN73" s="233">
        <f t="shared" si="54"/>
        <v>53.4</v>
      </c>
      <c r="BO73" s="233">
        <f t="shared" si="54"/>
        <v>58.8</v>
      </c>
      <c r="BP73" s="233">
        <f t="shared" si="54"/>
        <v>55.7</v>
      </c>
      <c r="BQ73" s="233">
        <f>X91</f>
        <v>43.1</v>
      </c>
      <c r="BR73" s="233">
        <f>Z91</f>
        <v>81.400000000000006</v>
      </c>
      <c r="BS73" s="233">
        <f>AB91</f>
        <v>72.7</v>
      </c>
      <c r="BT73" s="233">
        <f>AD91</f>
        <v>73.2</v>
      </c>
      <c r="BU73" s="233">
        <f>AE91</f>
        <v>69.8</v>
      </c>
      <c r="BV73" s="233">
        <f>AF91</f>
        <v>68.099999999999994</v>
      </c>
      <c r="BW73" s="233">
        <f>B91</f>
        <v>0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3.54</v>
      </c>
      <c r="AK75" s="50"/>
      <c r="AZ75" s="233">
        <f>VALUE(AZ68)</f>
        <v>55</v>
      </c>
      <c r="BA75" s="233">
        <f t="shared" ref="BA75:BW75" si="55">VALUE(BA68)</f>
        <v>62</v>
      </c>
      <c r="BB75" s="233">
        <f t="shared" si="55"/>
        <v>54.6</v>
      </c>
      <c r="BC75" s="233">
        <f t="shared" si="55"/>
        <v>55.7</v>
      </c>
      <c r="BD75" s="233">
        <f t="shared" si="55"/>
        <v>44.6</v>
      </c>
      <c r="BE75" s="233">
        <f t="shared" si="55"/>
        <v>48.9</v>
      </c>
      <c r="BF75" s="233">
        <f t="shared" si="55"/>
        <v>57.1</v>
      </c>
      <c r="BG75" s="233">
        <f t="shared" si="55"/>
        <v>62.3</v>
      </c>
      <c r="BH75" s="233">
        <f t="shared" si="55"/>
        <v>56.6</v>
      </c>
      <c r="BI75" s="233">
        <f t="shared" si="55"/>
        <v>66</v>
      </c>
      <c r="BJ75" s="233">
        <f t="shared" si="55"/>
        <v>65</v>
      </c>
      <c r="BK75" s="233">
        <f t="shared" si="55"/>
        <v>54.6</v>
      </c>
      <c r="BL75" s="233">
        <f t="shared" si="55"/>
        <v>52.4</v>
      </c>
      <c r="BM75" s="233">
        <f t="shared" si="55"/>
        <v>65.5</v>
      </c>
      <c r="BN75" s="233">
        <f t="shared" si="55"/>
        <v>60.8</v>
      </c>
      <c r="BO75" s="233">
        <f t="shared" si="55"/>
        <v>66</v>
      </c>
      <c r="BP75" s="233">
        <f t="shared" si="55"/>
        <v>45.2</v>
      </c>
      <c r="BQ75" s="233">
        <f t="shared" si="55"/>
        <v>67.599999999999994</v>
      </c>
      <c r="BR75" s="233">
        <f t="shared" si="55"/>
        <v>70.599999999999994</v>
      </c>
      <c r="BS75" s="233">
        <f t="shared" si="55"/>
        <v>66.8</v>
      </c>
      <c r="BT75" s="233">
        <f t="shared" si="55"/>
        <v>65.400000000000006</v>
      </c>
      <c r="BU75" s="233">
        <f t="shared" si="55"/>
        <v>59.9</v>
      </c>
      <c r="BV75" s="233">
        <f t="shared" si="55"/>
        <v>67</v>
      </c>
      <c r="BW75" s="233">
        <f t="shared" si="55"/>
        <v>54</v>
      </c>
    </row>
    <row r="76" spans="1:75" ht="15.75" thickBot="1" x14ac:dyDescent="0.3">
      <c r="A76" s="74" t="s">
        <v>76</v>
      </c>
      <c r="B76" s="60">
        <f t="shared" ref="B76:C76" si="56">SUM(B63:B75)</f>
        <v>142.04</v>
      </c>
      <c r="C76" s="60">
        <f t="shared" si="56"/>
        <v>142.04</v>
      </c>
      <c r="D76" s="60">
        <f t="shared" ref="D76:AG76" si="57">SUM(D63:D75)</f>
        <v>142.04</v>
      </c>
      <c r="E76" s="60">
        <f t="shared" ref="E76:F76" si="58">SUM(E63:E75)</f>
        <v>126.54</v>
      </c>
      <c r="F76" s="60">
        <f t="shared" si="58"/>
        <v>126.54</v>
      </c>
      <c r="G76" s="60">
        <f t="shared" ref="G76:H76" si="59">SUM(G63:G75)</f>
        <v>157.54</v>
      </c>
      <c r="H76" s="60">
        <f t="shared" si="59"/>
        <v>194.94</v>
      </c>
      <c r="I76" s="60">
        <f t="shared" ref="I76:J76" si="60">SUM(I63:I75)</f>
        <v>212.04</v>
      </c>
      <c r="J76" s="60">
        <f t="shared" si="60"/>
        <v>245.04000000000002</v>
      </c>
      <c r="K76" s="60">
        <f t="shared" ref="K76:L76" si="61">SUM(K63:K75)</f>
        <v>305.39</v>
      </c>
      <c r="L76" s="60">
        <f t="shared" si="61"/>
        <v>345.24</v>
      </c>
      <c r="M76" s="60">
        <f t="shared" si="57"/>
        <v>337.74</v>
      </c>
      <c r="N76" s="60">
        <f t="shared" si="57"/>
        <v>271.44</v>
      </c>
      <c r="O76" s="60">
        <f t="shared" si="57"/>
        <v>207.44</v>
      </c>
      <c r="P76" s="60">
        <f t="shared" si="57"/>
        <v>212.54</v>
      </c>
      <c r="Q76" s="60">
        <f t="shared" si="57"/>
        <v>181.33999999999997</v>
      </c>
      <c r="R76" s="60">
        <f t="shared" si="57"/>
        <v>181.33999999999997</v>
      </c>
      <c r="S76" s="60">
        <f t="shared" ref="S76:T76" si="62">SUM(S63:S75)</f>
        <v>193.64</v>
      </c>
      <c r="T76" s="60">
        <f t="shared" si="62"/>
        <v>190.04</v>
      </c>
      <c r="U76" s="60">
        <f t="shared" ref="U76:V76" si="63">SUM(U63:U75)</f>
        <v>185.04</v>
      </c>
      <c r="V76" s="60">
        <f t="shared" si="63"/>
        <v>178.14</v>
      </c>
      <c r="W76" s="60">
        <f t="shared" ref="W76:X76" si="64">SUM(W63:W75)</f>
        <v>203.14</v>
      </c>
      <c r="X76" s="60">
        <f t="shared" si="64"/>
        <v>242.11999999999998</v>
      </c>
      <c r="Y76" s="60">
        <f t="shared" ref="Y76:Z76" si="65">SUM(Y63:Y75)</f>
        <v>323.94</v>
      </c>
      <c r="Z76" s="60">
        <f t="shared" si="65"/>
        <v>328.84</v>
      </c>
      <c r="AA76" s="60">
        <f t="shared" ref="AA76" si="66">SUM(AA63:AA75)</f>
        <v>294.54000000000002</v>
      </c>
      <c r="AB76" s="60">
        <f t="shared" si="57"/>
        <v>249.93999999999997</v>
      </c>
      <c r="AC76" s="60">
        <f t="shared" si="57"/>
        <v>245.33999999999997</v>
      </c>
      <c r="AD76" s="60">
        <f t="shared" si="57"/>
        <v>225.33999999999997</v>
      </c>
      <c r="AE76" s="60">
        <f t="shared" si="57"/>
        <v>181.64</v>
      </c>
      <c r="AF76" s="60">
        <f t="shared" si="57"/>
        <v>100.14000000000001</v>
      </c>
      <c r="AG76" s="61">
        <f t="shared" si="57"/>
        <v>489.91</v>
      </c>
      <c r="AH76" s="47">
        <f t="shared" si="8"/>
        <v>345.24</v>
      </c>
      <c r="AI76" s="48">
        <f t="shared" si="9"/>
        <v>100.14000000000001</v>
      </c>
      <c r="AK76" s="50"/>
      <c r="AZ76" s="233">
        <f t="shared" ref="AZ76:BW80" si="67">VALUE(AZ69)</f>
        <v>0</v>
      </c>
      <c r="BA76" s="233">
        <f t="shared" si="67"/>
        <v>0</v>
      </c>
      <c r="BB76" s="233">
        <f t="shared" si="67"/>
        <v>0</v>
      </c>
      <c r="BC76" s="233">
        <f t="shared" si="67"/>
        <v>0</v>
      </c>
      <c r="BD76" s="233">
        <f t="shared" si="67"/>
        <v>0</v>
      </c>
      <c r="BE76" s="233">
        <f t="shared" si="67"/>
        <v>0</v>
      </c>
      <c r="BF76" s="233">
        <f t="shared" si="67"/>
        <v>0</v>
      </c>
      <c r="BG76" s="233">
        <f t="shared" si="67"/>
        <v>0</v>
      </c>
      <c r="BH76" s="233">
        <f t="shared" si="67"/>
        <v>0</v>
      </c>
      <c r="BI76" s="233">
        <f t="shared" si="67"/>
        <v>0</v>
      </c>
      <c r="BJ76" s="233">
        <f t="shared" si="67"/>
        <v>0</v>
      </c>
      <c r="BK76" s="233">
        <f t="shared" si="67"/>
        <v>0</v>
      </c>
      <c r="BL76" s="233">
        <f t="shared" si="67"/>
        <v>0</v>
      </c>
      <c r="BM76" s="233">
        <f t="shared" si="67"/>
        <v>0</v>
      </c>
      <c r="BN76" s="233">
        <f t="shared" si="67"/>
        <v>0</v>
      </c>
      <c r="BO76" s="233">
        <f t="shared" si="67"/>
        <v>0</v>
      </c>
      <c r="BP76" s="233">
        <f t="shared" si="67"/>
        <v>0</v>
      </c>
      <c r="BQ76" s="233">
        <f t="shared" si="67"/>
        <v>0</v>
      </c>
      <c r="BR76" s="233">
        <f t="shared" si="67"/>
        <v>0</v>
      </c>
      <c r="BS76" s="233">
        <f t="shared" si="67"/>
        <v>0</v>
      </c>
      <c r="BT76" s="233">
        <f t="shared" si="67"/>
        <v>0</v>
      </c>
      <c r="BU76" s="233">
        <f t="shared" si="67"/>
        <v>0</v>
      </c>
      <c r="BV76" s="233">
        <f t="shared" si="67"/>
        <v>0</v>
      </c>
      <c r="BW76" s="233">
        <f t="shared" si="67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>
        <v>20</v>
      </c>
      <c r="Z77" s="45">
        <v>60</v>
      </c>
      <c r="AA77" s="45">
        <v>60</v>
      </c>
      <c r="AB77" s="45">
        <v>60</v>
      </c>
      <c r="AC77" s="45">
        <v>55</v>
      </c>
      <c r="AD77" s="45">
        <v>60</v>
      </c>
      <c r="AE77" s="45">
        <v>0</v>
      </c>
      <c r="AF77" s="45">
        <v>0</v>
      </c>
      <c r="AG77" s="52">
        <v>60</v>
      </c>
      <c r="AH77" s="47">
        <f t="shared" si="8"/>
        <v>60</v>
      </c>
      <c r="AI77" s="48">
        <f t="shared" si="9"/>
        <v>0</v>
      </c>
      <c r="AK77" s="50"/>
      <c r="AZ77" s="233">
        <f t="shared" si="67"/>
        <v>412</v>
      </c>
      <c r="BA77" s="233">
        <f t="shared" si="67"/>
        <v>416</v>
      </c>
      <c r="BB77" s="233">
        <f t="shared" si="67"/>
        <v>414.6</v>
      </c>
      <c r="BC77" s="233">
        <f t="shared" si="67"/>
        <v>408.4</v>
      </c>
      <c r="BD77" s="233">
        <f t="shared" si="67"/>
        <v>438.2</v>
      </c>
      <c r="BE77" s="233">
        <f t="shared" si="67"/>
        <v>405.8</v>
      </c>
      <c r="BF77" s="233">
        <f t="shared" si="67"/>
        <v>56.6</v>
      </c>
      <c r="BG77" s="233">
        <f t="shared" si="67"/>
        <v>8</v>
      </c>
      <c r="BH77" s="233">
        <f t="shared" si="67"/>
        <v>274</v>
      </c>
      <c r="BI77" s="233">
        <f t="shared" si="67"/>
        <v>436</v>
      </c>
      <c r="BJ77" s="233">
        <f t="shared" si="67"/>
        <v>425</v>
      </c>
      <c r="BK77" s="233">
        <f t="shared" si="67"/>
        <v>450</v>
      </c>
      <c r="BL77" s="233">
        <f t="shared" si="67"/>
        <v>473</v>
      </c>
      <c r="BM77" s="233">
        <f t="shared" si="67"/>
        <v>486.4</v>
      </c>
      <c r="BN77" s="233">
        <f t="shared" si="67"/>
        <v>510.4</v>
      </c>
      <c r="BO77" s="233">
        <f t="shared" si="67"/>
        <v>542.20000000000005</v>
      </c>
      <c r="BP77" s="233">
        <f t="shared" si="67"/>
        <v>514.29999999999995</v>
      </c>
      <c r="BQ77" s="233">
        <f t="shared" si="67"/>
        <v>449.9</v>
      </c>
      <c r="BR77" s="233">
        <f t="shared" si="67"/>
        <v>284.8</v>
      </c>
      <c r="BS77" s="233">
        <f t="shared" si="67"/>
        <v>189</v>
      </c>
      <c r="BT77" s="233">
        <f t="shared" si="67"/>
        <v>404.6</v>
      </c>
      <c r="BU77" s="233">
        <f t="shared" si="67"/>
        <v>376.5</v>
      </c>
      <c r="BV77" s="233">
        <f t="shared" si="67"/>
        <v>411.1</v>
      </c>
      <c r="BW77" s="233">
        <f t="shared" si="67"/>
        <v>425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>
        <v>10.6</v>
      </c>
      <c r="Z78" s="65">
        <v>25.8</v>
      </c>
      <c r="AA78" s="65">
        <v>28.1</v>
      </c>
      <c r="AB78" s="65">
        <v>27.6</v>
      </c>
      <c r="AC78" s="65">
        <v>22.4</v>
      </c>
      <c r="AD78" s="65">
        <v>25.5</v>
      </c>
      <c r="AE78" s="65">
        <v>9.6999999999999993</v>
      </c>
      <c r="AF78" s="65">
        <v>0</v>
      </c>
      <c r="AG78" s="55">
        <v>32</v>
      </c>
      <c r="AH78" s="47">
        <f t="shared" si="8"/>
        <v>28.1</v>
      </c>
      <c r="AI78" s="48">
        <f t="shared" si="9"/>
        <v>0</v>
      </c>
      <c r="AK78" s="50"/>
      <c r="AZ78" s="233">
        <f t="shared" si="67"/>
        <v>4</v>
      </c>
      <c r="BA78" s="233">
        <f t="shared" si="67"/>
        <v>3.3</v>
      </c>
      <c r="BB78" s="233">
        <f t="shared" si="67"/>
        <v>3.8</v>
      </c>
      <c r="BC78" s="233">
        <f t="shared" si="67"/>
        <v>3.3</v>
      </c>
      <c r="BD78" s="233">
        <f t="shared" si="67"/>
        <v>3.7</v>
      </c>
      <c r="BE78" s="233">
        <f t="shared" si="67"/>
        <v>32.9</v>
      </c>
      <c r="BF78" s="233">
        <f t="shared" si="67"/>
        <v>33.4</v>
      </c>
      <c r="BG78" s="233">
        <f t="shared" si="67"/>
        <v>4.2</v>
      </c>
      <c r="BH78" s="233">
        <f t="shared" si="67"/>
        <v>30</v>
      </c>
      <c r="BI78" s="233">
        <f t="shared" si="67"/>
        <v>33.700000000000003</v>
      </c>
      <c r="BJ78" s="233">
        <f t="shared" si="67"/>
        <v>34.5</v>
      </c>
      <c r="BK78" s="233">
        <f t="shared" si="67"/>
        <v>45.7</v>
      </c>
      <c r="BL78" s="233">
        <f t="shared" si="67"/>
        <v>27</v>
      </c>
      <c r="BM78" s="233">
        <f t="shared" si="67"/>
        <v>40.700000000000003</v>
      </c>
      <c r="BN78" s="233">
        <f t="shared" si="67"/>
        <v>10.3</v>
      </c>
      <c r="BO78" s="233">
        <f t="shared" si="67"/>
        <v>45.6</v>
      </c>
      <c r="BP78" s="233">
        <f t="shared" si="67"/>
        <v>26.7</v>
      </c>
      <c r="BQ78" s="233">
        <f t="shared" si="67"/>
        <v>3</v>
      </c>
      <c r="BR78" s="233">
        <f t="shared" si="67"/>
        <v>4.7</v>
      </c>
      <c r="BS78" s="233">
        <f t="shared" si="67"/>
        <v>4</v>
      </c>
      <c r="BT78" s="233">
        <f t="shared" si="67"/>
        <v>54.7</v>
      </c>
      <c r="BU78" s="233">
        <f t="shared" si="67"/>
        <v>49.3</v>
      </c>
      <c r="BV78" s="233">
        <f t="shared" si="67"/>
        <v>55.2</v>
      </c>
      <c r="BW78" s="233">
        <f t="shared" si="67"/>
        <v>3.9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>
        <v>4.0999999999999996</v>
      </c>
      <c r="Z79" s="67">
        <v>10.6</v>
      </c>
      <c r="AA79" s="67">
        <v>10.3</v>
      </c>
      <c r="AB79" s="67">
        <v>10.1</v>
      </c>
      <c r="AC79" s="67">
        <v>8.1999999999999993</v>
      </c>
      <c r="AD79" s="67">
        <v>9.3000000000000007</v>
      </c>
      <c r="AE79" s="67">
        <v>3.5</v>
      </c>
      <c r="AF79" s="67">
        <v>0</v>
      </c>
      <c r="AG79" s="68">
        <v>14</v>
      </c>
      <c r="AH79" s="47">
        <f t="shared" si="8"/>
        <v>10.6</v>
      </c>
      <c r="AI79" s="48">
        <f t="shared" si="9"/>
        <v>0</v>
      </c>
      <c r="AK79" s="50"/>
      <c r="AZ79" s="233">
        <f t="shared" si="67"/>
        <v>102</v>
      </c>
      <c r="BA79" s="233">
        <f t="shared" si="67"/>
        <v>120</v>
      </c>
      <c r="BB79" s="233">
        <f t="shared" si="67"/>
        <v>120.6</v>
      </c>
      <c r="BC79" s="233">
        <f t="shared" si="67"/>
        <v>115.4</v>
      </c>
      <c r="BD79" s="233">
        <f t="shared" si="67"/>
        <v>113.2</v>
      </c>
      <c r="BE79" s="233">
        <f t="shared" si="67"/>
        <v>126.8</v>
      </c>
      <c r="BF79" s="233">
        <f t="shared" si="67"/>
        <v>74.2</v>
      </c>
      <c r="BG79" s="233">
        <f t="shared" si="67"/>
        <v>0</v>
      </c>
      <c r="BH79" s="233">
        <f t="shared" si="67"/>
        <v>0</v>
      </c>
      <c r="BI79" s="233">
        <f t="shared" si="67"/>
        <v>0</v>
      </c>
      <c r="BJ79" s="233">
        <f t="shared" si="67"/>
        <v>90</v>
      </c>
      <c r="BK79" s="233">
        <f t="shared" si="67"/>
        <v>106</v>
      </c>
      <c r="BL79" s="233">
        <f t="shared" si="67"/>
        <v>100</v>
      </c>
      <c r="BM79" s="233">
        <f t="shared" si="67"/>
        <v>126.8</v>
      </c>
      <c r="BN79" s="233">
        <f t="shared" si="67"/>
        <v>97.8</v>
      </c>
      <c r="BO79" s="233">
        <f t="shared" si="67"/>
        <v>101.2</v>
      </c>
      <c r="BP79" s="233">
        <f t="shared" si="67"/>
        <v>53.8</v>
      </c>
      <c r="BQ79" s="233">
        <f t="shared" si="67"/>
        <v>0</v>
      </c>
      <c r="BR79" s="233">
        <f t="shared" si="67"/>
        <v>0</v>
      </c>
      <c r="BS79" s="233">
        <f t="shared" si="67"/>
        <v>0</v>
      </c>
      <c r="BT79" s="233">
        <f t="shared" si="67"/>
        <v>0</v>
      </c>
      <c r="BU79" s="233">
        <f t="shared" si="67"/>
        <v>108.8</v>
      </c>
      <c r="BV79" s="233">
        <f t="shared" si="67"/>
        <v>110.8</v>
      </c>
      <c r="BW79" s="233">
        <f t="shared" si="67"/>
        <v>120</v>
      </c>
    </row>
    <row r="80" spans="1:75" ht="15.75" thickBot="1" x14ac:dyDescent="0.3">
      <c r="A80" s="74" t="s">
        <v>80</v>
      </c>
      <c r="B80" s="60">
        <f t="shared" ref="B80:C80" si="68">B77+B78+B79</f>
        <v>0</v>
      </c>
      <c r="C80" s="60">
        <f t="shared" si="68"/>
        <v>0</v>
      </c>
      <c r="D80" s="60">
        <f t="shared" ref="D80:AF80" si="69">D77+D78+D79</f>
        <v>0</v>
      </c>
      <c r="E80" s="60">
        <f t="shared" ref="E80:F80" si="70">E77+E78+E79</f>
        <v>0</v>
      </c>
      <c r="F80" s="60">
        <f t="shared" si="70"/>
        <v>0</v>
      </c>
      <c r="G80" s="60">
        <f t="shared" ref="G80:H80" si="71">G77+G78+G79</f>
        <v>0</v>
      </c>
      <c r="H80" s="60">
        <f t="shared" si="71"/>
        <v>0</v>
      </c>
      <c r="I80" s="60">
        <f t="shared" ref="I80:J80" si="72">I77+I78+I79</f>
        <v>0</v>
      </c>
      <c r="J80" s="60">
        <f t="shared" si="72"/>
        <v>0</v>
      </c>
      <c r="K80" s="60">
        <f t="shared" ref="K80:L80" si="73">K77+K78+K79</f>
        <v>0</v>
      </c>
      <c r="L80" s="60">
        <f t="shared" si="73"/>
        <v>0</v>
      </c>
      <c r="M80" s="60">
        <f t="shared" si="69"/>
        <v>0</v>
      </c>
      <c r="N80" s="60">
        <f t="shared" si="69"/>
        <v>0</v>
      </c>
      <c r="O80" s="60">
        <f t="shared" si="69"/>
        <v>0</v>
      </c>
      <c r="P80" s="60">
        <f t="shared" si="69"/>
        <v>0</v>
      </c>
      <c r="Q80" s="60">
        <f t="shared" si="69"/>
        <v>0</v>
      </c>
      <c r="R80" s="60">
        <f t="shared" si="69"/>
        <v>0</v>
      </c>
      <c r="S80" s="60">
        <f t="shared" ref="S80:T80" si="74">S77+S78+S79</f>
        <v>0</v>
      </c>
      <c r="T80" s="60">
        <f t="shared" si="74"/>
        <v>0</v>
      </c>
      <c r="U80" s="60">
        <f t="shared" ref="U80:V80" si="75">U77+U78+U79</f>
        <v>0</v>
      </c>
      <c r="V80" s="60">
        <f t="shared" si="75"/>
        <v>0</v>
      </c>
      <c r="W80" s="60">
        <f t="shared" ref="W80:X80" si="76">W77+W78+W79</f>
        <v>0</v>
      </c>
      <c r="X80" s="60">
        <f t="shared" si="76"/>
        <v>0</v>
      </c>
      <c r="Y80" s="60">
        <f t="shared" ref="Y80:Z80" si="77">Y77+Y78+Y79</f>
        <v>34.700000000000003</v>
      </c>
      <c r="Z80" s="60">
        <f t="shared" si="77"/>
        <v>96.399999999999991</v>
      </c>
      <c r="AA80" s="60">
        <f t="shared" ref="AA80" si="78">AA77+AA78+AA79</f>
        <v>98.399999999999991</v>
      </c>
      <c r="AB80" s="60">
        <f t="shared" si="69"/>
        <v>97.699999999999989</v>
      </c>
      <c r="AC80" s="60">
        <f t="shared" si="69"/>
        <v>85.600000000000009</v>
      </c>
      <c r="AD80" s="60">
        <f t="shared" si="69"/>
        <v>94.8</v>
      </c>
      <c r="AE80" s="60">
        <f t="shared" si="69"/>
        <v>13.2</v>
      </c>
      <c r="AF80" s="60">
        <f t="shared" si="69"/>
        <v>0</v>
      </c>
      <c r="AG80" s="61">
        <f>SUM(AG77:AG79)</f>
        <v>106</v>
      </c>
      <c r="AH80" s="47">
        <f t="shared" si="8"/>
        <v>98.399999999999991</v>
      </c>
      <c r="AI80" s="48">
        <f t="shared" si="9"/>
        <v>0</v>
      </c>
      <c r="AK80" s="50"/>
      <c r="AZ80" s="233">
        <f t="shared" si="67"/>
        <v>0</v>
      </c>
      <c r="BA80" s="233">
        <f t="shared" si="67"/>
        <v>0</v>
      </c>
      <c r="BB80" s="233">
        <f t="shared" si="67"/>
        <v>0</v>
      </c>
      <c r="BC80" s="233">
        <f t="shared" si="67"/>
        <v>0</v>
      </c>
      <c r="BD80" s="233">
        <f t="shared" si="67"/>
        <v>0</v>
      </c>
      <c r="BE80" s="233">
        <f t="shared" si="67"/>
        <v>56.1</v>
      </c>
      <c r="BF80" s="233">
        <f t="shared" si="67"/>
        <v>70.400000000000006</v>
      </c>
      <c r="BG80" s="233">
        <f t="shared" si="67"/>
        <v>63.6</v>
      </c>
      <c r="BH80" s="233">
        <f t="shared" si="67"/>
        <v>76</v>
      </c>
      <c r="BI80" s="233">
        <f t="shared" si="67"/>
        <v>75.599999999999994</v>
      </c>
      <c r="BJ80" s="233">
        <f t="shared" si="67"/>
        <v>62.8</v>
      </c>
      <c r="BK80" s="233">
        <f t="shared" si="67"/>
        <v>64.5</v>
      </c>
      <c r="BL80" s="233">
        <f t="shared" si="67"/>
        <v>64.7</v>
      </c>
      <c r="BM80" s="233">
        <f t="shared" si="67"/>
        <v>63.8</v>
      </c>
      <c r="BN80" s="233">
        <f t="shared" si="67"/>
        <v>53.4</v>
      </c>
      <c r="BO80" s="233">
        <f t="shared" si="67"/>
        <v>58.8</v>
      </c>
      <c r="BP80" s="233">
        <f t="shared" si="67"/>
        <v>55.7</v>
      </c>
      <c r="BQ80" s="233">
        <f t="shared" si="67"/>
        <v>43.1</v>
      </c>
      <c r="BR80" s="233">
        <f t="shared" si="67"/>
        <v>81.400000000000006</v>
      </c>
      <c r="BS80" s="233">
        <f t="shared" si="67"/>
        <v>72.7</v>
      </c>
      <c r="BT80" s="233">
        <f t="shared" si="67"/>
        <v>73.2</v>
      </c>
      <c r="BU80" s="233">
        <f t="shared" si="67"/>
        <v>69.8</v>
      </c>
      <c r="BV80" s="233">
        <f t="shared" si="67"/>
        <v>68.099999999999994</v>
      </c>
      <c r="BW80" s="233">
        <f t="shared" si="67"/>
        <v>0</v>
      </c>
    </row>
    <row r="81" spans="1:64" x14ac:dyDescent="0.25">
      <c r="A81" s="44" t="s">
        <v>81</v>
      </c>
      <c r="B81" s="45">
        <v>54</v>
      </c>
      <c r="C81" s="45">
        <v>55</v>
      </c>
      <c r="D81" s="45">
        <v>62</v>
      </c>
      <c r="E81" s="45">
        <v>54.6</v>
      </c>
      <c r="F81" s="45">
        <v>55.7</v>
      </c>
      <c r="G81" s="45">
        <v>44.6</v>
      </c>
      <c r="H81" s="45">
        <v>50.5</v>
      </c>
      <c r="I81" s="45">
        <v>48.9</v>
      </c>
      <c r="J81" s="45">
        <v>51.6</v>
      </c>
      <c r="K81" s="45">
        <v>57.1</v>
      </c>
      <c r="L81" s="45">
        <v>60.2</v>
      </c>
      <c r="M81" s="45">
        <v>62.3</v>
      </c>
      <c r="N81" s="45">
        <v>56.6</v>
      </c>
      <c r="O81" s="45">
        <v>66</v>
      </c>
      <c r="P81" s="45">
        <v>65</v>
      </c>
      <c r="Q81" s="45">
        <v>54.6</v>
      </c>
      <c r="R81" s="45">
        <v>52.4</v>
      </c>
      <c r="S81" s="45">
        <v>65.5</v>
      </c>
      <c r="T81" s="45">
        <v>60.8</v>
      </c>
      <c r="U81" s="45">
        <v>66</v>
      </c>
      <c r="V81" s="45">
        <v>45.2</v>
      </c>
      <c r="W81" s="45">
        <v>61.9</v>
      </c>
      <c r="X81" s="45">
        <v>67.599999999999994</v>
      </c>
      <c r="Y81" s="45">
        <v>62.9</v>
      </c>
      <c r="Z81" s="45">
        <v>70.599999999999994</v>
      </c>
      <c r="AA81" s="45">
        <v>58.1</v>
      </c>
      <c r="AB81" s="45">
        <v>66.8</v>
      </c>
      <c r="AC81" s="45">
        <v>60.9</v>
      </c>
      <c r="AD81" s="45">
        <v>65.400000000000006</v>
      </c>
      <c r="AE81" s="45">
        <v>59.9</v>
      </c>
      <c r="AF81" s="45">
        <v>67</v>
      </c>
      <c r="AG81" s="52"/>
      <c r="AH81" s="47">
        <f t="shared" si="8"/>
        <v>70.599999999999994</v>
      </c>
      <c r="AI81" s="48">
        <f t="shared" si="9"/>
        <v>44.6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5" si="79">MAX(B82:AF82)</f>
        <v>0</v>
      </c>
      <c r="AI82" s="48">
        <f t="shared" ref="AI82:AI125" si="80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425</v>
      </c>
      <c r="C83" s="65">
        <v>412</v>
      </c>
      <c r="D83" s="65">
        <v>416</v>
      </c>
      <c r="E83" s="65">
        <v>414.6</v>
      </c>
      <c r="F83" s="65">
        <v>408.4</v>
      </c>
      <c r="G83" s="65">
        <v>438.2</v>
      </c>
      <c r="H83" s="65">
        <v>443.7</v>
      </c>
      <c r="I83" s="65">
        <v>405.8</v>
      </c>
      <c r="J83" s="65">
        <v>379.4</v>
      </c>
      <c r="K83" s="65">
        <v>56.6</v>
      </c>
      <c r="L83" s="65">
        <v>8.9</v>
      </c>
      <c r="M83" s="65">
        <v>8</v>
      </c>
      <c r="N83" s="65">
        <v>274</v>
      </c>
      <c r="O83" s="65">
        <v>436</v>
      </c>
      <c r="P83" s="65">
        <v>425</v>
      </c>
      <c r="Q83" s="65">
        <v>450</v>
      </c>
      <c r="R83" s="65">
        <v>473</v>
      </c>
      <c r="S83" s="65">
        <v>486.4</v>
      </c>
      <c r="T83" s="65">
        <v>510.4</v>
      </c>
      <c r="U83" s="65">
        <v>542.20000000000005</v>
      </c>
      <c r="V83" s="65">
        <v>514.29999999999995</v>
      </c>
      <c r="W83" s="65">
        <v>443.8</v>
      </c>
      <c r="X83" s="65">
        <v>449.9</v>
      </c>
      <c r="Y83" s="65">
        <v>348</v>
      </c>
      <c r="Z83" s="65">
        <v>284.8</v>
      </c>
      <c r="AA83" s="65">
        <v>199.2</v>
      </c>
      <c r="AB83" s="65">
        <v>189</v>
      </c>
      <c r="AC83" s="65">
        <v>339</v>
      </c>
      <c r="AD83" s="65">
        <v>404.6</v>
      </c>
      <c r="AE83" s="65">
        <v>376.5</v>
      </c>
      <c r="AF83" s="65">
        <v>411.1</v>
      </c>
      <c r="AG83" s="75"/>
      <c r="AH83" s="47">
        <f t="shared" si="79"/>
        <v>542.20000000000005</v>
      </c>
      <c r="AI83" s="48">
        <f t="shared" si="80"/>
        <v>8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3.9</v>
      </c>
      <c r="C84" s="65">
        <v>3.9</v>
      </c>
      <c r="D84" s="65">
        <v>3.3</v>
      </c>
      <c r="E84" s="65">
        <v>3.8</v>
      </c>
      <c r="F84" s="65">
        <v>3.3</v>
      </c>
      <c r="G84" s="65">
        <v>3.7</v>
      </c>
      <c r="H84" s="65">
        <v>4.3</v>
      </c>
      <c r="I84" s="65">
        <v>32.9</v>
      </c>
      <c r="J84" s="65">
        <v>41.8</v>
      </c>
      <c r="K84" s="65">
        <v>33.4</v>
      </c>
      <c r="L84" s="65">
        <v>6.2</v>
      </c>
      <c r="M84" s="76">
        <v>4.2</v>
      </c>
      <c r="N84" s="76">
        <v>30</v>
      </c>
      <c r="O84" s="76">
        <v>33.700000000000003</v>
      </c>
      <c r="P84" s="76">
        <v>34.5</v>
      </c>
      <c r="Q84" s="76">
        <v>45.7</v>
      </c>
      <c r="R84" s="76">
        <v>27</v>
      </c>
      <c r="S84" s="76">
        <v>40.700000000000003</v>
      </c>
      <c r="T84" s="76">
        <v>10.3</v>
      </c>
      <c r="U84" s="76">
        <v>45.6</v>
      </c>
      <c r="V84" s="76">
        <v>26.7</v>
      </c>
      <c r="W84" s="76">
        <v>3.2</v>
      </c>
      <c r="X84" s="76">
        <v>3</v>
      </c>
      <c r="Y84" s="76">
        <v>5</v>
      </c>
      <c r="Z84" s="76">
        <v>4.7</v>
      </c>
      <c r="AA84" s="76">
        <v>4.0999999999999996</v>
      </c>
      <c r="AB84" s="76">
        <v>4</v>
      </c>
      <c r="AC84" s="76">
        <v>3.7</v>
      </c>
      <c r="AD84" s="76">
        <v>54.7</v>
      </c>
      <c r="AE84" s="76">
        <v>49.3</v>
      </c>
      <c r="AF84" s="76">
        <v>55.2</v>
      </c>
      <c r="AG84" s="75"/>
      <c r="AH84" s="47">
        <f t="shared" si="79"/>
        <v>55.2</v>
      </c>
      <c r="AI84" s="48">
        <f t="shared" si="80"/>
        <v>3</v>
      </c>
      <c r="AK84" s="50"/>
      <c r="AY84" s="233"/>
      <c r="BF84" s="232"/>
      <c r="BG84" s="233">
        <f t="array" ref="BG84:BL107">TRANSPOSE(AZ68:BW73)</f>
        <v>55</v>
      </c>
      <c r="BH84" s="233">
        <v>0</v>
      </c>
      <c r="BI84" s="233">
        <v>412</v>
      </c>
      <c r="BJ84" s="233">
        <v>4</v>
      </c>
      <c r="BK84" s="233">
        <v>102</v>
      </c>
      <c r="BL84" s="233">
        <v>0</v>
      </c>
    </row>
    <row r="85" spans="1:64" x14ac:dyDescent="0.25">
      <c r="A85" s="54" t="s">
        <v>85</v>
      </c>
      <c r="B85" s="45">
        <v>120</v>
      </c>
      <c r="C85" s="45">
        <v>102</v>
      </c>
      <c r="D85" s="45">
        <v>120</v>
      </c>
      <c r="E85" s="45">
        <v>120.6</v>
      </c>
      <c r="F85" s="45">
        <v>115.4</v>
      </c>
      <c r="G85" s="45">
        <v>113.2</v>
      </c>
      <c r="H85" s="45">
        <v>112.2</v>
      </c>
      <c r="I85" s="45">
        <v>126.8</v>
      </c>
      <c r="J85" s="45">
        <v>98.2</v>
      </c>
      <c r="K85" s="45">
        <v>74.2</v>
      </c>
      <c r="L85" s="45">
        <v>0</v>
      </c>
      <c r="M85" s="45">
        <v>0</v>
      </c>
      <c r="N85" s="45">
        <v>0</v>
      </c>
      <c r="O85" s="45">
        <v>0</v>
      </c>
      <c r="P85" s="45">
        <v>90</v>
      </c>
      <c r="Q85" s="45">
        <v>106</v>
      </c>
      <c r="R85" s="45">
        <v>100</v>
      </c>
      <c r="S85" s="45">
        <v>126.8</v>
      </c>
      <c r="T85" s="45">
        <v>97.8</v>
      </c>
      <c r="U85" s="45">
        <v>101.2</v>
      </c>
      <c r="V85" s="45">
        <v>53.8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108.8</v>
      </c>
      <c r="AF85" s="45">
        <v>110.8</v>
      </c>
      <c r="AG85" s="75"/>
      <c r="AH85" s="47">
        <f t="shared" si="79"/>
        <v>126.8</v>
      </c>
      <c r="AI85" s="48">
        <f t="shared" si="80"/>
        <v>0</v>
      </c>
      <c r="AK85" s="50"/>
      <c r="AY85" s="233"/>
      <c r="BF85" s="232"/>
      <c r="BG85" s="233">
        <v>62</v>
      </c>
      <c r="BH85" s="233">
        <v>0</v>
      </c>
      <c r="BI85" s="233">
        <v>416</v>
      </c>
      <c r="BJ85" s="233">
        <v>3.3</v>
      </c>
      <c r="BK85" s="233">
        <v>120</v>
      </c>
      <c r="BL85" s="233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79"/>
        <v>0</v>
      </c>
      <c r="AI86" s="48">
        <f t="shared" si="80"/>
        <v>0</v>
      </c>
      <c r="AK86" s="50"/>
      <c r="AY86" s="233"/>
      <c r="BF86" s="232"/>
      <c r="BG86" s="233">
        <v>54.6</v>
      </c>
      <c r="BH86" s="233">
        <v>0</v>
      </c>
      <c r="BI86" s="233">
        <v>414.6</v>
      </c>
      <c r="BJ86" s="233">
        <v>3.8</v>
      </c>
      <c r="BK86" s="233">
        <v>120.6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79"/>
        <v>0</v>
      </c>
      <c r="AI87" s="48">
        <f t="shared" si="80"/>
        <v>0</v>
      </c>
      <c r="AK87" s="50"/>
      <c r="AL87" s="78" t="s">
        <v>88</v>
      </c>
      <c r="AM87" s="78"/>
      <c r="AY87" s="233"/>
      <c r="BF87" s="233"/>
      <c r="BG87" s="233">
        <v>55.7</v>
      </c>
      <c r="BH87" s="233">
        <v>0</v>
      </c>
      <c r="BI87" s="233">
        <v>408.4</v>
      </c>
      <c r="BJ87" s="233">
        <v>3.3</v>
      </c>
      <c r="BK87" s="233">
        <v>115.4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79"/>
        <v>0</v>
      </c>
      <c r="AI88" s="48">
        <f t="shared" si="80"/>
        <v>0</v>
      </c>
      <c r="AK88" s="79"/>
      <c r="AL88" s="80"/>
      <c r="AM88" s="80"/>
      <c r="AN88" s="81"/>
      <c r="AY88" s="233"/>
      <c r="BF88" s="233"/>
      <c r="BG88" s="233">
        <v>44.6</v>
      </c>
      <c r="BH88" s="233">
        <v>0</v>
      </c>
      <c r="BI88" s="233">
        <v>438.2</v>
      </c>
      <c r="BJ88" s="233">
        <v>3.7</v>
      </c>
      <c r="BK88" s="233">
        <v>113.2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79"/>
        <v>0</v>
      </c>
      <c r="AI89" s="48">
        <f t="shared" si="80"/>
        <v>0</v>
      </c>
      <c r="AK89" s="82" t="s">
        <v>91</v>
      </c>
      <c r="AL89" s="65"/>
      <c r="AM89" s="76"/>
      <c r="AN89" s="83"/>
      <c r="AY89" s="233"/>
      <c r="BF89" s="233"/>
      <c r="BG89" s="233">
        <v>48.9</v>
      </c>
      <c r="BH89" s="233">
        <v>0</v>
      </c>
      <c r="BI89" s="233">
        <v>405.8</v>
      </c>
      <c r="BJ89" s="233">
        <v>32.9</v>
      </c>
      <c r="BK89" s="233">
        <v>126.8</v>
      </c>
      <c r="BL89" s="233">
        <v>56.1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79"/>
        <v>0</v>
      </c>
      <c r="AI90" s="48">
        <f t="shared" si="80"/>
        <v>0</v>
      </c>
      <c r="AK90" s="82" t="s">
        <v>93</v>
      </c>
      <c r="AL90" s="76"/>
      <c r="AM90" s="76"/>
      <c r="AN90" s="83"/>
      <c r="AY90" s="233"/>
      <c r="BF90" s="233"/>
      <c r="BG90" s="233">
        <v>57.1</v>
      </c>
      <c r="BH90" s="233">
        <v>0</v>
      </c>
      <c r="BI90" s="233">
        <v>56.6</v>
      </c>
      <c r="BJ90" s="233">
        <v>33.4</v>
      </c>
      <c r="BK90" s="233">
        <v>74.2</v>
      </c>
      <c r="BL90" s="233">
        <v>70.400000000000006</v>
      </c>
    </row>
    <row r="91" spans="1:64" ht="15.75" thickBot="1" x14ac:dyDescent="0.3">
      <c r="A91" s="84" t="s">
        <v>394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52</v>
      </c>
      <c r="I91" s="77">
        <v>56.1</v>
      </c>
      <c r="J91" s="77">
        <v>79.3</v>
      </c>
      <c r="K91" s="77">
        <v>70.400000000000006</v>
      </c>
      <c r="L91" s="77">
        <v>70.400000000000006</v>
      </c>
      <c r="M91" s="77">
        <v>63.6</v>
      </c>
      <c r="N91" s="77">
        <v>76</v>
      </c>
      <c r="O91" s="77">
        <v>75.599999999999994</v>
      </c>
      <c r="P91" s="77">
        <v>62.8</v>
      </c>
      <c r="Q91" s="77">
        <v>64.5</v>
      </c>
      <c r="R91" s="77">
        <v>64.7</v>
      </c>
      <c r="S91" s="77">
        <v>63.8</v>
      </c>
      <c r="T91" s="77">
        <v>53.4</v>
      </c>
      <c r="U91" s="77">
        <v>58.8</v>
      </c>
      <c r="V91" s="77">
        <v>55.7</v>
      </c>
      <c r="W91" s="77">
        <v>55</v>
      </c>
      <c r="X91" s="77">
        <v>43.1</v>
      </c>
      <c r="Y91" s="77">
        <v>84.7</v>
      </c>
      <c r="Z91" s="77">
        <v>81.400000000000006</v>
      </c>
      <c r="AA91" s="77">
        <v>88.2</v>
      </c>
      <c r="AB91" s="77">
        <v>72.7</v>
      </c>
      <c r="AC91" s="77">
        <v>71.599999999999994</v>
      </c>
      <c r="AD91" s="77">
        <v>73.2</v>
      </c>
      <c r="AE91" s="77">
        <v>69.8</v>
      </c>
      <c r="AF91" s="77">
        <v>68.099999999999994</v>
      </c>
      <c r="AG91" s="85"/>
      <c r="AH91" s="47">
        <f t="shared" si="79"/>
        <v>88.2</v>
      </c>
      <c r="AI91" s="48">
        <f t="shared" si="80"/>
        <v>0</v>
      </c>
      <c r="AK91" s="86"/>
      <c r="AL91" s="45"/>
      <c r="AM91" s="45"/>
      <c r="AN91" s="87"/>
      <c r="AY91" s="233"/>
      <c r="BF91" s="233"/>
      <c r="BG91" s="233">
        <v>62.3</v>
      </c>
      <c r="BH91" s="233">
        <v>0</v>
      </c>
      <c r="BI91" s="233">
        <v>8</v>
      </c>
      <c r="BJ91" s="233">
        <v>4.2</v>
      </c>
      <c r="BK91" s="233">
        <v>0</v>
      </c>
      <c r="BL91" s="233">
        <v>63.6</v>
      </c>
    </row>
    <row r="92" spans="1:64" ht="15.75" thickBot="1" x14ac:dyDescent="0.3">
      <c r="A92" s="74" t="s">
        <v>94</v>
      </c>
      <c r="B92" s="60">
        <f t="shared" ref="B92:C92" si="81">SUMIF(B81:B91,"&gt;0")</f>
        <v>602.9</v>
      </c>
      <c r="C92" s="60">
        <f t="shared" si="81"/>
        <v>572.9</v>
      </c>
      <c r="D92" s="60">
        <f t="shared" ref="D92:AF92" si="82">SUMIF(D81:D91,"&gt;0")</f>
        <v>601.29999999999995</v>
      </c>
      <c r="E92" s="60">
        <f t="shared" ref="E92:F92" si="83">SUMIF(E81:E91,"&gt;0")</f>
        <v>593.6</v>
      </c>
      <c r="F92" s="60">
        <f t="shared" si="83"/>
        <v>582.79999999999995</v>
      </c>
      <c r="G92" s="60">
        <f t="shared" ref="G92:H92" si="84">SUMIF(G81:G91,"&gt;0")</f>
        <v>599.70000000000005</v>
      </c>
      <c r="H92" s="60">
        <f t="shared" si="84"/>
        <v>662.7</v>
      </c>
      <c r="I92" s="60">
        <f t="shared" ref="I92:J92" si="85">SUMIF(I81:I91,"&gt;0")</f>
        <v>670.5</v>
      </c>
      <c r="J92" s="60">
        <f t="shared" si="85"/>
        <v>650.29999999999995</v>
      </c>
      <c r="K92" s="60">
        <f t="shared" ref="K92:L92" si="86">SUMIF(K81:K91,"&gt;0")</f>
        <v>291.70000000000005</v>
      </c>
      <c r="L92" s="60">
        <f t="shared" si="86"/>
        <v>145.70000000000002</v>
      </c>
      <c r="M92" s="60">
        <f t="shared" si="82"/>
        <v>138.1</v>
      </c>
      <c r="N92" s="60">
        <f t="shared" si="82"/>
        <v>436.6</v>
      </c>
      <c r="O92" s="60">
        <f t="shared" si="82"/>
        <v>611.30000000000007</v>
      </c>
      <c r="P92" s="60">
        <f t="shared" si="82"/>
        <v>677.3</v>
      </c>
      <c r="Q92" s="60">
        <f t="shared" si="82"/>
        <v>720.80000000000007</v>
      </c>
      <c r="R92" s="60">
        <f t="shared" si="82"/>
        <v>717.1</v>
      </c>
      <c r="S92" s="60">
        <f t="shared" ref="S92:T92" si="87">SUMIF(S81:S91,"&gt;0")</f>
        <v>783.19999999999993</v>
      </c>
      <c r="T92" s="60">
        <f t="shared" si="87"/>
        <v>732.69999999999982</v>
      </c>
      <c r="U92" s="60">
        <f t="shared" ref="U92:V92" si="88">SUMIF(U81:U91,"&gt;0")</f>
        <v>813.80000000000007</v>
      </c>
      <c r="V92" s="60">
        <f t="shared" si="88"/>
        <v>695.7</v>
      </c>
      <c r="W92" s="60">
        <f t="shared" ref="W92:X92" si="89">SUMIF(W81:W91,"&gt;0")</f>
        <v>563.9</v>
      </c>
      <c r="X92" s="60">
        <f t="shared" si="89"/>
        <v>563.6</v>
      </c>
      <c r="Y92" s="60">
        <f t="shared" ref="Y92:Z92" si="90">SUMIF(Y81:Y91,"&gt;0")</f>
        <v>500.59999999999997</v>
      </c>
      <c r="Z92" s="60">
        <f t="shared" si="90"/>
        <v>441.5</v>
      </c>
      <c r="AA92" s="60">
        <f t="shared" ref="AA92" si="91">SUMIF(AA81:AA91,"&gt;0")</f>
        <v>349.6</v>
      </c>
      <c r="AB92" s="60">
        <f t="shared" si="82"/>
        <v>332.5</v>
      </c>
      <c r="AC92" s="60">
        <f t="shared" si="82"/>
        <v>475.19999999999993</v>
      </c>
      <c r="AD92" s="60">
        <f t="shared" si="82"/>
        <v>597.90000000000009</v>
      </c>
      <c r="AE92" s="60">
        <f t="shared" si="82"/>
        <v>664.3</v>
      </c>
      <c r="AF92" s="60">
        <f t="shared" si="82"/>
        <v>712.2</v>
      </c>
      <c r="AG92" s="88">
        <f>SUM(AG81:AG91)</f>
        <v>0</v>
      </c>
      <c r="AH92" s="47">
        <f t="shared" si="79"/>
        <v>813.80000000000007</v>
      </c>
      <c r="AI92" s="48">
        <f t="shared" si="80"/>
        <v>138.1</v>
      </c>
      <c r="AK92" s="86"/>
      <c r="AL92" s="77"/>
      <c r="AM92" s="89"/>
      <c r="AN92" s="257"/>
      <c r="AY92" s="233"/>
      <c r="BF92" s="233"/>
      <c r="BG92" s="233">
        <v>56.6</v>
      </c>
      <c r="BH92" s="233">
        <v>0</v>
      </c>
      <c r="BI92" s="233">
        <v>274</v>
      </c>
      <c r="BJ92" s="233">
        <v>30</v>
      </c>
      <c r="BK92" s="233">
        <v>0</v>
      </c>
      <c r="BL92" s="233">
        <v>76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79"/>
        <v>0</v>
      </c>
      <c r="AI93" s="48">
        <f t="shared" si="80"/>
        <v>0</v>
      </c>
      <c r="AK93" s="86"/>
      <c r="AL93" s="77"/>
      <c r="AM93" s="77"/>
      <c r="AN93" s="258"/>
      <c r="BF93" s="233"/>
      <c r="BG93" s="233">
        <v>66</v>
      </c>
      <c r="BH93" s="233">
        <v>0</v>
      </c>
      <c r="BI93" s="233">
        <v>436</v>
      </c>
      <c r="BJ93" s="233">
        <v>33.700000000000003</v>
      </c>
      <c r="BK93" s="233">
        <v>0</v>
      </c>
      <c r="BL93" s="233">
        <v>75.599999999999994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79"/>
        <v>0</v>
      </c>
      <c r="AI94" s="48">
        <f t="shared" si="80"/>
        <v>0</v>
      </c>
      <c r="AK94" s="91"/>
      <c r="AL94" s="92"/>
      <c r="AM94" s="92"/>
      <c r="AN94" s="93"/>
      <c r="BF94" s="233"/>
      <c r="BG94" s="233">
        <v>65</v>
      </c>
      <c r="BH94" s="233">
        <v>0</v>
      </c>
      <c r="BI94" s="233">
        <v>425</v>
      </c>
      <c r="BJ94" s="233">
        <v>34.5</v>
      </c>
      <c r="BK94" s="233">
        <v>90</v>
      </c>
      <c r="BL94" s="233">
        <v>62.8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79"/>
        <v>0</v>
      </c>
      <c r="AI95" s="48">
        <f t="shared" si="80"/>
        <v>0</v>
      </c>
      <c r="BF95" s="233"/>
      <c r="BG95" s="233">
        <v>54.6</v>
      </c>
      <c r="BH95" s="233">
        <v>0</v>
      </c>
      <c r="BI95" s="233">
        <v>450</v>
      </c>
      <c r="BJ95" s="233">
        <v>45.7</v>
      </c>
      <c r="BK95" s="233">
        <v>106</v>
      </c>
      <c r="BL95" s="233">
        <v>64.5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79"/>
        <v>0</v>
      </c>
      <c r="AI96" s="48">
        <f t="shared" si="80"/>
        <v>0</v>
      </c>
      <c r="BF96" s="233"/>
      <c r="BG96" s="233">
        <v>52.4</v>
      </c>
      <c r="BH96" s="233">
        <v>0</v>
      </c>
      <c r="BI96" s="233">
        <v>473</v>
      </c>
      <c r="BJ96" s="233">
        <v>27</v>
      </c>
      <c r="BK96" s="233">
        <v>100</v>
      </c>
      <c r="BL96" s="233">
        <v>64.7</v>
      </c>
    </row>
    <row r="97" spans="1:64" ht="15.75" thickBot="1" x14ac:dyDescent="0.3">
      <c r="A97" s="74" t="s">
        <v>99</v>
      </c>
      <c r="B97" s="95">
        <f t="shared" ref="B97:C97" si="92">B58+B62+B80+B76+B92+B96</f>
        <v>1241.99</v>
      </c>
      <c r="C97" s="95">
        <f t="shared" si="92"/>
        <v>1211.99</v>
      </c>
      <c r="D97" s="95">
        <f t="shared" ref="D97:AG97" si="93">D58+D62+D80+D76+D92+D96</f>
        <v>1240.3899999999999</v>
      </c>
      <c r="E97" s="95">
        <f t="shared" ref="E97:F97" si="94">E58+E62+E80+E76+E92+E96</f>
        <v>1217.19</v>
      </c>
      <c r="F97" s="95">
        <f t="shared" si="94"/>
        <v>1206.3899999999999</v>
      </c>
      <c r="G97" s="95">
        <f t="shared" ref="G97:H97" si="95">G58+G62+G80+G76+G92+G96</f>
        <v>1254.29</v>
      </c>
      <c r="H97" s="95">
        <f t="shared" si="95"/>
        <v>1354.69</v>
      </c>
      <c r="I97" s="95">
        <f t="shared" ref="I97:J97" si="96">I58+I62+I80+I76+I92+I96</f>
        <v>1449.5900000000001</v>
      </c>
      <c r="J97" s="95">
        <f t="shared" si="96"/>
        <v>1522.39</v>
      </c>
      <c r="K97" s="95">
        <f t="shared" ref="K97:L97" si="97">K58+K62+K80+K76+K92+K96</f>
        <v>1464.14</v>
      </c>
      <c r="L97" s="95">
        <f t="shared" si="97"/>
        <v>1442.99</v>
      </c>
      <c r="M97" s="95">
        <f t="shared" si="93"/>
        <v>1371.79</v>
      </c>
      <c r="N97" s="95">
        <f t="shared" si="93"/>
        <v>1273.9900000000002</v>
      </c>
      <c r="O97" s="95">
        <f t="shared" si="93"/>
        <v>1329.69</v>
      </c>
      <c r="P97" s="95">
        <f t="shared" si="93"/>
        <v>1386.79</v>
      </c>
      <c r="Q97" s="95">
        <f t="shared" si="93"/>
        <v>1399.0900000000001</v>
      </c>
      <c r="R97" s="95">
        <f t="shared" si="93"/>
        <v>1445.3899999999999</v>
      </c>
      <c r="S97" s="95">
        <f t="shared" ref="S97:T97" si="98">S58+S62+S80+S76+S92+S96</f>
        <v>1473.79</v>
      </c>
      <c r="T97" s="95">
        <f t="shared" si="98"/>
        <v>1419.6899999999998</v>
      </c>
      <c r="U97" s="95">
        <f t="shared" ref="U97:V97" si="99">U58+U62+U80+U76+U92+U96</f>
        <v>1495.79</v>
      </c>
      <c r="V97" s="95">
        <f t="shared" si="99"/>
        <v>1370.79</v>
      </c>
      <c r="W97" s="95">
        <f t="shared" ref="W97:X97" si="100">W58+W62+W80+W76+W92+W96</f>
        <v>1261.99</v>
      </c>
      <c r="X97" s="95">
        <f t="shared" si="100"/>
        <v>1300.67</v>
      </c>
      <c r="Y97" s="95">
        <f t="shared" ref="Y97:Z97" si="101">Y58+Y62+Y80+Y76+Y92+Y96</f>
        <v>1554.19</v>
      </c>
      <c r="Z97" s="95">
        <f t="shared" si="101"/>
        <v>1663.79</v>
      </c>
      <c r="AA97" s="95">
        <f t="shared" ref="AA97" si="102">AA58+AA62+AA80+AA76+AA92+AA96</f>
        <v>1589.5900000000001</v>
      </c>
      <c r="AB97" s="95">
        <f t="shared" si="93"/>
        <v>1527.5900000000001</v>
      </c>
      <c r="AC97" s="95">
        <f t="shared" si="93"/>
        <v>1503.5900000000001</v>
      </c>
      <c r="AD97" s="95">
        <f t="shared" si="93"/>
        <v>1485.49</v>
      </c>
      <c r="AE97" s="95">
        <f t="shared" si="93"/>
        <v>1368.69</v>
      </c>
      <c r="AF97" s="95">
        <f t="shared" si="93"/>
        <v>1306.8900000000001</v>
      </c>
      <c r="AG97" s="61">
        <f t="shared" si="93"/>
        <v>2231.81</v>
      </c>
      <c r="AH97" s="47">
        <f t="shared" si="79"/>
        <v>1663.79</v>
      </c>
      <c r="AI97" s="48">
        <f t="shared" si="80"/>
        <v>1206.3899999999999</v>
      </c>
      <c r="BF97" s="233"/>
      <c r="BG97" s="233">
        <v>65.5</v>
      </c>
      <c r="BH97" s="233">
        <v>0</v>
      </c>
      <c r="BI97" s="233">
        <v>486.4</v>
      </c>
      <c r="BJ97" s="233">
        <v>40.700000000000003</v>
      </c>
      <c r="BK97" s="233">
        <v>126.8</v>
      </c>
      <c r="BL97" s="233">
        <v>63.8</v>
      </c>
    </row>
    <row r="98" spans="1:64" ht="15.75" thickBot="1" x14ac:dyDescent="0.3">
      <c r="A98" s="96" t="s">
        <v>100</v>
      </c>
      <c r="B98" s="97">
        <v>0</v>
      </c>
      <c r="C98" s="97">
        <v>0</v>
      </c>
      <c r="D98" s="97"/>
      <c r="E98" s="97"/>
      <c r="F98" s="97"/>
      <c r="G98" s="97"/>
      <c r="H98" s="97"/>
      <c r="I98" s="97"/>
      <c r="J98" s="97"/>
      <c r="K98" s="97"/>
      <c r="L98" s="97">
        <v>200</v>
      </c>
      <c r="M98" s="97">
        <v>200</v>
      </c>
      <c r="N98" s="97">
        <v>200</v>
      </c>
      <c r="O98" s="97">
        <v>200</v>
      </c>
      <c r="P98" s="97">
        <v>150</v>
      </c>
      <c r="Q98" s="97"/>
      <c r="R98" s="97"/>
      <c r="S98" s="97"/>
      <c r="T98" s="97"/>
      <c r="U98" s="97"/>
      <c r="V98" s="97"/>
      <c r="W98" s="97">
        <v>100</v>
      </c>
      <c r="X98" s="97">
        <v>100</v>
      </c>
      <c r="Y98" s="97">
        <v>100</v>
      </c>
      <c r="Z98" s="97">
        <v>100</v>
      </c>
      <c r="AA98" s="97">
        <v>100</v>
      </c>
      <c r="AB98" s="97">
        <v>100</v>
      </c>
      <c r="AC98" s="97">
        <v>80</v>
      </c>
      <c r="AD98" s="97">
        <v>50</v>
      </c>
      <c r="AE98" s="97"/>
      <c r="AF98" s="97"/>
      <c r="AG98" s="88"/>
      <c r="AH98" s="47">
        <f t="shared" si="79"/>
        <v>200</v>
      </c>
      <c r="AI98" s="48">
        <f t="shared" si="80"/>
        <v>0</v>
      </c>
      <c r="BF98" s="233"/>
      <c r="BG98" s="233">
        <v>60.8</v>
      </c>
      <c r="BH98" s="233">
        <v>0</v>
      </c>
      <c r="BI98" s="233">
        <v>510.4</v>
      </c>
      <c r="BJ98" s="233">
        <v>10.3</v>
      </c>
      <c r="BK98" s="233">
        <v>97.8</v>
      </c>
      <c r="BL98" s="233">
        <v>53.4</v>
      </c>
    </row>
    <row r="99" spans="1:64" ht="15.75" thickBot="1" x14ac:dyDescent="0.3">
      <c r="A99" s="74" t="s">
        <v>101</v>
      </c>
      <c r="B99" s="95">
        <f t="shared" ref="B99:C99" si="103">B97+B98</f>
        <v>1241.99</v>
      </c>
      <c r="C99" s="95">
        <f t="shared" si="103"/>
        <v>1211.99</v>
      </c>
      <c r="D99" s="95">
        <f t="shared" ref="D99:AF99" si="104">D97+D98</f>
        <v>1240.3899999999999</v>
      </c>
      <c r="E99" s="95">
        <f t="shared" ref="E99:F99" si="105">E97+E98</f>
        <v>1217.19</v>
      </c>
      <c r="F99" s="95">
        <f t="shared" si="105"/>
        <v>1206.3899999999999</v>
      </c>
      <c r="G99" s="95">
        <f t="shared" ref="G99:H99" si="106">G97+G98</f>
        <v>1254.29</v>
      </c>
      <c r="H99" s="95">
        <f t="shared" si="106"/>
        <v>1354.69</v>
      </c>
      <c r="I99" s="95">
        <f t="shared" ref="I99:J99" si="107">I97+I98</f>
        <v>1449.5900000000001</v>
      </c>
      <c r="J99" s="95">
        <f t="shared" si="107"/>
        <v>1522.39</v>
      </c>
      <c r="K99" s="95">
        <f t="shared" ref="K99:L99" si="108">K97+K98</f>
        <v>1464.14</v>
      </c>
      <c r="L99" s="95">
        <f t="shared" si="108"/>
        <v>1642.99</v>
      </c>
      <c r="M99" s="95">
        <f t="shared" si="104"/>
        <v>1571.79</v>
      </c>
      <c r="N99" s="95">
        <f t="shared" si="104"/>
        <v>1473.9900000000002</v>
      </c>
      <c r="O99" s="95">
        <f t="shared" si="104"/>
        <v>1529.69</v>
      </c>
      <c r="P99" s="95">
        <f t="shared" si="104"/>
        <v>1536.79</v>
      </c>
      <c r="Q99" s="95">
        <f t="shared" si="104"/>
        <v>1399.0900000000001</v>
      </c>
      <c r="R99" s="95">
        <f t="shared" si="104"/>
        <v>1445.3899999999999</v>
      </c>
      <c r="S99" s="95">
        <f t="shared" ref="S99:T99" si="109">S97+S98</f>
        <v>1473.79</v>
      </c>
      <c r="T99" s="95">
        <f t="shared" si="109"/>
        <v>1419.6899999999998</v>
      </c>
      <c r="U99" s="95">
        <f t="shared" ref="U99:V99" si="110">U97+U98</f>
        <v>1495.79</v>
      </c>
      <c r="V99" s="95">
        <f t="shared" si="110"/>
        <v>1370.79</v>
      </c>
      <c r="W99" s="95">
        <f t="shared" ref="W99:X99" si="111">W97+W98</f>
        <v>1361.99</v>
      </c>
      <c r="X99" s="95">
        <f t="shared" si="111"/>
        <v>1400.67</v>
      </c>
      <c r="Y99" s="95">
        <f t="shared" ref="Y99:Z99" si="112">Y97+Y98</f>
        <v>1654.19</v>
      </c>
      <c r="Z99" s="95">
        <f t="shared" si="112"/>
        <v>1763.79</v>
      </c>
      <c r="AA99" s="95">
        <f t="shared" ref="AA99" si="113">AA97+AA98</f>
        <v>1689.5900000000001</v>
      </c>
      <c r="AB99" s="95">
        <f t="shared" si="104"/>
        <v>1627.5900000000001</v>
      </c>
      <c r="AC99" s="95">
        <f t="shared" si="104"/>
        <v>1583.5900000000001</v>
      </c>
      <c r="AD99" s="95">
        <f t="shared" si="104"/>
        <v>1535.49</v>
      </c>
      <c r="AE99" s="95">
        <f t="shared" si="104"/>
        <v>1368.69</v>
      </c>
      <c r="AF99" s="95">
        <f t="shared" si="104"/>
        <v>1306.8900000000001</v>
      </c>
      <c r="AG99" s="88">
        <f>AG96+AG92+AG80+AG76+AG58+AG98</f>
        <v>1693.71</v>
      </c>
      <c r="AH99" s="47">
        <f t="shared" si="79"/>
        <v>1763.79</v>
      </c>
      <c r="AI99" s="48">
        <f t="shared" si="80"/>
        <v>1206.3899999999999</v>
      </c>
      <c r="BF99" s="233"/>
      <c r="BG99" s="233">
        <v>66</v>
      </c>
      <c r="BH99" s="233">
        <v>0</v>
      </c>
      <c r="BI99" s="233">
        <v>542.20000000000005</v>
      </c>
      <c r="BJ99" s="233">
        <v>45.6</v>
      </c>
      <c r="BK99" s="233">
        <v>101.2</v>
      </c>
      <c r="BL99" s="233">
        <v>58.8</v>
      </c>
    </row>
    <row r="100" spans="1:64" ht="15.75" thickBot="1" x14ac:dyDescent="0.3">
      <c r="A100" s="74" t="s">
        <v>102</v>
      </c>
      <c r="B100" s="95">
        <f t="shared" ref="B100:C100" si="114">B99-(B107)</f>
        <v>1241.99</v>
      </c>
      <c r="C100" s="95">
        <f t="shared" si="114"/>
        <v>1211.99</v>
      </c>
      <c r="D100" s="95">
        <f t="shared" ref="D100:M100" si="115">D99-(D107)</f>
        <v>1240.3899999999999</v>
      </c>
      <c r="E100" s="95">
        <f t="shared" ref="E100:F100" si="116">E99-(E107)</f>
        <v>1217.19</v>
      </c>
      <c r="F100" s="95">
        <f t="shared" si="116"/>
        <v>1206.3899999999999</v>
      </c>
      <c r="G100" s="95">
        <f t="shared" ref="G100:H100" si="117">G99-(G107)</f>
        <v>1254.29</v>
      </c>
      <c r="H100" s="95">
        <f t="shared" si="117"/>
        <v>1354.69</v>
      </c>
      <c r="I100" s="95">
        <f t="shared" ref="I100:J100" si="118">I99-(I107)</f>
        <v>1449.5900000000001</v>
      </c>
      <c r="J100" s="95">
        <f t="shared" si="118"/>
        <v>1522.39</v>
      </c>
      <c r="K100" s="95">
        <f t="shared" ref="K100:L100" si="119">K99-(K107)</f>
        <v>1464.14</v>
      </c>
      <c r="L100" s="95">
        <f t="shared" si="119"/>
        <v>1642.99</v>
      </c>
      <c r="M100" s="95">
        <f t="shared" si="115"/>
        <v>1571.79</v>
      </c>
      <c r="N100" s="95">
        <f>N99-(N107)</f>
        <v>1473.9900000000002</v>
      </c>
      <c r="O100" s="95">
        <f t="shared" ref="O100:AF100" si="120">O99-(O107)</f>
        <v>1529.69</v>
      </c>
      <c r="P100" s="95">
        <f t="shared" si="120"/>
        <v>1536.79</v>
      </c>
      <c r="Q100" s="95">
        <f t="shared" si="120"/>
        <v>1399.0900000000001</v>
      </c>
      <c r="R100" s="95">
        <f t="shared" si="120"/>
        <v>1445.3899999999999</v>
      </c>
      <c r="S100" s="95">
        <f t="shared" ref="S100:T100" si="121">S99-(S107)</f>
        <v>1473.79</v>
      </c>
      <c r="T100" s="95">
        <f t="shared" si="121"/>
        <v>1419.6899999999998</v>
      </c>
      <c r="U100" s="95">
        <f t="shared" ref="U100:V100" si="122">U99-(U107)</f>
        <v>1495.79</v>
      </c>
      <c r="V100" s="95">
        <f t="shared" si="122"/>
        <v>1370.79</v>
      </c>
      <c r="W100" s="95">
        <f t="shared" ref="W100:X100" si="123">W99-(W107)</f>
        <v>1361.99</v>
      </c>
      <c r="X100" s="95">
        <f t="shared" si="123"/>
        <v>1400.67</v>
      </c>
      <c r="Y100" s="95">
        <f t="shared" ref="Y100:Z100" si="124">Y99-(Y107)</f>
        <v>1654.19</v>
      </c>
      <c r="Z100" s="95">
        <f t="shared" si="124"/>
        <v>1763.79</v>
      </c>
      <c r="AA100" s="95">
        <f t="shared" ref="AA100" si="125">AA99-(AA107)</f>
        <v>1689.5900000000001</v>
      </c>
      <c r="AB100" s="95">
        <f t="shared" si="120"/>
        <v>1627.5900000000001</v>
      </c>
      <c r="AC100" s="95">
        <f t="shared" si="120"/>
        <v>1583.5900000000001</v>
      </c>
      <c r="AD100" s="95">
        <f t="shared" si="120"/>
        <v>1535.49</v>
      </c>
      <c r="AE100" s="95">
        <f t="shared" si="120"/>
        <v>1368.69</v>
      </c>
      <c r="AF100" s="95">
        <f t="shared" si="120"/>
        <v>1306.8900000000001</v>
      </c>
      <c r="AG100" s="88"/>
      <c r="AH100" s="47">
        <f t="shared" si="79"/>
        <v>1763.79</v>
      </c>
      <c r="AI100" s="48">
        <f t="shared" si="80"/>
        <v>1206.3899999999999</v>
      </c>
      <c r="BF100" s="233"/>
      <c r="BG100" s="233">
        <v>45.2</v>
      </c>
      <c r="BH100" s="233">
        <v>0</v>
      </c>
      <c r="BI100" s="233">
        <v>514.29999999999995</v>
      </c>
      <c r="BJ100" s="233">
        <v>26.7</v>
      </c>
      <c r="BK100" s="233">
        <v>53.8</v>
      </c>
      <c r="BL100" s="233">
        <v>55.7</v>
      </c>
    </row>
    <row r="101" spans="1:64" x14ac:dyDescent="0.25">
      <c r="A101" s="44" t="s">
        <v>84</v>
      </c>
      <c r="B101" s="76">
        <f t="shared" ref="B101:C101" si="126">IF(B84&lt;0,B84*-1,0)</f>
        <v>0</v>
      </c>
      <c r="C101" s="76">
        <f t="shared" si="126"/>
        <v>0</v>
      </c>
      <c r="D101" s="76">
        <f t="shared" ref="D101:AF101" si="127">IF(D84&lt;0,D84*-1,0)</f>
        <v>0</v>
      </c>
      <c r="E101" s="76">
        <f t="shared" ref="E101:F101" si="128">IF(E84&lt;0,E84*-1,0)</f>
        <v>0</v>
      </c>
      <c r="F101" s="76">
        <f t="shared" si="128"/>
        <v>0</v>
      </c>
      <c r="G101" s="76">
        <f t="shared" ref="G101:H101" si="129">IF(G84&lt;0,G84*-1,0)</f>
        <v>0</v>
      </c>
      <c r="H101" s="76">
        <f t="shared" si="129"/>
        <v>0</v>
      </c>
      <c r="I101" s="76">
        <f t="shared" ref="I101:J101" si="130">IF(I84&lt;0,I84*-1,0)</f>
        <v>0</v>
      </c>
      <c r="J101" s="76">
        <f t="shared" si="130"/>
        <v>0</v>
      </c>
      <c r="K101" s="76">
        <f t="shared" ref="K101:L101" si="131">IF(K84&lt;0,K84*-1,0)</f>
        <v>0</v>
      </c>
      <c r="L101" s="76">
        <f t="shared" si="131"/>
        <v>0</v>
      </c>
      <c r="M101" s="76">
        <f t="shared" si="127"/>
        <v>0</v>
      </c>
      <c r="N101" s="76">
        <f t="shared" si="127"/>
        <v>0</v>
      </c>
      <c r="O101" s="76">
        <f t="shared" si="127"/>
        <v>0</v>
      </c>
      <c r="P101" s="76">
        <f t="shared" si="127"/>
        <v>0</v>
      </c>
      <c r="Q101" s="76">
        <f t="shared" si="127"/>
        <v>0</v>
      </c>
      <c r="R101" s="76">
        <f t="shared" si="127"/>
        <v>0</v>
      </c>
      <c r="S101" s="76">
        <f t="shared" ref="S101:T101" si="132">IF(S84&lt;0,S84*-1,0)</f>
        <v>0</v>
      </c>
      <c r="T101" s="76">
        <f t="shared" si="132"/>
        <v>0</v>
      </c>
      <c r="U101" s="76">
        <f t="shared" ref="U101:V101" si="133">IF(U84&lt;0,U84*-1,0)</f>
        <v>0</v>
      </c>
      <c r="V101" s="76">
        <f t="shared" si="133"/>
        <v>0</v>
      </c>
      <c r="W101" s="76">
        <f t="shared" ref="W101:X101" si="134">IF(W84&lt;0,W84*-1,0)</f>
        <v>0</v>
      </c>
      <c r="X101" s="76">
        <f t="shared" si="134"/>
        <v>0</v>
      </c>
      <c r="Y101" s="76">
        <f t="shared" ref="Y101:Z101" si="135">IF(Y84&lt;0,Y84*-1,0)</f>
        <v>0</v>
      </c>
      <c r="Z101" s="76">
        <f t="shared" si="135"/>
        <v>0</v>
      </c>
      <c r="AA101" s="76">
        <f t="shared" ref="AA101" si="136">IF(AA84&lt;0,AA84*-1,0)</f>
        <v>0</v>
      </c>
      <c r="AB101" s="76">
        <f t="shared" si="127"/>
        <v>0</v>
      </c>
      <c r="AC101" s="76">
        <f t="shared" si="127"/>
        <v>0</v>
      </c>
      <c r="AD101" s="76">
        <f t="shared" si="127"/>
        <v>0</v>
      </c>
      <c r="AE101" s="76">
        <f t="shared" si="127"/>
        <v>0</v>
      </c>
      <c r="AF101" s="76">
        <f t="shared" si="127"/>
        <v>0</v>
      </c>
      <c r="AG101" s="52"/>
      <c r="AH101" s="47">
        <f t="shared" si="79"/>
        <v>0</v>
      </c>
      <c r="AI101" s="48">
        <f t="shared" si="80"/>
        <v>0</v>
      </c>
      <c r="BF101" s="232"/>
      <c r="BG101" s="233">
        <v>67.599999999999994</v>
      </c>
      <c r="BH101" s="233">
        <v>0</v>
      </c>
      <c r="BI101" s="233">
        <v>449.9</v>
      </c>
      <c r="BJ101" s="233">
        <v>3</v>
      </c>
      <c r="BK101" s="233">
        <v>0</v>
      </c>
      <c r="BL101" s="233">
        <v>43.1</v>
      </c>
    </row>
    <row r="102" spans="1:64" x14ac:dyDescent="0.25">
      <c r="A102" s="54" t="s">
        <v>82</v>
      </c>
      <c r="B102" s="76">
        <f t="shared" ref="B102:C102" si="137">IF(B82&lt;0,B82*-1,0)</f>
        <v>0</v>
      </c>
      <c r="C102" s="76">
        <f t="shared" si="137"/>
        <v>0</v>
      </c>
      <c r="D102" s="76">
        <f t="shared" ref="D102:AF102" si="138">IF(D82&lt;0,D82*-1,0)</f>
        <v>0</v>
      </c>
      <c r="E102" s="76">
        <f t="shared" ref="E102:F102" si="139">IF(E82&lt;0,E82*-1,0)</f>
        <v>0</v>
      </c>
      <c r="F102" s="76">
        <f t="shared" si="139"/>
        <v>0</v>
      </c>
      <c r="G102" s="76">
        <f t="shared" ref="G102:H102" si="140">IF(G82&lt;0,G82*-1,0)</f>
        <v>0</v>
      </c>
      <c r="H102" s="76">
        <f t="shared" si="140"/>
        <v>0</v>
      </c>
      <c r="I102" s="76">
        <f t="shared" ref="I102:J102" si="141">IF(I82&lt;0,I82*-1,0)</f>
        <v>0</v>
      </c>
      <c r="J102" s="76">
        <f t="shared" si="141"/>
        <v>0</v>
      </c>
      <c r="K102" s="76">
        <f t="shared" ref="K102:L102" si="142">IF(K82&lt;0,K82*-1,0)</f>
        <v>0</v>
      </c>
      <c r="L102" s="76">
        <f t="shared" si="142"/>
        <v>0</v>
      </c>
      <c r="M102" s="76">
        <f t="shared" si="138"/>
        <v>0</v>
      </c>
      <c r="N102" s="76">
        <f t="shared" si="138"/>
        <v>0</v>
      </c>
      <c r="O102" s="76">
        <f t="shared" si="138"/>
        <v>0</v>
      </c>
      <c r="P102" s="76">
        <f t="shared" si="138"/>
        <v>0</v>
      </c>
      <c r="Q102" s="76">
        <f t="shared" si="138"/>
        <v>0</v>
      </c>
      <c r="R102" s="76">
        <f t="shared" si="138"/>
        <v>0</v>
      </c>
      <c r="S102" s="76">
        <f t="shared" ref="S102:T102" si="143">IF(S82&lt;0,S82*-1,0)</f>
        <v>0</v>
      </c>
      <c r="T102" s="76">
        <f t="shared" si="143"/>
        <v>0</v>
      </c>
      <c r="U102" s="76">
        <f t="shared" ref="U102:V102" si="144">IF(U82&lt;0,U82*-1,0)</f>
        <v>0</v>
      </c>
      <c r="V102" s="76">
        <f t="shared" si="144"/>
        <v>0</v>
      </c>
      <c r="W102" s="76">
        <f t="shared" ref="W102:X102" si="145">IF(W82&lt;0,W82*-1,0)</f>
        <v>0</v>
      </c>
      <c r="X102" s="76">
        <f t="shared" si="145"/>
        <v>0</v>
      </c>
      <c r="Y102" s="76">
        <f t="shared" ref="Y102:Z102" si="146">IF(Y82&lt;0,Y82*-1,0)</f>
        <v>0</v>
      </c>
      <c r="Z102" s="76">
        <f t="shared" si="146"/>
        <v>0</v>
      </c>
      <c r="AA102" s="76">
        <f t="shared" ref="AA102" si="147">IF(AA82&lt;0,AA82*-1,0)</f>
        <v>0</v>
      </c>
      <c r="AB102" s="76">
        <f t="shared" si="138"/>
        <v>0</v>
      </c>
      <c r="AC102" s="76">
        <f t="shared" si="138"/>
        <v>0</v>
      </c>
      <c r="AD102" s="76">
        <f t="shared" si="138"/>
        <v>0</v>
      </c>
      <c r="AE102" s="76">
        <f t="shared" si="138"/>
        <v>0</v>
      </c>
      <c r="AF102" s="76">
        <f t="shared" si="138"/>
        <v>0</v>
      </c>
      <c r="AG102" s="55"/>
      <c r="AH102" s="47">
        <f t="shared" si="79"/>
        <v>0</v>
      </c>
      <c r="AI102" s="48">
        <f t="shared" si="80"/>
        <v>0</v>
      </c>
      <c r="BF102" s="232"/>
      <c r="BG102" s="233">
        <v>70.599999999999994</v>
      </c>
      <c r="BH102" s="233">
        <v>0</v>
      </c>
      <c r="BI102" s="233">
        <v>284.8</v>
      </c>
      <c r="BJ102" s="233">
        <v>4.7</v>
      </c>
      <c r="BK102" s="233">
        <v>0</v>
      </c>
      <c r="BL102" s="233">
        <v>81.400000000000006</v>
      </c>
    </row>
    <row r="103" spans="1:64" x14ac:dyDescent="0.25">
      <c r="A103" s="84" t="s">
        <v>103</v>
      </c>
      <c r="B103" s="76">
        <f t="shared" ref="B103:C103" si="148">IF(B85&lt;0,B85*-1,0)</f>
        <v>0</v>
      </c>
      <c r="C103" s="76">
        <f t="shared" si="148"/>
        <v>0</v>
      </c>
      <c r="D103" s="76">
        <f t="shared" ref="D103:AF103" si="149">IF(D85&lt;0,D85*-1,0)</f>
        <v>0</v>
      </c>
      <c r="E103" s="76">
        <f t="shared" ref="E103:F103" si="150">IF(E85&lt;0,E85*-1,0)</f>
        <v>0</v>
      </c>
      <c r="F103" s="76">
        <f t="shared" si="150"/>
        <v>0</v>
      </c>
      <c r="G103" s="76">
        <f t="shared" ref="G103:H103" si="151">IF(G85&lt;0,G85*-1,0)</f>
        <v>0</v>
      </c>
      <c r="H103" s="76">
        <f t="shared" si="151"/>
        <v>0</v>
      </c>
      <c r="I103" s="76">
        <f t="shared" ref="I103:J103" si="152">IF(I85&lt;0,I85*-1,0)</f>
        <v>0</v>
      </c>
      <c r="J103" s="76">
        <f t="shared" si="152"/>
        <v>0</v>
      </c>
      <c r="K103" s="76">
        <f t="shared" ref="K103:L103" si="153">IF(K85&lt;0,K85*-1,0)</f>
        <v>0</v>
      </c>
      <c r="L103" s="76">
        <f t="shared" si="153"/>
        <v>0</v>
      </c>
      <c r="M103" s="76">
        <f t="shared" si="149"/>
        <v>0</v>
      </c>
      <c r="N103" s="76">
        <f t="shared" si="149"/>
        <v>0</v>
      </c>
      <c r="O103" s="76">
        <f t="shared" si="149"/>
        <v>0</v>
      </c>
      <c r="P103" s="76">
        <f t="shared" si="149"/>
        <v>0</v>
      </c>
      <c r="Q103" s="76">
        <f t="shared" si="149"/>
        <v>0</v>
      </c>
      <c r="R103" s="76">
        <f t="shared" si="149"/>
        <v>0</v>
      </c>
      <c r="S103" s="76">
        <f t="shared" ref="S103:T103" si="154">IF(S85&lt;0,S85*-1,0)</f>
        <v>0</v>
      </c>
      <c r="T103" s="76">
        <f t="shared" si="154"/>
        <v>0</v>
      </c>
      <c r="U103" s="76">
        <f t="shared" ref="U103:V103" si="155">IF(U85&lt;0,U85*-1,0)</f>
        <v>0</v>
      </c>
      <c r="V103" s="76">
        <f t="shared" si="155"/>
        <v>0</v>
      </c>
      <c r="W103" s="76">
        <f t="shared" ref="W103:X103" si="156">IF(W85&lt;0,W85*-1,0)</f>
        <v>0</v>
      </c>
      <c r="X103" s="76">
        <f t="shared" si="156"/>
        <v>0</v>
      </c>
      <c r="Y103" s="76">
        <f t="shared" ref="Y103:Z103" si="157">IF(Y85&lt;0,Y85*-1,0)</f>
        <v>0</v>
      </c>
      <c r="Z103" s="76">
        <f t="shared" si="157"/>
        <v>0</v>
      </c>
      <c r="AA103" s="76">
        <f t="shared" ref="AA103" si="158">IF(AA85&lt;0,AA85*-1,0)</f>
        <v>0</v>
      </c>
      <c r="AB103" s="76">
        <f t="shared" si="149"/>
        <v>0</v>
      </c>
      <c r="AC103" s="76">
        <f t="shared" si="149"/>
        <v>0</v>
      </c>
      <c r="AD103" s="76">
        <f t="shared" si="149"/>
        <v>0</v>
      </c>
      <c r="AE103" s="76">
        <f t="shared" si="149"/>
        <v>0</v>
      </c>
      <c r="AF103" s="76">
        <f t="shared" si="149"/>
        <v>0</v>
      </c>
      <c r="AG103" s="98"/>
      <c r="AH103" s="47">
        <f t="shared" si="79"/>
        <v>0</v>
      </c>
      <c r="AI103" s="48">
        <f t="shared" si="80"/>
        <v>0</v>
      </c>
      <c r="BF103" s="232"/>
      <c r="BG103" s="233">
        <v>66.8</v>
      </c>
      <c r="BH103" s="233">
        <v>0</v>
      </c>
      <c r="BI103" s="233">
        <v>189</v>
      </c>
      <c r="BJ103" s="233">
        <v>4</v>
      </c>
      <c r="BK103" s="233">
        <v>0</v>
      </c>
      <c r="BL103" s="233">
        <v>72.7</v>
      </c>
    </row>
    <row r="104" spans="1:64" x14ac:dyDescent="0.25">
      <c r="A104" s="84" t="s">
        <v>104</v>
      </c>
      <c r="B104" s="76">
        <f t="shared" ref="B104:C104" si="159">IF(B83&lt;0,B83*-1,0)</f>
        <v>0</v>
      </c>
      <c r="C104" s="76">
        <f t="shared" si="159"/>
        <v>0</v>
      </c>
      <c r="D104" s="76">
        <f t="shared" ref="D104:AF104" si="160">IF(D83&lt;0,D83*-1,0)</f>
        <v>0</v>
      </c>
      <c r="E104" s="76">
        <f t="shared" ref="E104:F104" si="161">IF(E83&lt;0,E83*-1,0)</f>
        <v>0</v>
      </c>
      <c r="F104" s="76">
        <f t="shared" si="161"/>
        <v>0</v>
      </c>
      <c r="G104" s="76">
        <f t="shared" ref="G104:H104" si="162">IF(G83&lt;0,G83*-1,0)</f>
        <v>0</v>
      </c>
      <c r="H104" s="76">
        <f t="shared" si="162"/>
        <v>0</v>
      </c>
      <c r="I104" s="76">
        <f t="shared" ref="I104:J104" si="163">IF(I83&lt;0,I83*-1,0)</f>
        <v>0</v>
      </c>
      <c r="J104" s="76">
        <f t="shared" si="163"/>
        <v>0</v>
      </c>
      <c r="K104" s="76">
        <f t="shared" ref="K104:L104" si="164">IF(K83&lt;0,K83*-1,0)</f>
        <v>0</v>
      </c>
      <c r="L104" s="76">
        <f t="shared" si="164"/>
        <v>0</v>
      </c>
      <c r="M104" s="76">
        <f t="shared" si="160"/>
        <v>0</v>
      </c>
      <c r="N104" s="76">
        <f t="shared" si="160"/>
        <v>0</v>
      </c>
      <c r="O104" s="76">
        <f t="shared" si="160"/>
        <v>0</v>
      </c>
      <c r="P104" s="76">
        <f t="shared" si="160"/>
        <v>0</v>
      </c>
      <c r="Q104" s="76">
        <f t="shared" si="160"/>
        <v>0</v>
      </c>
      <c r="R104" s="76">
        <f t="shared" si="160"/>
        <v>0</v>
      </c>
      <c r="S104" s="76">
        <f t="shared" ref="S104:T104" si="165">IF(S83&lt;0,S83*-1,0)</f>
        <v>0</v>
      </c>
      <c r="T104" s="76">
        <f t="shared" si="165"/>
        <v>0</v>
      </c>
      <c r="U104" s="76">
        <f t="shared" ref="U104:V104" si="166">IF(U83&lt;0,U83*-1,0)</f>
        <v>0</v>
      </c>
      <c r="V104" s="76">
        <f t="shared" si="166"/>
        <v>0</v>
      </c>
      <c r="W104" s="76">
        <f t="shared" ref="W104:X104" si="167">IF(W83&lt;0,W83*-1,0)</f>
        <v>0</v>
      </c>
      <c r="X104" s="76">
        <f t="shared" si="167"/>
        <v>0</v>
      </c>
      <c r="Y104" s="76">
        <f t="shared" ref="Y104:Z104" si="168">IF(Y83&lt;0,Y83*-1,0)</f>
        <v>0</v>
      </c>
      <c r="Z104" s="76">
        <f t="shared" si="168"/>
        <v>0</v>
      </c>
      <c r="AA104" s="76">
        <f t="shared" ref="AA104" si="169">IF(AA83&lt;0,AA83*-1,0)</f>
        <v>0</v>
      </c>
      <c r="AB104" s="76">
        <f t="shared" si="160"/>
        <v>0</v>
      </c>
      <c r="AC104" s="76">
        <f t="shared" si="160"/>
        <v>0</v>
      </c>
      <c r="AD104" s="76">
        <f t="shared" si="160"/>
        <v>0</v>
      </c>
      <c r="AE104" s="76">
        <f t="shared" si="160"/>
        <v>0</v>
      </c>
      <c r="AF104" s="76">
        <f t="shared" si="160"/>
        <v>0</v>
      </c>
      <c r="AG104" s="98"/>
      <c r="AH104" s="47">
        <f t="shared" si="79"/>
        <v>0</v>
      </c>
      <c r="AI104" s="48">
        <f t="shared" si="80"/>
        <v>0</v>
      </c>
      <c r="BF104" s="232"/>
      <c r="BG104" s="233">
        <v>65.400000000000006</v>
      </c>
      <c r="BH104" s="233">
        <v>0</v>
      </c>
      <c r="BI104" s="233">
        <v>404.6</v>
      </c>
      <c r="BJ104" s="233">
        <v>54.7</v>
      </c>
      <c r="BK104" s="233">
        <v>0</v>
      </c>
      <c r="BL104" s="233">
        <v>73.2</v>
      </c>
    </row>
    <row r="105" spans="1:64" x14ac:dyDescent="0.25">
      <c r="A105" s="84" t="s">
        <v>81</v>
      </c>
      <c r="B105" s="76">
        <f t="shared" ref="B105:C105" si="170">IF(B81&lt;0,B81*-1,0)</f>
        <v>0</v>
      </c>
      <c r="C105" s="76">
        <f t="shared" si="170"/>
        <v>0</v>
      </c>
      <c r="D105" s="76">
        <f t="shared" ref="D105:AF105" si="171">IF(D81&lt;0,D81*-1,0)</f>
        <v>0</v>
      </c>
      <c r="E105" s="76">
        <f t="shared" ref="E105:F105" si="172">IF(E81&lt;0,E81*-1,0)</f>
        <v>0</v>
      </c>
      <c r="F105" s="76">
        <f t="shared" si="172"/>
        <v>0</v>
      </c>
      <c r="G105" s="76">
        <f t="shared" ref="G105:H105" si="173">IF(G81&lt;0,G81*-1,0)</f>
        <v>0</v>
      </c>
      <c r="H105" s="76">
        <f t="shared" si="173"/>
        <v>0</v>
      </c>
      <c r="I105" s="76">
        <f t="shared" ref="I105:J105" si="174">IF(I81&lt;0,I81*-1,0)</f>
        <v>0</v>
      </c>
      <c r="J105" s="76">
        <f t="shared" si="174"/>
        <v>0</v>
      </c>
      <c r="K105" s="76">
        <f t="shared" ref="K105:L105" si="175">IF(K81&lt;0,K81*-1,0)</f>
        <v>0</v>
      </c>
      <c r="L105" s="76">
        <f t="shared" si="175"/>
        <v>0</v>
      </c>
      <c r="M105" s="76">
        <f t="shared" si="171"/>
        <v>0</v>
      </c>
      <c r="N105" s="76">
        <f t="shared" si="171"/>
        <v>0</v>
      </c>
      <c r="O105" s="76">
        <f t="shared" si="171"/>
        <v>0</v>
      </c>
      <c r="P105" s="76">
        <f t="shared" si="171"/>
        <v>0</v>
      </c>
      <c r="Q105" s="76">
        <f t="shared" si="171"/>
        <v>0</v>
      </c>
      <c r="R105" s="76">
        <f t="shared" si="171"/>
        <v>0</v>
      </c>
      <c r="S105" s="76">
        <f t="shared" ref="S105:T105" si="176">IF(S81&lt;0,S81*-1,0)</f>
        <v>0</v>
      </c>
      <c r="T105" s="76">
        <f t="shared" si="176"/>
        <v>0</v>
      </c>
      <c r="U105" s="76">
        <f t="shared" ref="U105:V105" si="177">IF(U81&lt;0,U81*-1,0)</f>
        <v>0</v>
      </c>
      <c r="V105" s="76">
        <f t="shared" si="177"/>
        <v>0</v>
      </c>
      <c r="W105" s="76">
        <f t="shared" ref="W105:X105" si="178">IF(W81&lt;0,W81*-1,0)</f>
        <v>0</v>
      </c>
      <c r="X105" s="76">
        <f t="shared" si="178"/>
        <v>0</v>
      </c>
      <c r="Y105" s="76">
        <f t="shared" ref="Y105:Z105" si="179">IF(Y81&lt;0,Y81*-1,0)</f>
        <v>0</v>
      </c>
      <c r="Z105" s="76">
        <f t="shared" si="179"/>
        <v>0</v>
      </c>
      <c r="AA105" s="76">
        <f t="shared" ref="AA105" si="180">IF(AA81&lt;0,AA81*-1,0)</f>
        <v>0</v>
      </c>
      <c r="AB105" s="76">
        <f t="shared" si="171"/>
        <v>0</v>
      </c>
      <c r="AC105" s="76">
        <f t="shared" si="171"/>
        <v>0</v>
      </c>
      <c r="AD105" s="76">
        <f t="shared" si="171"/>
        <v>0</v>
      </c>
      <c r="AE105" s="76">
        <f t="shared" si="171"/>
        <v>0</v>
      </c>
      <c r="AF105" s="76">
        <f t="shared" si="171"/>
        <v>0</v>
      </c>
      <c r="AG105" s="98"/>
      <c r="AH105" s="47">
        <f t="shared" si="79"/>
        <v>0</v>
      </c>
      <c r="AI105" s="48">
        <f t="shared" si="80"/>
        <v>0</v>
      </c>
      <c r="BF105" s="232"/>
      <c r="BG105" s="233">
        <v>59.9</v>
      </c>
      <c r="BH105" s="233">
        <v>0</v>
      </c>
      <c r="BI105" s="233">
        <v>376.5</v>
      </c>
      <c r="BJ105" s="233">
        <v>49.3</v>
      </c>
      <c r="BK105" s="233">
        <v>108.8</v>
      </c>
      <c r="BL105" s="233">
        <v>69.8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79"/>
        <v>0</v>
      </c>
      <c r="AI106" s="48">
        <f t="shared" si="80"/>
        <v>0</v>
      </c>
      <c r="BG106" s="233">
        <v>67</v>
      </c>
      <c r="BH106" s="233">
        <v>0</v>
      </c>
      <c r="BI106" s="233">
        <v>411.1</v>
      </c>
      <c r="BJ106" s="233">
        <v>55.2</v>
      </c>
      <c r="BK106" s="233">
        <v>110.8</v>
      </c>
      <c r="BL106" s="233">
        <v>68.099999999999994</v>
      </c>
    </row>
    <row r="107" spans="1:64" ht="15.75" thickBot="1" x14ac:dyDescent="0.3">
      <c r="A107" s="99" t="s">
        <v>106</v>
      </c>
      <c r="B107" s="60">
        <v>0</v>
      </c>
      <c r="C107" s="60">
        <v>0</v>
      </c>
      <c r="D107" s="60">
        <f t="shared" ref="D107:AF107" si="181">SUM(D101:D106)</f>
        <v>0</v>
      </c>
      <c r="E107" s="60">
        <f t="shared" ref="E107:F107" si="182">SUM(E101:E106)</f>
        <v>0</v>
      </c>
      <c r="F107" s="60">
        <f t="shared" si="182"/>
        <v>0</v>
      </c>
      <c r="G107" s="60">
        <f t="shared" ref="G107:H107" si="183">SUM(G101:G106)</f>
        <v>0</v>
      </c>
      <c r="H107" s="60">
        <f t="shared" si="183"/>
        <v>0</v>
      </c>
      <c r="I107" s="60">
        <f t="shared" ref="I107:J107" si="184">SUM(I101:I106)</f>
        <v>0</v>
      </c>
      <c r="J107" s="60">
        <f t="shared" si="184"/>
        <v>0</v>
      </c>
      <c r="K107" s="60">
        <f t="shared" ref="K107:L107" si="185">SUM(K101:K106)</f>
        <v>0</v>
      </c>
      <c r="L107" s="60">
        <f t="shared" si="185"/>
        <v>0</v>
      </c>
      <c r="M107" s="60">
        <f t="shared" si="181"/>
        <v>0</v>
      </c>
      <c r="N107" s="60">
        <f t="shared" si="181"/>
        <v>0</v>
      </c>
      <c r="O107" s="60">
        <f t="shared" si="181"/>
        <v>0</v>
      </c>
      <c r="P107" s="60">
        <f t="shared" si="181"/>
        <v>0</v>
      </c>
      <c r="Q107" s="60">
        <f t="shared" si="181"/>
        <v>0</v>
      </c>
      <c r="R107" s="60">
        <f t="shared" si="181"/>
        <v>0</v>
      </c>
      <c r="S107" s="60">
        <f t="shared" ref="S107:T107" si="186">SUM(S101:S106)</f>
        <v>0</v>
      </c>
      <c r="T107" s="60">
        <f t="shared" si="186"/>
        <v>0</v>
      </c>
      <c r="U107" s="60">
        <f t="shared" ref="U107:V107" si="187">SUM(U101:U106)</f>
        <v>0</v>
      </c>
      <c r="V107" s="60">
        <f t="shared" si="187"/>
        <v>0</v>
      </c>
      <c r="W107" s="60">
        <f t="shared" ref="W107:X107" si="188">SUM(W101:W106)</f>
        <v>0</v>
      </c>
      <c r="X107" s="60">
        <f t="shared" si="188"/>
        <v>0</v>
      </c>
      <c r="Y107" s="60">
        <f t="shared" ref="Y107:Z107" si="189">SUM(Y101:Y106)</f>
        <v>0</v>
      </c>
      <c r="Z107" s="60">
        <f t="shared" si="189"/>
        <v>0</v>
      </c>
      <c r="AA107" s="60">
        <f t="shared" ref="AA107" si="190">SUM(AA101:AA106)</f>
        <v>0</v>
      </c>
      <c r="AB107" s="60">
        <f t="shared" si="181"/>
        <v>0</v>
      </c>
      <c r="AC107" s="60">
        <f t="shared" si="181"/>
        <v>0</v>
      </c>
      <c r="AD107" s="60">
        <f t="shared" si="181"/>
        <v>0</v>
      </c>
      <c r="AE107" s="60">
        <f t="shared" si="181"/>
        <v>0</v>
      </c>
      <c r="AF107" s="60">
        <f t="shared" si="181"/>
        <v>0</v>
      </c>
      <c r="AG107" s="88"/>
      <c r="AH107" s="47">
        <f t="shared" si="79"/>
        <v>0</v>
      </c>
      <c r="AI107" s="48">
        <f t="shared" si="80"/>
        <v>0</v>
      </c>
      <c r="AK107" s="50"/>
      <c r="BG107" s="233">
        <v>54</v>
      </c>
      <c r="BH107" s="233">
        <v>0</v>
      </c>
      <c r="BI107" s="233">
        <v>425</v>
      </c>
      <c r="BJ107" s="233">
        <v>3.9</v>
      </c>
      <c r="BK107" s="233">
        <v>120</v>
      </c>
      <c r="BL107" s="233">
        <v>0</v>
      </c>
    </row>
    <row r="108" spans="1:64" ht="15.75" thickBot="1" x14ac:dyDescent="0.3">
      <c r="A108" s="74" t="s">
        <v>107</v>
      </c>
      <c r="B108" s="60">
        <f t="shared" ref="B108:C108" si="191">B92-B107</f>
        <v>602.9</v>
      </c>
      <c r="C108" s="60">
        <f t="shared" si="191"/>
        <v>572.9</v>
      </c>
      <c r="D108" s="60">
        <f t="shared" ref="D108:AF108" si="192">D92-D107</f>
        <v>601.29999999999995</v>
      </c>
      <c r="E108" s="60">
        <f t="shared" ref="E108:F108" si="193">E92-E107</f>
        <v>593.6</v>
      </c>
      <c r="F108" s="60">
        <f t="shared" si="193"/>
        <v>582.79999999999995</v>
      </c>
      <c r="G108" s="60">
        <f t="shared" ref="G108:H108" si="194">G92-G107</f>
        <v>599.70000000000005</v>
      </c>
      <c r="H108" s="60">
        <f t="shared" si="194"/>
        <v>662.7</v>
      </c>
      <c r="I108" s="60">
        <f t="shared" ref="I108:J108" si="195">I92-I107</f>
        <v>670.5</v>
      </c>
      <c r="J108" s="60">
        <f t="shared" si="195"/>
        <v>650.29999999999995</v>
      </c>
      <c r="K108" s="60">
        <f t="shared" ref="K108:L108" si="196">K92-K107</f>
        <v>291.70000000000005</v>
      </c>
      <c r="L108" s="60">
        <f t="shared" si="196"/>
        <v>145.70000000000002</v>
      </c>
      <c r="M108" s="60">
        <f t="shared" si="192"/>
        <v>138.1</v>
      </c>
      <c r="N108" s="60">
        <f t="shared" si="192"/>
        <v>436.6</v>
      </c>
      <c r="O108" s="60">
        <f t="shared" si="192"/>
        <v>611.30000000000007</v>
      </c>
      <c r="P108" s="60">
        <f t="shared" si="192"/>
        <v>677.3</v>
      </c>
      <c r="Q108" s="60">
        <f t="shared" si="192"/>
        <v>720.80000000000007</v>
      </c>
      <c r="R108" s="60">
        <f t="shared" si="192"/>
        <v>717.1</v>
      </c>
      <c r="S108" s="60">
        <f t="shared" ref="S108:T108" si="197">S92-S107</f>
        <v>783.19999999999993</v>
      </c>
      <c r="T108" s="60">
        <f t="shared" si="197"/>
        <v>732.69999999999982</v>
      </c>
      <c r="U108" s="60">
        <f t="shared" ref="U108:V108" si="198">U92-U107</f>
        <v>813.80000000000007</v>
      </c>
      <c r="V108" s="60">
        <f t="shared" si="198"/>
        <v>695.7</v>
      </c>
      <c r="W108" s="60">
        <f t="shared" ref="W108:X108" si="199">W92-W107</f>
        <v>563.9</v>
      </c>
      <c r="X108" s="60">
        <f t="shared" si="199"/>
        <v>563.6</v>
      </c>
      <c r="Y108" s="60">
        <f t="shared" ref="Y108:Z108" si="200">Y92-Y107</f>
        <v>500.59999999999997</v>
      </c>
      <c r="Z108" s="60">
        <f t="shared" si="200"/>
        <v>441.5</v>
      </c>
      <c r="AA108" s="60">
        <f t="shared" ref="AA108" si="201">AA92-AA107</f>
        <v>349.6</v>
      </c>
      <c r="AB108" s="60">
        <f t="shared" si="192"/>
        <v>332.5</v>
      </c>
      <c r="AC108" s="60">
        <f t="shared" si="192"/>
        <v>475.19999999999993</v>
      </c>
      <c r="AD108" s="60">
        <f t="shared" si="192"/>
        <v>597.90000000000009</v>
      </c>
      <c r="AE108" s="60">
        <f t="shared" si="192"/>
        <v>664.3</v>
      </c>
      <c r="AF108" s="60">
        <f t="shared" si="192"/>
        <v>712.2</v>
      </c>
      <c r="AG108" s="88"/>
      <c r="AH108" s="47">
        <f t="shared" si="79"/>
        <v>813.80000000000007</v>
      </c>
      <c r="AI108" s="48">
        <f t="shared" si="80"/>
        <v>138.1</v>
      </c>
    </row>
    <row r="109" spans="1:64" x14ac:dyDescent="0.25">
      <c r="A109" s="100" t="s">
        <v>108</v>
      </c>
      <c r="B109" s="101">
        <v>49.94</v>
      </c>
      <c r="C109" s="101">
        <v>50.01</v>
      </c>
      <c r="D109" s="101">
        <v>50.02</v>
      </c>
      <c r="E109" s="101">
        <v>50.042999999999999</v>
      </c>
      <c r="F109" s="101">
        <v>50</v>
      </c>
      <c r="G109" s="101">
        <v>50.02</v>
      </c>
      <c r="H109" s="101">
        <v>50.02</v>
      </c>
      <c r="I109" s="101">
        <v>50.01</v>
      </c>
      <c r="J109" s="101">
        <v>50.07</v>
      </c>
      <c r="K109" s="101">
        <v>49.85</v>
      </c>
      <c r="L109" s="101">
        <v>49.87</v>
      </c>
      <c r="M109" s="101">
        <v>50.113999999999997</v>
      </c>
      <c r="N109" s="101">
        <v>49.981999999999999</v>
      </c>
      <c r="O109" s="101">
        <v>49.951000000000001</v>
      </c>
      <c r="P109" s="101">
        <v>50</v>
      </c>
      <c r="Q109" s="101">
        <v>50.122999999999998</v>
      </c>
      <c r="R109" s="101">
        <v>50.045999999999999</v>
      </c>
      <c r="S109" s="101">
        <v>50</v>
      </c>
      <c r="T109" s="101">
        <v>49.93</v>
      </c>
      <c r="U109" s="101">
        <v>49.93</v>
      </c>
      <c r="V109" s="101">
        <v>49.96</v>
      </c>
      <c r="W109" s="101">
        <v>50.11</v>
      </c>
      <c r="X109" s="101">
        <v>50.07</v>
      </c>
      <c r="Y109" s="101">
        <v>50.01</v>
      </c>
      <c r="Z109" s="101">
        <v>49.95</v>
      </c>
      <c r="AA109" s="101">
        <v>49.92</v>
      </c>
      <c r="AB109" s="101">
        <v>49.987000000000002</v>
      </c>
      <c r="AC109" s="101">
        <v>49.923000000000002</v>
      </c>
      <c r="AD109" s="101">
        <v>50.073999999999998</v>
      </c>
      <c r="AE109" s="101">
        <v>49.99</v>
      </c>
      <c r="AF109" s="101">
        <v>50.043999999999997</v>
      </c>
      <c r="AG109" s="102"/>
      <c r="AH109" s="47">
        <f t="shared" si="79"/>
        <v>50.122999999999998</v>
      </c>
      <c r="AI109" s="48">
        <f t="shared" si="80"/>
        <v>49.85</v>
      </c>
    </row>
    <row r="110" spans="1:64" x14ac:dyDescent="0.25">
      <c r="A110" s="103" t="s">
        <v>109</v>
      </c>
      <c r="B110" s="65">
        <v>127</v>
      </c>
      <c r="C110" s="65">
        <v>129</v>
      </c>
      <c r="D110" s="65">
        <v>129</v>
      </c>
      <c r="E110" s="65">
        <v>129</v>
      </c>
      <c r="F110" s="65">
        <v>130.19999999999999</v>
      </c>
      <c r="G110" s="65">
        <v>130.19999999999999</v>
      </c>
      <c r="H110" s="65">
        <v>130.19999999999999</v>
      </c>
      <c r="I110" s="65">
        <v>128.5</v>
      </c>
      <c r="J110" s="65">
        <v>126.4</v>
      </c>
      <c r="K110" s="65">
        <v>127.6</v>
      </c>
      <c r="L110" s="65">
        <v>125.3</v>
      </c>
      <c r="M110" s="65">
        <v>125.3</v>
      </c>
      <c r="N110" s="65">
        <v>127.1</v>
      </c>
      <c r="O110" s="65">
        <v>124.7</v>
      </c>
      <c r="P110" s="65">
        <v>126</v>
      </c>
      <c r="Q110" s="65">
        <v>122.8</v>
      </c>
      <c r="R110" s="65">
        <v>123.4</v>
      </c>
      <c r="S110" s="65">
        <v>124.1</v>
      </c>
      <c r="T110" s="65">
        <v>124.1</v>
      </c>
      <c r="U110" s="65">
        <v>123.2</v>
      </c>
      <c r="V110" s="65">
        <v>126.4</v>
      </c>
      <c r="W110" s="65">
        <v>129.1</v>
      </c>
      <c r="X110" s="65">
        <v>127.7</v>
      </c>
      <c r="Y110" s="65">
        <v>126.1</v>
      </c>
      <c r="Z110" s="65">
        <v>124.7</v>
      </c>
      <c r="AA110" s="65">
        <v>126.6</v>
      </c>
      <c r="AB110" s="65">
        <v>126.8</v>
      </c>
      <c r="AC110" s="65">
        <v>126.3</v>
      </c>
      <c r="AD110" s="65">
        <v>128</v>
      </c>
      <c r="AE110" s="65">
        <v>130.4</v>
      </c>
      <c r="AF110" s="65">
        <v>129.19999999999999</v>
      </c>
      <c r="AG110" s="104"/>
      <c r="AH110" s="47">
        <f t="shared" si="79"/>
        <v>130.4</v>
      </c>
      <c r="AI110" s="48">
        <f t="shared" si="80"/>
        <v>122.8</v>
      </c>
    </row>
    <row r="111" spans="1:64" x14ac:dyDescent="0.25">
      <c r="A111" s="103" t="s">
        <v>110</v>
      </c>
      <c r="B111" s="65">
        <v>132</v>
      </c>
      <c r="C111" s="65">
        <v>132</v>
      </c>
      <c r="D111" s="65">
        <v>132</v>
      </c>
      <c r="E111" s="65">
        <v>132</v>
      </c>
      <c r="F111" s="65">
        <v>133.5</v>
      </c>
      <c r="G111" s="65">
        <v>133.5</v>
      </c>
      <c r="H111" s="65">
        <v>133.5</v>
      </c>
      <c r="I111" s="65">
        <v>131.5</v>
      </c>
      <c r="J111" s="65">
        <v>129.4</v>
      </c>
      <c r="K111" s="65">
        <v>129.1</v>
      </c>
      <c r="L111" s="65">
        <v>127.3</v>
      </c>
      <c r="M111" s="65">
        <v>127.8</v>
      </c>
      <c r="N111" s="65">
        <v>129.6</v>
      </c>
      <c r="O111" s="65">
        <v>127.5</v>
      </c>
      <c r="P111" s="65">
        <v>128.69999999999999</v>
      </c>
      <c r="Q111" s="65">
        <v>126.4</v>
      </c>
      <c r="R111" s="65">
        <v>126.8</v>
      </c>
      <c r="S111" s="65">
        <v>129.1</v>
      </c>
      <c r="T111" s="65">
        <v>129.1</v>
      </c>
      <c r="U111" s="65">
        <v>126.9</v>
      </c>
      <c r="V111" s="65">
        <v>129.19999999999999</v>
      </c>
      <c r="W111" s="65">
        <v>131.4</v>
      </c>
      <c r="X111" s="65">
        <v>130.19999999999999</v>
      </c>
      <c r="Y111" s="65">
        <v>129.30000000000001</v>
      </c>
      <c r="Z111" s="65">
        <v>128.1</v>
      </c>
      <c r="AA111" s="65">
        <v>128.1</v>
      </c>
      <c r="AB111" s="65">
        <v>130.30000000000001</v>
      </c>
      <c r="AC111" s="65">
        <v>130.4</v>
      </c>
      <c r="AD111" s="65">
        <v>131.9</v>
      </c>
      <c r="AE111" s="65">
        <v>133.80000000000001</v>
      </c>
      <c r="AF111" s="65">
        <v>133.30000000000001</v>
      </c>
      <c r="AG111" s="104"/>
      <c r="AH111" s="47">
        <f t="shared" si="79"/>
        <v>133.80000000000001</v>
      </c>
      <c r="AI111" s="48">
        <f t="shared" si="80"/>
        <v>126.4</v>
      </c>
    </row>
    <row r="112" spans="1:64" x14ac:dyDescent="0.25">
      <c r="A112" s="103" t="s">
        <v>111</v>
      </c>
      <c r="B112" s="65">
        <v>131</v>
      </c>
      <c r="C112" s="65">
        <v>131</v>
      </c>
      <c r="D112" s="65">
        <v>131</v>
      </c>
      <c r="E112" s="65">
        <v>131</v>
      </c>
      <c r="F112" s="65">
        <v>132.1</v>
      </c>
      <c r="G112" s="65">
        <v>132.1</v>
      </c>
      <c r="H112" s="65">
        <v>132.1</v>
      </c>
      <c r="I112" s="65">
        <v>128.1</v>
      </c>
      <c r="J112" s="65">
        <v>127.3</v>
      </c>
      <c r="K112" s="65">
        <v>126.3</v>
      </c>
      <c r="L112" s="65">
        <v>125.9</v>
      </c>
      <c r="M112" s="65">
        <v>127</v>
      </c>
      <c r="N112" s="65">
        <v>128.19999999999999</v>
      </c>
      <c r="O112" s="65">
        <v>123.1</v>
      </c>
      <c r="P112" s="65">
        <v>124</v>
      </c>
      <c r="Q112" s="65">
        <v>126.9</v>
      </c>
      <c r="R112" s="65">
        <v>123.2</v>
      </c>
      <c r="S112" s="65">
        <v>123.4</v>
      </c>
      <c r="T112" s="65">
        <v>123.4</v>
      </c>
      <c r="U112" s="65">
        <v>123.9</v>
      </c>
      <c r="V112" s="65">
        <v>127.5</v>
      </c>
      <c r="W112" s="65">
        <v>130.5</v>
      </c>
      <c r="X112" s="65">
        <v>128.80000000000001</v>
      </c>
      <c r="Y112" s="65">
        <v>128.80000000000001</v>
      </c>
      <c r="Z112" s="65">
        <v>126.6</v>
      </c>
      <c r="AA112" s="65">
        <v>126.6</v>
      </c>
      <c r="AB112" s="65">
        <v>131.69999999999999</v>
      </c>
      <c r="AC112" s="65">
        <v>124.9</v>
      </c>
      <c r="AD112" s="65">
        <v>125.4</v>
      </c>
      <c r="AE112" s="65">
        <v>129.69999999999999</v>
      </c>
      <c r="AF112" s="65">
        <v>130.1</v>
      </c>
      <c r="AG112" s="104"/>
      <c r="AH112" s="47">
        <f t="shared" si="79"/>
        <v>132.1</v>
      </c>
      <c r="AI112" s="48">
        <f t="shared" si="80"/>
        <v>123.1</v>
      </c>
    </row>
    <row r="113" spans="1:35" x14ac:dyDescent="0.25">
      <c r="A113" s="105" t="s">
        <v>112</v>
      </c>
      <c r="B113" s="65">
        <v>133</v>
      </c>
      <c r="C113" s="65">
        <v>133</v>
      </c>
      <c r="D113" s="65">
        <v>133</v>
      </c>
      <c r="E113" s="65">
        <v>133</v>
      </c>
      <c r="F113" s="65">
        <v>134</v>
      </c>
      <c r="G113" s="65">
        <v>134</v>
      </c>
      <c r="H113" s="65">
        <v>134</v>
      </c>
      <c r="I113" s="65">
        <v>130.19999999999999</v>
      </c>
      <c r="J113" s="65">
        <v>127.5</v>
      </c>
      <c r="K113" s="65">
        <v>125.6</v>
      </c>
      <c r="L113" s="65">
        <v>123.8</v>
      </c>
      <c r="M113" s="65">
        <v>123.4</v>
      </c>
      <c r="N113" s="65">
        <v>127.2</v>
      </c>
      <c r="O113" s="65">
        <v>123.1</v>
      </c>
      <c r="P113" s="65">
        <v>123.3</v>
      </c>
      <c r="Q113" s="65">
        <v>127.1</v>
      </c>
      <c r="R113" s="65">
        <v>123.8</v>
      </c>
      <c r="S113" s="65">
        <v>123.2</v>
      </c>
      <c r="T113" s="65">
        <v>123.2</v>
      </c>
      <c r="U113" s="65">
        <v>123.2</v>
      </c>
      <c r="V113" s="65">
        <v>126.3</v>
      </c>
      <c r="W113" s="65">
        <v>128.80000000000001</v>
      </c>
      <c r="X113" s="65">
        <v>125.8</v>
      </c>
      <c r="Y113" s="65">
        <v>125.8</v>
      </c>
      <c r="Z113" s="65">
        <v>125.3</v>
      </c>
      <c r="AA113" s="65">
        <v>125.3</v>
      </c>
      <c r="AB113" s="65">
        <v>132.1</v>
      </c>
      <c r="AC113" s="65">
        <v>126.6</v>
      </c>
      <c r="AD113" s="65">
        <v>127.5</v>
      </c>
      <c r="AE113" s="65">
        <v>131.69999999999999</v>
      </c>
      <c r="AF113" s="65">
        <v>132.19999999999999</v>
      </c>
      <c r="AG113" s="104"/>
      <c r="AH113" s="47">
        <f t="shared" si="79"/>
        <v>134</v>
      </c>
      <c r="AI113" s="48">
        <f t="shared" si="80"/>
        <v>123.1</v>
      </c>
    </row>
    <row r="114" spans="1:35" x14ac:dyDescent="0.25">
      <c r="A114" s="105" t="s">
        <v>113</v>
      </c>
      <c r="B114" s="106">
        <v>129</v>
      </c>
      <c r="C114" s="106">
        <v>133</v>
      </c>
      <c r="D114" s="106">
        <v>132</v>
      </c>
      <c r="E114" s="106">
        <v>132</v>
      </c>
      <c r="F114" s="106">
        <v>133.4</v>
      </c>
      <c r="G114" s="106">
        <v>133.4</v>
      </c>
      <c r="H114" s="106">
        <v>133.4</v>
      </c>
      <c r="I114" s="106">
        <v>134.4</v>
      </c>
      <c r="J114" s="106">
        <v>132.5</v>
      </c>
      <c r="K114" s="106">
        <v>135.9</v>
      </c>
      <c r="L114" s="106">
        <v>133.30000000000001</v>
      </c>
      <c r="M114" s="106">
        <v>131.80000000000001</v>
      </c>
      <c r="N114" s="106">
        <v>133.69999999999999</v>
      </c>
      <c r="O114" s="106">
        <v>132.5</v>
      </c>
      <c r="P114" s="106">
        <v>132.19999999999999</v>
      </c>
      <c r="Q114" s="106">
        <v>129.69999999999999</v>
      </c>
      <c r="R114" s="106">
        <v>128.80000000000001</v>
      </c>
      <c r="S114" s="106">
        <v>133.6</v>
      </c>
      <c r="T114" s="106">
        <v>133.6</v>
      </c>
      <c r="U114" s="106">
        <v>131.5</v>
      </c>
      <c r="V114" s="106">
        <v>134.80000000000001</v>
      </c>
      <c r="W114" s="106">
        <v>134.80000000000001</v>
      </c>
      <c r="X114" s="106">
        <v>133.1</v>
      </c>
      <c r="Y114" s="106">
        <v>133.1</v>
      </c>
      <c r="Z114" s="106">
        <v>132.80000000000001</v>
      </c>
      <c r="AA114" s="106">
        <v>132.80000000000001</v>
      </c>
      <c r="AB114" s="106">
        <v>135</v>
      </c>
      <c r="AC114" s="106">
        <v>134.9</v>
      </c>
      <c r="AD114" s="106">
        <v>135.4</v>
      </c>
      <c r="AE114" s="106">
        <v>134.80000000000001</v>
      </c>
      <c r="AF114" s="106">
        <v>134.1</v>
      </c>
      <c r="AG114" s="107"/>
      <c r="AH114" s="47">
        <f t="shared" si="79"/>
        <v>135.9</v>
      </c>
      <c r="AI114" s="48">
        <f t="shared" si="80"/>
        <v>128.80000000000001</v>
      </c>
    </row>
    <row r="115" spans="1:35" x14ac:dyDescent="0.25">
      <c r="A115" s="103" t="s">
        <v>114</v>
      </c>
      <c r="B115" s="65">
        <v>132</v>
      </c>
      <c r="C115" s="65">
        <v>119</v>
      </c>
      <c r="D115" s="65">
        <v>134</v>
      </c>
      <c r="E115" s="65">
        <v>134</v>
      </c>
      <c r="F115" s="65">
        <v>131</v>
      </c>
      <c r="G115" s="65">
        <v>131</v>
      </c>
      <c r="H115" s="65">
        <v>131</v>
      </c>
      <c r="I115" s="65">
        <v>130.9</v>
      </c>
      <c r="J115" s="65">
        <v>122.9</v>
      </c>
      <c r="K115" s="65">
        <v>135</v>
      </c>
      <c r="L115" s="65">
        <v>127.2</v>
      </c>
      <c r="M115" s="65">
        <v>131.80000000000001</v>
      </c>
      <c r="N115" s="65">
        <v>133</v>
      </c>
      <c r="O115" s="65">
        <v>129.4</v>
      </c>
      <c r="P115" s="65">
        <v>131.5</v>
      </c>
      <c r="Q115" s="65">
        <v>134.80000000000001</v>
      </c>
      <c r="R115" s="65">
        <v>133</v>
      </c>
      <c r="S115" s="65">
        <v>134</v>
      </c>
      <c r="T115" s="65">
        <v>134</v>
      </c>
      <c r="U115" s="65">
        <v>128.80000000000001</v>
      </c>
      <c r="V115" s="65">
        <v>133.6</v>
      </c>
      <c r="W115" s="65">
        <v>133.6</v>
      </c>
      <c r="X115" s="65">
        <v>130.69999999999999</v>
      </c>
      <c r="Y115" s="65">
        <v>130.69999999999999</v>
      </c>
      <c r="Z115" s="65">
        <v>132.1</v>
      </c>
      <c r="AA115" s="65">
        <v>132.1</v>
      </c>
      <c r="AB115" s="65">
        <v>131.69999999999999</v>
      </c>
      <c r="AC115" s="65">
        <v>135.30000000000001</v>
      </c>
      <c r="AD115" s="65">
        <v>133.30000000000001</v>
      </c>
      <c r="AE115" s="65">
        <v>135.4</v>
      </c>
      <c r="AF115" s="65">
        <v>129</v>
      </c>
      <c r="AG115" s="104"/>
      <c r="AH115" s="47">
        <f t="shared" si="79"/>
        <v>135.4</v>
      </c>
      <c r="AI115" s="48">
        <f t="shared" si="80"/>
        <v>119</v>
      </c>
    </row>
    <row r="116" spans="1:35" ht="15.75" thickBot="1" x14ac:dyDescent="0.3">
      <c r="A116" s="103" t="s">
        <v>115</v>
      </c>
      <c r="B116" s="92">
        <v>66</v>
      </c>
      <c r="C116" s="92">
        <v>66</v>
      </c>
      <c r="D116" s="92">
        <v>66.599999999999994</v>
      </c>
      <c r="E116" s="92">
        <v>66.599999999999994</v>
      </c>
      <c r="F116" s="92">
        <v>67.2</v>
      </c>
      <c r="G116" s="92">
        <v>67.2</v>
      </c>
      <c r="H116" s="92">
        <v>67.2</v>
      </c>
      <c r="I116" s="92">
        <v>65.8</v>
      </c>
      <c r="J116" s="92">
        <v>64.900000000000006</v>
      </c>
      <c r="K116" s="92">
        <v>64.8</v>
      </c>
      <c r="L116" s="92">
        <v>64.2</v>
      </c>
      <c r="M116" s="92">
        <v>64.5</v>
      </c>
      <c r="N116" s="92">
        <v>65.3</v>
      </c>
      <c r="O116" s="92">
        <v>64.099999999999994</v>
      </c>
      <c r="P116" s="92">
        <v>64.7</v>
      </c>
      <c r="Q116" s="92">
        <v>63.5</v>
      </c>
      <c r="R116" s="92">
        <v>63.9</v>
      </c>
      <c r="S116" s="92">
        <v>64.5</v>
      </c>
      <c r="T116" s="92">
        <v>64.5</v>
      </c>
      <c r="U116" s="92">
        <v>64</v>
      </c>
      <c r="V116" s="92">
        <v>65.400000000000006</v>
      </c>
      <c r="W116" s="92">
        <v>65.400000000000006</v>
      </c>
      <c r="X116" s="92">
        <v>65.400000000000006</v>
      </c>
      <c r="Y116" s="92">
        <v>65.400000000000006</v>
      </c>
      <c r="Z116" s="92">
        <v>64.5</v>
      </c>
      <c r="AA116" s="92">
        <v>64.5</v>
      </c>
      <c r="AB116" s="92">
        <v>65.3</v>
      </c>
      <c r="AC116" s="92">
        <v>65.400000000000006</v>
      </c>
      <c r="AD116" s="92">
        <v>66.2</v>
      </c>
      <c r="AE116" s="92">
        <v>67.2</v>
      </c>
      <c r="AF116" s="92">
        <v>67.2</v>
      </c>
      <c r="AG116" s="108"/>
      <c r="AH116" s="47">
        <f t="shared" si="79"/>
        <v>67.2</v>
      </c>
      <c r="AI116" s="48">
        <f t="shared" si="80"/>
        <v>63.5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79"/>
        <v>0</v>
      </c>
      <c r="AI117" s="48">
        <f t="shared" si="80"/>
        <v>0</v>
      </c>
    </row>
    <row r="118" spans="1:35" ht="15.75" thickBot="1" x14ac:dyDescent="0.3">
      <c r="A118" s="110" t="s">
        <v>117</v>
      </c>
      <c r="B118" s="111">
        <f t="shared" ref="B118:C118" si="202">SUM(B22,B28,B31:B32,B66,B68:B69,B71,B73,B119:B123,B155,B161,B167,B176,B178,B190,B197,B200:B201,B208,B210,B212,B216:B218,B220:B222,B227,B233:B234,B236:B238,B246,B251)</f>
        <v>133.44</v>
      </c>
      <c r="C118" s="111">
        <f t="shared" si="202"/>
        <v>138.44</v>
      </c>
      <c r="D118" s="111">
        <f t="shared" ref="D118:O118" si="203">SUM(D22,D28,D31:D32,D66,D68:D69,D71,D73,D119:D123,D155,D161,D167,D176,D178,D190,D197,D200:D201,D208,D210,D212,D216:D218,D220:D222,D227,D233:D234,D236:D238,D246,D251)</f>
        <v>140.44</v>
      </c>
      <c r="E118" s="111">
        <f t="shared" ref="E118:F118" si="204">SUM(E22,E28,E31:E32,E66,E68:E69,E71,E73,E119:E123,E155,E161,E167,E176,E178,E190,E197,E200:E201,E208,E210,E212,E216:E218,E220:E222,E227,E233:E234,E236:E238,E246,E251)</f>
        <v>132.1</v>
      </c>
      <c r="F118" s="111">
        <f t="shared" si="204"/>
        <v>135.69999999999999</v>
      </c>
      <c r="G118" s="111">
        <f t="shared" ref="G118:H118" si="205">SUM(G22,G28,G31:G32,G66,G68:G69,G71,G73,G119:G123,G155,G161,G167,G176,G178,G190,G197,G200:G201,G208,G210,G212,G216:G218,G220:G222,G227,G233:G234,G236:G238,G246,G251)</f>
        <v>157.56</v>
      </c>
      <c r="H118" s="111">
        <f t="shared" si="205"/>
        <v>190.89999999999998</v>
      </c>
      <c r="I118" s="111">
        <f t="shared" ref="I118:J118" si="206">SUM(I22,I28,I31:I32,I66,I68:I69,I71,I73,I119:I123,I155,I161,I167,I176,I178,I190,I197,I200:I201,I208,I210,I212,I216:I218,I220:I222,I227,I233:I234,I236:I238,I246,I251)</f>
        <v>225.56</v>
      </c>
      <c r="J118" s="111">
        <f t="shared" si="206"/>
        <v>280.88000000000005</v>
      </c>
      <c r="K118" s="111">
        <f t="shared" ref="K118:L118" si="207">SUM(K22,K28,K31:K32,K66,K68:K69,K71,K73,K119:K123,K155,K161,K167,K176,K178,K190,K197,K200:K201,K208,K210,K212,K216:K218,K220:K222,K227,K233:K234,K236:K238,K246,K251)</f>
        <v>320.90000000000003</v>
      </c>
      <c r="L118" s="111">
        <f t="shared" si="207"/>
        <v>352.96</v>
      </c>
      <c r="M118" s="111">
        <f t="shared" si="203"/>
        <v>343.34</v>
      </c>
      <c r="N118" s="111">
        <f t="shared" si="203"/>
        <v>306.54000000000002</v>
      </c>
      <c r="O118" s="111">
        <f t="shared" si="203"/>
        <v>293.02</v>
      </c>
      <c r="P118" s="111">
        <v>42</v>
      </c>
      <c r="Q118" s="111">
        <f t="shared" ref="Q118:AF118" si="208">SUM(Q22,Q28,Q31:Q32,Q66,Q68:Q69,Q71,Q73,Q119:Q123,Q155,Q161,Q167,Q176,Q178,Q190,Q197,Q200:Q201,Q208,Q210,Q212,Q216:Q218,Q220:Q222,Q227,Q233:Q234,Q236:Q238,Q246,Q251)</f>
        <v>285.04000000000002</v>
      </c>
      <c r="R118" s="111">
        <f t="shared" si="208"/>
        <v>262.24</v>
      </c>
      <c r="S118" s="111">
        <f t="shared" ref="S118:T118" si="209">SUM(S22,S28,S31:S32,S66,S68:S69,S71,S73,S119:S123,S155,S161,S167,S176,S178,S190,S197,S200:S201,S208,S210,S212,S216:S218,S220:S222,S227,S233:S234,S236:S238,S246,S251)</f>
        <v>279.32</v>
      </c>
      <c r="T118" s="111">
        <f t="shared" si="209"/>
        <v>276.32</v>
      </c>
      <c r="U118" s="111">
        <f t="shared" ref="U118:V118" si="210">SUM(U22,U28,U31:U32,U66,U68:U69,U71,U73,U119:U123,U155,U161,U167,U176,U178,U190,U197,U200:U201,U208,U210,U212,U216:U218,U220:U222,U227,U233:U234,U236:U238,U246,U251)</f>
        <v>273.44</v>
      </c>
      <c r="V118" s="111">
        <f t="shared" si="210"/>
        <v>283.58</v>
      </c>
      <c r="W118" s="111">
        <f t="shared" ref="W118:X118" si="211">SUM(W22,W28,W31:W32,W66,W68:W69,W71,W73,W119:W123,W155,W161,W167,W176,W178,W190,W197,W200:W201,W208,W210,W212,W216:W218,W220:W222,W227,W233:W234,W236:W238,W246,W251)</f>
        <v>280.32</v>
      </c>
      <c r="X118" s="111">
        <f t="shared" si="211"/>
        <v>299.47999999999996</v>
      </c>
      <c r="Y118" s="111">
        <f t="shared" ref="Y118:Z118" si="212">SUM(Y22,Y28,Y31:Y32,Y66,Y68:Y69,Y71,Y73,Y119:Y123,Y155,Y161,Y167,Y176,Y178,Y190,Y197,Y200:Y201,Y208,Y210,Y212,Y216:Y218,Y220:Y222,Y227,Y233:Y234,Y236:Y238,Y246,Y251)</f>
        <v>363.6</v>
      </c>
      <c r="Z118" s="111">
        <f t="shared" si="212"/>
        <v>381.7</v>
      </c>
      <c r="AA118" s="111">
        <f t="shared" ref="AA118" si="213">SUM(AA22,AA28,AA31:AA32,AA66,AA68:AA69,AA71,AA73,AA119:AA123,AA155,AA161,AA167,AA176,AA178,AA190,AA197,AA200:AA201,AA208,AA210,AA212,AA216:AA218,AA220:AA222,AA227,AA233:AA234,AA236:AA238,AA246,AA251)</f>
        <v>362.84</v>
      </c>
      <c r="AB118" s="111">
        <f t="shared" si="208"/>
        <v>296.60099999999994</v>
      </c>
      <c r="AC118" s="111">
        <f t="shared" si="208"/>
        <v>279.04599999999999</v>
      </c>
      <c r="AD118" s="111">
        <f t="shared" si="208"/>
        <v>249.65699999999995</v>
      </c>
      <c r="AE118" s="111">
        <f t="shared" si="208"/>
        <v>225.01199999999997</v>
      </c>
      <c r="AF118" s="111">
        <f t="shared" si="208"/>
        <v>178.17599999999999</v>
      </c>
      <c r="AG118" s="112"/>
      <c r="AH118" s="47">
        <f t="shared" si="79"/>
        <v>381.7</v>
      </c>
      <c r="AI118" s="48">
        <f t="shared" si="80"/>
        <v>42</v>
      </c>
    </row>
    <row r="119" spans="1:35" x14ac:dyDescent="0.25">
      <c r="A119" s="172" t="s">
        <v>118</v>
      </c>
      <c r="B119" s="113">
        <v>-9</v>
      </c>
      <c r="C119" s="113">
        <v>-5</v>
      </c>
      <c r="D119" s="113">
        <v>-10</v>
      </c>
      <c r="E119" s="113">
        <v>-15.4</v>
      </c>
      <c r="F119" s="113">
        <v>-16.899999999999999</v>
      </c>
      <c r="G119" s="113">
        <v>-12.6</v>
      </c>
      <c r="H119" s="113">
        <v>3.4</v>
      </c>
      <c r="I119" s="113">
        <v>12.7</v>
      </c>
      <c r="J119" s="113">
        <v>17.8</v>
      </c>
      <c r="K119" s="113">
        <v>34.4</v>
      </c>
      <c r="L119" s="113">
        <v>39.6</v>
      </c>
      <c r="M119" s="113">
        <v>40.700000000000003</v>
      </c>
      <c r="N119" s="113">
        <v>48.3</v>
      </c>
      <c r="O119" s="113">
        <v>33.6</v>
      </c>
      <c r="P119" s="113">
        <v>28.3</v>
      </c>
      <c r="Q119" s="113">
        <v>14.3</v>
      </c>
      <c r="R119" s="113">
        <v>14</v>
      </c>
      <c r="S119" s="113">
        <v>17.8</v>
      </c>
      <c r="T119" s="113">
        <v>16.399999999999999</v>
      </c>
      <c r="U119" s="113">
        <v>10.9</v>
      </c>
      <c r="V119" s="113">
        <v>19.8</v>
      </c>
      <c r="W119" s="113">
        <v>16.3</v>
      </c>
      <c r="X119" s="113">
        <v>18.36</v>
      </c>
      <c r="Y119" s="113">
        <v>34.1</v>
      </c>
      <c r="Z119" s="113">
        <v>23.6</v>
      </c>
      <c r="AA119" s="113">
        <v>21.1</v>
      </c>
      <c r="AB119" s="113">
        <v>18.7</v>
      </c>
      <c r="AC119" s="113">
        <v>19.600000000000001</v>
      </c>
      <c r="AD119" s="113">
        <v>27.8</v>
      </c>
      <c r="AE119" s="113">
        <v>20</v>
      </c>
      <c r="AF119" s="113">
        <v>1</v>
      </c>
      <c r="AG119" s="114">
        <v>75</v>
      </c>
      <c r="AH119" s="47">
        <f t="shared" si="79"/>
        <v>48.3</v>
      </c>
      <c r="AI119" s="48">
        <f t="shared" si="80"/>
        <v>-16.899999999999999</v>
      </c>
    </row>
    <row r="120" spans="1:35" x14ac:dyDescent="0.25">
      <c r="A120" s="173" t="s">
        <v>119</v>
      </c>
      <c r="B120" s="115">
        <v>-15</v>
      </c>
      <c r="C120" s="115">
        <v>-10</v>
      </c>
      <c r="D120" s="115">
        <v>-17</v>
      </c>
      <c r="E120" s="115">
        <v>-22.9</v>
      </c>
      <c r="F120" s="115">
        <v>-25.2</v>
      </c>
      <c r="G120" s="115">
        <v>-18.899999999999999</v>
      </c>
      <c r="H120" s="115">
        <v>1.9</v>
      </c>
      <c r="I120" s="115">
        <v>13.6</v>
      </c>
      <c r="J120" s="115">
        <v>18.7</v>
      </c>
      <c r="K120" s="115">
        <v>46.9</v>
      </c>
      <c r="L120" s="115">
        <v>55.2</v>
      </c>
      <c r="M120" s="115">
        <v>57.6</v>
      </c>
      <c r="N120" s="115">
        <v>67.2</v>
      </c>
      <c r="O120" s="115">
        <v>48.3</v>
      </c>
      <c r="P120" s="115">
        <v>40.5</v>
      </c>
      <c r="Q120" s="115">
        <v>14.4</v>
      </c>
      <c r="R120" s="115"/>
      <c r="S120" s="115">
        <v>18.8</v>
      </c>
      <c r="T120" s="115">
        <v>17.8</v>
      </c>
      <c r="U120" s="115">
        <v>10.6</v>
      </c>
      <c r="V120" s="115">
        <v>19.399999999999999</v>
      </c>
      <c r="W120" s="115">
        <v>23.6</v>
      </c>
      <c r="X120" s="115">
        <v>26.6</v>
      </c>
      <c r="Y120" s="115">
        <v>45.7</v>
      </c>
      <c r="Z120" s="115">
        <v>31.2</v>
      </c>
      <c r="AA120" s="115">
        <v>28.7</v>
      </c>
      <c r="AB120" s="115">
        <v>25.4</v>
      </c>
      <c r="AC120" s="115">
        <v>26.3</v>
      </c>
      <c r="AD120" s="115">
        <v>30.7</v>
      </c>
      <c r="AE120" s="115">
        <v>22</v>
      </c>
      <c r="AF120" s="115">
        <v>-3.2</v>
      </c>
      <c r="AG120" s="114">
        <v>240</v>
      </c>
      <c r="AH120" s="47">
        <f t="shared" si="79"/>
        <v>67.2</v>
      </c>
      <c r="AI120" s="48">
        <f t="shared" si="80"/>
        <v>-25.2</v>
      </c>
    </row>
    <row r="121" spans="1:35" x14ac:dyDescent="0.25">
      <c r="A121" s="173" t="s">
        <v>120</v>
      </c>
      <c r="B121" s="115">
        <v>-10</v>
      </c>
      <c r="C121" s="115">
        <v>-14</v>
      </c>
      <c r="D121" s="115">
        <v>-10</v>
      </c>
      <c r="E121" s="115">
        <v>-11.5</v>
      </c>
      <c r="F121" s="115">
        <v>-9</v>
      </c>
      <c r="G121" s="115">
        <v>-5</v>
      </c>
      <c r="H121" s="115">
        <v>-3</v>
      </c>
      <c r="I121" s="115">
        <v>4</v>
      </c>
      <c r="J121" s="115">
        <v>20.399999999999999</v>
      </c>
      <c r="K121" s="115">
        <v>21.3</v>
      </c>
      <c r="L121" s="115">
        <v>18</v>
      </c>
      <c r="M121" s="115">
        <v>8</v>
      </c>
      <c r="N121" s="115">
        <v>2</v>
      </c>
      <c r="O121" s="115">
        <v>3</v>
      </c>
      <c r="P121" s="115">
        <v>17.600000000000001</v>
      </c>
      <c r="Q121" s="115">
        <v>9</v>
      </c>
      <c r="R121" s="115"/>
      <c r="S121" s="115">
        <v>9</v>
      </c>
      <c r="T121" s="115">
        <v>9</v>
      </c>
      <c r="U121" s="115">
        <v>11</v>
      </c>
      <c r="V121" s="115">
        <v>19</v>
      </c>
      <c r="W121" s="115">
        <v>15</v>
      </c>
      <c r="X121" s="115">
        <v>21.8</v>
      </c>
      <c r="Y121" s="115">
        <v>28</v>
      </c>
      <c r="Z121" s="115">
        <v>33</v>
      </c>
      <c r="AA121" s="115">
        <v>27</v>
      </c>
      <c r="AB121" s="115">
        <v>-16</v>
      </c>
      <c r="AC121" s="115">
        <v>-20</v>
      </c>
      <c r="AD121" s="115">
        <v>-30.5</v>
      </c>
      <c r="AE121" s="115">
        <v>8.6</v>
      </c>
      <c r="AF121" s="115">
        <v>-2.9</v>
      </c>
      <c r="AG121" s="114">
        <v>240</v>
      </c>
      <c r="AH121" s="47">
        <f t="shared" si="79"/>
        <v>33</v>
      </c>
      <c r="AI121" s="48">
        <f t="shared" si="80"/>
        <v>-30.5</v>
      </c>
    </row>
    <row r="122" spans="1:35" ht="15.75" thickBot="1" x14ac:dyDescent="0.3">
      <c r="A122" s="173" t="s">
        <v>121</v>
      </c>
      <c r="B122" s="115">
        <v>-6</v>
      </c>
      <c r="C122" s="115">
        <v>-6</v>
      </c>
      <c r="D122" s="115">
        <v>-6</v>
      </c>
      <c r="E122" s="115">
        <v>-5.6</v>
      </c>
      <c r="F122" s="115">
        <v>-5.5</v>
      </c>
      <c r="G122" s="115">
        <v>-4</v>
      </c>
      <c r="H122" s="115">
        <v>-2.9</v>
      </c>
      <c r="I122" s="115">
        <v>-1.2</v>
      </c>
      <c r="J122" s="115">
        <v>3.4</v>
      </c>
      <c r="K122" s="115">
        <v>13.4</v>
      </c>
      <c r="L122" s="115">
        <v>17.8</v>
      </c>
      <c r="M122" s="115">
        <v>22.4</v>
      </c>
      <c r="N122" s="115">
        <v>15.6</v>
      </c>
      <c r="O122" s="115">
        <v>10</v>
      </c>
      <c r="P122" s="115">
        <v>9.5</v>
      </c>
      <c r="Q122" s="115">
        <v>2.5</v>
      </c>
      <c r="R122" s="115">
        <v>3.2</v>
      </c>
      <c r="S122" s="115">
        <v>1.4</v>
      </c>
      <c r="T122" s="115">
        <v>-2.8</v>
      </c>
      <c r="U122" s="115">
        <v>-1.5</v>
      </c>
      <c r="V122" s="115">
        <v>4.4000000000000004</v>
      </c>
      <c r="W122" s="115">
        <v>23.2</v>
      </c>
      <c r="X122" s="115">
        <v>23.1</v>
      </c>
      <c r="Y122" s="115">
        <v>32.1</v>
      </c>
      <c r="Z122" s="115">
        <v>48.6</v>
      </c>
      <c r="AA122" s="115">
        <v>46.5</v>
      </c>
      <c r="AB122" s="115">
        <v>37.5</v>
      </c>
      <c r="AC122" s="115">
        <v>33</v>
      </c>
      <c r="AD122" s="115">
        <v>29.2</v>
      </c>
      <c r="AE122" s="115">
        <v>2.7</v>
      </c>
      <c r="AF122" s="115">
        <v>-4</v>
      </c>
      <c r="AG122" s="114">
        <v>60</v>
      </c>
      <c r="AH122" s="47">
        <f t="shared" si="79"/>
        <v>48.6</v>
      </c>
      <c r="AI122" s="48">
        <f t="shared" si="80"/>
        <v>-6</v>
      </c>
    </row>
    <row r="123" spans="1:35" x14ac:dyDescent="0.25">
      <c r="A123" s="172" t="s">
        <v>259</v>
      </c>
      <c r="B123" s="117">
        <v>90</v>
      </c>
      <c r="C123" s="117">
        <v>90</v>
      </c>
      <c r="D123" s="117">
        <v>100</v>
      </c>
      <c r="E123" s="117">
        <f>63.6*1.6</f>
        <v>101.76</v>
      </c>
      <c r="F123" s="117">
        <f>66.6*1.6</f>
        <v>106.56</v>
      </c>
      <c r="G123" s="117">
        <f>70.2*1.6</f>
        <v>112.32000000000001</v>
      </c>
      <c r="H123" s="117">
        <f>66.1*1.6</f>
        <v>105.75999999999999</v>
      </c>
      <c r="I123" s="117">
        <f>69.2*1.6</f>
        <v>110.72000000000001</v>
      </c>
      <c r="J123" s="117">
        <f>82.9*1.6</f>
        <v>132.64000000000001</v>
      </c>
      <c r="K123" s="117">
        <f>73.1*1.6</f>
        <v>116.96</v>
      </c>
      <c r="L123" s="117">
        <f>81.7*1.6</f>
        <v>130.72</v>
      </c>
      <c r="M123" s="117">
        <f>75*1.64</f>
        <v>122.99999999999999</v>
      </c>
      <c r="N123" s="117">
        <f>50*1.64</f>
        <v>82</v>
      </c>
      <c r="O123" s="117">
        <f>62*1.64</f>
        <v>101.67999999999999</v>
      </c>
      <c r="P123" s="117">
        <v>100</v>
      </c>
      <c r="Q123" s="117">
        <f>87*1.6</f>
        <v>139.20000000000002</v>
      </c>
      <c r="R123" s="117">
        <f>85*1.64</f>
        <v>139.4</v>
      </c>
      <c r="S123" s="117">
        <f>80.3*1.6</f>
        <v>128.47999999999999</v>
      </c>
      <c r="T123" s="117">
        <f>84.8*1.6</f>
        <v>135.68</v>
      </c>
      <c r="U123" s="117">
        <f>92*1.6</f>
        <v>147.20000000000002</v>
      </c>
      <c r="V123" s="117">
        <f>82.9*1.6</f>
        <v>132.64000000000001</v>
      </c>
      <c r="W123" s="117">
        <f>71.8*1.6</f>
        <v>114.88</v>
      </c>
      <c r="X123" s="117">
        <f>76.8*1.6</f>
        <v>122.88</v>
      </c>
      <c r="Y123" s="117">
        <f>85.6*1.6</f>
        <v>136.96</v>
      </c>
      <c r="Z123" s="117">
        <f>99.1*1.6</f>
        <v>158.56</v>
      </c>
      <c r="AA123" s="117">
        <f>95.5*1.6</f>
        <v>152.80000000000001</v>
      </c>
      <c r="AB123" s="117">
        <f>88.3*1.67</f>
        <v>147.46099999999998</v>
      </c>
      <c r="AC123" s="117">
        <f>81.8*1.67</f>
        <v>136.60599999999999</v>
      </c>
      <c r="AD123" s="117">
        <f>65.1*1.67</f>
        <v>108.71699999999998</v>
      </c>
      <c r="AE123" s="117">
        <f>51.6*1.67</f>
        <v>86.171999999999997</v>
      </c>
      <c r="AF123" s="117">
        <f>60.8*1.67</f>
        <v>101.53599999999999</v>
      </c>
      <c r="AG123" s="118">
        <v>120</v>
      </c>
      <c r="AH123" s="47">
        <f t="shared" si="79"/>
        <v>158.56</v>
      </c>
      <c r="AI123" s="48">
        <f t="shared" si="80"/>
        <v>82</v>
      </c>
    </row>
    <row r="124" spans="1:35" x14ac:dyDescent="0.25">
      <c r="A124" s="173" t="s">
        <v>258</v>
      </c>
      <c r="B124" s="117">
        <v>79</v>
      </c>
      <c r="C124" s="117">
        <v>79</v>
      </c>
      <c r="D124" s="117">
        <v>75</v>
      </c>
      <c r="E124" s="117">
        <v>72.8</v>
      </c>
      <c r="F124" s="117">
        <v>75.599999999999994</v>
      </c>
      <c r="G124" s="117">
        <v>77.900000000000006</v>
      </c>
      <c r="H124" s="117">
        <v>75.2</v>
      </c>
      <c r="I124" s="117">
        <v>77.2</v>
      </c>
      <c r="J124" s="117">
        <v>88.7</v>
      </c>
      <c r="K124" s="117">
        <v>80.7</v>
      </c>
      <c r="L124" s="117">
        <v>87.9</v>
      </c>
      <c r="M124" s="117">
        <v>82</v>
      </c>
      <c r="N124" s="117">
        <v>60</v>
      </c>
      <c r="O124" s="117">
        <v>71</v>
      </c>
      <c r="P124" s="117">
        <v>70.099999999999994</v>
      </c>
      <c r="Q124" s="117">
        <v>92.5</v>
      </c>
      <c r="R124" s="117">
        <v>91</v>
      </c>
      <c r="S124" s="117">
        <v>85.5</v>
      </c>
      <c r="T124" s="117">
        <v>89.3</v>
      </c>
      <c r="U124" s="117">
        <v>96.6</v>
      </c>
      <c r="V124" s="117">
        <v>87.9</v>
      </c>
      <c r="W124" s="117">
        <v>77.7</v>
      </c>
      <c r="X124" s="117">
        <v>82.5</v>
      </c>
      <c r="Y124" s="117">
        <v>89.4</v>
      </c>
      <c r="Z124" s="117">
        <v>98.9</v>
      </c>
      <c r="AA124" s="117">
        <v>98.2</v>
      </c>
      <c r="AB124" s="117">
        <v>93.8</v>
      </c>
      <c r="AC124" s="117">
        <v>88.3</v>
      </c>
      <c r="AD124" s="117">
        <v>75.2</v>
      </c>
      <c r="AE124" s="117">
        <v>64.3</v>
      </c>
      <c r="AF124" s="117">
        <v>72.400000000000006</v>
      </c>
      <c r="AG124" s="118"/>
      <c r="AH124" s="47">
        <f t="shared" si="79"/>
        <v>98.9</v>
      </c>
      <c r="AI124" s="48">
        <f t="shared" si="80"/>
        <v>60</v>
      </c>
    </row>
    <row r="125" spans="1:35" x14ac:dyDescent="0.25">
      <c r="A125" s="173" t="s">
        <v>255</v>
      </c>
      <c r="B125" s="117">
        <v>57</v>
      </c>
      <c r="C125" s="117">
        <v>57</v>
      </c>
      <c r="D125" s="117">
        <v>54</v>
      </c>
      <c r="E125" s="117">
        <v>62</v>
      </c>
      <c r="F125" s="117">
        <v>59.7</v>
      </c>
      <c r="G125" s="117">
        <v>55</v>
      </c>
      <c r="H125" s="117">
        <v>39.1</v>
      </c>
      <c r="I125" s="117">
        <v>24.1</v>
      </c>
      <c r="J125" s="117">
        <v>14.8</v>
      </c>
      <c r="K125" s="117">
        <v>-20.8</v>
      </c>
      <c r="L125" s="117">
        <v>-24.9</v>
      </c>
      <c r="M125" s="117">
        <v>-25</v>
      </c>
      <c r="N125" s="117">
        <v>-41</v>
      </c>
      <c r="O125" s="117">
        <v>-14</v>
      </c>
      <c r="P125" s="117">
        <v>-12.7</v>
      </c>
      <c r="Q125" s="117">
        <v>34</v>
      </c>
      <c r="R125" s="117">
        <v>35</v>
      </c>
      <c r="S125" s="117">
        <v>24.5</v>
      </c>
      <c r="T125" s="117">
        <v>28</v>
      </c>
      <c r="U125" s="117">
        <v>39.1</v>
      </c>
      <c r="V125" s="117">
        <v>18.3</v>
      </c>
      <c r="W125" s="117">
        <v>2.4</v>
      </c>
      <c r="X125" s="117">
        <v>-5.0999999999999996</v>
      </c>
      <c r="Y125" s="117">
        <v>-23.4</v>
      </c>
      <c r="Z125" s="117">
        <v>-7.8</v>
      </c>
      <c r="AA125" s="117">
        <v>-3.4</v>
      </c>
      <c r="AB125" s="117">
        <v>5.0999999999999996</v>
      </c>
      <c r="AC125" s="117">
        <v>3.9</v>
      </c>
      <c r="AD125" s="117">
        <v>1.7</v>
      </c>
      <c r="AE125" s="117">
        <v>0.8</v>
      </c>
      <c r="AF125" s="117">
        <v>36.6</v>
      </c>
      <c r="AG125" s="118"/>
      <c r="AH125" s="47">
        <f t="shared" si="79"/>
        <v>62</v>
      </c>
      <c r="AI125" s="48">
        <f t="shared" si="80"/>
        <v>-41</v>
      </c>
    </row>
    <row r="126" spans="1:35" ht="15.75" thickBot="1" x14ac:dyDescent="0.3">
      <c r="A126" s="173" t="s">
        <v>254</v>
      </c>
      <c r="B126" s="117">
        <v>89</v>
      </c>
      <c r="C126" s="117">
        <v>89</v>
      </c>
      <c r="D126" s="117">
        <v>87</v>
      </c>
      <c r="E126" s="117">
        <v>80.599999999999994</v>
      </c>
      <c r="F126" s="117">
        <v>83.4</v>
      </c>
      <c r="G126" s="117">
        <v>87.5</v>
      </c>
      <c r="H126" s="117">
        <v>82</v>
      </c>
      <c r="I126" s="117">
        <v>79.5</v>
      </c>
      <c r="J126" s="117">
        <v>87.6</v>
      </c>
      <c r="K126" s="117">
        <v>64.099999999999994</v>
      </c>
      <c r="L126" s="117">
        <v>67.8</v>
      </c>
      <c r="M126" s="117">
        <v>68</v>
      </c>
      <c r="N126" s="117">
        <v>57</v>
      </c>
      <c r="O126" s="117">
        <v>76.5</v>
      </c>
      <c r="P126" s="117">
        <v>68.5</v>
      </c>
      <c r="Q126" s="117">
        <v>86</v>
      </c>
      <c r="R126" s="117">
        <v>86</v>
      </c>
      <c r="S126" s="117">
        <v>77.599999999999994</v>
      </c>
      <c r="T126" s="117">
        <v>81.2</v>
      </c>
      <c r="U126" s="117">
        <v>92</v>
      </c>
      <c r="V126" s="117">
        <v>83.3</v>
      </c>
      <c r="W126" s="117">
        <v>82.7</v>
      </c>
      <c r="X126" s="117">
        <v>82.8</v>
      </c>
      <c r="Y126" s="117">
        <v>89.7</v>
      </c>
      <c r="Z126" s="117">
        <v>108.8</v>
      </c>
      <c r="AA126" s="117">
        <v>97.5</v>
      </c>
      <c r="AB126" s="117">
        <v>98.7</v>
      </c>
      <c r="AC126" s="117">
        <v>100.1</v>
      </c>
      <c r="AD126" s="117">
        <v>89.6</v>
      </c>
      <c r="AE126" s="117">
        <v>64.099999999999994</v>
      </c>
      <c r="AF126" s="117">
        <v>77.599999999999994</v>
      </c>
      <c r="AG126" s="114"/>
      <c r="AH126" s="47">
        <f>MAX(B126:AF126)</f>
        <v>108.8</v>
      </c>
      <c r="AI126" s="48">
        <f>MIN(B126:AF126)</f>
        <v>57</v>
      </c>
    </row>
    <row r="127" spans="1:35" x14ac:dyDescent="0.25">
      <c r="A127" s="172" t="s">
        <v>587</v>
      </c>
      <c r="B127" s="117">
        <v>35</v>
      </c>
      <c r="C127" s="117">
        <v>35</v>
      </c>
      <c r="D127" s="117">
        <v>41</v>
      </c>
      <c r="E127" s="117">
        <v>38.299999999999997</v>
      </c>
      <c r="F127" s="117">
        <v>38.5</v>
      </c>
      <c r="G127" s="117">
        <v>34.6</v>
      </c>
      <c r="H127" s="117">
        <v>22</v>
      </c>
      <c r="I127" s="117">
        <v>0</v>
      </c>
      <c r="J127" s="117">
        <v>-4.9000000000000004</v>
      </c>
      <c r="K127" s="117">
        <v>-13.6</v>
      </c>
      <c r="L127" s="117">
        <v>-16</v>
      </c>
      <c r="M127" s="117">
        <v>-18</v>
      </c>
      <c r="N127" s="117">
        <v>-20</v>
      </c>
      <c r="O127" s="117">
        <v>-16</v>
      </c>
      <c r="P127" s="117">
        <v>-7.1</v>
      </c>
      <c r="Q127" s="117">
        <v>5.0999999999999996</v>
      </c>
      <c r="R127" s="117"/>
      <c r="S127" s="117">
        <v>-1.9</v>
      </c>
      <c r="T127" s="117">
        <v>0</v>
      </c>
      <c r="U127" s="117">
        <v>3.3</v>
      </c>
      <c r="V127" s="117">
        <v>8.6999999999999993</v>
      </c>
      <c r="W127" s="117">
        <v>7.9</v>
      </c>
      <c r="X127" s="117">
        <v>4.9000000000000004</v>
      </c>
      <c r="Y127" s="117">
        <v>-7.5</v>
      </c>
      <c r="Z127" s="117">
        <v>5.6</v>
      </c>
      <c r="AA127" s="117">
        <v>6.8</v>
      </c>
      <c r="AB127" s="117">
        <v>11.3</v>
      </c>
      <c r="AC127" s="117">
        <v>8.6999999999999993</v>
      </c>
      <c r="AD127" s="117">
        <v>0</v>
      </c>
      <c r="AE127" s="117">
        <v>0</v>
      </c>
      <c r="AF127" s="117">
        <v>8.5</v>
      </c>
      <c r="AG127" s="114"/>
      <c r="AH127" s="47">
        <f>MAX(B127:AF127)</f>
        <v>41</v>
      </c>
      <c r="AI127" s="48">
        <f>MIN(B127:AF127)</f>
        <v>-20</v>
      </c>
    </row>
    <row r="128" spans="1:35" x14ac:dyDescent="0.25">
      <c r="A128" s="173" t="s">
        <v>123</v>
      </c>
      <c r="B128" s="106">
        <v>-14</v>
      </c>
      <c r="C128" s="106">
        <v>-14</v>
      </c>
      <c r="D128" s="106">
        <v>-12</v>
      </c>
      <c r="E128" s="106">
        <v>-10</v>
      </c>
      <c r="F128" s="106">
        <v>-12.5</v>
      </c>
      <c r="G128" s="106">
        <v>-15.5</v>
      </c>
      <c r="H128" s="106">
        <v>-22.3</v>
      </c>
      <c r="I128" s="106">
        <v>-29.5</v>
      </c>
      <c r="J128" s="106">
        <v>-40.299999999999997</v>
      </c>
      <c r="K128" s="106">
        <v>-45.4</v>
      </c>
      <c r="L128" s="106">
        <v>-49.5</v>
      </c>
      <c r="M128" s="106">
        <v>-53</v>
      </c>
      <c r="N128" s="106">
        <v>-37</v>
      </c>
      <c r="O128" s="106">
        <v>-30</v>
      </c>
      <c r="P128" s="106">
        <v>-35.799999999999997</v>
      </c>
      <c r="Q128" s="106">
        <v>-27</v>
      </c>
      <c r="R128" s="106">
        <v>-24</v>
      </c>
      <c r="S128" s="106">
        <v>-28.3</v>
      </c>
      <c r="T128" s="106">
        <v>-30.9</v>
      </c>
      <c r="U128" s="106">
        <v>-37.5</v>
      </c>
      <c r="V128" s="106">
        <v>-44.2</v>
      </c>
      <c r="W128" s="106">
        <v>-48.9</v>
      </c>
      <c r="X128" s="106">
        <v>-54.3</v>
      </c>
      <c r="Y128" s="106">
        <v>-55.3</v>
      </c>
      <c r="Z128" s="106">
        <v>-53.6</v>
      </c>
      <c r="AA128" s="106">
        <v>-47.7</v>
      </c>
      <c r="AB128" s="106">
        <v>-39.700000000000003</v>
      </c>
      <c r="AC128" s="106">
        <v>-35.200000000000003</v>
      </c>
      <c r="AD128" s="106">
        <v>-30</v>
      </c>
      <c r="AE128" s="106">
        <v>-21.2</v>
      </c>
      <c r="AF128" s="106">
        <v>-15.2</v>
      </c>
      <c r="AG128" s="114"/>
      <c r="AH128" s="47">
        <f>MAX(B128:AF128)</f>
        <v>-10</v>
      </c>
      <c r="AI128" s="48">
        <f>MIN(B128:AF128)</f>
        <v>-55.3</v>
      </c>
    </row>
    <row r="129" spans="1:37" x14ac:dyDescent="0.25">
      <c r="A129" s="173" t="s">
        <v>260</v>
      </c>
      <c r="B129" s="106">
        <v>-24</v>
      </c>
      <c r="C129" s="106">
        <v>-24</v>
      </c>
      <c r="D129" s="106">
        <v>-25</v>
      </c>
      <c r="E129" s="106">
        <v>-27.3</v>
      </c>
      <c r="F129" s="106">
        <v>-24</v>
      </c>
      <c r="G129" s="106">
        <v>-26.1</v>
      </c>
      <c r="H129" s="106">
        <v>-20.399999999999999</v>
      </c>
      <c r="I129" s="106">
        <v>-16.399999999999999</v>
      </c>
      <c r="J129" s="106">
        <v>-22.4</v>
      </c>
      <c r="K129" s="106">
        <v>-10.5</v>
      </c>
      <c r="L129" s="106">
        <v>0</v>
      </c>
      <c r="M129" s="106">
        <v>11.5</v>
      </c>
      <c r="N129" s="106">
        <v>19</v>
      </c>
      <c r="O129" s="106">
        <v>5.5</v>
      </c>
      <c r="P129" s="106">
        <v>-11.8</v>
      </c>
      <c r="Q129" s="106">
        <v>31</v>
      </c>
      <c r="R129" s="106">
        <v>31.3</v>
      </c>
      <c r="S129" s="106">
        <v>31.4</v>
      </c>
      <c r="T129" s="106">
        <v>27.9</v>
      </c>
      <c r="U129" s="106">
        <v>29.5</v>
      </c>
      <c r="V129" s="106">
        <v>19.3</v>
      </c>
      <c r="W129" s="106">
        <v>11.4</v>
      </c>
      <c r="X129" s="106">
        <v>11.1</v>
      </c>
      <c r="Y129" s="106">
        <v>0</v>
      </c>
      <c r="Z129" s="106">
        <v>6.5</v>
      </c>
      <c r="AA129" s="106">
        <v>4.5</v>
      </c>
      <c r="AB129" s="106">
        <v>5.2</v>
      </c>
      <c r="AC129" s="106">
        <v>5.5</v>
      </c>
      <c r="AD129" s="106">
        <v>7.4</v>
      </c>
      <c r="AE129" s="106">
        <v>-7.6</v>
      </c>
      <c r="AF129" s="106">
        <v>-18.2</v>
      </c>
      <c r="AG129" s="114"/>
      <c r="AH129" s="47">
        <f>MAX(B129:AF129)</f>
        <v>31.4</v>
      </c>
      <c r="AI129" s="48">
        <f>MIN(B129:AF129)</f>
        <v>-27.3</v>
      </c>
    </row>
    <row r="130" spans="1:37" ht="15.75" thickBot="1" x14ac:dyDescent="0.3">
      <c r="A130" s="173" t="s">
        <v>257</v>
      </c>
      <c r="B130" s="106">
        <v>94</v>
      </c>
      <c r="C130" s="106">
        <v>94</v>
      </c>
      <c r="D130" s="106">
        <v>94</v>
      </c>
      <c r="E130" s="106">
        <v>83.9</v>
      </c>
      <c r="F130" s="106">
        <v>87.3</v>
      </c>
      <c r="G130" s="106">
        <v>92.5</v>
      </c>
      <c r="H130" s="106">
        <v>100.2</v>
      </c>
      <c r="I130" s="106">
        <v>104</v>
      </c>
      <c r="J130" s="106">
        <v>108.4</v>
      </c>
      <c r="K130" s="106">
        <v>103.4</v>
      </c>
      <c r="L130" s="106">
        <v>110.7</v>
      </c>
      <c r="M130" s="106">
        <v>108</v>
      </c>
      <c r="N130" s="106">
        <v>98</v>
      </c>
      <c r="O130" s="106">
        <v>115</v>
      </c>
      <c r="P130" s="106">
        <v>128.5</v>
      </c>
      <c r="Q130" s="106">
        <v>117</v>
      </c>
      <c r="R130" s="106">
        <v>111</v>
      </c>
      <c r="S130" s="106">
        <v>122.8</v>
      </c>
      <c r="T130" s="106">
        <v>123.4</v>
      </c>
      <c r="U130" s="106">
        <v>117.4</v>
      </c>
      <c r="V130" s="106">
        <v>109.7</v>
      </c>
      <c r="W130" s="106">
        <v>109.5</v>
      </c>
      <c r="X130" s="106">
        <v>103.6</v>
      </c>
      <c r="Y130" s="106">
        <v>118.6</v>
      </c>
      <c r="Z130" s="106">
        <v>112.8</v>
      </c>
      <c r="AA130" s="106">
        <v>106.1</v>
      </c>
      <c r="AB130" s="106">
        <v>105.7</v>
      </c>
      <c r="AC130" s="106">
        <v>118.3</v>
      </c>
      <c r="AD130" s="106">
        <v>122</v>
      </c>
      <c r="AE130" s="106">
        <v>107</v>
      </c>
      <c r="AF130" s="106">
        <v>95.6</v>
      </c>
      <c r="AG130" s="114"/>
      <c r="AH130" s="47">
        <f>MAX(B130:AF130)</f>
        <v>128.5</v>
      </c>
      <c r="AI130" s="48">
        <f>MIN(B130:AF130)</f>
        <v>83.9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1983.94</v>
      </c>
      <c r="C132" s="147">
        <v>1984.14</v>
      </c>
      <c r="D132" s="147">
        <v>1984.35</v>
      </c>
      <c r="E132" s="147">
        <v>1984.58</v>
      </c>
      <c r="F132" s="147">
        <v>1984.8</v>
      </c>
      <c r="G132" s="147">
        <v>1984.99</v>
      </c>
      <c r="H132" s="147"/>
      <c r="I132" s="147">
        <v>1985.15</v>
      </c>
      <c r="J132" s="147"/>
      <c r="K132" s="147">
        <v>1985</v>
      </c>
      <c r="L132" s="147"/>
      <c r="M132" s="186">
        <v>1983.89</v>
      </c>
      <c r="N132" s="186">
        <v>1982.64</v>
      </c>
      <c r="O132" s="186">
        <v>1982.61</v>
      </c>
      <c r="P132" s="186">
        <v>1982.89</v>
      </c>
      <c r="Q132" s="186">
        <v>1983.16</v>
      </c>
      <c r="R132" s="186">
        <v>1983.29</v>
      </c>
      <c r="S132" s="147">
        <v>1983.45</v>
      </c>
      <c r="T132" s="147">
        <v>1983.75</v>
      </c>
      <c r="U132" s="147">
        <v>1983.9</v>
      </c>
      <c r="V132" s="147">
        <v>1984.1</v>
      </c>
      <c r="W132" s="147"/>
      <c r="X132" s="147">
        <v>1884.31</v>
      </c>
      <c r="Y132" s="147"/>
      <c r="Z132" s="147">
        <v>1984.1</v>
      </c>
      <c r="AA132" s="147"/>
      <c r="AB132" s="147">
        <v>1983.2</v>
      </c>
      <c r="AC132" s="147"/>
      <c r="AD132" s="147">
        <v>1982.5</v>
      </c>
      <c r="AE132" s="147">
        <v>1982.81</v>
      </c>
      <c r="AF132" s="148">
        <v>1983.05</v>
      </c>
      <c r="AG132" s="149"/>
      <c r="AH132" s="47"/>
      <c r="AI132" s="48"/>
    </row>
    <row r="133" spans="1:37" x14ac:dyDescent="0.25">
      <c r="A133" s="185" t="s">
        <v>238</v>
      </c>
      <c r="B133" s="150">
        <v>520.49</v>
      </c>
      <c r="C133" s="150">
        <v>520.63</v>
      </c>
      <c r="D133" s="150">
        <v>520.76</v>
      </c>
      <c r="E133" s="150">
        <v>520.9</v>
      </c>
      <c r="F133" s="150">
        <v>521.04</v>
      </c>
      <c r="G133" s="150">
        <v>521.17999999999995</v>
      </c>
      <c r="H133" s="150"/>
      <c r="I133" s="150">
        <v>521.1</v>
      </c>
      <c r="J133" s="150"/>
      <c r="K133" s="150">
        <v>520.82000000000005</v>
      </c>
      <c r="L133" s="150"/>
      <c r="M133" s="187">
        <v>519.72</v>
      </c>
      <c r="N133" s="187">
        <v>519.72</v>
      </c>
      <c r="O133" s="187">
        <v>519.5</v>
      </c>
      <c r="P133" s="187">
        <v>519.41999999999996</v>
      </c>
      <c r="Q133" s="187">
        <v>519.32000000000005</v>
      </c>
      <c r="R133" s="187">
        <v>519.48</v>
      </c>
      <c r="S133" s="150">
        <v>519.62</v>
      </c>
      <c r="T133" s="150">
        <v>519.78</v>
      </c>
      <c r="U133" s="150">
        <v>519.9</v>
      </c>
      <c r="V133" s="150">
        <v>520.16</v>
      </c>
      <c r="W133" s="150"/>
      <c r="X133" s="150">
        <v>520.08000000000004</v>
      </c>
      <c r="Y133" s="150"/>
      <c r="Z133" s="150">
        <v>519.5</v>
      </c>
      <c r="AA133" s="150"/>
      <c r="AB133" s="150">
        <v>519.04</v>
      </c>
      <c r="AC133" s="150"/>
      <c r="AD133" s="150">
        <v>518.94000000000005</v>
      </c>
      <c r="AE133" s="150">
        <v>519.09</v>
      </c>
      <c r="AF133" s="151">
        <v>519.47</v>
      </c>
      <c r="AG133" s="149"/>
      <c r="AH133" s="47"/>
      <c r="AI133" s="48"/>
    </row>
    <row r="134" spans="1:37" x14ac:dyDescent="0.25">
      <c r="A134" s="185" t="s">
        <v>239</v>
      </c>
      <c r="B134" s="150">
        <v>622.39</v>
      </c>
      <c r="C134" s="150">
        <v>622.39</v>
      </c>
      <c r="D134" s="150">
        <v>622.4</v>
      </c>
      <c r="E134" s="150">
        <v>622.46</v>
      </c>
      <c r="F134" s="150">
        <v>622.49</v>
      </c>
      <c r="G134" s="150">
        <v>622.46</v>
      </c>
      <c r="H134" s="150"/>
      <c r="I134" s="150">
        <v>622.36</v>
      </c>
      <c r="J134" s="150"/>
      <c r="K134" s="150">
        <v>622.37</v>
      </c>
      <c r="L134" s="150"/>
      <c r="M134" s="187">
        <v>622.14</v>
      </c>
      <c r="N134" s="187">
        <v>622.1</v>
      </c>
      <c r="O134" s="187">
        <v>622.09</v>
      </c>
      <c r="P134" s="187">
        <v>622.07000000000005</v>
      </c>
      <c r="Q134" s="187">
        <v>622.09</v>
      </c>
      <c r="R134" s="187">
        <v>622.16</v>
      </c>
      <c r="S134" s="150">
        <v>622.1</v>
      </c>
      <c r="T134" s="150">
        <v>621.86</v>
      </c>
      <c r="U134" s="150">
        <v>621.57000000000005</v>
      </c>
      <c r="V134" s="150">
        <v>621.5</v>
      </c>
      <c r="W134" s="150"/>
      <c r="X134" s="150">
        <v>621.46</v>
      </c>
      <c r="Y134" s="150"/>
      <c r="Z134" s="150">
        <v>621.42999999999995</v>
      </c>
      <c r="AA134" s="150"/>
      <c r="AB134" s="150">
        <v>621.6</v>
      </c>
      <c r="AC134" s="150"/>
      <c r="AD134" s="150">
        <v>621.70000000000005</v>
      </c>
      <c r="AE134" s="150">
        <v>621.84</v>
      </c>
      <c r="AF134" s="151">
        <v>622.35</v>
      </c>
      <c r="AG134" s="149"/>
      <c r="AH134" s="47"/>
      <c r="AI134" s="48"/>
    </row>
    <row r="135" spans="1:37" x14ac:dyDescent="0.25">
      <c r="A135" s="185" t="s">
        <v>240</v>
      </c>
      <c r="B135" s="150">
        <v>335.57</v>
      </c>
      <c r="C135" s="150">
        <v>335.77</v>
      </c>
      <c r="D135" s="150">
        <v>335.92</v>
      </c>
      <c r="E135" s="150">
        <v>336.09</v>
      </c>
      <c r="F135" s="150">
        <v>336.37</v>
      </c>
      <c r="G135" s="150">
        <v>336.61</v>
      </c>
      <c r="H135" s="150"/>
      <c r="I135" s="150">
        <v>336.75</v>
      </c>
      <c r="J135" s="150"/>
      <c r="K135" s="150">
        <v>336.76</v>
      </c>
      <c r="L135" s="150"/>
      <c r="M135" s="187">
        <v>336.23</v>
      </c>
      <c r="N135" s="187">
        <v>336.23</v>
      </c>
      <c r="O135" s="187">
        <v>335.92</v>
      </c>
      <c r="P135" s="187">
        <v>335.84</v>
      </c>
      <c r="Q135" s="187">
        <v>335.78</v>
      </c>
      <c r="R135" s="187">
        <v>335.75</v>
      </c>
      <c r="S135" s="150">
        <v>335.53</v>
      </c>
      <c r="T135" s="150">
        <v>335.96</v>
      </c>
      <c r="U135" s="150">
        <v>336</v>
      </c>
      <c r="V135" s="150">
        <v>336.07</v>
      </c>
      <c r="W135" s="150"/>
      <c r="X135" s="150">
        <v>335.96</v>
      </c>
      <c r="Y135" s="150"/>
      <c r="Z135" s="150">
        <v>335.71</v>
      </c>
      <c r="AA135" s="150"/>
      <c r="AB135" s="150">
        <v>335.28</v>
      </c>
      <c r="AC135" s="150"/>
      <c r="AD135" s="150">
        <v>334.84</v>
      </c>
      <c r="AE135" s="150">
        <v>334.45</v>
      </c>
      <c r="AF135" s="151">
        <v>334.5</v>
      </c>
      <c r="AG135" s="149"/>
      <c r="AH135" s="47"/>
      <c r="AI135" s="48"/>
    </row>
    <row r="136" spans="1:37" x14ac:dyDescent="0.25">
      <c r="A136" s="185" t="s">
        <v>384</v>
      </c>
      <c r="B136" s="150">
        <v>885.4</v>
      </c>
      <c r="C136" s="150">
        <v>886</v>
      </c>
      <c r="D136" s="150">
        <v>886.6</v>
      </c>
      <c r="E136" s="150">
        <v>887</v>
      </c>
      <c r="F136" s="150">
        <v>887.5</v>
      </c>
      <c r="G136" s="150">
        <v>887.8</v>
      </c>
      <c r="H136" s="150"/>
      <c r="I136" s="150">
        <v>887.6</v>
      </c>
      <c r="J136" s="150"/>
      <c r="K136" s="150">
        <v>887</v>
      </c>
      <c r="L136" s="150"/>
      <c r="M136" s="187">
        <v>885.1</v>
      </c>
      <c r="N136" s="187">
        <v>885.1</v>
      </c>
      <c r="O136" s="187">
        <v>885.3</v>
      </c>
      <c r="P136" s="187">
        <v>885.9</v>
      </c>
      <c r="Q136" s="187">
        <v>886.4</v>
      </c>
      <c r="R136" s="187">
        <v>886.9</v>
      </c>
      <c r="S136" s="150">
        <v>887</v>
      </c>
      <c r="T136" s="150">
        <v>886.8</v>
      </c>
      <c r="U136" s="150">
        <v>886.7</v>
      </c>
      <c r="V136" s="150">
        <v>886.7</v>
      </c>
      <c r="W136" s="150"/>
      <c r="X136" s="150">
        <v>886.6</v>
      </c>
      <c r="Y136" s="150"/>
      <c r="Z136" s="150">
        <v>886</v>
      </c>
      <c r="AA136" s="150"/>
      <c r="AB136" s="150">
        <v>884.7</v>
      </c>
      <c r="AC136" s="150"/>
      <c r="AD136" s="150">
        <v>883.3</v>
      </c>
      <c r="AE136" s="150">
        <v>882.8</v>
      </c>
      <c r="AF136" s="151">
        <v>882.7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1519.8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88"/>
      <c r="N137" s="188"/>
      <c r="O137" s="188"/>
      <c r="P137" s="188"/>
      <c r="Q137" s="188"/>
      <c r="R137" s="188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>
        <v>1519.77</v>
      </c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238"/>
      <c r="N138" s="238"/>
      <c r="O138" s="238"/>
      <c r="P138" s="238"/>
      <c r="Q138" s="238"/>
      <c r="R138" s="238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 t="s">
        <v>637</v>
      </c>
      <c r="J145" s="123">
        <v>5055</v>
      </c>
      <c r="K145" s="123">
        <f>J145/24</f>
        <v>210.625</v>
      </c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 t="s">
        <v>638</v>
      </c>
      <c r="J146" s="123">
        <v>2667</v>
      </c>
      <c r="K146" s="123">
        <f t="shared" ref="K146:K150" si="214">J146/24</f>
        <v>111.125</v>
      </c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 t="s">
        <v>639</v>
      </c>
      <c r="J147" s="123">
        <v>1852</v>
      </c>
      <c r="K147" s="123">
        <f t="shared" si="214"/>
        <v>77.166666666666671</v>
      </c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 t="s">
        <v>640</v>
      </c>
      <c r="J148" s="123">
        <v>10244</v>
      </c>
      <c r="K148" s="123">
        <f t="shared" si="214"/>
        <v>426.83333333333331</v>
      </c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 t="s">
        <v>641</v>
      </c>
      <c r="J149" s="123">
        <v>13569</v>
      </c>
      <c r="K149" s="123">
        <f t="shared" si="214"/>
        <v>565.375</v>
      </c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 t="s">
        <v>642</v>
      </c>
      <c r="J150" s="123">
        <v>1500</v>
      </c>
      <c r="K150" s="123">
        <f t="shared" si="214"/>
        <v>62.5</v>
      </c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>
        <f>SUM(J145:J150)</f>
        <v>34887</v>
      </c>
      <c r="K151" s="123">
        <f>SUM(K145:K150)</f>
        <v>1453.625</v>
      </c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215">SUM(B139:B243)</f>
        <v>0</v>
      </c>
      <c r="C244" s="134">
        <f t="shared" si="215"/>
        <v>0</v>
      </c>
      <c r="D244" s="134">
        <f t="shared" si="215"/>
        <v>0</v>
      </c>
      <c r="E244" s="134">
        <f t="shared" si="215"/>
        <v>0</v>
      </c>
      <c r="F244" s="134">
        <f t="shared" si="215"/>
        <v>0</v>
      </c>
      <c r="G244" s="134">
        <f t="shared" si="215"/>
        <v>0</v>
      </c>
      <c r="H244" s="134">
        <f t="shared" si="215"/>
        <v>0</v>
      </c>
      <c r="I244" s="134">
        <f t="shared" si="215"/>
        <v>0</v>
      </c>
      <c r="J244" s="134">
        <f t="shared" si="215"/>
        <v>69774</v>
      </c>
      <c r="K244" s="134">
        <f t="shared" si="215"/>
        <v>2907.25</v>
      </c>
      <c r="L244" s="134">
        <f t="shared" si="215"/>
        <v>0</v>
      </c>
      <c r="M244" s="134">
        <f t="shared" si="215"/>
        <v>0</v>
      </c>
      <c r="N244" s="134">
        <f t="shared" si="215"/>
        <v>0</v>
      </c>
      <c r="O244" s="134">
        <f t="shared" si="215"/>
        <v>0</v>
      </c>
      <c r="P244" s="134">
        <f t="shared" si="215"/>
        <v>0</v>
      </c>
      <c r="Q244" s="134">
        <f t="shared" si="215"/>
        <v>0</v>
      </c>
      <c r="R244" s="134">
        <f t="shared" si="215"/>
        <v>0</v>
      </c>
      <c r="S244" s="134">
        <f t="shared" si="215"/>
        <v>0</v>
      </c>
      <c r="T244" s="134">
        <f t="shared" si="215"/>
        <v>0</v>
      </c>
      <c r="U244" s="134">
        <f t="shared" si="215"/>
        <v>0</v>
      </c>
      <c r="V244" s="134">
        <f t="shared" si="215"/>
        <v>0</v>
      </c>
      <c r="W244" s="134">
        <f t="shared" si="215"/>
        <v>0</v>
      </c>
      <c r="X244" s="134">
        <f t="shared" si="215"/>
        <v>0</v>
      </c>
      <c r="Y244" s="134">
        <f t="shared" si="215"/>
        <v>0</v>
      </c>
      <c r="Z244" s="134">
        <f t="shared" si="215"/>
        <v>0</v>
      </c>
      <c r="AA244" s="134">
        <f t="shared" si="215"/>
        <v>0</v>
      </c>
      <c r="AB244" s="134">
        <f t="shared" si="215"/>
        <v>0</v>
      </c>
      <c r="AC244" s="134">
        <f t="shared" si="215"/>
        <v>0</v>
      </c>
      <c r="AD244" s="134">
        <f t="shared" si="215"/>
        <v>0</v>
      </c>
      <c r="AE244" s="134">
        <f t="shared" si="215"/>
        <v>0</v>
      </c>
      <c r="AF244" s="135">
        <f t="shared" si="215"/>
        <v>0</v>
      </c>
      <c r="AG244" s="136">
        <f t="shared" si="215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216">AF246</f>
        <v>0.3</v>
      </c>
      <c r="C246" s="138">
        <v>0.3</v>
      </c>
      <c r="D246" s="138">
        <f t="shared" ref="D246:S251" si="217">C246</f>
        <v>0.3</v>
      </c>
      <c r="E246" s="138">
        <f t="shared" si="217"/>
        <v>0.3</v>
      </c>
      <c r="F246" s="138">
        <f t="shared" si="217"/>
        <v>0.3</v>
      </c>
      <c r="G246" s="138">
        <f t="shared" si="217"/>
        <v>0.3</v>
      </c>
      <c r="H246" s="138">
        <f t="shared" si="217"/>
        <v>0.3</v>
      </c>
      <c r="I246" s="138">
        <f t="shared" si="217"/>
        <v>0.3</v>
      </c>
      <c r="J246" s="138">
        <f t="shared" si="217"/>
        <v>0.3</v>
      </c>
      <c r="K246" s="138">
        <f t="shared" si="217"/>
        <v>0.3</v>
      </c>
      <c r="L246" s="138">
        <f t="shared" si="217"/>
        <v>0.3</v>
      </c>
      <c r="M246" s="138">
        <f t="shared" si="217"/>
        <v>0.3</v>
      </c>
      <c r="N246" s="138">
        <f t="shared" si="217"/>
        <v>0.3</v>
      </c>
      <c r="O246" s="138">
        <f t="shared" si="217"/>
        <v>0.3</v>
      </c>
      <c r="P246" s="138">
        <f t="shared" si="217"/>
        <v>0.3</v>
      </c>
      <c r="Q246" s="138">
        <f t="shared" si="217"/>
        <v>0.3</v>
      </c>
      <c r="R246" s="138">
        <f t="shared" si="217"/>
        <v>0.3</v>
      </c>
      <c r="S246" s="138">
        <f t="shared" si="217"/>
        <v>0.3</v>
      </c>
      <c r="T246" s="138">
        <f t="shared" ref="T246:AF251" si="218">S246</f>
        <v>0.3</v>
      </c>
      <c r="U246" s="138">
        <f t="shared" si="218"/>
        <v>0.3</v>
      </c>
      <c r="V246" s="138">
        <f t="shared" si="218"/>
        <v>0.3</v>
      </c>
      <c r="W246" s="138">
        <f t="shared" si="218"/>
        <v>0.3</v>
      </c>
      <c r="X246" s="138">
        <f t="shared" si="218"/>
        <v>0.3</v>
      </c>
      <c r="Y246" s="138">
        <f t="shared" si="218"/>
        <v>0.3</v>
      </c>
      <c r="Z246" s="138">
        <f t="shared" si="218"/>
        <v>0.3</v>
      </c>
      <c r="AA246" s="138">
        <f t="shared" si="218"/>
        <v>0.3</v>
      </c>
      <c r="AB246" s="138">
        <f t="shared" si="218"/>
        <v>0.3</v>
      </c>
      <c r="AC246" s="138">
        <f t="shared" si="218"/>
        <v>0.3</v>
      </c>
      <c r="AD246" s="138">
        <f t="shared" si="218"/>
        <v>0.3</v>
      </c>
      <c r="AE246" s="138">
        <f t="shared" si="218"/>
        <v>0.3</v>
      </c>
      <c r="AF246" s="138">
        <f t="shared" si="218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216"/>
        <v>0.4</v>
      </c>
      <c r="C247" s="126">
        <v>0.4</v>
      </c>
      <c r="D247" s="126">
        <f t="shared" si="217"/>
        <v>0.4</v>
      </c>
      <c r="E247" s="126">
        <f t="shared" si="217"/>
        <v>0.4</v>
      </c>
      <c r="F247" s="126">
        <f t="shared" si="217"/>
        <v>0.4</v>
      </c>
      <c r="G247" s="126">
        <f t="shared" si="217"/>
        <v>0.4</v>
      </c>
      <c r="H247" s="126">
        <f t="shared" si="217"/>
        <v>0.4</v>
      </c>
      <c r="I247" s="126">
        <f t="shared" si="217"/>
        <v>0.4</v>
      </c>
      <c r="J247" s="126">
        <f t="shared" si="217"/>
        <v>0.4</v>
      </c>
      <c r="K247" s="126">
        <f t="shared" si="217"/>
        <v>0.4</v>
      </c>
      <c r="L247" s="126">
        <f t="shared" si="217"/>
        <v>0.4</v>
      </c>
      <c r="M247" s="126">
        <f t="shared" si="217"/>
        <v>0.4</v>
      </c>
      <c r="N247" s="126">
        <f t="shared" si="217"/>
        <v>0.4</v>
      </c>
      <c r="O247" s="126">
        <f t="shared" si="217"/>
        <v>0.4</v>
      </c>
      <c r="P247" s="126">
        <f t="shared" si="217"/>
        <v>0.4</v>
      </c>
      <c r="Q247" s="126">
        <f t="shared" si="217"/>
        <v>0.4</v>
      </c>
      <c r="R247" s="126">
        <f t="shared" si="217"/>
        <v>0.4</v>
      </c>
      <c r="S247" s="126">
        <f t="shared" si="217"/>
        <v>0.4</v>
      </c>
      <c r="T247" s="126">
        <f t="shared" si="218"/>
        <v>0.4</v>
      </c>
      <c r="U247" s="126">
        <f t="shared" si="218"/>
        <v>0.4</v>
      </c>
      <c r="V247" s="126">
        <f t="shared" si="218"/>
        <v>0.4</v>
      </c>
      <c r="W247" s="126">
        <f t="shared" si="218"/>
        <v>0.4</v>
      </c>
      <c r="X247" s="126">
        <f t="shared" si="218"/>
        <v>0.4</v>
      </c>
      <c r="Y247" s="126">
        <f t="shared" si="218"/>
        <v>0.4</v>
      </c>
      <c r="Z247" s="126">
        <f t="shared" si="218"/>
        <v>0.4</v>
      </c>
      <c r="AA247" s="126">
        <f t="shared" si="218"/>
        <v>0.4</v>
      </c>
      <c r="AB247" s="126">
        <f t="shared" si="218"/>
        <v>0.4</v>
      </c>
      <c r="AC247" s="126">
        <f t="shared" si="218"/>
        <v>0.4</v>
      </c>
      <c r="AD247" s="126">
        <f t="shared" si="218"/>
        <v>0.4</v>
      </c>
      <c r="AE247" s="126">
        <f t="shared" si="218"/>
        <v>0.4</v>
      </c>
      <c r="AF247" s="126">
        <f t="shared" si="218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216"/>
        <v>1.5</v>
      </c>
      <c r="C248" s="126">
        <v>1.5</v>
      </c>
      <c r="D248" s="126">
        <f t="shared" si="217"/>
        <v>1.5</v>
      </c>
      <c r="E248" s="126">
        <f t="shared" si="217"/>
        <v>1.5</v>
      </c>
      <c r="F248" s="126">
        <f t="shared" si="217"/>
        <v>1.5</v>
      </c>
      <c r="G248" s="126">
        <f t="shared" si="217"/>
        <v>1.5</v>
      </c>
      <c r="H248" s="126">
        <f t="shared" si="217"/>
        <v>1.5</v>
      </c>
      <c r="I248" s="126">
        <f t="shared" si="217"/>
        <v>1.5</v>
      </c>
      <c r="J248" s="126">
        <f t="shared" si="217"/>
        <v>1.5</v>
      </c>
      <c r="K248" s="126">
        <f t="shared" si="217"/>
        <v>1.5</v>
      </c>
      <c r="L248" s="126">
        <f t="shared" si="217"/>
        <v>1.5</v>
      </c>
      <c r="M248" s="126">
        <f t="shared" si="217"/>
        <v>1.5</v>
      </c>
      <c r="N248" s="126">
        <f t="shared" si="217"/>
        <v>1.5</v>
      </c>
      <c r="O248" s="126">
        <f t="shared" si="217"/>
        <v>1.5</v>
      </c>
      <c r="P248" s="126">
        <f t="shared" si="217"/>
        <v>1.5</v>
      </c>
      <c r="Q248" s="126">
        <f t="shared" si="217"/>
        <v>1.5</v>
      </c>
      <c r="R248" s="126">
        <f t="shared" si="217"/>
        <v>1.5</v>
      </c>
      <c r="S248" s="126">
        <f t="shared" si="217"/>
        <v>1.5</v>
      </c>
      <c r="T248" s="126">
        <f t="shared" si="218"/>
        <v>1.5</v>
      </c>
      <c r="U248" s="126">
        <f t="shared" si="218"/>
        <v>1.5</v>
      </c>
      <c r="V248" s="126">
        <f t="shared" si="218"/>
        <v>1.5</v>
      </c>
      <c r="W248" s="126">
        <f t="shared" si="218"/>
        <v>1.5</v>
      </c>
      <c r="X248" s="126">
        <f t="shared" si="218"/>
        <v>1.5</v>
      </c>
      <c r="Y248" s="126">
        <f t="shared" si="218"/>
        <v>1.5</v>
      </c>
      <c r="Z248" s="126">
        <f t="shared" si="218"/>
        <v>1.5</v>
      </c>
      <c r="AA248" s="126">
        <f t="shared" si="218"/>
        <v>1.5</v>
      </c>
      <c r="AB248" s="126">
        <f t="shared" si="218"/>
        <v>1.5</v>
      </c>
      <c r="AC248" s="126">
        <f t="shared" si="218"/>
        <v>1.5</v>
      </c>
      <c r="AD248" s="126">
        <f t="shared" si="218"/>
        <v>1.5</v>
      </c>
      <c r="AE248" s="126">
        <f t="shared" si="218"/>
        <v>1.5</v>
      </c>
      <c r="AF248" s="126">
        <f t="shared" si="218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216"/>
        <v>0.3</v>
      </c>
      <c r="C249" s="126">
        <v>0.3</v>
      </c>
      <c r="D249" s="126">
        <f t="shared" si="217"/>
        <v>0.3</v>
      </c>
      <c r="E249" s="126">
        <f t="shared" si="217"/>
        <v>0.3</v>
      </c>
      <c r="F249" s="126">
        <f t="shared" si="217"/>
        <v>0.3</v>
      </c>
      <c r="G249" s="126">
        <f t="shared" si="217"/>
        <v>0.3</v>
      </c>
      <c r="H249" s="126">
        <f t="shared" si="217"/>
        <v>0.3</v>
      </c>
      <c r="I249" s="126">
        <f t="shared" si="217"/>
        <v>0.3</v>
      </c>
      <c r="J249" s="126">
        <f t="shared" si="217"/>
        <v>0.3</v>
      </c>
      <c r="K249" s="126">
        <f t="shared" si="217"/>
        <v>0.3</v>
      </c>
      <c r="L249" s="126">
        <f t="shared" si="217"/>
        <v>0.3</v>
      </c>
      <c r="M249" s="126">
        <f t="shared" si="217"/>
        <v>0.3</v>
      </c>
      <c r="N249" s="126">
        <f t="shared" si="217"/>
        <v>0.3</v>
      </c>
      <c r="O249" s="126">
        <f t="shared" si="217"/>
        <v>0.3</v>
      </c>
      <c r="P249" s="126">
        <f t="shared" si="217"/>
        <v>0.3</v>
      </c>
      <c r="Q249" s="126">
        <f t="shared" si="217"/>
        <v>0.3</v>
      </c>
      <c r="R249" s="126">
        <f t="shared" si="217"/>
        <v>0.3</v>
      </c>
      <c r="S249" s="126">
        <f t="shared" si="217"/>
        <v>0.3</v>
      </c>
      <c r="T249" s="126">
        <f t="shared" si="218"/>
        <v>0.3</v>
      </c>
      <c r="U249" s="126">
        <f t="shared" si="218"/>
        <v>0.3</v>
      </c>
      <c r="V249" s="126">
        <f t="shared" si="218"/>
        <v>0.3</v>
      </c>
      <c r="W249" s="126">
        <f t="shared" si="218"/>
        <v>0.3</v>
      </c>
      <c r="X249" s="126">
        <f t="shared" si="218"/>
        <v>0.3</v>
      </c>
      <c r="Y249" s="126">
        <f t="shared" si="218"/>
        <v>0.3</v>
      </c>
      <c r="Z249" s="126">
        <f t="shared" si="218"/>
        <v>0.3</v>
      </c>
      <c r="AA249" s="126">
        <f t="shared" si="218"/>
        <v>0.3</v>
      </c>
      <c r="AB249" s="126">
        <f t="shared" si="218"/>
        <v>0.3</v>
      </c>
      <c r="AC249" s="126">
        <f t="shared" si="218"/>
        <v>0.3</v>
      </c>
      <c r="AD249" s="126">
        <f t="shared" si="218"/>
        <v>0.3</v>
      </c>
      <c r="AE249" s="126">
        <f t="shared" si="218"/>
        <v>0.3</v>
      </c>
      <c r="AF249" s="126">
        <f t="shared" si="218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216"/>
        <v>0.4</v>
      </c>
      <c r="C250" s="126">
        <v>0.4</v>
      </c>
      <c r="D250" s="126">
        <f t="shared" si="217"/>
        <v>0.4</v>
      </c>
      <c r="E250" s="126">
        <f t="shared" si="217"/>
        <v>0.4</v>
      </c>
      <c r="F250" s="126">
        <f t="shared" si="217"/>
        <v>0.4</v>
      </c>
      <c r="G250" s="126">
        <f t="shared" si="217"/>
        <v>0.4</v>
      </c>
      <c r="H250" s="126">
        <f t="shared" si="217"/>
        <v>0.4</v>
      </c>
      <c r="I250" s="126">
        <f t="shared" si="217"/>
        <v>0.4</v>
      </c>
      <c r="J250" s="126">
        <f t="shared" si="217"/>
        <v>0.4</v>
      </c>
      <c r="K250" s="126">
        <f t="shared" si="217"/>
        <v>0.4</v>
      </c>
      <c r="L250" s="126">
        <f t="shared" si="217"/>
        <v>0.4</v>
      </c>
      <c r="M250" s="126">
        <f t="shared" si="217"/>
        <v>0.4</v>
      </c>
      <c r="N250" s="126">
        <f t="shared" si="217"/>
        <v>0.4</v>
      </c>
      <c r="O250" s="126">
        <f t="shared" si="217"/>
        <v>0.4</v>
      </c>
      <c r="P250" s="126">
        <f t="shared" si="217"/>
        <v>0.4</v>
      </c>
      <c r="Q250" s="126">
        <f t="shared" si="217"/>
        <v>0.4</v>
      </c>
      <c r="R250" s="126">
        <f t="shared" si="217"/>
        <v>0.4</v>
      </c>
      <c r="S250" s="126">
        <f t="shared" si="217"/>
        <v>0.4</v>
      </c>
      <c r="T250" s="126">
        <f t="shared" si="218"/>
        <v>0.4</v>
      </c>
      <c r="U250" s="126">
        <f t="shared" si="218"/>
        <v>0.4</v>
      </c>
      <c r="V250" s="126">
        <f t="shared" si="218"/>
        <v>0.4</v>
      </c>
      <c r="W250" s="126">
        <f t="shared" si="218"/>
        <v>0.4</v>
      </c>
      <c r="X250" s="126">
        <f t="shared" si="218"/>
        <v>0.4</v>
      </c>
      <c r="Y250" s="126">
        <f t="shared" si="218"/>
        <v>0.4</v>
      </c>
      <c r="Z250" s="126">
        <f t="shared" si="218"/>
        <v>0.4</v>
      </c>
      <c r="AA250" s="126">
        <f t="shared" si="218"/>
        <v>0.4</v>
      </c>
      <c r="AB250" s="126">
        <f t="shared" si="218"/>
        <v>0.4</v>
      </c>
      <c r="AC250" s="126">
        <f t="shared" si="218"/>
        <v>0.4</v>
      </c>
      <c r="AD250" s="126">
        <f t="shared" si="218"/>
        <v>0.4</v>
      </c>
      <c r="AE250" s="126">
        <f t="shared" si="218"/>
        <v>0.4</v>
      </c>
      <c r="AF250" s="126">
        <f t="shared" si="218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216"/>
        <v>0.64</v>
      </c>
      <c r="C251" s="130">
        <v>0.64</v>
      </c>
      <c r="D251" s="130">
        <f t="shared" si="217"/>
        <v>0.64</v>
      </c>
      <c r="E251" s="130">
        <f t="shared" si="217"/>
        <v>0.64</v>
      </c>
      <c r="F251" s="130">
        <f t="shared" si="217"/>
        <v>0.64</v>
      </c>
      <c r="G251" s="130">
        <f t="shared" si="217"/>
        <v>0.64</v>
      </c>
      <c r="H251" s="130">
        <f t="shared" si="217"/>
        <v>0.64</v>
      </c>
      <c r="I251" s="130">
        <f t="shared" si="217"/>
        <v>0.64</v>
      </c>
      <c r="J251" s="130">
        <f t="shared" si="217"/>
        <v>0.64</v>
      </c>
      <c r="K251" s="130">
        <f t="shared" si="217"/>
        <v>0.64</v>
      </c>
      <c r="L251" s="130">
        <f t="shared" si="217"/>
        <v>0.64</v>
      </c>
      <c r="M251" s="130">
        <f t="shared" si="217"/>
        <v>0.64</v>
      </c>
      <c r="N251" s="130">
        <f t="shared" si="217"/>
        <v>0.64</v>
      </c>
      <c r="O251" s="130">
        <f t="shared" si="217"/>
        <v>0.64</v>
      </c>
      <c r="P251" s="130">
        <f t="shared" si="217"/>
        <v>0.64</v>
      </c>
      <c r="Q251" s="130">
        <f t="shared" si="217"/>
        <v>0.64</v>
      </c>
      <c r="R251" s="130">
        <f t="shared" si="217"/>
        <v>0.64</v>
      </c>
      <c r="S251" s="130">
        <f t="shared" si="217"/>
        <v>0.64</v>
      </c>
      <c r="T251" s="130">
        <f t="shared" si="218"/>
        <v>0.64</v>
      </c>
      <c r="U251" s="130">
        <f t="shared" si="218"/>
        <v>0.64</v>
      </c>
      <c r="V251" s="130">
        <f t="shared" si="218"/>
        <v>0.64</v>
      </c>
      <c r="W251" s="130">
        <f t="shared" si="218"/>
        <v>0.64</v>
      </c>
      <c r="X251" s="130">
        <f t="shared" si="218"/>
        <v>0.64</v>
      </c>
      <c r="Y251" s="130">
        <f t="shared" si="218"/>
        <v>0.64</v>
      </c>
      <c r="Z251" s="130">
        <f t="shared" si="218"/>
        <v>0.64</v>
      </c>
      <c r="AA251" s="130">
        <f t="shared" si="218"/>
        <v>0.64</v>
      </c>
      <c r="AB251" s="130">
        <f t="shared" si="218"/>
        <v>0.64</v>
      </c>
      <c r="AC251" s="130">
        <f t="shared" si="218"/>
        <v>0.64</v>
      </c>
      <c r="AD251" s="130">
        <f t="shared" si="218"/>
        <v>0.64</v>
      </c>
      <c r="AE251" s="130">
        <f t="shared" si="218"/>
        <v>0.64</v>
      </c>
      <c r="AF251" s="130">
        <f t="shared" si="218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219">SUM(B246:B251)</f>
        <v>3.54</v>
      </c>
      <c r="C252" s="134">
        <f t="shared" si="219"/>
        <v>3.54</v>
      </c>
      <c r="D252" s="134">
        <f t="shared" si="219"/>
        <v>3.54</v>
      </c>
      <c r="E252" s="134">
        <f t="shared" si="219"/>
        <v>3.54</v>
      </c>
      <c r="F252" s="134">
        <f t="shared" si="219"/>
        <v>3.54</v>
      </c>
      <c r="G252" s="134">
        <f t="shared" si="219"/>
        <v>3.54</v>
      </c>
      <c r="H252" s="134">
        <f t="shared" si="219"/>
        <v>3.54</v>
      </c>
      <c r="I252" s="134">
        <f t="shared" si="219"/>
        <v>3.54</v>
      </c>
      <c r="J252" s="134">
        <f t="shared" si="219"/>
        <v>3.54</v>
      </c>
      <c r="K252" s="134">
        <f t="shared" si="219"/>
        <v>3.54</v>
      </c>
      <c r="L252" s="134">
        <f t="shared" si="219"/>
        <v>3.54</v>
      </c>
      <c r="M252" s="134">
        <f t="shared" si="219"/>
        <v>3.54</v>
      </c>
      <c r="N252" s="134">
        <f t="shared" si="219"/>
        <v>3.54</v>
      </c>
      <c r="O252" s="134">
        <f t="shared" si="219"/>
        <v>3.54</v>
      </c>
      <c r="P252" s="134">
        <f t="shared" si="219"/>
        <v>3.54</v>
      </c>
      <c r="Q252" s="134">
        <f t="shared" si="219"/>
        <v>3.54</v>
      </c>
      <c r="R252" s="134">
        <f t="shared" si="219"/>
        <v>3.54</v>
      </c>
      <c r="S252" s="134">
        <f t="shared" si="219"/>
        <v>3.54</v>
      </c>
      <c r="T252" s="134">
        <f t="shared" si="219"/>
        <v>3.54</v>
      </c>
      <c r="U252" s="134">
        <f t="shared" si="219"/>
        <v>3.54</v>
      </c>
      <c r="V252" s="134">
        <f t="shared" si="219"/>
        <v>3.54</v>
      </c>
      <c r="W252" s="134">
        <f t="shared" si="219"/>
        <v>3.54</v>
      </c>
      <c r="X252" s="134">
        <f t="shared" si="219"/>
        <v>3.54</v>
      </c>
      <c r="Y252" s="134">
        <f t="shared" si="219"/>
        <v>3.54</v>
      </c>
      <c r="Z252" s="134">
        <f t="shared" si="219"/>
        <v>3.54</v>
      </c>
      <c r="AA252" s="134">
        <f t="shared" si="219"/>
        <v>3.54</v>
      </c>
      <c r="AB252" s="134">
        <f t="shared" si="219"/>
        <v>3.54</v>
      </c>
      <c r="AC252" s="134">
        <f t="shared" si="219"/>
        <v>3.54</v>
      </c>
      <c r="AD252" s="134">
        <f t="shared" si="219"/>
        <v>3.54</v>
      </c>
      <c r="AE252" s="134">
        <f t="shared" si="219"/>
        <v>3.54</v>
      </c>
      <c r="AF252" s="134">
        <f t="shared" si="219"/>
        <v>3.54</v>
      </c>
      <c r="AG252" s="143">
        <f t="shared" si="219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1642.99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2080/10/24)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212" priority="91">
      <formula>$AH11=0</formula>
    </cfRule>
  </conditionalFormatting>
  <conditionalFormatting sqref="A132:A253">
    <cfRule type="expression" dxfId="1211" priority="92">
      <formula>$AH132=0</formula>
    </cfRule>
  </conditionalFormatting>
  <conditionalFormatting sqref="B8">
    <cfRule type="expression" dxfId="1210" priority="153">
      <formula>C$9&gt;=20/24</formula>
    </cfRule>
    <cfRule type="expression" dxfId="1209" priority="152">
      <formula>C$9&lt;8/24</formula>
    </cfRule>
    <cfRule type="expression" dxfId="1208" priority="151">
      <formula>AND(C$9&gt;=8/24,C$9&lt;14/24)</formula>
    </cfRule>
    <cfRule type="expression" dxfId="1207" priority="150">
      <formula>AND(C$9&gt;=14/24,C$9&lt;20/24)</formula>
    </cfRule>
  </conditionalFormatting>
  <conditionalFormatting sqref="B11:Y52 B59:L74 Z63:AB68 M63:M74 AC63:AF74 N68:O74 M69:AB74 B77:AF99 B9:AF10 B101:AF117 B119:AF137 B244:AF244 B246:B252">
    <cfRule type="expression" dxfId="1206" priority="42">
      <formula>B$9&gt;=20/24</formula>
    </cfRule>
  </conditionalFormatting>
  <conditionalFormatting sqref="B11:Y80 AB58:AF61 Z58:AA80 AB62:AG62 AD63:AF74 AB66:AC74 AB75:AF80 AG80">
    <cfRule type="expression" dxfId="1205" priority="41">
      <formula>B11&gt;$AG11</formula>
    </cfRule>
  </conditionalFormatting>
  <conditionalFormatting sqref="B9:AF10 B11:Y52 B59:L74 Z63:AB68 M63:M74 AC63:AF74 N68:O74 M69:AB74 B77:AF99 B101:AF117 B119:AF137 B244:AF244 B246:B252">
    <cfRule type="expression" dxfId="1204" priority="45">
      <formula>B$9&lt;8/24</formula>
    </cfRule>
    <cfRule type="expression" dxfId="1203" priority="44">
      <formula>AND(B$9&gt;=8/24,B$9&lt;14/24)</formula>
    </cfRule>
    <cfRule type="expression" dxfId="1202" priority="43">
      <formula>AND(B$9&gt;=14/24,B$9&lt;20/24)</formula>
    </cfRule>
  </conditionalFormatting>
  <conditionalFormatting sqref="D246:AF252">
    <cfRule type="expression" dxfId="1201" priority="136">
      <formula>AND(D$9&gt;=14/24,D$9&lt;20/24)</formula>
    </cfRule>
    <cfRule type="expression" dxfId="1200" priority="138">
      <formula>D$9&lt;8/24</formula>
    </cfRule>
    <cfRule type="expression" dxfId="1199" priority="137">
      <formula>AND(D$9&gt;=8/24,D$9&lt;14/24)</formula>
    </cfRule>
    <cfRule type="expression" dxfId="1198" priority="135">
      <formula>D$9&gt;=20/24</formula>
    </cfRule>
  </conditionalFormatting>
  <conditionalFormatting sqref="M8 S8 AB8">
    <cfRule type="expression" dxfId="1197" priority="143">
      <formula>AND(N$9&gt;=8/24,N$9&lt;14/24)</formula>
    </cfRule>
    <cfRule type="expression" dxfId="1196" priority="142">
      <formula>AND(N$9&gt;=14/24,N$9&lt;20/24)</formula>
    </cfRule>
    <cfRule type="expression" dxfId="1195" priority="144">
      <formula>N$9&lt;8/24</formula>
    </cfRule>
  </conditionalFormatting>
  <conditionalFormatting sqref="M53:Y56 B53:L57">
    <cfRule type="expression" dxfId="1194" priority="54">
      <formula>B$9&lt;8/24</formula>
    </cfRule>
  </conditionalFormatting>
  <conditionalFormatting sqref="M57:Y57">
    <cfRule type="expression" dxfId="1193" priority="68">
      <formula>M$9&lt;8/24</formula>
    </cfRule>
  </conditionalFormatting>
  <conditionalFormatting sqref="M63:Y68">
    <cfRule type="expression" dxfId="1192" priority="81">
      <formula>AND(M$9&gt;=8/24,M$9&lt;14/24)</formula>
    </cfRule>
    <cfRule type="expression" dxfId="1191" priority="82">
      <formula>M$9&lt;8/24</formula>
    </cfRule>
    <cfRule type="expression" dxfId="1190" priority="80">
      <formula>AND(M$9&gt;=14/24,M$9&lt;20/24)</formula>
    </cfRule>
    <cfRule type="expression" dxfId="1189" priority="79">
      <formula>M$9&gt;=20/24</formula>
    </cfRule>
  </conditionalFormatting>
  <conditionalFormatting sqref="M59:AF62">
    <cfRule type="expression" dxfId="1188" priority="72">
      <formula>M$9&lt;8/24</formula>
    </cfRule>
    <cfRule type="expression" dxfId="1187" priority="71">
      <formula>AND(M$9&gt;=8/24,M$9&lt;14/24)</formula>
    </cfRule>
    <cfRule type="expression" dxfId="1186" priority="70">
      <formula>AND(M$9&gt;=14/24,M$9&lt;20/24)</formula>
    </cfRule>
    <cfRule type="expression" dxfId="1185" priority="69">
      <formula>M$9&gt;=20/24</formula>
    </cfRule>
  </conditionalFormatting>
  <conditionalFormatting sqref="O3:P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84" priority="141">
      <formula>N$9&gt;=20/24</formula>
    </cfRule>
  </conditionalFormatting>
  <conditionalFormatting sqref="S8">
    <cfRule type="expression" dxfId="1183" priority="131">
      <formula>U$9&lt;8/24</formula>
    </cfRule>
    <cfRule type="expression" dxfId="1182" priority="130">
      <formula>AND(U$9&gt;=8/24,U$9&lt;14/24)</formula>
    </cfRule>
    <cfRule type="expression" dxfId="1181" priority="129">
      <formula>AND(U$9&gt;=14/24,U$9&lt;20/24)</formula>
    </cfRule>
    <cfRule type="expression" dxfId="1180" priority="128">
      <formula>U$9&gt;=20/24</formula>
    </cfRule>
  </conditionalFormatting>
  <conditionalFormatting sqref="V3 AB3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1179" priority="63">
      <formula>Z$9&lt;8/24</formula>
    </cfRule>
    <cfRule type="expression" dxfId="1178" priority="61">
      <formula>AND(Z$9&gt;=14/24,Z$9&lt;20/24)</formula>
    </cfRule>
    <cfRule type="expression" dxfId="1177" priority="62">
      <formula>AND(Z$9&gt;=8/24,Z$9&lt;14/24)</formula>
    </cfRule>
    <cfRule type="expression" dxfId="1176" priority="59">
      <formula>Z11&gt;$AG11</formula>
    </cfRule>
    <cfRule type="expression" dxfId="1175" priority="60">
      <formula>Z$9&gt;=20/24</formula>
    </cfRule>
  </conditionalFormatting>
  <conditionalFormatting sqref="Z53:AF54 M53:Y56 B53:L57">
    <cfRule type="expression" dxfId="1174" priority="38">
      <formula>B$9&gt;=20/24</formula>
    </cfRule>
    <cfRule type="expression" dxfId="1173" priority="39">
      <formula>AND(B$9&gt;=14/24,B$9&lt;20/24)</formula>
    </cfRule>
    <cfRule type="expression" dxfId="1172" priority="40">
      <formula>AND(B$9&gt;=8/24,B$9&lt;14/24)</formula>
    </cfRule>
  </conditionalFormatting>
  <conditionalFormatting sqref="Z53:AF55">
    <cfRule type="expression" dxfId="1171" priority="78">
      <formula>Z53&gt;$AG53</formula>
    </cfRule>
  </conditionalFormatting>
  <conditionalFormatting sqref="Z53:AF57">
    <cfRule type="expression" dxfId="1170" priority="77">
      <formula>Z$9&lt;8/24</formula>
    </cfRule>
  </conditionalFormatting>
  <conditionalFormatting sqref="Z55:AF57 M57:Y57">
    <cfRule type="expression" dxfId="1169" priority="65">
      <formula>M$9&gt;=20/24</formula>
    </cfRule>
    <cfRule type="expression" dxfId="1168" priority="67">
      <formula>AND(M$9&gt;=8/24,M$9&lt;14/24)</formula>
    </cfRule>
    <cfRule type="expression" dxfId="1167" priority="66">
      <formula>AND(M$9&gt;=14/24,M$9&lt;20/24)</formula>
    </cfRule>
  </conditionalFormatting>
  <conditionalFormatting sqref="Z56:AF57">
    <cfRule type="expression" dxfId="1166" priority="64">
      <formula>Z56&gt;$AG56</formula>
    </cfRule>
  </conditionalFormatting>
  <conditionalFormatting sqref="AB8">
    <cfRule type="expression" dxfId="1165" priority="126">
      <formula>AND(AD$9&gt;=8/24,AD$9&lt;14/24)</formula>
    </cfRule>
    <cfRule type="expression" dxfId="1164" priority="127">
      <formula>AD$9&lt;8/24</formula>
    </cfRule>
    <cfRule type="expression" dxfId="1163" priority="124">
      <formula>AD$9&gt;=20/24</formula>
    </cfRule>
    <cfRule type="expression" dxfId="1162" priority="125">
      <formula>AND(AD$9&gt;=14/24,AD$9&lt;20/24)</formula>
    </cfRule>
  </conditionalFormatting>
  <conditionalFormatting sqref="AB63:AC64">
    <cfRule type="expression" dxfId="1161" priority="1">
      <formula>AB63&gt;$AG63</formula>
    </cfRule>
  </conditionalFormatting>
  <conditionalFormatting sqref="AB65:AC65">
    <cfRule type="expression" dxfId="1160" priority="385">
      <formula>AB65&gt;$AG64</formula>
    </cfRule>
  </conditionalFormatting>
  <conditionalFormatting sqref="AG58">
    <cfRule type="expression" dxfId="1159" priority="119">
      <formula>AG58&gt;$AG58</formula>
    </cfRule>
  </conditionalFormatting>
  <conditionalFormatting sqref="AG62">
    <cfRule type="expression" dxfId="1158" priority="102">
      <formula>AG$9&gt;=20/24</formula>
    </cfRule>
    <cfRule type="expression" dxfId="1157" priority="103">
      <formula>AND(AG$9&gt;=14/24,AG$9&lt;20/24)</formula>
    </cfRule>
    <cfRule type="expression" dxfId="1156" priority="104">
      <formula>AND(AG$9&gt;=8/24,AG$9&lt;14/24)</formula>
    </cfRule>
    <cfRule type="expression" dxfId="1155" priority="105">
      <formula>AG$9&lt;8/24</formula>
    </cfRule>
  </conditionalFormatting>
  <conditionalFormatting sqref="AG75:AG76">
    <cfRule type="expression" dxfId="1154" priority="97">
      <formula>AG75&gt;$AG75</formula>
    </cfRule>
  </conditionalFormatting>
  <conditionalFormatting sqref="AG80">
    <cfRule type="expression" dxfId="1153" priority="100">
      <formula>AND(AG$9&gt;=8/24,AG$9&lt;14/24)</formula>
    </cfRule>
    <cfRule type="expression" dxfId="1152" priority="98">
      <formula>AG$9&gt;=20/24</formula>
    </cfRule>
    <cfRule type="expression" dxfId="1151" priority="99">
      <formula>AND(AG$9&gt;=14/24,AG$9&lt;20/24)</formula>
    </cfRule>
    <cfRule type="expression" dxfId="1150" priority="101">
      <formula>AG$9&lt;8/24</formula>
    </cfRule>
  </conditionalFormatting>
  <conditionalFormatting sqref="AG97">
    <cfRule type="expression" dxfId="1149" priority="123">
      <formula>AG$9&lt;8/24</formula>
    </cfRule>
    <cfRule type="expression" dxfId="1148" priority="122">
      <formula>AND(AG$9&gt;=8/24,AG$9&lt;14/24)</formula>
    </cfRule>
    <cfRule type="expression" dxfId="1147" priority="121">
      <formula>AND(AG$9&gt;=14/24,AG$9&lt;20/24)</formula>
    </cfRule>
    <cfRule type="expression" dxfId="1146" priority="120">
      <formula>AG$9&gt;=20/24</formula>
    </cfRule>
  </conditionalFormatting>
  <conditionalFormatting sqref="AL4:AL6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45" priority="146">
      <formula>AND(AJ$9&gt;=14/24,AJ$9&lt;20/24)</formula>
    </cfRule>
    <cfRule type="expression" dxfId="1144" priority="147">
      <formula>AND(AJ$9&gt;=8/24,AJ$9&lt;14/24)</formula>
    </cfRule>
    <cfRule type="expression" dxfId="1143" priority="148">
      <formula>AJ$9&lt;8/24</formula>
    </cfRule>
    <cfRule type="expression" dxfId="1142" priority="145">
      <formula>AJ$9&gt;=20/24</formula>
    </cfRule>
  </conditionalFormatting>
  <conditionalFormatting sqref="AL88:AN88 AL94:AN94">
    <cfRule type="expression" dxfId="1141" priority="112">
      <formula>AL$9&gt;=20/24</formula>
    </cfRule>
    <cfRule type="expression" dxfId="1140" priority="113">
      <formula>AND(AL$9&gt;=14/24,AL$9&lt;20/24)</formula>
    </cfRule>
    <cfRule type="expression" dxfId="1139" priority="114">
      <formula>AND(AL$9&gt;=8/24,AL$9&lt;14/24)</formula>
    </cfRule>
    <cfRule type="expression" dxfId="1138" priority="115">
      <formula>AL$9&lt;8/24</formula>
    </cfRule>
  </conditionalFormatting>
  <conditionalFormatting sqref="AM15:AM21 AN16:AR21">
    <cfRule type="expression" dxfId="1137" priority="15">
      <formula>AND(AX$9&gt;=14/24,AX$9&lt;20/24)</formula>
    </cfRule>
    <cfRule type="expression" dxfId="1136" priority="17">
      <formula>AX$9&lt;8/24</formula>
    </cfRule>
    <cfRule type="expression" dxfId="1135" priority="14">
      <formula>AX$9&gt;=20/24</formula>
    </cfRule>
    <cfRule type="expression" dxfId="1134" priority="16">
      <formula>AND(AX$9&gt;=8/24,AX$9&lt;14/24)</formula>
    </cfRule>
  </conditionalFormatting>
  <conditionalFormatting sqref="AN89:AN92">
    <cfRule type="expression" dxfId="1133" priority="110">
      <formula>AND(AN$9&gt;=8/24,AN$9&lt;14/24)</formula>
    </cfRule>
    <cfRule type="expression" dxfId="1132" priority="111">
      <formula>AN$9&lt;8/24</formula>
    </cfRule>
    <cfRule type="expression" dxfId="1131" priority="109">
      <formula>AND(AN$9&gt;=14/24,AN$9&lt;20/24)</formula>
    </cfRule>
    <cfRule type="expression" dxfId="1130" priority="108">
      <formula>AN$9&gt;=20/24</formula>
    </cfRule>
  </conditionalFormatting>
  <conditionalFormatting sqref="AN15:AR15">
    <cfRule type="expression" dxfId="1129" priority="2">
      <formula>U$9&gt;=20/24</formula>
    </cfRule>
    <cfRule type="expression" dxfId="1128" priority="3">
      <formula>AND(U$9&gt;=14/24,U$9&lt;20/24)</formula>
    </cfRule>
    <cfRule type="expression" dxfId="1127" priority="4">
      <formula>AND(U$9&gt;=8/24,U$9&lt;14/24)</formula>
    </cfRule>
    <cfRule type="expression" dxfId="1126" priority="5">
      <formula>U$9&lt;8/24</formula>
    </cfRule>
  </conditionalFormatting>
  <conditionalFormatting sqref="AS15">
    <cfRule type="expression" dxfId="1125" priority="10">
      <formula>AA$9&gt;=20/24</formula>
    </cfRule>
    <cfRule type="expression" dxfId="1124" priority="13">
      <formula>AA$9&lt;8/24</formula>
    </cfRule>
    <cfRule type="expression" dxfId="1123" priority="11">
      <formula>AND(AA$9&gt;=14/24,AA$9&lt;20/24)</formula>
    </cfRule>
    <cfRule type="expression" dxfId="1122" priority="12">
      <formula>AND(AA$9&gt;=8/24,AA$9&lt;14/24)</formula>
    </cfRule>
  </conditionalFormatting>
  <conditionalFormatting sqref="AS16:AS21">
    <cfRule type="expression" dxfId="1121" priority="19">
      <formula>AND(BE$9&gt;=14/24,BE$9&lt;20/24)</formula>
    </cfRule>
    <cfRule type="expression" dxfId="1120" priority="18">
      <formula>BE$9&gt;=20/24</formula>
    </cfRule>
    <cfRule type="expression" dxfId="1119" priority="20">
      <formula>AND(BE$9&gt;=8/24,BE$9&lt;14/24)</formula>
    </cfRule>
    <cfRule type="expression" dxfId="1118" priority="21">
      <formula>BE$9&lt;8/24</formula>
    </cfRule>
  </conditionalFormatting>
  <conditionalFormatting sqref="AT15 AX15">
    <cfRule type="expression" dxfId="1117" priority="24">
      <formula>AND(AC$9&gt;=8/24,AC$9&lt;14/24)</formula>
    </cfRule>
    <cfRule type="expression" dxfId="1116" priority="23">
      <formula>AND(AC$9&gt;=14/24,AC$9&lt;20/24)</formula>
    </cfRule>
    <cfRule type="expression" dxfId="1115" priority="22">
      <formula>AC$9&gt;=20/24</formula>
    </cfRule>
    <cfRule type="expression" dxfId="1114" priority="25">
      <formula>AC$9&lt;8/24</formula>
    </cfRule>
  </conditionalFormatting>
  <conditionalFormatting sqref="AT16:AT21">
    <cfRule type="expression" dxfId="1113" priority="26">
      <formula>BG$9&gt;=20/24</formula>
    </cfRule>
    <cfRule type="expression" dxfId="1112" priority="29">
      <formula>BG$9&lt;8/24</formula>
    </cfRule>
    <cfRule type="expression" dxfId="1111" priority="28">
      <formula>AND(BG$9&gt;=8/24,BG$9&lt;14/24)</formula>
    </cfRule>
    <cfRule type="expression" dxfId="1110" priority="27">
      <formula>AND(BG$9&gt;=14/24,BG$9&lt;20/24)</formula>
    </cfRule>
  </conditionalFormatting>
  <conditionalFormatting sqref="AU15:AV15">
    <cfRule type="expression" dxfId="1109" priority="32">
      <formula>AND(AE$9&gt;=8/24,AE$9&lt;14/24)</formula>
    </cfRule>
    <cfRule type="expression" dxfId="1108" priority="30">
      <formula>AE$9&gt;=20/24</formula>
    </cfRule>
    <cfRule type="expression" dxfId="1107" priority="31">
      <formula>AND(AE$9&gt;=14/24,AE$9&lt;20/24)</formula>
    </cfRule>
    <cfRule type="expression" dxfId="1106" priority="33">
      <formula>AE$9&lt;8/24</formula>
    </cfRule>
  </conditionalFormatting>
  <conditionalFormatting sqref="AU16:AX21">
    <cfRule type="expression" dxfId="1105" priority="35">
      <formula>AND(BI$9&gt;=14/24,BI$9&lt;20/24)</formula>
    </cfRule>
    <cfRule type="expression" dxfId="1104" priority="36">
      <formula>AND(BI$9&gt;=8/24,BI$9&lt;14/24)</formula>
    </cfRule>
    <cfRule type="expression" dxfId="1103" priority="37">
      <formula>BI$9&lt;8/24</formula>
    </cfRule>
    <cfRule type="expression" dxfId="1102" priority="34">
      <formula>BI$9&gt;=20/24</formula>
    </cfRule>
  </conditionalFormatting>
  <conditionalFormatting sqref="AW15">
    <cfRule type="expression" dxfId="1101" priority="6">
      <formula>B$9&gt;=20/24</formula>
    </cfRule>
    <cfRule type="expression" dxfId="1100" priority="8">
      <formula>AND(B$9&gt;=8/24,B$9&lt;14/24)</formula>
    </cfRule>
    <cfRule type="expression" dxfId="1099" priority="7">
      <formula>AND(B$9&gt;=14/24,B$9&lt;20/24)</formula>
    </cfRule>
    <cfRule type="expression" dxfId="1098" priority="9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B262-175B-46AF-B585-3E067E16870C}">
  <dimension ref="A1:CJ294"/>
  <sheetViews>
    <sheetView zoomScale="106" workbookViewId="0">
      <pane xSplit="1" ySplit="10" topLeftCell="B11" activePane="bottomRight" state="frozen"/>
      <selection activeCell="Z63" sqref="Z63"/>
      <selection pane="topRight" activeCell="Z63" sqref="Z63"/>
      <selection pane="bottomLeft" activeCell="Z63" sqref="Z63"/>
      <selection pane="bottomRight" activeCell="I65" sqref="I6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5703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2080/10/25</v>
      </c>
      <c r="C4" s="272"/>
      <c r="D4" s="272"/>
      <c r="E4" s="273" t="str">
        <f ca="1">"2080/"&amp;"10/"&amp;INT(MID(CELL("filename",G6),FIND("]",CELL("filename",G6))+1,200))</f>
        <v>2080/10/25</v>
      </c>
      <c r="F4" s="273"/>
      <c r="G4" s="273"/>
      <c r="H4" s="273" t="str">
        <f ca="1">TEXT(E4,"dddd")</f>
        <v>Friday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646.70000000000005</v>
      </c>
      <c r="C5" s="30">
        <f t="shared" ref="C5:AE5" si="0">D92</f>
        <v>664.8</v>
      </c>
      <c r="D5" s="30">
        <f t="shared" si="0"/>
        <v>654.4</v>
      </c>
      <c r="E5" s="30">
        <f t="shared" si="0"/>
        <v>622.9</v>
      </c>
      <c r="F5" s="30">
        <f t="shared" si="0"/>
        <v>650.4</v>
      </c>
      <c r="G5" s="30">
        <f t="shared" si="0"/>
        <v>682.3</v>
      </c>
      <c r="H5" s="30">
        <f t="shared" si="0"/>
        <v>620</v>
      </c>
      <c r="I5" s="30">
        <f t="shared" si="0"/>
        <v>652</v>
      </c>
      <c r="J5" s="30">
        <f t="shared" si="0"/>
        <v>273</v>
      </c>
      <c r="K5" s="30">
        <f t="shared" si="0"/>
        <v>133.30000000000001</v>
      </c>
      <c r="L5" s="30">
        <f t="shared" si="0"/>
        <v>155</v>
      </c>
      <c r="M5" s="30">
        <f t="shared" si="0"/>
        <v>297.39999999999998</v>
      </c>
      <c r="N5" s="30">
        <f t="shared" si="0"/>
        <v>536.79999999999995</v>
      </c>
      <c r="O5" s="30">
        <f t="shared" si="0"/>
        <v>590.79999999999995</v>
      </c>
      <c r="P5" s="30">
        <f t="shared" si="0"/>
        <v>674.8</v>
      </c>
      <c r="Q5" s="30">
        <f t="shared" si="0"/>
        <v>647</v>
      </c>
      <c r="R5" s="30">
        <f t="shared" si="0"/>
        <v>727.19999999999993</v>
      </c>
      <c r="S5" s="30">
        <f t="shared" si="0"/>
        <v>715.7</v>
      </c>
      <c r="T5" s="30">
        <f t="shared" si="0"/>
        <v>749.6</v>
      </c>
      <c r="U5" s="30">
        <f t="shared" si="0"/>
        <v>717.19999999999993</v>
      </c>
      <c r="V5" s="30">
        <f t="shared" si="0"/>
        <v>606.20000000000005</v>
      </c>
      <c r="W5" s="30">
        <f t="shared" si="0"/>
        <v>593.59999999999991</v>
      </c>
      <c r="X5" s="30">
        <f t="shared" si="0"/>
        <v>528.6</v>
      </c>
      <c r="Y5" s="30">
        <f t="shared" si="0"/>
        <v>362.1</v>
      </c>
      <c r="Z5" s="30">
        <f t="shared" si="0"/>
        <v>236.08999999999997</v>
      </c>
      <c r="AA5" s="30">
        <f t="shared" si="0"/>
        <v>328.59999999999997</v>
      </c>
      <c r="AB5" s="30">
        <f t="shared" si="0"/>
        <v>510.6</v>
      </c>
      <c r="AC5" s="30">
        <f t="shared" si="0"/>
        <v>587.20000000000005</v>
      </c>
      <c r="AD5" s="30">
        <f t="shared" si="0"/>
        <v>639.59999999999991</v>
      </c>
      <c r="AE5" s="30">
        <f t="shared" si="0"/>
        <v>613.29999999999995</v>
      </c>
      <c r="AF5" s="30">
        <f>B92</f>
        <v>684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Load=1164</v>
      </c>
      <c r="B7" s="35">
        <f>B100</f>
        <v>1258.29</v>
      </c>
      <c r="C7" s="35">
        <f t="shared" ref="C7:AF7" si="1">C100</f>
        <v>1220.9900000000002</v>
      </c>
      <c r="D7" s="35">
        <f t="shared" si="1"/>
        <v>1239.0900000000001</v>
      </c>
      <c r="E7" s="35">
        <f t="shared" si="1"/>
        <v>1228.69</v>
      </c>
      <c r="F7" s="35">
        <f t="shared" si="1"/>
        <v>1222.19</v>
      </c>
      <c r="G7" s="35">
        <f t="shared" si="1"/>
        <v>1262.5900000000001</v>
      </c>
      <c r="H7" s="35">
        <f t="shared" si="1"/>
        <v>1351.3899999999999</v>
      </c>
      <c r="I7" s="35">
        <f t="shared" si="1"/>
        <v>1458.19</v>
      </c>
      <c r="J7" s="35">
        <f t="shared" si="1"/>
        <v>1528.99</v>
      </c>
      <c r="K7" s="35">
        <f t="shared" si="1"/>
        <v>1587.29</v>
      </c>
      <c r="L7" s="35">
        <f t="shared" si="1"/>
        <v>1652.69</v>
      </c>
      <c r="M7" s="35">
        <f t="shared" si="1"/>
        <v>1684.39</v>
      </c>
      <c r="N7" s="35">
        <f t="shared" si="1"/>
        <v>1561.3899999999999</v>
      </c>
      <c r="O7" s="35">
        <f t="shared" si="1"/>
        <v>1564.79</v>
      </c>
      <c r="P7" s="35">
        <f t="shared" si="1"/>
        <v>1342.49</v>
      </c>
      <c r="Q7" s="35">
        <f t="shared" si="1"/>
        <v>1353.3899999999999</v>
      </c>
      <c r="R7" s="35">
        <f t="shared" si="1"/>
        <v>1290.19</v>
      </c>
      <c r="S7" s="35">
        <f t="shared" si="1"/>
        <v>1310.9899999999998</v>
      </c>
      <c r="T7" s="35">
        <f t="shared" si="1"/>
        <v>1288.5900000000001</v>
      </c>
      <c r="U7" s="35">
        <f t="shared" si="1"/>
        <v>1330.5900000000001</v>
      </c>
      <c r="V7" s="35">
        <f t="shared" si="1"/>
        <v>1411.69</v>
      </c>
      <c r="W7" s="35">
        <f t="shared" si="1"/>
        <v>1408.19</v>
      </c>
      <c r="X7" s="35">
        <f t="shared" si="1"/>
        <v>1478.6899999999998</v>
      </c>
      <c r="Y7" s="35">
        <f t="shared" si="1"/>
        <v>1638.4900000000002</v>
      </c>
      <c r="Z7" s="35">
        <f t="shared" si="1"/>
        <v>1650.4900000000002</v>
      </c>
      <c r="AA7" s="35">
        <f t="shared" si="1"/>
        <v>1609.28</v>
      </c>
      <c r="AB7" s="35">
        <f t="shared" si="1"/>
        <v>1500.59</v>
      </c>
      <c r="AC7" s="35">
        <f t="shared" si="1"/>
        <v>1369.29</v>
      </c>
      <c r="AD7" s="35">
        <f t="shared" si="1"/>
        <v>1354.9899999999998</v>
      </c>
      <c r="AE7" s="35">
        <f t="shared" si="1"/>
        <v>1395.2899999999997</v>
      </c>
      <c r="AF7" s="35">
        <f t="shared" si="1"/>
        <v>1164.19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1684.39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1684.39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23.3</v>
      </c>
      <c r="C11" s="45">
        <v>23.3</v>
      </c>
      <c r="D11" s="45">
        <v>23.3</v>
      </c>
      <c r="E11" s="45">
        <v>23.3</v>
      </c>
      <c r="F11" s="45">
        <v>23.3</v>
      </c>
      <c r="G11" s="45">
        <v>23.3</v>
      </c>
      <c r="H11" s="45">
        <v>23.3</v>
      </c>
      <c r="I11" s="45">
        <v>23.3</v>
      </c>
      <c r="J11" s="45">
        <v>23.3</v>
      </c>
      <c r="K11" s="45">
        <v>23.3</v>
      </c>
      <c r="L11" s="45">
        <v>23.3</v>
      </c>
      <c r="M11" s="45">
        <v>23.3</v>
      </c>
      <c r="N11" s="45">
        <v>24.3</v>
      </c>
      <c r="O11" s="45">
        <v>24.3</v>
      </c>
      <c r="P11" s="45">
        <v>23</v>
      </c>
      <c r="Q11" s="45">
        <v>20.6</v>
      </c>
      <c r="R11" s="45">
        <v>20.6</v>
      </c>
      <c r="S11" s="45">
        <v>20.6</v>
      </c>
      <c r="T11" s="45">
        <v>20.6</v>
      </c>
      <c r="U11" s="45">
        <v>20.6</v>
      </c>
      <c r="V11" s="45">
        <v>20.6</v>
      </c>
      <c r="W11" s="45">
        <v>20.6</v>
      </c>
      <c r="X11" s="45">
        <v>20.6</v>
      </c>
      <c r="Y11" s="45">
        <v>20.6</v>
      </c>
      <c r="Z11" s="45">
        <v>20.6</v>
      </c>
      <c r="AA11" s="45">
        <v>20.6</v>
      </c>
      <c r="AB11" s="45">
        <v>20.6</v>
      </c>
      <c r="AC11" s="45">
        <v>20.6</v>
      </c>
      <c r="AD11" s="45">
        <v>20.6</v>
      </c>
      <c r="AE11" s="45">
        <v>20.6</v>
      </c>
      <c r="AF11" s="45">
        <v>20.6</v>
      </c>
      <c r="AG11" s="46">
        <v>86</v>
      </c>
      <c r="AH11" s="47">
        <f t="shared" ref="AH11:AH16" si="2">MAX(B11:AF11)</f>
        <v>24.3</v>
      </c>
      <c r="AI11" s="48">
        <f t="shared" ref="AI11:AI16" si="3">MIN(B11:AF11)</f>
        <v>20.6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25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</v>
      </c>
      <c r="L13" s="45">
        <v>10</v>
      </c>
      <c r="M13" s="45">
        <v>10</v>
      </c>
      <c r="N13" s="45">
        <v>10</v>
      </c>
      <c r="O13" s="45">
        <v>10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13.1</v>
      </c>
      <c r="Y13" s="45">
        <v>13.1</v>
      </c>
      <c r="Z13" s="45">
        <v>11</v>
      </c>
      <c r="AA13" s="45">
        <v>11</v>
      </c>
      <c r="AB13" s="45">
        <v>11</v>
      </c>
      <c r="AC13" s="45">
        <v>11</v>
      </c>
      <c r="AD13" s="45">
        <v>11</v>
      </c>
      <c r="AE13" s="45">
        <v>11</v>
      </c>
      <c r="AF13" s="45">
        <v>11</v>
      </c>
      <c r="AG13" s="49">
        <v>54</v>
      </c>
      <c r="AH13" s="47">
        <f t="shared" si="2"/>
        <v>13.1</v>
      </c>
      <c r="AI13" s="48">
        <f t="shared" si="3"/>
        <v>0</v>
      </c>
      <c r="AK13" s="50"/>
      <c r="AL13" s="157" t="str">
        <f ca="1">"Daily Load Curve(Excluding of Export) of Nepal ("&amp;A4&amp;" "&amp;B4&amp;")"</f>
        <v>Daily Load Curve(Excluding of Export) of Nepal (Nepali Date: 2080/10/25)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</v>
      </c>
      <c r="C14" s="45">
        <v>14</v>
      </c>
      <c r="D14" s="45">
        <v>14</v>
      </c>
      <c r="E14" s="45">
        <v>14</v>
      </c>
      <c r="F14" s="45">
        <v>14</v>
      </c>
      <c r="G14" s="45">
        <v>14</v>
      </c>
      <c r="H14" s="45">
        <v>14</v>
      </c>
      <c r="I14" s="45">
        <v>14</v>
      </c>
      <c r="J14" s="45">
        <v>14</v>
      </c>
      <c r="K14" s="45">
        <v>14</v>
      </c>
      <c r="L14" s="45">
        <v>14</v>
      </c>
      <c r="M14" s="45">
        <v>14</v>
      </c>
      <c r="N14" s="45">
        <v>14</v>
      </c>
      <c r="O14" s="45">
        <v>14</v>
      </c>
      <c r="P14" s="45">
        <v>14</v>
      </c>
      <c r="Q14" s="45">
        <v>14</v>
      </c>
      <c r="R14" s="45">
        <v>14</v>
      </c>
      <c r="S14" s="45">
        <v>14</v>
      </c>
      <c r="T14" s="45">
        <v>14</v>
      </c>
      <c r="U14" s="45">
        <v>14</v>
      </c>
      <c r="V14" s="45">
        <v>14</v>
      </c>
      <c r="W14" s="45">
        <v>14</v>
      </c>
      <c r="X14" s="45">
        <v>14</v>
      </c>
      <c r="Y14" s="45">
        <v>14</v>
      </c>
      <c r="Z14" s="45">
        <v>14</v>
      </c>
      <c r="AA14" s="45">
        <v>14</v>
      </c>
      <c r="AB14" s="45">
        <v>14</v>
      </c>
      <c r="AC14" s="45">
        <v>14</v>
      </c>
      <c r="AD14" s="45">
        <v>14</v>
      </c>
      <c r="AE14" s="45">
        <v>14</v>
      </c>
      <c r="AF14" s="45">
        <v>14</v>
      </c>
      <c r="AG14" s="46">
        <v>52.4</v>
      </c>
      <c r="AH14" s="47">
        <f t="shared" si="2"/>
        <v>14</v>
      </c>
      <c r="AI14" s="48">
        <f t="shared" si="3"/>
        <v>14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29.7</v>
      </c>
      <c r="C15" s="45">
        <v>29.7</v>
      </c>
      <c r="D15" s="45">
        <v>29.7</v>
      </c>
      <c r="E15" s="45">
        <v>29.7</v>
      </c>
      <c r="F15" s="45">
        <v>29.7</v>
      </c>
      <c r="G15" s="45">
        <v>29.7</v>
      </c>
      <c r="H15" s="45">
        <v>29.7</v>
      </c>
      <c r="I15" s="45">
        <v>29.7</v>
      </c>
      <c r="J15" s="45">
        <v>29.7</v>
      </c>
      <c r="K15" s="45">
        <v>29.7</v>
      </c>
      <c r="L15" s="45">
        <v>29.7</v>
      </c>
      <c r="M15" s="45">
        <v>29.7</v>
      </c>
      <c r="N15" s="45">
        <v>29.7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49">
        <v>50</v>
      </c>
      <c r="AH15" s="47">
        <f t="shared" si="2"/>
        <v>29.7</v>
      </c>
      <c r="AI15" s="48">
        <f t="shared" si="3"/>
        <v>0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15.4</v>
      </c>
      <c r="C16" s="45">
        <v>15.4</v>
      </c>
      <c r="D16" s="45">
        <v>15.4</v>
      </c>
      <c r="E16" s="45">
        <v>15.4</v>
      </c>
      <c r="F16" s="45">
        <v>15.4</v>
      </c>
      <c r="G16" s="45">
        <v>15.4</v>
      </c>
      <c r="H16" s="45">
        <v>15.4</v>
      </c>
      <c r="I16" s="45">
        <v>15.4</v>
      </c>
      <c r="J16" s="45">
        <v>15.4</v>
      </c>
      <c r="K16" s="45">
        <v>15.4</v>
      </c>
      <c r="L16" s="45">
        <v>15.4</v>
      </c>
      <c r="M16" s="45">
        <v>15.4</v>
      </c>
      <c r="N16" s="45">
        <v>15.4</v>
      </c>
      <c r="O16" s="45">
        <v>15.4</v>
      </c>
      <c r="P16" s="45">
        <v>15.4</v>
      </c>
      <c r="Q16" s="45">
        <v>15.4</v>
      </c>
      <c r="R16" s="45">
        <v>15.4</v>
      </c>
      <c r="S16" s="45">
        <v>15.4</v>
      </c>
      <c r="T16" s="45">
        <v>15.4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15.4</v>
      </c>
      <c r="AE16" s="45">
        <v>15.4</v>
      </c>
      <c r="AF16" s="45">
        <v>15.4</v>
      </c>
      <c r="AG16" s="49">
        <v>45</v>
      </c>
      <c r="AH16" s="47">
        <f t="shared" si="2"/>
        <v>15.4</v>
      </c>
      <c r="AI16" s="48">
        <f t="shared" si="3"/>
        <v>15.4</v>
      </c>
      <c r="AK16" s="50"/>
      <c r="AL16" s="160" t="s">
        <v>7</v>
      </c>
      <c r="AM16" s="227">
        <f>B58</f>
        <v>463.55000000000007</v>
      </c>
      <c r="AN16" s="227">
        <f t="shared" ref="AN16:AR16" si="4">C58</f>
        <v>463.55000000000007</v>
      </c>
      <c r="AO16" s="227">
        <f t="shared" si="4"/>
        <v>463.55000000000007</v>
      </c>
      <c r="AP16" s="227">
        <f t="shared" si="4"/>
        <v>463.55000000000007</v>
      </c>
      <c r="AQ16" s="227">
        <f t="shared" si="4"/>
        <v>463.55000000000007</v>
      </c>
      <c r="AR16" s="227">
        <f t="shared" si="4"/>
        <v>463.55000000000007</v>
      </c>
      <c r="AS16" s="227">
        <f>I58</f>
        <v>463.55000000000007</v>
      </c>
      <c r="AT16" s="227">
        <f>K58</f>
        <v>463.55000000000007</v>
      </c>
      <c r="AU16" s="227">
        <f t="shared" ref="AU16:AX16" si="5">M58</f>
        <v>463.55000000000007</v>
      </c>
      <c r="AV16" s="227">
        <f t="shared" si="5"/>
        <v>461.55</v>
      </c>
      <c r="AW16" s="227">
        <f t="shared" si="5"/>
        <v>431.85</v>
      </c>
      <c r="AX16" s="227">
        <f t="shared" si="5"/>
        <v>404.35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35.200000000000003</v>
      </c>
      <c r="AN17" s="227">
        <f t="shared" ref="AN17:AR17" si="6">C62</f>
        <v>35.200000000000003</v>
      </c>
      <c r="AO17" s="227">
        <f t="shared" si="6"/>
        <v>35.200000000000003</v>
      </c>
      <c r="AP17" s="227">
        <f t="shared" si="6"/>
        <v>35.200000000000003</v>
      </c>
      <c r="AQ17" s="227">
        <f t="shared" si="6"/>
        <v>35.200000000000003</v>
      </c>
      <c r="AR17" s="227">
        <f t="shared" si="6"/>
        <v>50.2</v>
      </c>
      <c r="AS17" s="227">
        <f>I62</f>
        <v>141</v>
      </c>
      <c r="AT17" s="227">
        <f>K62</f>
        <v>416</v>
      </c>
      <c r="AU17" s="227">
        <f t="shared" ref="AU17:AX17" si="7">M62</f>
        <v>481</v>
      </c>
      <c r="AV17" s="227">
        <f t="shared" si="7"/>
        <v>101</v>
      </c>
      <c r="AW17" s="227">
        <f t="shared" si="7"/>
        <v>36</v>
      </c>
      <c r="AX17" s="227">
        <f t="shared" si="7"/>
        <v>86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</v>
      </c>
      <c r="C18" s="45">
        <v>6</v>
      </c>
      <c r="D18" s="45">
        <v>6</v>
      </c>
      <c r="E18" s="45">
        <v>6</v>
      </c>
      <c r="F18" s="45">
        <v>6</v>
      </c>
      <c r="G18" s="45">
        <v>6</v>
      </c>
      <c r="H18" s="45">
        <v>6</v>
      </c>
      <c r="I18" s="45">
        <v>6</v>
      </c>
      <c r="J18" s="45">
        <v>6</v>
      </c>
      <c r="K18" s="45">
        <v>6</v>
      </c>
      <c r="L18" s="45">
        <v>6</v>
      </c>
      <c r="M18" s="45">
        <v>6</v>
      </c>
      <c r="N18" s="45">
        <v>6</v>
      </c>
      <c r="O18" s="45">
        <v>6</v>
      </c>
      <c r="P18" s="45">
        <v>6</v>
      </c>
      <c r="Q18" s="45">
        <v>6</v>
      </c>
      <c r="R18" s="45">
        <v>6</v>
      </c>
      <c r="S18" s="45">
        <v>6</v>
      </c>
      <c r="T18" s="45">
        <v>6</v>
      </c>
      <c r="U18" s="45">
        <v>6</v>
      </c>
      <c r="V18" s="45">
        <v>6</v>
      </c>
      <c r="W18" s="45">
        <v>6</v>
      </c>
      <c r="X18" s="45">
        <v>6</v>
      </c>
      <c r="Y18" s="45">
        <v>6</v>
      </c>
      <c r="Z18" s="45">
        <v>6</v>
      </c>
      <c r="AA18" s="45">
        <v>6</v>
      </c>
      <c r="AB18" s="45">
        <v>6</v>
      </c>
      <c r="AC18" s="45">
        <v>6</v>
      </c>
      <c r="AD18" s="45">
        <v>6</v>
      </c>
      <c r="AE18" s="45">
        <v>6</v>
      </c>
      <c r="AF18" s="45">
        <v>6</v>
      </c>
      <c r="AG18" s="49">
        <v>42</v>
      </c>
      <c r="AH18" s="47">
        <f t="shared" ref="AH18:AH81" si="8">MAX(B18:AF18)</f>
        <v>6</v>
      </c>
      <c r="AI18" s="48">
        <f t="shared" ref="AI18:AI81" si="9">MIN(B18:AF18)</f>
        <v>6</v>
      </c>
      <c r="AK18" s="50"/>
      <c r="AL18" s="160" t="s">
        <v>593</v>
      </c>
      <c r="AM18" s="227">
        <f>B76</f>
        <v>75.540000000000006</v>
      </c>
      <c r="AN18" s="227">
        <f t="shared" ref="AN18:AR18" si="10">C76</f>
        <v>75.540000000000006</v>
      </c>
      <c r="AO18" s="227">
        <f t="shared" si="10"/>
        <v>75.540000000000006</v>
      </c>
      <c r="AP18" s="227">
        <f t="shared" si="10"/>
        <v>75.540000000000006</v>
      </c>
      <c r="AQ18" s="227">
        <f t="shared" si="10"/>
        <v>100.54</v>
      </c>
      <c r="AR18" s="227">
        <f t="shared" si="10"/>
        <v>98.440000000000012</v>
      </c>
      <c r="AS18" s="227">
        <f>I76</f>
        <v>233.63999999999996</v>
      </c>
      <c r="AT18" s="227">
        <f>K76</f>
        <v>284.74</v>
      </c>
      <c r="AU18" s="227">
        <f t="shared" ref="AU18:AX18" si="11">M76</f>
        <v>324.83999999999997</v>
      </c>
      <c r="AV18" s="227">
        <f t="shared" si="11"/>
        <v>369.34000000000003</v>
      </c>
      <c r="AW18" s="227">
        <f t="shared" si="11"/>
        <v>300.14</v>
      </c>
      <c r="AX18" s="227">
        <f t="shared" si="11"/>
        <v>261.34000000000003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684</v>
      </c>
      <c r="AN19" s="227">
        <f t="shared" ref="AN19:AR19" si="12">C92</f>
        <v>646.70000000000005</v>
      </c>
      <c r="AO19" s="227">
        <f t="shared" si="12"/>
        <v>664.8</v>
      </c>
      <c r="AP19" s="227">
        <f t="shared" si="12"/>
        <v>654.4</v>
      </c>
      <c r="AQ19" s="227">
        <f t="shared" si="12"/>
        <v>622.9</v>
      </c>
      <c r="AR19" s="227">
        <f t="shared" si="12"/>
        <v>650.4</v>
      </c>
      <c r="AS19" s="227">
        <f>I92</f>
        <v>620</v>
      </c>
      <c r="AT19" s="227">
        <f>K92</f>
        <v>273</v>
      </c>
      <c r="AU19" s="227">
        <f t="shared" ref="AU19:AX19" si="13">M92</f>
        <v>155</v>
      </c>
      <c r="AV19" s="227">
        <f t="shared" si="13"/>
        <v>297.39999999999998</v>
      </c>
      <c r="AW19" s="227">
        <f t="shared" si="13"/>
        <v>536.79999999999995</v>
      </c>
      <c r="AX19" s="227">
        <f t="shared" si="13"/>
        <v>590.79999999999995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72.100000000000009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150</v>
      </c>
      <c r="AU21" s="227">
        <f t="shared" ref="AU21:AX21" si="17">M98</f>
        <v>260</v>
      </c>
      <c r="AV21" s="227">
        <f t="shared" si="17"/>
        <v>260</v>
      </c>
      <c r="AW21" s="227">
        <f t="shared" si="17"/>
        <v>260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7.2</v>
      </c>
      <c r="C22" s="45">
        <v>7.2</v>
      </c>
      <c r="D22" s="45">
        <v>7.2</v>
      </c>
      <c r="E22" s="45">
        <v>7.2</v>
      </c>
      <c r="F22" s="45">
        <v>7.2</v>
      </c>
      <c r="G22" s="45">
        <v>7.2</v>
      </c>
      <c r="H22" s="45">
        <v>7.2</v>
      </c>
      <c r="I22" s="45">
        <v>7.2</v>
      </c>
      <c r="J22" s="45">
        <v>7.2</v>
      </c>
      <c r="K22" s="45">
        <v>7.2</v>
      </c>
      <c r="L22" s="45">
        <v>7.2</v>
      </c>
      <c r="M22" s="45">
        <v>7.2</v>
      </c>
      <c r="N22" s="45">
        <v>7.2</v>
      </c>
      <c r="O22" s="45">
        <v>7.2</v>
      </c>
      <c r="P22" s="45">
        <v>7.2</v>
      </c>
      <c r="Q22" s="45">
        <v>7.2</v>
      </c>
      <c r="R22" s="45">
        <v>7.2</v>
      </c>
      <c r="S22" s="45">
        <v>7.2</v>
      </c>
      <c r="T22" s="45">
        <v>7.2</v>
      </c>
      <c r="U22" s="45">
        <v>7.2</v>
      </c>
      <c r="V22" s="45">
        <v>7.2</v>
      </c>
      <c r="W22" s="45">
        <v>7.2</v>
      </c>
      <c r="X22" s="45">
        <v>7.2</v>
      </c>
      <c r="Y22" s="45">
        <v>7.2</v>
      </c>
      <c r="Z22" s="45">
        <v>7.2</v>
      </c>
      <c r="AA22" s="45">
        <v>7.2</v>
      </c>
      <c r="AB22" s="45">
        <v>7.2</v>
      </c>
      <c r="AC22" s="45">
        <v>7.2</v>
      </c>
      <c r="AD22" s="45">
        <v>7.2</v>
      </c>
      <c r="AE22" s="45">
        <v>7.2</v>
      </c>
      <c r="AF22" s="45">
        <v>7.2</v>
      </c>
      <c r="AG22" s="52">
        <v>30</v>
      </c>
      <c r="AH22" s="47">
        <f t="shared" si="8"/>
        <v>7.2</v>
      </c>
      <c r="AI22" s="48">
        <f t="shared" si="9"/>
        <v>7.2</v>
      </c>
      <c r="AK22" s="50"/>
      <c r="AL22" s="229" t="s">
        <v>597</v>
      </c>
      <c r="AM22" s="228">
        <f>SUM(AM16:AM21)</f>
        <v>1258.29</v>
      </c>
      <c r="AN22" s="228">
        <f t="shared" ref="AN22:AX22" si="18">SUM(AN16:AN21)</f>
        <v>1220.9900000000002</v>
      </c>
      <c r="AO22" s="228">
        <f t="shared" si="18"/>
        <v>1239.0900000000001</v>
      </c>
      <c r="AP22" s="228">
        <f t="shared" si="18"/>
        <v>1228.69</v>
      </c>
      <c r="AQ22" s="228">
        <f t="shared" si="18"/>
        <v>1222.19</v>
      </c>
      <c r="AR22" s="228">
        <f t="shared" si="18"/>
        <v>1262.5900000000001</v>
      </c>
      <c r="AS22" s="228">
        <f t="shared" si="18"/>
        <v>1458.19</v>
      </c>
      <c r="AT22" s="228">
        <f t="shared" si="18"/>
        <v>1587.29</v>
      </c>
      <c r="AU22" s="228">
        <f t="shared" si="18"/>
        <v>1684.39</v>
      </c>
      <c r="AV22" s="228">
        <f t="shared" si="18"/>
        <v>1561.3899999999999</v>
      </c>
      <c r="AW22" s="228">
        <f t="shared" si="18"/>
        <v>1564.79</v>
      </c>
      <c r="AX22" s="228">
        <f t="shared" si="18"/>
        <v>1342.49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6.7</v>
      </c>
      <c r="C24" s="45">
        <v>6.7</v>
      </c>
      <c r="D24" s="45">
        <v>6.7</v>
      </c>
      <c r="E24" s="45">
        <v>6.7</v>
      </c>
      <c r="F24" s="45">
        <v>6.7</v>
      </c>
      <c r="G24" s="45">
        <v>6.7</v>
      </c>
      <c r="H24" s="45">
        <v>6.7</v>
      </c>
      <c r="I24" s="45">
        <v>6.7</v>
      </c>
      <c r="J24" s="45">
        <v>6.7</v>
      </c>
      <c r="K24" s="45">
        <v>6.7</v>
      </c>
      <c r="L24" s="45">
        <v>6.7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6.7</v>
      </c>
      <c r="X24" s="45">
        <v>6.7</v>
      </c>
      <c r="Y24" s="45">
        <v>6.7</v>
      </c>
      <c r="Z24" s="45">
        <v>6.7</v>
      </c>
      <c r="AA24" s="45">
        <v>6.7</v>
      </c>
      <c r="AB24" s="45">
        <v>6.7</v>
      </c>
      <c r="AC24" s="45">
        <v>6.7</v>
      </c>
      <c r="AD24" s="45">
        <v>6.7</v>
      </c>
      <c r="AE24" s="45">
        <v>6.7</v>
      </c>
      <c r="AF24" s="45">
        <v>6.7</v>
      </c>
      <c r="AG24" s="49">
        <v>28</v>
      </c>
      <c r="AH24" s="47">
        <f t="shared" si="8"/>
        <v>6.7</v>
      </c>
      <c r="AI24" s="48">
        <f t="shared" si="9"/>
        <v>6.7</v>
      </c>
      <c r="AK24" s="50"/>
      <c r="AL24" s="229" t="s">
        <v>598</v>
      </c>
      <c r="AM24" s="228">
        <f>AM22+AM23</f>
        <v>1258.29</v>
      </c>
      <c r="AN24" s="228">
        <f t="shared" ref="AN24:AX24" si="21">AN22+AN23</f>
        <v>1220.9900000000002</v>
      </c>
      <c r="AO24" s="228">
        <f t="shared" si="21"/>
        <v>1239.0900000000001</v>
      </c>
      <c r="AP24" s="228">
        <f t="shared" si="21"/>
        <v>1228.69</v>
      </c>
      <c r="AQ24" s="228">
        <f t="shared" si="21"/>
        <v>1222.19</v>
      </c>
      <c r="AR24" s="228">
        <f t="shared" si="21"/>
        <v>1262.5900000000001</v>
      </c>
      <c r="AS24" s="228">
        <f t="shared" si="21"/>
        <v>1458.19</v>
      </c>
      <c r="AT24" s="228">
        <f t="shared" si="21"/>
        <v>1587.29</v>
      </c>
      <c r="AU24" s="228">
        <f t="shared" si="21"/>
        <v>1684.39</v>
      </c>
      <c r="AV24" s="228">
        <f t="shared" si="21"/>
        <v>1561.3899999999999</v>
      </c>
      <c r="AW24" s="228">
        <f t="shared" si="21"/>
        <v>1564.79</v>
      </c>
      <c r="AX24" s="228">
        <f t="shared" si="21"/>
        <v>1342.49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5.4</v>
      </c>
      <c r="C25" s="45">
        <v>5.4</v>
      </c>
      <c r="D25" s="45">
        <v>5.4</v>
      </c>
      <c r="E25" s="45">
        <v>5.4</v>
      </c>
      <c r="F25" s="45">
        <v>5.4</v>
      </c>
      <c r="G25" s="45">
        <v>5.4</v>
      </c>
      <c r="H25" s="45">
        <v>5.4</v>
      </c>
      <c r="I25" s="45">
        <v>5.4</v>
      </c>
      <c r="J25" s="45">
        <v>5.4</v>
      </c>
      <c r="K25" s="45">
        <v>5.4</v>
      </c>
      <c r="L25" s="45">
        <v>5.4</v>
      </c>
      <c r="M25" s="45">
        <v>5.4</v>
      </c>
      <c r="N25" s="45">
        <v>5.4</v>
      </c>
      <c r="O25" s="45">
        <v>5.4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13.7</v>
      </c>
      <c r="Y25" s="45">
        <v>13.7</v>
      </c>
      <c r="Z25" s="45">
        <v>14.5</v>
      </c>
      <c r="AA25" s="45">
        <v>14.5</v>
      </c>
      <c r="AB25" s="45">
        <v>14.5</v>
      </c>
      <c r="AC25" s="45">
        <v>14.5</v>
      </c>
      <c r="AD25" s="45">
        <v>14.5</v>
      </c>
      <c r="AE25" s="45">
        <v>14.5</v>
      </c>
      <c r="AF25" s="45">
        <v>14.5</v>
      </c>
      <c r="AG25" s="52">
        <v>30</v>
      </c>
      <c r="AH25" s="47">
        <f t="shared" si="8"/>
        <v>14.5</v>
      </c>
      <c r="AI25" s="48">
        <f t="shared" si="9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8.3000000000000007</v>
      </c>
      <c r="C26" s="45">
        <v>8.3000000000000007</v>
      </c>
      <c r="D26" s="45">
        <v>8.3000000000000007</v>
      </c>
      <c r="E26" s="45">
        <v>8.3000000000000007</v>
      </c>
      <c r="F26" s="45">
        <v>8.3000000000000007</v>
      </c>
      <c r="G26" s="45">
        <v>8.3000000000000007</v>
      </c>
      <c r="H26" s="45">
        <v>8.3000000000000007</v>
      </c>
      <c r="I26" s="45">
        <v>8.3000000000000007</v>
      </c>
      <c r="J26" s="45">
        <v>8.3000000000000007</v>
      </c>
      <c r="K26" s="45">
        <v>8.3000000000000007</v>
      </c>
      <c r="L26" s="45">
        <v>8.3000000000000007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8.3000000000000007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8.3000000000000007</v>
      </c>
      <c r="X26" s="45">
        <v>8.3000000000000007</v>
      </c>
      <c r="Y26" s="45">
        <v>8.3000000000000007</v>
      </c>
      <c r="Z26" s="45">
        <v>8.3000000000000007</v>
      </c>
      <c r="AA26" s="45">
        <v>8.3000000000000007</v>
      </c>
      <c r="AB26" s="45">
        <v>8.3000000000000007</v>
      </c>
      <c r="AC26" s="45">
        <v>8.3000000000000007</v>
      </c>
      <c r="AD26" s="45">
        <v>8.3000000000000007</v>
      </c>
      <c r="AE26" s="45">
        <v>8.3000000000000007</v>
      </c>
      <c r="AF26" s="45">
        <v>8.3000000000000007</v>
      </c>
      <c r="AG26" s="49">
        <v>25</v>
      </c>
      <c r="AH26" s="47">
        <f t="shared" si="8"/>
        <v>8.3000000000000007</v>
      </c>
      <c r="AI26" s="48">
        <f t="shared" si="9"/>
        <v>8.3000000000000007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6.8</v>
      </c>
      <c r="C29" s="45">
        <v>6.8</v>
      </c>
      <c r="D29" s="45">
        <v>6.8</v>
      </c>
      <c r="E29" s="45">
        <v>6.8</v>
      </c>
      <c r="F29" s="45">
        <v>6.8</v>
      </c>
      <c r="G29" s="45">
        <v>6.8</v>
      </c>
      <c r="H29" s="45">
        <v>6.8</v>
      </c>
      <c r="I29" s="45">
        <v>6.8</v>
      </c>
      <c r="J29" s="45">
        <v>6.8</v>
      </c>
      <c r="K29" s="45">
        <v>6.8</v>
      </c>
      <c r="L29" s="45">
        <v>6.8</v>
      </c>
      <c r="M29" s="45">
        <v>6.8</v>
      </c>
      <c r="N29" s="45">
        <v>6.8</v>
      </c>
      <c r="O29" s="45">
        <v>6.8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13.2</v>
      </c>
      <c r="Y29" s="45">
        <v>13.2</v>
      </c>
      <c r="Z29" s="45">
        <v>12.4</v>
      </c>
      <c r="AA29" s="45">
        <v>12.4</v>
      </c>
      <c r="AB29" s="45">
        <v>12.4</v>
      </c>
      <c r="AC29" s="45">
        <v>12.4</v>
      </c>
      <c r="AD29" s="45">
        <v>12.4</v>
      </c>
      <c r="AE29" s="45">
        <v>12.4</v>
      </c>
      <c r="AF29" s="45">
        <v>12.4</v>
      </c>
      <c r="AG29" s="49">
        <v>25</v>
      </c>
      <c r="AH29" s="47">
        <f t="shared" si="8"/>
        <v>13.2</v>
      </c>
      <c r="AI29" s="48">
        <f t="shared" si="9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>
        <v>6.9</v>
      </c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6.9</v>
      </c>
      <c r="X30" s="45">
        <v>6.9</v>
      </c>
      <c r="Y30" s="45">
        <v>6.9</v>
      </c>
      <c r="Z30" s="45">
        <v>6.9</v>
      </c>
      <c r="AA30" s="45">
        <v>6.9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22.2</v>
      </c>
      <c r="AH31" s="47">
        <f t="shared" si="8"/>
        <v>3</v>
      </c>
      <c r="AI31" s="48">
        <f t="shared" si="9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9.3000000000000007</v>
      </c>
      <c r="C34" s="45">
        <v>9.3000000000000007</v>
      </c>
      <c r="D34" s="45">
        <v>9.3000000000000007</v>
      </c>
      <c r="E34" s="45">
        <v>9.3000000000000007</v>
      </c>
      <c r="F34" s="45">
        <v>9.3000000000000007</v>
      </c>
      <c r="G34" s="45">
        <v>9.3000000000000007</v>
      </c>
      <c r="H34" s="45">
        <v>9.3000000000000007</v>
      </c>
      <c r="I34" s="45">
        <v>9.3000000000000007</v>
      </c>
      <c r="J34" s="45">
        <v>9.3000000000000007</v>
      </c>
      <c r="K34" s="45">
        <v>9.3000000000000007</v>
      </c>
      <c r="L34" s="45">
        <v>9.3000000000000007</v>
      </c>
      <c r="M34" s="45">
        <v>9.3000000000000007</v>
      </c>
      <c r="N34" s="45">
        <v>9.3000000000000007</v>
      </c>
      <c r="O34" s="45">
        <v>9.3000000000000007</v>
      </c>
      <c r="P34" s="45">
        <v>9.3000000000000007</v>
      </c>
      <c r="Q34" s="45">
        <v>9.3000000000000007</v>
      </c>
      <c r="R34" s="45">
        <v>9.3000000000000007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9.3000000000000007</v>
      </c>
      <c r="X34" s="45">
        <v>9.3000000000000007</v>
      </c>
      <c r="Y34" s="45">
        <v>9.3000000000000007</v>
      </c>
      <c r="Z34" s="45">
        <v>9.3000000000000007</v>
      </c>
      <c r="AA34" s="45">
        <v>9.3000000000000007</v>
      </c>
      <c r="AB34" s="45">
        <v>9.3000000000000007</v>
      </c>
      <c r="AC34" s="45">
        <v>9.3000000000000007</v>
      </c>
      <c r="AD34" s="45">
        <v>9.3000000000000007</v>
      </c>
      <c r="AE34" s="45">
        <v>9.3000000000000007</v>
      </c>
      <c r="AF34" s="45">
        <v>9.3000000000000007</v>
      </c>
      <c r="AG34" s="49">
        <v>22</v>
      </c>
      <c r="AH34" s="47">
        <f t="shared" si="8"/>
        <v>9.3000000000000007</v>
      </c>
      <c r="AI34" s="48">
        <f t="shared" si="9"/>
        <v>9.3000000000000007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4</v>
      </c>
      <c r="C44" s="45">
        <v>4</v>
      </c>
      <c r="D44" s="45">
        <v>4</v>
      </c>
      <c r="E44" s="45">
        <v>4</v>
      </c>
      <c r="F44" s="45">
        <v>4</v>
      </c>
      <c r="G44" s="45">
        <v>4</v>
      </c>
      <c r="H44" s="45">
        <v>4</v>
      </c>
      <c r="I44" s="45">
        <v>4</v>
      </c>
      <c r="J44" s="45">
        <v>4</v>
      </c>
      <c r="K44" s="45">
        <v>4</v>
      </c>
      <c r="L44" s="45">
        <v>4</v>
      </c>
      <c r="M44" s="45">
        <v>4</v>
      </c>
      <c r="N44" s="45">
        <v>4</v>
      </c>
      <c r="O44" s="45">
        <v>4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9.5</v>
      </c>
      <c r="Y44" s="45">
        <v>9.5</v>
      </c>
      <c r="Z44" s="45">
        <v>7.5</v>
      </c>
      <c r="AA44" s="45">
        <v>7.5</v>
      </c>
      <c r="AB44" s="45">
        <v>7.5</v>
      </c>
      <c r="AC44" s="45">
        <v>7.5</v>
      </c>
      <c r="AD44" s="45">
        <v>7.5</v>
      </c>
      <c r="AE44" s="45">
        <v>7.5</v>
      </c>
      <c r="AF44" s="45">
        <v>7.5</v>
      </c>
      <c r="AG44" s="49">
        <v>12</v>
      </c>
      <c r="AH44" s="47">
        <f t="shared" si="8"/>
        <v>9.5</v>
      </c>
      <c r="AI44" s="48">
        <f t="shared" si="9"/>
        <v>0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1">
        <v>15.4</v>
      </c>
      <c r="C57" s="51">
        <v>17</v>
      </c>
      <c r="D57" s="51">
        <v>17</v>
      </c>
      <c r="E57" s="51">
        <v>17</v>
      </c>
      <c r="F57" s="51">
        <v>17</v>
      </c>
      <c r="G57" s="51">
        <v>17</v>
      </c>
      <c r="H57" s="51">
        <v>17</v>
      </c>
      <c r="I57" s="51">
        <v>17</v>
      </c>
      <c r="J57" s="51">
        <v>17</v>
      </c>
      <c r="K57" s="51">
        <v>17</v>
      </c>
      <c r="L57" s="51">
        <v>17</v>
      </c>
      <c r="M57" s="51">
        <v>17</v>
      </c>
      <c r="N57" s="51">
        <f>10.4+3.1</f>
        <v>13.5</v>
      </c>
      <c r="O57" s="51">
        <f>12.5+5</f>
        <v>17.5</v>
      </c>
      <c r="P57" s="51">
        <f>13.5+5.9</f>
        <v>19.399999999999999</v>
      </c>
      <c r="Q57" s="51">
        <f>10.8+5</f>
        <v>15.8</v>
      </c>
      <c r="R57" s="51">
        <f>12+5.4</f>
        <v>17.399999999999999</v>
      </c>
      <c r="S57" s="51">
        <f>12+5.4</f>
        <v>17.399999999999999</v>
      </c>
      <c r="T57" s="51">
        <f>12+5.4</f>
        <v>17.399999999999999</v>
      </c>
      <c r="U57" s="51">
        <f>5.8+12</f>
        <v>17.8</v>
      </c>
      <c r="V57" s="51">
        <f>5.8+12</f>
        <v>17.8</v>
      </c>
      <c r="W57" s="51">
        <f>5.8+12</f>
        <v>17.8</v>
      </c>
      <c r="X57" s="51">
        <f>5.8+12</f>
        <v>17.8</v>
      </c>
      <c r="Y57" s="51">
        <f>5.8+12</f>
        <v>17.8</v>
      </c>
      <c r="Z57" s="57">
        <f t="shared" ref="Z57:AF57" si="22">5.8+12</f>
        <v>17.8</v>
      </c>
      <c r="AA57" s="57">
        <f t="shared" si="22"/>
        <v>17.8</v>
      </c>
      <c r="AB57" s="57">
        <f t="shared" si="22"/>
        <v>17.8</v>
      </c>
      <c r="AC57" s="57">
        <f t="shared" si="22"/>
        <v>17.8</v>
      </c>
      <c r="AD57" s="57">
        <f t="shared" si="22"/>
        <v>17.8</v>
      </c>
      <c r="AE57" s="57">
        <f t="shared" si="22"/>
        <v>17.8</v>
      </c>
      <c r="AF57" s="57">
        <f t="shared" si="22"/>
        <v>17.8</v>
      </c>
      <c r="AG57" s="55">
        <v>240</v>
      </c>
      <c r="AH57" s="47">
        <f t="shared" si="8"/>
        <v>19.399999999999999</v>
      </c>
      <c r="AI57" s="48">
        <f t="shared" si="9"/>
        <v>13.5</v>
      </c>
      <c r="AK57" s="50"/>
    </row>
    <row r="58" spans="1:88" ht="15.75" thickBot="1" x14ac:dyDescent="0.3">
      <c r="A58" s="59" t="s">
        <v>58</v>
      </c>
      <c r="B58" s="60">
        <f t="shared" ref="B58:AF58" si="23">SUM(B11:B56)</f>
        <v>463.55000000000007</v>
      </c>
      <c r="C58" s="60">
        <f t="shared" si="23"/>
        <v>463.55000000000007</v>
      </c>
      <c r="D58" s="60">
        <f t="shared" si="23"/>
        <v>463.55000000000007</v>
      </c>
      <c r="E58" s="60">
        <f t="shared" si="23"/>
        <v>463.55000000000007</v>
      </c>
      <c r="F58" s="60">
        <f t="shared" si="23"/>
        <v>463.55000000000007</v>
      </c>
      <c r="G58" s="60">
        <f t="shared" si="23"/>
        <v>463.55000000000007</v>
      </c>
      <c r="H58" s="60">
        <f t="shared" si="23"/>
        <v>463.55000000000007</v>
      </c>
      <c r="I58" s="60">
        <f t="shared" si="23"/>
        <v>463.55000000000007</v>
      </c>
      <c r="J58" s="60">
        <f t="shared" si="23"/>
        <v>463.55000000000007</v>
      </c>
      <c r="K58" s="60">
        <f t="shared" si="23"/>
        <v>463.55000000000007</v>
      </c>
      <c r="L58" s="60">
        <f t="shared" si="23"/>
        <v>463.55000000000007</v>
      </c>
      <c r="M58" s="60">
        <f t="shared" si="23"/>
        <v>463.55000000000007</v>
      </c>
      <c r="N58" s="60">
        <f t="shared" si="23"/>
        <v>461.55</v>
      </c>
      <c r="O58" s="60">
        <f t="shared" si="23"/>
        <v>431.85</v>
      </c>
      <c r="P58" s="60">
        <f t="shared" si="23"/>
        <v>404.35</v>
      </c>
      <c r="Q58" s="60">
        <f t="shared" si="23"/>
        <v>401.95000000000005</v>
      </c>
      <c r="R58" s="60">
        <f t="shared" si="23"/>
        <v>401.95000000000005</v>
      </c>
      <c r="S58" s="60">
        <f t="shared" ref="S58:T58" si="24">SUM(S11:S56)</f>
        <v>401.95000000000005</v>
      </c>
      <c r="T58" s="60">
        <f t="shared" si="24"/>
        <v>401.95000000000005</v>
      </c>
      <c r="U58" s="60">
        <f t="shared" si="23"/>
        <v>401.95000000000005</v>
      </c>
      <c r="V58" s="60">
        <f t="shared" ref="V58:W58" si="25">SUM(V11:V56)</f>
        <v>401.95000000000005</v>
      </c>
      <c r="W58" s="60">
        <f t="shared" si="25"/>
        <v>401.95000000000005</v>
      </c>
      <c r="X58" s="60">
        <f t="shared" ref="X58:Z58" si="26">SUM(X11:X56)</f>
        <v>451.45</v>
      </c>
      <c r="Y58" s="60">
        <f t="shared" si="26"/>
        <v>451.45</v>
      </c>
      <c r="Z58" s="60">
        <f t="shared" si="26"/>
        <v>447.34999999999997</v>
      </c>
      <c r="AA58" s="60">
        <f t="shared" ref="AA58" si="27">SUM(AA11:AA56)</f>
        <v>447.34999999999997</v>
      </c>
      <c r="AB58" s="60">
        <f t="shared" si="23"/>
        <v>447.34999999999997</v>
      </c>
      <c r="AC58" s="60">
        <f t="shared" si="23"/>
        <v>447.34999999999997</v>
      </c>
      <c r="AD58" s="60">
        <f t="shared" si="23"/>
        <v>447.34999999999997</v>
      </c>
      <c r="AE58" s="60">
        <f t="shared" si="23"/>
        <v>447.34999999999997</v>
      </c>
      <c r="AF58" s="60">
        <f t="shared" si="23"/>
        <v>447.34999999999997</v>
      </c>
      <c r="AG58" s="61">
        <f>SUM(AG14:AG56)</f>
        <v>1042.4000000000001</v>
      </c>
      <c r="AH58" s="47">
        <f t="shared" si="8"/>
        <v>463.55000000000007</v>
      </c>
      <c r="AI58" s="48">
        <f t="shared" si="9"/>
        <v>401.95000000000005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15</v>
      </c>
      <c r="H59" s="45">
        <v>15</v>
      </c>
      <c r="I59" s="45">
        <v>105</v>
      </c>
      <c r="J59" s="45">
        <v>136</v>
      </c>
      <c r="K59" s="45">
        <v>380</v>
      </c>
      <c r="L59" s="45">
        <v>445</v>
      </c>
      <c r="M59" s="45">
        <v>445</v>
      </c>
      <c r="N59" s="63">
        <v>65</v>
      </c>
      <c r="O59" s="63">
        <v>0</v>
      </c>
      <c r="P59" s="63">
        <v>50</v>
      </c>
      <c r="Q59" s="63">
        <v>50</v>
      </c>
      <c r="R59" s="63">
        <v>15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150</v>
      </c>
      <c r="Z59" s="45">
        <v>270</v>
      </c>
      <c r="AA59" s="45">
        <v>335</v>
      </c>
      <c r="AB59" s="45">
        <v>275</v>
      </c>
      <c r="AC59" s="45">
        <v>120</v>
      </c>
      <c r="AD59" s="45">
        <v>70</v>
      </c>
      <c r="AE59" s="45">
        <v>70</v>
      </c>
      <c r="AF59" s="45">
        <v>0</v>
      </c>
      <c r="AG59" s="52">
        <v>456</v>
      </c>
      <c r="AH59" s="47">
        <f t="shared" si="8"/>
        <v>445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8.1999999999999993</v>
      </c>
      <c r="C61" s="67">
        <v>8.1999999999999993</v>
      </c>
      <c r="D61" s="67">
        <v>8.1999999999999993</v>
      </c>
      <c r="E61" s="67">
        <v>8.1999999999999993</v>
      </c>
      <c r="F61" s="67">
        <v>8.1999999999999993</v>
      </c>
      <c r="G61" s="67">
        <v>8.1999999999999993</v>
      </c>
      <c r="H61" s="67">
        <v>8.1999999999999993</v>
      </c>
      <c r="I61" s="67">
        <v>9</v>
      </c>
      <c r="J61" s="67">
        <v>9</v>
      </c>
      <c r="K61" s="67">
        <v>9</v>
      </c>
      <c r="L61" s="67">
        <v>9</v>
      </c>
      <c r="M61" s="67">
        <v>9</v>
      </c>
      <c r="N61" s="67">
        <v>9</v>
      </c>
      <c r="O61" s="67">
        <v>9</v>
      </c>
      <c r="P61" s="67">
        <v>9</v>
      </c>
      <c r="Q61" s="67">
        <v>9</v>
      </c>
      <c r="R61" s="67">
        <v>9</v>
      </c>
      <c r="S61" s="67">
        <v>9</v>
      </c>
      <c r="T61" s="67">
        <v>9</v>
      </c>
      <c r="U61" s="67">
        <v>9.1</v>
      </c>
      <c r="V61" s="67">
        <v>9.1</v>
      </c>
      <c r="W61" s="67">
        <v>9.1</v>
      </c>
      <c r="X61" s="67">
        <v>9.1</v>
      </c>
      <c r="Y61" s="67">
        <v>9.1</v>
      </c>
      <c r="Z61" s="67">
        <v>11.2</v>
      </c>
      <c r="AA61" s="67">
        <v>11.2</v>
      </c>
      <c r="AB61" s="67">
        <v>11.2</v>
      </c>
      <c r="AC61" s="67">
        <v>11</v>
      </c>
      <c r="AD61" s="67">
        <v>8.5</v>
      </c>
      <c r="AE61" s="67">
        <v>8.5</v>
      </c>
      <c r="AF61" s="67">
        <v>8.5</v>
      </c>
      <c r="AG61" s="68">
        <v>22.1</v>
      </c>
      <c r="AH61" s="47">
        <f t="shared" si="8"/>
        <v>11.2</v>
      </c>
      <c r="AI61" s="48">
        <f t="shared" si="9"/>
        <v>8.1999999999999993</v>
      </c>
      <c r="AK61" s="50"/>
    </row>
    <row r="62" spans="1:88" ht="15.75" thickBot="1" x14ac:dyDescent="0.3">
      <c r="A62" s="69" t="s">
        <v>62</v>
      </c>
      <c r="B62" s="60">
        <f t="shared" ref="B62:AG62" si="28">SUM(B59:B61)</f>
        <v>35.200000000000003</v>
      </c>
      <c r="C62" s="60">
        <f t="shared" si="28"/>
        <v>35.200000000000003</v>
      </c>
      <c r="D62" s="60">
        <f t="shared" si="28"/>
        <v>35.200000000000003</v>
      </c>
      <c r="E62" s="60">
        <f t="shared" si="28"/>
        <v>35.200000000000003</v>
      </c>
      <c r="F62" s="60">
        <f t="shared" si="28"/>
        <v>35.200000000000003</v>
      </c>
      <c r="G62" s="60">
        <f t="shared" si="28"/>
        <v>50.2</v>
      </c>
      <c r="H62" s="60">
        <f t="shared" si="28"/>
        <v>50.2</v>
      </c>
      <c r="I62" s="60">
        <f t="shared" si="28"/>
        <v>141</v>
      </c>
      <c r="J62" s="60">
        <f t="shared" si="28"/>
        <v>172</v>
      </c>
      <c r="K62" s="60">
        <f t="shared" si="28"/>
        <v>416</v>
      </c>
      <c r="L62" s="60">
        <f t="shared" si="28"/>
        <v>481</v>
      </c>
      <c r="M62" s="60">
        <f t="shared" si="28"/>
        <v>481</v>
      </c>
      <c r="N62" s="60">
        <f t="shared" si="28"/>
        <v>101</v>
      </c>
      <c r="O62" s="60">
        <f t="shared" si="28"/>
        <v>36</v>
      </c>
      <c r="P62" s="60">
        <f t="shared" si="28"/>
        <v>86</v>
      </c>
      <c r="Q62" s="60">
        <f t="shared" si="28"/>
        <v>86</v>
      </c>
      <c r="R62" s="60">
        <f t="shared" si="28"/>
        <v>51</v>
      </c>
      <c r="S62" s="60">
        <f t="shared" ref="S62:T62" si="29">SUM(S59:S61)</f>
        <v>36</v>
      </c>
      <c r="T62" s="60">
        <f t="shared" si="29"/>
        <v>36</v>
      </c>
      <c r="U62" s="60">
        <f t="shared" si="28"/>
        <v>36.1</v>
      </c>
      <c r="V62" s="60">
        <f t="shared" ref="V62:W62" si="30">SUM(V59:V61)</f>
        <v>36.1</v>
      </c>
      <c r="W62" s="60">
        <f t="shared" si="30"/>
        <v>36.1</v>
      </c>
      <c r="X62" s="60">
        <f t="shared" ref="X62:Z62" si="31">SUM(X59:X61)</f>
        <v>36.1</v>
      </c>
      <c r="Y62" s="60">
        <f t="shared" si="31"/>
        <v>186.1</v>
      </c>
      <c r="Z62" s="60">
        <f t="shared" si="31"/>
        <v>308.2</v>
      </c>
      <c r="AA62" s="60">
        <f t="shared" ref="AA62" si="32">SUM(AA59:AA61)</f>
        <v>373.2</v>
      </c>
      <c r="AB62" s="60">
        <f t="shared" si="28"/>
        <v>313.2</v>
      </c>
      <c r="AC62" s="60">
        <f t="shared" si="28"/>
        <v>158</v>
      </c>
      <c r="AD62" s="60">
        <f t="shared" si="28"/>
        <v>105.5</v>
      </c>
      <c r="AE62" s="60">
        <f t="shared" si="28"/>
        <v>105.5</v>
      </c>
      <c r="AF62" s="60">
        <f t="shared" si="28"/>
        <v>35.5</v>
      </c>
      <c r="AG62" s="61">
        <f t="shared" si="28"/>
        <v>538.1</v>
      </c>
      <c r="AH62" s="47">
        <f t="shared" si="8"/>
        <v>481</v>
      </c>
      <c r="AI62" s="48">
        <f t="shared" si="9"/>
        <v>35.200000000000003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70.2</v>
      </c>
      <c r="J63" s="45">
        <v>70.599999999999994</v>
      </c>
      <c r="K63" s="45">
        <v>88.7</v>
      </c>
      <c r="L63" s="45">
        <v>96.9</v>
      </c>
      <c r="M63" s="45">
        <v>96.9</v>
      </c>
      <c r="N63" s="45">
        <v>141.5</v>
      </c>
      <c r="O63" s="45">
        <v>90.3</v>
      </c>
      <c r="P63" s="45">
        <v>71</v>
      </c>
      <c r="Q63" s="45">
        <v>81</v>
      </c>
      <c r="R63" s="45">
        <v>81.3</v>
      </c>
      <c r="S63" s="45">
        <v>45.3</v>
      </c>
      <c r="T63" s="45">
        <v>30.5</v>
      </c>
      <c r="U63" s="45">
        <v>30.4</v>
      </c>
      <c r="V63" s="45">
        <v>30.4</v>
      </c>
      <c r="W63" s="45">
        <v>30.1</v>
      </c>
      <c r="X63" s="45">
        <v>60.2</v>
      </c>
      <c r="Y63" s="45">
        <v>91.4</v>
      </c>
      <c r="Z63" s="45">
        <v>122.7</v>
      </c>
      <c r="AA63" s="45">
        <v>122.3</v>
      </c>
      <c r="AB63" s="45">
        <v>81</v>
      </c>
      <c r="AC63" s="45">
        <v>86</v>
      </c>
      <c r="AD63" s="45">
        <v>49</v>
      </c>
      <c r="AE63" s="45">
        <v>35.799999999999997</v>
      </c>
      <c r="AF63" s="45">
        <v>0</v>
      </c>
      <c r="AG63" s="52">
        <v>144</v>
      </c>
      <c r="AH63" s="47">
        <f t="shared" si="8"/>
        <v>141.5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25</v>
      </c>
      <c r="G64" s="65">
        <v>24.7</v>
      </c>
      <c r="H64" s="65">
        <v>34.700000000000003</v>
      </c>
      <c r="I64" s="65">
        <v>34.6</v>
      </c>
      <c r="J64" s="65">
        <v>34.6</v>
      </c>
      <c r="K64" s="65">
        <v>60</v>
      </c>
      <c r="L64" s="65">
        <v>70.599999999999994</v>
      </c>
      <c r="M64" s="65">
        <v>70.599999999999994</v>
      </c>
      <c r="N64" s="65">
        <v>59.9</v>
      </c>
      <c r="O64" s="65">
        <v>62</v>
      </c>
      <c r="P64" s="65">
        <v>64</v>
      </c>
      <c r="Q64" s="65">
        <v>0</v>
      </c>
      <c r="R64" s="65">
        <v>0</v>
      </c>
      <c r="S64" s="65">
        <v>0</v>
      </c>
      <c r="T64" s="65">
        <v>24.5</v>
      </c>
      <c r="U64" s="65">
        <v>35.4</v>
      </c>
      <c r="V64" s="65">
        <v>23.7</v>
      </c>
      <c r="W64" s="65">
        <v>24.8</v>
      </c>
      <c r="X64" s="65">
        <v>25.4</v>
      </c>
      <c r="Y64" s="65">
        <v>45.1</v>
      </c>
      <c r="Z64" s="45">
        <v>46.1</v>
      </c>
      <c r="AA64" s="45">
        <v>66.3</v>
      </c>
      <c r="AB64" s="45">
        <v>65</v>
      </c>
      <c r="AC64" s="45">
        <v>23</v>
      </c>
      <c r="AD64" s="45">
        <v>23</v>
      </c>
      <c r="AE64" s="45">
        <v>22.1</v>
      </c>
      <c r="AF64" s="45">
        <v>0</v>
      </c>
      <c r="AG64" s="55">
        <v>70</v>
      </c>
      <c r="AH64" s="47">
        <f t="shared" si="8"/>
        <v>70.599999999999994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16.899999999999999</v>
      </c>
      <c r="I65" s="65">
        <v>44.6</v>
      </c>
      <c r="J65" s="65">
        <v>46.7</v>
      </c>
      <c r="K65" s="65">
        <v>45.4</v>
      </c>
      <c r="L65" s="65">
        <v>62.9</v>
      </c>
      <c r="M65" s="65">
        <v>62.9</v>
      </c>
      <c r="N65" s="65">
        <v>65.400000000000006</v>
      </c>
      <c r="O65" s="65">
        <v>42.6</v>
      </c>
      <c r="P65" s="65">
        <v>18</v>
      </c>
      <c r="Q65" s="65">
        <v>22.2</v>
      </c>
      <c r="R65" s="65">
        <v>22.3</v>
      </c>
      <c r="S65" s="65">
        <v>16.5</v>
      </c>
      <c r="T65" s="65">
        <v>0</v>
      </c>
      <c r="U65" s="65">
        <v>0</v>
      </c>
      <c r="V65" s="65">
        <v>17.7</v>
      </c>
      <c r="W65" s="65">
        <v>17.8</v>
      </c>
      <c r="X65" s="65">
        <v>21.8</v>
      </c>
      <c r="Y65" s="65">
        <v>53.8</v>
      </c>
      <c r="Z65" s="45">
        <v>69</v>
      </c>
      <c r="AA65" s="45">
        <v>69</v>
      </c>
      <c r="AB65" s="45">
        <v>68.8</v>
      </c>
      <c r="AC65" s="45">
        <v>68</v>
      </c>
      <c r="AD65" s="45">
        <v>60</v>
      </c>
      <c r="AE65" s="45">
        <v>62.6</v>
      </c>
      <c r="AF65" s="45">
        <v>0</v>
      </c>
      <c r="AG65" s="55">
        <v>69</v>
      </c>
      <c r="AH65" s="47">
        <f t="shared" si="8"/>
        <v>69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35.299999999999997</v>
      </c>
      <c r="C66" s="65">
        <v>35.299999999999997</v>
      </c>
      <c r="D66" s="65">
        <v>35.299999999999997</v>
      </c>
      <c r="E66" s="65">
        <v>35.299999999999997</v>
      </c>
      <c r="F66" s="65">
        <v>35.299999999999997</v>
      </c>
      <c r="G66" s="65">
        <v>33.5</v>
      </c>
      <c r="H66" s="65">
        <v>33.5</v>
      </c>
      <c r="I66" s="65">
        <v>34</v>
      </c>
      <c r="J66" s="65">
        <v>34.299999999999997</v>
      </c>
      <c r="K66" s="57">
        <v>34.5</v>
      </c>
      <c r="L66" s="57">
        <v>36.299999999999997</v>
      </c>
      <c r="M66" s="57">
        <v>36.299999999999997</v>
      </c>
      <c r="N66" s="65">
        <v>35.299999999999997</v>
      </c>
      <c r="O66" s="65">
        <v>34.299999999999997</v>
      </c>
      <c r="P66" s="65">
        <v>34.299999999999997</v>
      </c>
      <c r="Q66" s="65">
        <v>32.5</v>
      </c>
      <c r="R66" s="65">
        <v>32.5</v>
      </c>
      <c r="S66" s="65">
        <v>32.5</v>
      </c>
      <c r="T66" s="65">
        <v>32.5</v>
      </c>
      <c r="U66" s="65">
        <v>33.5</v>
      </c>
      <c r="V66" s="65">
        <v>33.5</v>
      </c>
      <c r="W66" s="65">
        <v>33.5</v>
      </c>
      <c r="X66" s="65">
        <v>33.5</v>
      </c>
      <c r="Y66" s="65">
        <v>33.5</v>
      </c>
      <c r="Z66" s="45">
        <v>33.5</v>
      </c>
      <c r="AA66" s="45">
        <v>33.5</v>
      </c>
      <c r="AB66" s="45">
        <v>33.299999999999997</v>
      </c>
      <c r="AC66" s="45">
        <v>33.299999999999997</v>
      </c>
      <c r="AD66" s="45">
        <v>33.299999999999997</v>
      </c>
      <c r="AE66" s="45">
        <v>33.299999999999997</v>
      </c>
      <c r="AF66" s="45">
        <v>33</v>
      </c>
      <c r="AG66" s="55">
        <v>60</v>
      </c>
      <c r="AH66" s="47">
        <f t="shared" si="8"/>
        <v>36.299999999999997</v>
      </c>
      <c r="AI66" s="48">
        <f t="shared" si="9"/>
        <v>32.5</v>
      </c>
      <c r="AK66" s="50"/>
    </row>
    <row r="67" spans="1:75" x14ac:dyDescent="0.25">
      <c r="A67" s="54" t="s">
        <v>67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10</v>
      </c>
      <c r="J67" s="65">
        <v>15</v>
      </c>
      <c r="K67" s="65">
        <v>15</v>
      </c>
      <c r="L67" s="57">
        <v>15</v>
      </c>
      <c r="M67" s="57">
        <v>15</v>
      </c>
      <c r="N67" s="65">
        <v>15</v>
      </c>
      <c r="O67" s="65">
        <v>15</v>
      </c>
      <c r="P67" s="65">
        <v>15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14.9</v>
      </c>
      <c r="W67" s="65">
        <v>23.8</v>
      </c>
      <c r="X67" s="65">
        <v>23.4</v>
      </c>
      <c r="Y67" s="65">
        <v>15.3</v>
      </c>
      <c r="Z67" s="45">
        <v>28.3</v>
      </c>
      <c r="AA67" s="45">
        <v>28.3</v>
      </c>
      <c r="AB67" s="45">
        <v>28.3</v>
      </c>
      <c r="AC67" s="45">
        <v>23</v>
      </c>
      <c r="AD67" s="45">
        <v>14.6</v>
      </c>
      <c r="AE67" s="45">
        <v>14</v>
      </c>
      <c r="AF67" s="45">
        <v>0</v>
      </c>
      <c r="AG67" s="55">
        <v>30</v>
      </c>
      <c r="AH67" s="47">
        <f t="shared" si="8"/>
        <v>28.3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45">
        <v>0</v>
      </c>
      <c r="I68" s="45">
        <v>0</v>
      </c>
      <c r="J68" s="45">
        <v>0</v>
      </c>
      <c r="K68" s="45">
        <v>0.9</v>
      </c>
      <c r="L68" s="65">
        <v>2.9</v>
      </c>
      <c r="M68" s="65">
        <v>2.9</v>
      </c>
      <c r="N68" s="65">
        <v>12</v>
      </c>
      <c r="O68" s="65">
        <v>15.7</v>
      </c>
      <c r="P68" s="65">
        <v>18.8</v>
      </c>
      <c r="Q68" s="65">
        <v>19.899999999999999</v>
      </c>
      <c r="R68" s="65">
        <v>19.100000000000001</v>
      </c>
      <c r="S68" s="65">
        <v>16.5</v>
      </c>
      <c r="T68" s="65">
        <v>12.4</v>
      </c>
      <c r="U68" s="65">
        <v>8.6</v>
      </c>
      <c r="V68" s="65">
        <v>1.2</v>
      </c>
      <c r="W68" s="65">
        <v>0.7</v>
      </c>
      <c r="X68" s="65">
        <v>0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19.899999999999999</v>
      </c>
      <c r="AI68" s="48">
        <f t="shared" si="9"/>
        <v>0</v>
      </c>
      <c r="AK68" s="50"/>
      <c r="AY68" s="1" t="s">
        <v>377</v>
      </c>
      <c r="AZ68" s="233">
        <f>ROUND(C81,0)</f>
        <v>58</v>
      </c>
      <c r="BA68" s="232">
        <f t="shared" ref="BA68:BD72" si="33">D81</f>
        <v>55</v>
      </c>
      <c r="BB68" s="232">
        <f t="shared" si="33"/>
        <v>54</v>
      </c>
      <c r="BC68" s="232">
        <f t="shared" si="33"/>
        <v>52</v>
      </c>
      <c r="BD68" s="232">
        <f t="shared" si="33"/>
        <v>55.4</v>
      </c>
      <c r="BE68" s="233">
        <f>I81</f>
        <v>64</v>
      </c>
      <c r="BF68" s="233">
        <f>K81</f>
        <v>53</v>
      </c>
      <c r="BG68" s="233">
        <f t="shared" ref="BG68:BP72" si="34">M81</f>
        <v>60</v>
      </c>
      <c r="BH68" s="233">
        <f t="shared" si="34"/>
        <v>63.3</v>
      </c>
      <c r="BI68" s="233">
        <f t="shared" si="34"/>
        <v>62.8</v>
      </c>
      <c r="BJ68" s="233">
        <f t="shared" si="34"/>
        <v>51.8</v>
      </c>
      <c r="BK68" s="233">
        <f t="shared" si="34"/>
        <v>45.8</v>
      </c>
      <c r="BL68" s="233">
        <f t="shared" si="34"/>
        <v>48</v>
      </c>
      <c r="BM68" s="233">
        <f t="shared" si="34"/>
        <v>53</v>
      </c>
      <c r="BN68" s="233">
        <f t="shared" si="34"/>
        <v>55.8</v>
      </c>
      <c r="BO68" s="233">
        <f t="shared" si="34"/>
        <v>54.4</v>
      </c>
      <c r="BP68" s="233">
        <f t="shared" si="34"/>
        <v>65.3</v>
      </c>
      <c r="BQ68" s="233">
        <f>X81</f>
        <v>34.299999999999997</v>
      </c>
      <c r="BR68" s="233">
        <f>Z81</f>
        <v>57.6</v>
      </c>
      <c r="BS68" s="232">
        <f>AB81</f>
        <v>58</v>
      </c>
      <c r="BT68" s="232">
        <f>AD81</f>
        <v>61.6</v>
      </c>
      <c r="BU68" s="232">
        <f>AE81</f>
        <v>56.4</v>
      </c>
      <c r="BV68" s="232">
        <f>AF81</f>
        <v>61</v>
      </c>
      <c r="BW68" s="232">
        <f>B81</f>
        <v>66.5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45">
        <v>0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0</v>
      </c>
      <c r="AK69" s="50"/>
      <c r="AY69" s="1" t="s">
        <v>604</v>
      </c>
      <c r="AZ69" s="233">
        <f>ROUND(C82,0)</f>
        <v>0</v>
      </c>
      <c r="BA69" s="232">
        <f t="shared" si="33"/>
        <v>0</v>
      </c>
      <c r="BB69" s="232">
        <f t="shared" si="33"/>
        <v>0</v>
      </c>
      <c r="BC69" s="232">
        <f t="shared" si="33"/>
        <v>0</v>
      </c>
      <c r="BD69" s="232">
        <f t="shared" si="33"/>
        <v>0</v>
      </c>
      <c r="BE69" s="233">
        <f t="shared" ref="BE69:BE72" si="35">I82</f>
        <v>0</v>
      </c>
      <c r="BF69" s="233">
        <f t="shared" ref="BF69:BF72" si="36">K82</f>
        <v>0</v>
      </c>
      <c r="BG69" s="233">
        <f t="shared" si="34"/>
        <v>0</v>
      </c>
      <c r="BH69" s="233">
        <f t="shared" si="34"/>
        <v>0</v>
      </c>
      <c r="BI69" s="233">
        <f t="shared" si="34"/>
        <v>0</v>
      </c>
      <c r="BJ69" s="233">
        <f t="shared" si="34"/>
        <v>0</v>
      </c>
      <c r="BK69" s="233">
        <f t="shared" si="34"/>
        <v>0</v>
      </c>
      <c r="BL69" s="233">
        <f t="shared" si="34"/>
        <v>0</v>
      </c>
      <c r="BM69" s="233">
        <f t="shared" si="34"/>
        <v>0</v>
      </c>
      <c r="BN69" s="233">
        <f t="shared" si="34"/>
        <v>0</v>
      </c>
      <c r="BO69" s="233">
        <f t="shared" si="34"/>
        <v>0</v>
      </c>
      <c r="BP69" s="233">
        <f t="shared" si="34"/>
        <v>0</v>
      </c>
      <c r="BQ69" s="233">
        <f t="shared" ref="BQ69:BQ72" si="37">X82</f>
        <v>0</v>
      </c>
      <c r="BR69" s="233">
        <f t="shared" ref="BR69:BR72" si="38">Z82</f>
        <v>0</v>
      </c>
      <c r="BS69" s="232">
        <f t="shared" ref="BS69:BS72" si="39">AB82</f>
        <v>0</v>
      </c>
      <c r="BT69" s="232">
        <f t="shared" ref="BT69:BV72" si="40">AD82</f>
        <v>0</v>
      </c>
      <c r="BU69" s="232">
        <f t="shared" si="40"/>
        <v>0</v>
      </c>
      <c r="BV69" s="232">
        <f t="shared" si="40"/>
        <v>0</v>
      </c>
      <c r="BW69" s="232">
        <f t="shared" ref="BW69:BW72" si="41">B82</f>
        <v>0</v>
      </c>
    </row>
    <row r="70" spans="1:75" x14ac:dyDescent="0.25">
      <c r="A70" s="54" t="s">
        <v>70</v>
      </c>
      <c r="B70" s="65">
        <v>2.2000000000000002</v>
      </c>
      <c r="C70" s="65">
        <v>2.2000000000000002</v>
      </c>
      <c r="D70" s="65">
        <v>2.2000000000000002</v>
      </c>
      <c r="E70" s="65">
        <v>2.2000000000000002</v>
      </c>
      <c r="F70" s="65">
        <v>2.2000000000000002</v>
      </c>
      <c r="G70" s="65">
        <v>2.2000000000000002</v>
      </c>
      <c r="H70" s="65">
        <v>2.2000000000000002</v>
      </c>
      <c r="I70" s="65">
        <v>2.2000000000000002</v>
      </c>
      <c r="J70" s="65">
        <v>2.2000000000000002</v>
      </c>
      <c r="K70" s="65">
        <v>2.2000000000000002</v>
      </c>
      <c r="L70" s="65">
        <v>2.2000000000000002</v>
      </c>
      <c r="M70" s="65">
        <v>2.2000000000000002</v>
      </c>
      <c r="N70" s="65">
        <v>2.2000000000000002</v>
      </c>
      <c r="O70" s="65">
        <v>2.2000000000000002</v>
      </c>
      <c r="P70" s="65">
        <v>2.2000000000000002</v>
      </c>
      <c r="Q70" s="65">
        <v>2.2000000000000002</v>
      </c>
      <c r="R70" s="65">
        <v>2.2000000000000002</v>
      </c>
      <c r="S70" s="65">
        <v>2.2000000000000002</v>
      </c>
      <c r="T70" s="65">
        <v>2.2000000000000002</v>
      </c>
      <c r="U70" s="65">
        <v>2.2000000000000002</v>
      </c>
      <c r="V70" s="65">
        <v>2.2000000000000002</v>
      </c>
      <c r="W70" s="65">
        <v>2.2000000000000002</v>
      </c>
      <c r="X70" s="65">
        <v>2.2000000000000002</v>
      </c>
      <c r="Y70" s="65">
        <v>2.2000000000000002</v>
      </c>
      <c r="Z70" s="65">
        <v>2.2000000000000002</v>
      </c>
      <c r="AA70" s="65">
        <v>2.2000000000000002</v>
      </c>
      <c r="AB70" s="65">
        <v>2.2000000000000002</v>
      </c>
      <c r="AC70" s="65">
        <v>2.2000000000000002</v>
      </c>
      <c r="AD70" s="65">
        <v>2.2000000000000002</v>
      </c>
      <c r="AE70" s="65">
        <v>2.2000000000000002</v>
      </c>
      <c r="AF70" s="65">
        <v>2.2000000000000002</v>
      </c>
      <c r="AG70" s="55">
        <v>15</v>
      </c>
      <c r="AH70" s="47">
        <f t="shared" si="8"/>
        <v>2.2000000000000002</v>
      </c>
      <c r="AI70" s="48">
        <f t="shared" si="9"/>
        <v>2.2000000000000002</v>
      </c>
      <c r="AK70" s="50"/>
      <c r="AL70" s="70"/>
      <c r="AO70" s="70"/>
      <c r="AY70" s="1" t="s">
        <v>605</v>
      </c>
      <c r="AZ70" s="233">
        <f>ROUND(C83,0)</f>
        <v>384</v>
      </c>
      <c r="BA70" s="232">
        <f t="shared" si="33"/>
        <v>400</v>
      </c>
      <c r="BB70" s="232">
        <f t="shared" si="33"/>
        <v>427</v>
      </c>
      <c r="BC70" s="232">
        <f t="shared" si="33"/>
        <v>411</v>
      </c>
      <c r="BD70" s="232">
        <f t="shared" si="33"/>
        <v>439</v>
      </c>
      <c r="BE70" s="233">
        <f t="shared" si="35"/>
        <v>397.7</v>
      </c>
      <c r="BF70" s="233">
        <f t="shared" si="36"/>
        <v>72</v>
      </c>
      <c r="BG70" s="233">
        <f t="shared" si="34"/>
        <v>20</v>
      </c>
      <c r="BH70" s="233">
        <f t="shared" si="34"/>
        <v>95.1</v>
      </c>
      <c r="BI70" s="233">
        <f t="shared" si="34"/>
        <v>405</v>
      </c>
      <c r="BJ70" s="233">
        <f t="shared" si="34"/>
        <v>425</v>
      </c>
      <c r="BK70" s="233">
        <f t="shared" si="34"/>
        <v>430</v>
      </c>
      <c r="BL70" s="233">
        <f t="shared" si="34"/>
        <v>421</v>
      </c>
      <c r="BM70" s="233">
        <f t="shared" si="34"/>
        <v>511.4</v>
      </c>
      <c r="BN70" s="233">
        <f t="shared" si="34"/>
        <v>480</v>
      </c>
      <c r="BO70" s="233">
        <f t="shared" si="34"/>
        <v>505.1</v>
      </c>
      <c r="BP70" s="233">
        <f t="shared" si="34"/>
        <v>479.1</v>
      </c>
      <c r="BQ70" s="233">
        <f t="shared" si="37"/>
        <v>481.1</v>
      </c>
      <c r="BR70" s="233">
        <f t="shared" si="38"/>
        <v>229</v>
      </c>
      <c r="BS70" s="232">
        <f t="shared" si="39"/>
        <v>94</v>
      </c>
      <c r="BT70" s="232">
        <f t="shared" si="40"/>
        <v>306</v>
      </c>
      <c r="BU70" s="232">
        <f t="shared" si="40"/>
        <v>366</v>
      </c>
      <c r="BV70" s="232">
        <f t="shared" si="40"/>
        <v>380</v>
      </c>
      <c r="BW70" s="232">
        <f t="shared" si="41"/>
        <v>397</v>
      </c>
    </row>
    <row r="71" spans="1:75" s="70" customFormat="1" x14ac:dyDescent="0.25">
      <c r="A71" s="54" t="s">
        <v>71</v>
      </c>
      <c r="B71" s="65">
        <v>8.1</v>
      </c>
      <c r="C71" s="65">
        <v>8.1</v>
      </c>
      <c r="D71" s="65">
        <v>8.1</v>
      </c>
      <c r="E71" s="65">
        <v>8.1</v>
      </c>
      <c r="F71" s="65">
        <v>8.1</v>
      </c>
      <c r="G71" s="65">
        <v>8.1</v>
      </c>
      <c r="H71" s="65">
        <v>8.1</v>
      </c>
      <c r="I71" s="65">
        <v>8.1</v>
      </c>
      <c r="J71" s="65">
        <v>8.1</v>
      </c>
      <c r="K71" s="65">
        <v>8.1</v>
      </c>
      <c r="L71" s="65">
        <v>8.1</v>
      </c>
      <c r="M71" s="65">
        <v>8.1</v>
      </c>
      <c r="N71" s="65">
        <v>8.1</v>
      </c>
      <c r="O71" s="65">
        <v>8.1</v>
      </c>
      <c r="P71" s="65">
        <v>8.1</v>
      </c>
      <c r="Q71" s="65">
        <v>8.1</v>
      </c>
      <c r="R71" s="65">
        <v>8.1</v>
      </c>
      <c r="S71" s="65">
        <v>8.1</v>
      </c>
      <c r="T71" s="65">
        <v>8.1</v>
      </c>
      <c r="U71" s="65">
        <v>8.1</v>
      </c>
      <c r="V71" s="65">
        <v>8.1</v>
      </c>
      <c r="W71" s="65">
        <v>8.1</v>
      </c>
      <c r="X71" s="65">
        <v>8.1</v>
      </c>
      <c r="Y71" s="65">
        <v>8.1</v>
      </c>
      <c r="Z71" s="65">
        <v>8.1</v>
      </c>
      <c r="AA71" s="65">
        <v>8.1</v>
      </c>
      <c r="AB71" s="65">
        <v>8.1</v>
      </c>
      <c r="AC71" s="65">
        <v>8.1</v>
      </c>
      <c r="AD71" s="65">
        <v>8.1</v>
      </c>
      <c r="AE71" s="65">
        <v>8.1</v>
      </c>
      <c r="AF71" s="65">
        <v>8.1</v>
      </c>
      <c r="AG71" s="55">
        <v>14.1</v>
      </c>
      <c r="AH71" s="47">
        <f t="shared" si="8"/>
        <v>8.1</v>
      </c>
      <c r="AI71" s="48">
        <f t="shared" si="9"/>
        <v>8.1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52</v>
      </c>
      <c r="BA71" s="232">
        <f t="shared" si="33"/>
        <v>50</v>
      </c>
      <c r="BB71" s="232">
        <f t="shared" si="33"/>
        <v>3</v>
      </c>
      <c r="BC71" s="232">
        <f t="shared" si="33"/>
        <v>0</v>
      </c>
      <c r="BD71" s="232">
        <f t="shared" si="33"/>
        <v>0</v>
      </c>
      <c r="BE71" s="233">
        <f t="shared" si="35"/>
        <v>0</v>
      </c>
      <c r="BF71" s="233">
        <f t="shared" si="36"/>
        <v>0</v>
      </c>
      <c r="BG71" s="233">
        <f t="shared" si="34"/>
        <v>0</v>
      </c>
      <c r="BH71" s="233">
        <f t="shared" si="34"/>
        <v>24</v>
      </c>
      <c r="BI71" s="233">
        <f t="shared" si="34"/>
        <v>0</v>
      </c>
      <c r="BJ71" s="233">
        <f t="shared" si="34"/>
        <v>0</v>
      </c>
      <c r="BK71" s="233">
        <f t="shared" si="34"/>
        <v>40</v>
      </c>
      <c r="BL71" s="233">
        <f t="shared" si="34"/>
        <v>35</v>
      </c>
      <c r="BM71" s="233">
        <f t="shared" si="34"/>
        <v>37.200000000000003</v>
      </c>
      <c r="BN71" s="233">
        <f t="shared" si="34"/>
        <v>40.700000000000003</v>
      </c>
      <c r="BO71" s="233">
        <f t="shared" si="34"/>
        <v>41.6</v>
      </c>
      <c r="BP71" s="233">
        <f t="shared" si="34"/>
        <v>34.299999999999997</v>
      </c>
      <c r="BQ71" s="233">
        <f t="shared" si="37"/>
        <v>2.2999999999999998</v>
      </c>
      <c r="BR71" s="233">
        <f t="shared" si="38"/>
        <v>3.7</v>
      </c>
      <c r="BS71" s="232">
        <f t="shared" si="39"/>
        <v>3.4</v>
      </c>
      <c r="BT71" s="232">
        <f t="shared" si="40"/>
        <v>51.6</v>
      </c>
      <c r="BU71" s="232">
        <f t="shared" si="40"/>
        <v>48.2</v>
      </c>
      <c r="BV71" s="232">
        <f t="shared" si="40"/>
        <v>51</v>
      </c>
      <c r="BW71" s="232">
        <f t="shared" si="41"/>
        <v>55.5</v>
      </c>
    </row>
    <row r="72" spans="1:75" x14ac:dyDescent="0.25">
      <c r="A72" s="71" t="s">
        <v>72</v>
      </c>
      <c r="B72" s="65">
        <v>5.2</v>
      </c>
      <c r="C72" s="65">
        <v>5.2</v>
      </c>
      <c r="D72" s="65">
        <v>5.2</v>
      </c>
      <c r="E72" s="65">
        <v>5.2</v>
      </c>
      <c r="F72" s="65">
        <v>5.2</v>
      </c>
      <c r="G72" s="65">
        <v>5.2</v>
      </c>
      <c r="H72" s="65">
        <v>5.2</v>
      </c>
      <c r="I72" s="65">
        <v>5.2</v>
      </c>
      <c r="J72" s="65">
        <v>5.2</v>
      </c>
      <c r="K72" s="65">
        <v>5.2</v>
      </c>
      <c r="L72" s="65">
        <v>5.2</v>
      </c>
      <c r="M72" s="65">
        <v>5.2</v>
      </c>
      <c r="N72" s="65">
        <v>5.2</v>
      </c>
      <c r="O72" s="65">
        <v>5.2</v>
      </c>
      <c r="P72" s="65">
        <v>5.2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5">
        <v>14</v>
      </c>
      <c r="AH72" s="47">
        <f t="shared" si="8"/>
        <v>5.2</v>
      </c>
      <c r="AI72" s="48">
        <f t="shared" si="9"/>
        <v>0</v>
      </c>
      <c r="AK72" s="50"/>
      <c r="AY72" s="1" t="s">
        <v>607</v>
      </c>
      <c r="AZ72" s="233">
        <f>ROUND(C85,0)</f>
        <v>102</v>
      </c>
      <c r="BA72" s="232">
        <f t="shared" si="33"/>
        <v>106</v>
      </c>
      <c r="BB72" s="232">
        <f t="shared" si="33"/>
        <v>120</v>
      </c>
      <c r="BC72" s="232">
        <f t="shared" si="33"/>
        <v>110</v>
      </c>
      <c r="BD72" s="232">
        <f t="shared" si="33"/>
        <v>110</v>
      </c>
      <c r="BE72" s="233">
        <f t="shared" si="35"/>
        <v>108</v>
      </c>
      <c r="BF72" s="233">
        <f t="shared" si="36"/>
        <v>70</v>
      </c>
      <c r="BG72" s="233">
        <f t="shared" si="34"/>
        <v>0</v>
      </c>
      <c r="BH72" s="233">
        <f t="shared" si="34"/>
        <v>44</v>
      </c>
      <c r="BI72" s="233">
        <f t="shared" si="34"/>
        <v>0</v>
      </c>
      <c r="BJ72" s="233">
        <f t="shared" si="34"/>
        <v>40</v>
      </c>
      <c r="BK72" s="233">
        <f t="shared" si="34"/>
        <v>88</v>
      </c>
      <c r="BL72" s="233">
        <f t="shared" si="34"/>
        <v>76</v>
      </c>
      <c r="BM72" s="233">
        <f t="shared" si="34"/>
        <v>63.8</v>
      </c>
      <c r="BN72" s="233">
        <f t="shared" si="34"/>
        <v>81</v>
      </c>
      <c r="BO72" s="233">
        <f t="shared" si="34"/>
        <v>80</v>
      </c>
      <c r="BP72" s="233">
        <f t="shared" si="34"/>
        <v>73.599999999999994</v>
      </c>
      <c r="BQ72" s="233">
        <f t="shared" si="37"/>
        <v>0</v>
      </c>
      <c r="BR72" s="233">
        <f t="shared" si="38"/>
        <v>0</v>
      </c>
      <c r="BS72" s="232">
        <f t="shared" si="39"/>
        <v>108</v>
      </c>
      <c r="BT72" s="232">
        <f t="shared" si="40"/>
        <v>100</v>
      </c>
      <c r="BU72" s="232">
        <f t="shared" si="40"/>
        <v>100</v>
      </c>
      <c r="BV72" s="232">
        <f t="shared" si="40"/>
        <v>53.8</v>
      </c>
      <c r="BW72" s="232">
        <f t="shared" si="41"/>
        <v>107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51</v>
      </c>
      <c r="BA73" s="233">
        <f>D91</f>
        <v>53.8</v>
      </c>
      <c r="BB73" s="233">
        <f>E91</f>
        <v>50.4</v>
      </c>
      <c r="BC73" s="233">
        <f>F91</f>
        <v>49.9</v>
      </c>
      <c r="BD73" s="233">
        <f>G91</f>
        <v>46</v>
      </c>
      <c r="BE73" s="233">
        <f>I91</f>
        <v>50.3</v>
      </c>
      <c r="BF73" s="233">
        <f>K91</f>
        <v>78</v>
      </c>
      <c r="BG73" s="233">
        <f t="shared" ref="BG73:BP73" si="42">M91</f>
        <v>75</v>
      </c>
      <c r="BH73" s="233">
        <f t="shared" si="42"/>
        <v>71</v>
      </c>
      <c r="BI73" s="233">
        <f t="shared" si="42"/>
        <v>69</v>
      </c>
      <c r="BJ73" s="233">
        <f t="shared" si="42"/>
        <v>74</v>
      </c>
      <c r="BK73" s="233">
        <f t="shared" si="42"/>
        <v>71</v>
      </c>
      <c r="BL73" s="233">
        <f t="shared" si="42"/>
        <v>67</v>
      </c>
      <c r="BM73" s="233">
        <f t="shared" si="42"/>
        <v>61.8</v>
      </c>
      <c r="BN73" s="233">
        <f t="shared" si="42"/>
        <v>58.2</v>
      </c>
      <c r="BO73" s="233">
        <f t="shared" si="42"/>
        <v>68.5</v>
      </c>
      <c r="BP73" s="233">
        <f t="shared" si="42"/>
        <v>64.900000000000006</v>
      </c>
      <c r="BQ73" s="233">
        <f>X91</f>
        <v>75.900000000000006</v>
      </c>
      <c r="BR73" s="233">
        <f>Z91</f>
        <v>71.8</v>
      </c>
      <c r="BS73" s="233">
        <f>AB91</f>
        <v>65.2</v>
      </c>
      <c r="BT73" s="233">
        <f>AD91</f>
        <v>68</v>
      </c>
      <c r="BU73" s="233">
        <f>AE91</f>
        <v>69</v>
      </c>
      <c r="BV73" s="233">
        <f>AF91</f>
        <v>67.5</v>
      </c>
      <c r="BW73" s="233">
        <f>B91</f>
        <v>58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3.54</v>
      </c>
      <c r="AK75" s="50"/>
      <c r="AZ75" s="233">
        <f>VALUE(AZ68)</f>
        <v>58</v>
      </c>
      <c r="BA75" s="233">
        <f t="shared" ref="BA75:BW75" si="43">VALUE(BA68)</f>
        <v>55</v>
      </c>
      <c r="BB75" s="233">
        <f t="shared" si="43"/>
        <v>54</v>
      </c>
      <c r="BC75" s="233">
        <f t="shared" si="43"/>
        <v>52</v>
      </c>
      <c r="BD75" s="233">
        <f t="shared" si="43"/>
        <v>55.4</v>
      </c>
      <c r="BE75" s="233">
        <f t="shared" si="43"/>
        <v>64</v>
      </c>
      <c r="BF75" s="233">
        <f t="shared" si="43"/>
        <v>53</v>
      </c>
      <c r="BG75" s="233">
        <f t="shared" si="43"/>
        <v>60</v>
      </c>
      <c r="BH75" s="233">
        <f t="shared" si="43"/>
        <v>63.3</v>
      </c>
      <c r="BI75" s="233">
        <f t="shared" si="43"/>
        <v>62.8</v>
      </c>
      <c r="BJ75" s="233">
        <f t="shared" si="43"/>
        <v>51.8</v>
      </c>
      <c r="BK75" s="233">
        <f t="shared" si="43"/>
        <v>45.8</v>
      </c>
      <c r="BL75" s="233">
        <f t="shared" si="43"/>
        <v>48</v>
      </c>
      <c r="BM75" s="233">
        <f t="shared" si="43"/>
        <v>53</v>
      </c>
      <c r="BN75" s="233">
        <f t="shared" si="43"/>
        <v>55.8</v>
      </c>
      <c r="BO75" s="233">
        <f t="shared" si="43"/>
        <v>54.4</v>
      </c>
      <c r="BP75" s="233">
        <f t="shared" si="43"/>
        <v>65.3</v>
      </c>
      <c r="BQ75" s="233">
        <f t="shared" si="43"/>
        <v>34.299999999999997</v>
      </c>
      <c r="BR75" s="233">
        <f t="shared" si="43"/>
        <v>57.6</v>
      </c>
      <c r="BS75" s="233">
        <f t="shared" si="43"/>
        <v>58</v>
      </c>
      <c r="BT75" s="233">
        <f t="shared" si="43"/>
        <v>61.6</v>
      </c>
      <c r="BU75" s="233">
        <f t="shared" si="43"/>
        <v>56.4</v>
      </c>
      <c r="BV75" s="233">
        <f t="shared" si="43"/>
        <v>61</v>
      </c>
      <c r="BW75" s="233">
        <f t="shared" si="43"/>
        <v>66.5</v>
      </c>
    </row>
    <row r="76" spans="1:75" ht="15.75" thickBot="1" x14ac:dyDescent="0.3">
      <c r="A76" s="74" t="s">
        <v>76</v>
      </c>
      <c r="B76" s="60">
        <f t="shared" ref="B76:AG76" si="44">SUM(B63:B75)</f>
        <v>75.540000000000006</v>
      </c>
      <c r="C76" s="60">
        <f t="shared" si="44"/>
        <v>75.540000000000006</v>
      </c>
      <c r="D76" s="60">
        <f t="shared" si="44"/>
        <v>75.540000000000006</v>
      </c>
      <c r="E76" s="60">
        <f t="shared" si="44"/>
        <v>75.540000000000006</v>
      </c>
      <c r="F76" s="60">
        <f t="shared" si="44"/>
        <v>100.54</v>
      </c>
      <c r="G76" s="60">
        <f t="shared" si="44"/>
        <v>98.440000000000012</v>
      </c>
      <c r="H76" s="60">
        <f t="shared" si="44"/>
        <v>155.33999999999995</v>
      </c>
      <c r="I76" s="60">
        <f t="shared" si="44"/>
        <v>233.63999999999996</v>
      </c>
      <c r="J76" s="60">
        <f t="shared" si="44"/>
        <v>241.43999999999994</v>
      </c>
      <c r="K76" s="60">
        <f t="shared" si="44"/>
        <v>284.74</v>
      </c>
      <c r="L76" s="60">
        <f t="shared" si="44"/>
        <v>324.83999999999997</v>
      </c>
      <c r="M76" s="60">
        <f t="shared" si="44"/>
        <v>324.83999999999997</v>
      </c>
      <c r="N76" s="60">
        <f t="shared" si="44"/>
        <v>369.34000000000003</v>
      </c>
      <c r="O76" s="60">
        <f t="shared" si="44"/>
        <v>300.14</v>
      </c>
      <c r="P76" s="60">
        <f t="shared" si="44"/>
        <v>261.34000000000003</v>
      </c>
      <c r="Q76" s="60">
        <f t="shared" si="44"/>
        <v>190.63999999999996</v>
      </c>
      <c r="R76" s="60">
        <f t="shared" si="44"/>
        <v>190.23999999999995</v>
      </c>
      <c r="S76" s="60">
        <f t="shared" ref="S76:T76" si="45">SUM(S63:S75)</f>
        <v>145.83999999999997</v>
      </c>
      <c r="T76" s="60">
        <f t="shared" si="45"/>
        <v>134.93999999999997</v>
      </c>
      <c r="U76" s="60">
        <f t="shared" si="44"/>
        <v>142.93999999999997</v>
      </c>
      <c r="V76" s="60">
        <f t="shared" ref="V76:W76" si="46">SUM(V63:V75)</f>
        <v>156.43999999999997</v>
      </c>
      <c r="W76" s="60">
        <f t="shared" si="46"/>
        <v>165.73999999999995</v>
      </c>
      <c r="X76" s="60">
        <f t="shared" ref="X76:Z76" si="47">SUM(X63:X75)</f>
        <v>199.33999999999995</v>
      </c>
      <c r="Y76" s="60">
        <f t="shared" si="47"/>
        <v>274.14000000000004</v>
      </c>
      <c r="Z76" s="60">
        <f t="shared" si="47"/>
        <v>334.64000000000004</v>
      </c>
      <c r="AA76" s="60">
        <f t="shared" ref="AA76" si="48">SUM(AA63:AA75)</f>
        <v>354.44000000000005</v>
      </c>
      <c r="AB76" s="60">
        <f t="shared" si="44"/>
        <v>311.44000000000005</v>
      </c>
      <c r="AC76" s="60">
        <f t="shared" si="44"/>
        <v>253.33999999999997</v>
      </c>
      <c r="AD76" s="60">
        <f t="shared" si="44"/>
        <v>214.93999999999997</v>
      </c>
      <c r="AE76" s="60">
        <f t="shared" si="44"/>
        <v>202.83999999999997</v>
      </c>
      <c r="AF76" s="60">
        <f t="shared" si="44"/>
        <v>68.040000000000006</v>
      </c>
      <c r="AG76" s="61">
        <f t="shared" si="44"/>
        <v>489.91</v>
      </c>
      <c r="AH76" s="47">
        <f t="shared" si="8"/>
        <v>369.34000000000003</v>
      </c>
      <c r="AI76" s="48">
        <f t="shared" si="9"/>
        <v>68.040000000000006</v>
      </c>
      <c r="AK76" s="50"/>
      <c r="AZ76" s="233">
        <f t="shared" ref="AZ76:BW80" si="49">VALUE(AZ69)</f>
        <v>0</v>
      </c>
      <c r="BA76" s="233">
        <f t="shared" si="49"/>
        <v>0</v>
      </c>
      <c r="BB76" s="233">
        <f t="shared" si="49"/>
        <v>0</v>
      </c>
      <c r="BC76" s="233">
        <f t="shared" si="49"/>
        <v>0</v>
      </c>
      <c r="BD76" s="233">
        <f t="shared" si="49"/>
        <v>0</v>
      </c>
      <c r="BE76" s="233">
        <f t="shared" si="49"/>
        <v>0</v>
      </c>
      <c r="BF76" s="233">
        <f t="shared" si="49"/>
        <v>0</v>
      </c>
      <c r="BG76" s="233">
        <f t="shared" si="49"/>
        <v>0</v>
      </c>
      <c r="BH76" s="233">
        <f t="shared" si="49"/>
        <v>0</v>
      </c>
      <c r="BI76" s="233">
        <f t="shared" si="49"/>
        <v>0</v>
      </c>
      <c r="BJ76" s="233">
        <f t="shared" si="49"/>
        <v>0</v>
      </c>
      <c r="BK76" s="233">
        <f t="shared" si="49"/>
        <v>0</v>
      </c>
      <c r="BL76" s="233">
        <f t="shared" si="49"/>
        <v>0</v>
      </c>
      <c r="BM76" s="233">
        <f t="shared" si="49"/>
        <v>0</v>
      </c>
      <c r="BN76" s="233">
        <f t="shared" si="49"/>
        <v>0</v>
      </c>
      <c r="BO76" s="233">
        <f t="shared" si="49"/>
        <v>0</v>
      </c>
      <c r="BP76" s="233">
        <f t="shared" si="49"/>
        <v>0</v>
      </c>
      <c r="BQ76" s="233">
        <f t="shared" si="49"/>
        <v>0</v>
      </c>
      <c r="BR76" s="233">
        <f t="shared" si="49"/>
        <v>0</v>
      </c>
      <c r="BS76" s="233">
        <f t="shared" si="49"/>
        <v>0</v>
      </c>
      <c r="BT76" s="233">
        <f t="shared" si="49"/>
        <v>0</v>
      </c>
      <c r="BU76" s="233">
        <f t="shared" si="49"/>
        <v>0</v>
      </c>
      <c r="BV76" s="233">
        <f t="shared" si="49"/>
        <v>0</v>
      </c>
      <c r="BW76" s="233">
        <f t="shared" si="49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>
        <v>50</v>
      </c>
      <c r="O77" s="45">
        <v>0</v>
      </c>
      <c r="P77" s="45"/>
      <c r="Q77" s="45"/>
      <c r="R77" s="45"/>
      <c r="S77" s="45"/>
      <c r="T77" s="45"/>
      <c r="U77" s="45"/>
      <c r="V77" s="45"/>
      <c r="W77" s="45">
        <v>60</v>
      </c>
      <c r="X77" s="45">
        <v>60</v>
      </c>
      <c r="Y77" s="45">
        <v>60</v>
      </c>
      <c r="Z77" s="45">
        <v>60</v>
      </c>
      <c r="AA77" s="45">
        <v>60</v>
      </c>
      <c r="AB77" s="45">
        <v>0</v>
      </c>
      <c r="AC77" s="45">
        <v>0</v>
      </c>
      <c r="AD77" s="45">
        <v>0</v>
      </c>
      <c r="AE77" s="45"/>
      <c r="AF77" s="45"/>
      <c r="AG77" s="52">
        <v>60</v>
      </c>
      <c r="AH77" s="47">
        <f t="shared" si="8"/>
        <v>60</v>
      </c>
      <c r="AI77" s="48">
        <f t="shared" si="9"/>
        <v>0</v>
      </c>
      <c r="AK77" s="50"/>
      <c r="AZ77" s="233">
        <f t="shared" si="49"/>
        <v>384</v>
      </c>
      <c r="BA77" s="233">
        <f t="shared" si="49"/>
        <v>400</v>
      </c>
      <c r="BB77" s="233">
        <f t="shared" si="49"/>
        <v>427</v>
      </c>
      <c r="BC77" s="233">
        <f t="shared" si="49"/>
        <v>411</v>
      </c>
      <c r="BD77" s="233">
        <f t="shared" si="49"/>
        <v>439</v>
      </c>
      <c r="BE77" s="233">
        <f t="shared" si="49"/>
        <v>397.7</v>
      </c>
      <c r="BF77" s="233">
        <f t="shared" si="49"/>
        <v>72</v>
      </c>
      <c r="BG77" s="233">
        <f t="shared" si="49"/>
        <v>20</v>
      </c>
      <c r="BH77" s="233">
        <f t="shared" si="49"/>
        <v>95.1</v>
      </c>
      <c r="BI77" s="233">
        <f t="shared" si="49"/>
        <v>405</v>
      </c>
      <c r="BJ77" s="233">
        <f t="shared" si="49"/>
        <v>425</v>
      </c>
      <c r="BK77" s="233">
        <f t="shared" si="49"/>
        <v>430</v>
      </c>
      <c r="BL77" s="233">
        <f t="shared" si="49"/>
        <v>421</v>
      </c>
      <c r="BM77" s="233">
        <f t="shared" si="49"/>
        <v>511.4</v>
      </c>
      <c r="BN77" s="233">
        <f t="shared" si="49"/>
        <v>480</v>
      </c>
      <c r="BO77" s="233">
        <f t="shared" si="49"/>
        <v>505.1</v>
      </c>
      <c r="BP77" s="233">
        <f t="shared" si="49"/>
        <v>479.1</v>
      </c>
      <c r="BQ77" s="233">
        <f t="shared" si="49"/>
        <v>481.1</v>
      </c>
      <c r="BR77" s="233">
        <f t="shared" si="49"/>
        <v>229</v>
      </c>
      <c r="BS77" s="233">
        <f t="shared" si="49"/>
        <v>94</v>
      </c>
      <c r="BT77" s="233">
        <f t="shared" si="49"/>
        <v>306</v>
      </c>
      <c r="BU77" s="233">
        <f t="shared" si="49"/>
        <v>366</v>
      </c>
      <c r="BV77" s="233">
        <f t="shared" si="49"/>
        <v>380</v>
      </c>
      <c r="BW77" s="233">
        <f t="shared" si="49"/>
        <v>397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>
        <v>16.2</v>
      </c>
      <c r="O78" s="65">
        <v>0</v>
      </c>
      <c r="P78" s="65"/>
      <c r="Q78" s="65"/>
      <c r="R78" s="65"/>
      <c r="S78" s="65"/>
      <c r="T78" s="65"/>
      <c r="U78" s="65"/>
      <c r="V78" s="65"/>
      <c r="W78" s="65">
        <v>28</v>
      </c>
      <c r="X78" s="65">
        <v>28</v>
      </c>
      <c r="Y78" s="65">
        <v>28</v>
      </c>
      <c r="Z78" s="65">
        <v>28</v>
      </c>
      <c r="AA78" s="65">
        <v>28</v>
      </c>
      <c r="AB78" s="65">
        <v>0</v>
      </c>
      <c r="AC78" s="65">
        <v>0</v>
      </c>
      <c r="AD78" s="65">
        <v>0</v>
      </c>
      <c r="AE78" s="65"/>
      <c r="AF78" s="65"/>
      <c r="AG78" s="55">
        <v>32</v>
      </c>
      <c r="AH78" s="47">
        <f t="shared" si="8"/>
        <v>28</v>
      </c>
      <c r="AI78" s="48">
        <f t="shared" si="9"/>
        <v>0</v>
      </c>
      <c r="AK78" s="50"/>
      <c r="AZ78" s="233">
        <f t="shared" si="49"/>
        <v>52</v>
      </c>
      <c r="BA78" s="233">
        <f t="shared" si="49"/>
        <v>50</v>
      </c>
      <c r="BB78" s="233">
        <f t="shared" si="49"/>
        <v>3</v>
      </c>
      <c r="BC78" s="233">
        <f t="shared" si="49"/>
        <v>0</v>
      </c>
      <c r="BD78" s="233">
        <f t="shared" si="49"/>
        <v>0</v>
      </c>
      <c r="BE78" s="233">
        <f t="shared" si="49"/>
        <v>0</v>
      </c>
      <c r="BF78" s="233">
        <f t="shared" si="49"/>
        <v>0</v>
      </c>
      <c r="BG78" s="233">
        <f t="shared" si="49"/>
        <v>0</v>
      </c>
      <c r="BH78" s="233">
        <f t="shared" si="49"/>
        <v>24</v>
      </c>
      <c r="BI78" s="233">
        <f t="shared" si="49"/>
        <v>0</v>
      </c>
      <c r="BJ78" s="233">
        <f t="shared" si="49"/>
        <v>0</v>
      </c>
      <c r="BK78" s="233">
        <f t="shared" si="49"/>
        <v>40</v>
      </c>
      <c r="BL78" s="233">
        <f t="shared" si="49"/>
        <v>35</v>
      </c>
      <c r="BM78" s="233">
        <f t="shared" si="49"/>
        <v>37.200000000000003</v>
      </c>
      <c r="BN78" s="233">
        <f t="shared" si="49"/>
        <v>40.700000000000003</v>
      </c>
      <c r="BO78" s="233">
        <f t="shared" si="49"/>
        <v>41.6</v>
      </c>
      <c r="BP78" s="233">
        <f t="shared" si="49"/>
        <v>34.299999999999997</v>
      </c>
      <c r="BQ78" s="233">
        <f t="shared" si="49"/>
        <v>2.2999999999999998</v>
      </c>
      <c r="BR78" s="233">
        <f t="shared" si="49"/>
        <v>3.7</v>
      </c>
      <c r="BS78" s="233">
        <f t="shared" si="49"/>
        <v>3.4</v>
      </c>
      <c r="BT78" s="233">
        <f t="shared" si="49"/>
        <v>51.6</v>
      </c>
      <c r="BU78" s="233">
        <f t="shared" si="49"/>
        <v>48.2</v>
      </c>
      <c r="BV78" s="233">
        <f t="shared" si="49"/>
        <v>51</v>
      </c>
      <c r="BW78" s="233">
        <f t="shared" si="49"/>
        <v>55.5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>
        <v>5.9</v>
      </c>
      <c r="O79" s="67">
        <v>0</v>
      </c>
      <c r="P79" s="67"/>
      <c r="Q79" s="67"/>
      <c r="R79" s="67"/>
      <c r="S79" s="67"/>
      <c r="T79" s="67"/>
      <c r="U79" s="67"/>
      <c r="V79" s="67"/>
      <c r="W79" s="67">
        <v>10.199999999999999</v>
      </c>
      <c r="X79" s="67">
        <v>10.199999999999999</v>
      </c>
      <c r="Y79" s="67">
        <v>10.199999999999999</v>
      </c>
      <c r="Z79" s="67">
        <v>10.199999999999999</v>
      </c>
      <c r="AA79" s="67">
        <v>10.199999999999999</v>
      </c>
      <c r="AB79" s="67">
        <v>0</v>
      </c>
      <c r="AC79" s="67">
        <v>0</v>
      </c>
      <c r="AD79" s="67">
        <v>0</v>
      </c>
      <c r="AE79" s="67"/>
      <c r="AF79" s="67"/>
      <c r="AG79" s="68">
        <v>14</v>
      </c>
      <c r="AH79" s="47">
        <f t="shared" si="8"/>
        <v>10.199999999999999</v>
      </c>
      <c r="AI79" s="48">
        <f t="shared" si="9"/>
        <v>0</v>
      </c>
      <c r="AK79" s="50"/>
      <c r="AZ79" s="233">
        <f t="shared" si="49"/>
        <v>102</v>
      </c>
      <c r="BA79" s="233">
        <f t="shared" si="49"/>
        <v>106</v>
      </c>
      <c r="BB79" s="233">
        <f t="shared" si="49"/>
        <v>120</v>
      </c>
      <c r="BC79" s="233">
        <f t="shared" si="49"/>
        <v>110</v>
      </c>
      <c r="BD79" s="233">
        <f t="shared" si="49"/>
        <v>110</v>
      </c>
      <c r="BE79" s="233">
        <f t="shared" si="49"/>
        <v>108</v>
      </c>
      <c r="BF79" s="233">
        <f t="shared" si="49"/>
        <v>70</v>
      </c>
      <c r="BG79" s="233">
        <f t="shared" si="49"/>
        <v>0</v>
      </c>
      <c r="BH79" s="233">
        <f t="shared" si="49"/>
        <v>44</v>
      </c>
      <c r="BI79" s="233">
        <f t="shared" si="49"/>
        <v>0</v>
      </c>
      <c r="BJ79" s="233">
        <f t="shared" si="49"/>
        <v>40</v>
      </c>
      <c r="BK79" s="233">
        <f t="shared" si="49"/>
        <v>88</v>
      </c>
      <c r="BL79" s="233">
        <f t="shared" si="49"/>
        <v>76</v>
      </c>
      <c r="BM79" s="233">
        <f t="shared" si="49"/>
        <v>63.8</v>
      </c>
      <c r="BN79" s="233">
        <f t="shared" si="49"/>
        <v>81</v>
      </c>
      <c r="BO79" s="233">
        <f t="shared" si="49"/>
        <v>80</v>
      </c>
      <c r="BP79" s="233">
        <f t="shared" si="49"/>
        <v>73.599999999999994</v>
      </c>
      <c r="BQ79" s="233">
        <f t="shared" si="49"/>
        <v>0</v>
      </c>
      <c r="BR79" s="233">
        <f t="shared" si="49"/>
        <v>0</v>
      </c>
      <c r="BS79" s="233">
        <f t="shared" si="49"/>
        <v>108</v>
      </c>
      <c r="BT79" s="233">
        <f t="shared" si="49"/>
        <v>100</v>
      </c>
      <c r="BU79" s="233">
        <f t="shared" si="49"/>
        <v>100</v>
      </c>
      <c r="BV79" s="233">
        <f t="shared" si="49"/>
        <v>53.8</v>
      </c>
      <c r="BW79" s="233">
        <f t="shared" si="49"/>
        <v>107</v>
      </c>
    </row>
    <row r="80" spans="1:75" ht="15.75" thickBot="1" x14ac:dyDescent="0.3">
      <c r="A80" s="74" t="s">
        <v>80</v>
      </c>
      <c r="B80" s="60">
        <f t="shared" ref="B80:AF80" si="50">B77+B78+B79</f>
        <v>0</v>
      </c>
      <c r="C80" s="60">
        <f t="shared" si="50"/>
        <v>0</v>
      </c>
      <c r="D80" s="60">
        <f t="shared" si="50"/>
        <v>0</v>
      </c>
      <c r="E80" s="60">
        <f t="shared" si="50"/>
        <v>0</v>
      </c>
      <c r="F80" s="60">
        <f t="shared" si="50"/>
        <v>0</v>
      </c>
      <c r="G80" s="60">
        <f t="shared" si="50"/>
        <v>0</v>
      </c>
      <c r="H80" s="60">
        <f t="shared" si="50"/>
        <v>0</v>
      </c>
      <c r="I80" s="60">
        <f t="shared" si="50"/>
        <v>0</v>
      </c>
      <c r="J80" s="60">
        <f t="shared" si="50"/>
        <v>0</v>
      </c>
      <c r="K80" s="60">
        <f t="shared" si="50"/>
        <v>0</v>
      </c>
      <c r="L80" s="60">
        <f t="shared" si="50"/>
        <v>0</v>
      </c>
      <c r="M80" s="60">
        <f t="shared" si="50"/>
        <v>0</v>
      </c>
      <c r="N80" s="60">
        <f t="shared" si="50"/>
        <v>72.100000000000009</v>
      </c>
      <c r="O80" s="60">
        <f t="shared" si="50"/>
        <v>0</v>
      </c>
      <c r="P80" s="60">
        <f t="shared" si="50"/>
        <v>0</v>
      </c>
      <c r="Q80" s="60">
        <f t="shared" si="50"/>
        <v>0</v>
      </c>
      <c r="R80" s="60">
        <f t="shared" si="50"/>
        <v>0</v>
      </c>
      <c r="S80" s="60">
        <f t="shared" ref="S80:T80" si="51">S77+S78+S79</f>
        <v>0</v>
      </c>
      <c r="T80" s="60">
        <f t="shared" si="51"/>
        <v>0</v>
      </c>
      <c r="U80" s="60">
        <f t="shared" si="50"/>
        <v>0</v>
      </c>
      <c r="V80" s="60">
        <f t="shared" ref="V80:W80" si="52">V77+V78+V79</f>
        <v>0</v>
      </c>
      <c r="W80" s="60">
        <f t="shared" si="52"/>
        <v>98.2</v>
      </c>
      <c r="X80" s="60">
        <f t="shared" ref="X80:Z80" si="53">X77+X78+X79</f>
        <v>98.2</v>
      </c>
      <c r="Y80" s="60">
        <f t="shared" si="53"/>
        <v>98.2</v>
      </c>
      <c r="Z80" s="60">
        <f t="shared" si="53"/>
        <v>98.2</v>
      </c>
      <c r="AA80" s="60">
        <f t="shared" ref="AA80" si="54">AA77+AA78+AA79</f>
        <v>98.2</v>
      </c>
      <c r="AB80" s="60">
        <f t="shared" si="50"/>
        <v>0</v>
      </c>
      <c r="AC80" s="60">
        <f t="shared" si="50"/>
        <v>0</v>
      </c>
      <c r="AD80" s="60">
        <f t="shared" si="50"/>
        <v>0</v>
      </c>
      <c r="AE80" s="60">
        <f t="shared" si="50"/>
        <v>0</v>
      </c>
      <c r="AF80" s="60">
        <f t="shared" si="50"/>
        <v>0</v>
      </c>
      <c r="AG80" s="61">
        <f>SUM(AG77:AG79)</f>
        <v>106</v>
      </c>
      <c r="AH80" s="47">
        <f t="shared" si="8"/>
        <v>98.2</v>
      </c>
      <c r="AI80" s="48">
        <f t="shared" si="9"/>
        <v>0</v>
      </c>
      <c r="AK80" s="50"/>
      <c r="AZ80" s="233">
        <f t="shared" si="49"/>
        <v>51</v>
      </c>
      <c r="BA80" s="233">
        <f t="shared" si="49"/>
        <v>53.8</v>
      </c>
      <c r="BB80" s="233">
        <f t="shared" si="49"/>
        <v>50.4</v>
      </c>
      <c r="BC80" s="233">
        <f t="shared" si="49"/>
        <v>49.9</v>
      </c>
      <c r="BD80" s="233">
        <f t="shared" si="49"/>
        <v>46</v>
      </c>
      <c r="BE80" s="233">
        <f t="shared" si="49"/>
        <v>50.3</v>
      </c>
      <c r="BF80" s="233">
        <f t="shared" si="49"/>
        <v>78</v>
      </c>
      <c r="BG80" s="233">
        <f t="shared" si="49"/>
        <v>75</v>
      </c>
      <c r="BH80" s="233">
        <f t="shared" si="49"/>
        <v>71</v>
      </c>
      <c r="BI80" s="233">
        <f t="shared" si="49"/>
        <v>69</v>
      </c>
      <c r="BJ80" s="233">
        <f t="shared" si="49"/>
        <v>74</v>
      </c>
      <c r="BK80" s="233">
        <f t="shared" si="49"/>
        <v>71</v>
      </c>
      <c r="BL80" s="233">
        <f t="shared" si="49"/>
        <v>67</v>
      </c>
      <c r="BM80" s="233">
        <f t="shared" si="49"/>
        <v>61.8</v>
      </c>
      <c r="BN80" s="233">
        <f t="shared" si="49"/>
        <v>58.2</v>
      </c>
      <c r="BO80" s="233">
        <f t="shared" si="49"/>
        <v>68.5</v>
      </c>
      <c r="BP80" s="233">
        <f t="shared" si="49"/>
        <v>64.900000000000006</v>
      </c>
      <c r="BQ80" s="233">
        <f t="shared" si="49"/>
        <v>75.900000000000006</v>
      </c>
      <c r="BR80" s="233">
        <f t="shared" si="49"/>
        <v>71.8</v>
      </c>
      <c r="BS80" s="233">
        <f t="shared" si="49"/>
        <v>65.2</v>
      </c>
      <c r="BT80" s="233">
        <f t="shared" si="49"/>
        <v>68</v>
      </c>
      <c r="BU80" s="233">
        <f t="shared" si="49"/>
        <v>69</v>
      </c>
      <c r="BV80" s="233">
        <f t="shared" si="49"/>
        <v>67.5</v>
      </c>
      <c r="BW80" s="233">
        <f t="shared" si="49"/>
        <v>58</v>
      </c>
    </row>
    <row r="81" spans="1:64" x14ac:dyDescent="0.25">
      <c r="A81" s="44" t="s">
        <v>81</v>
      </c>
      <c r="B81" s="45">
        <v>66.5</v>
      </c>
      <c r="C81" s="45">
        <v>57.9</v>
      </c>
      <c r="D81" s="45">
        <v>55</v>
      </c>
      <c r="E81" s="45">
        <v>54</v>
      </c>
      <c r="F81" s="45">
        <v>52</v>
      </c>
      <c r="G81" s="45">
        <v>55.4</v>
      </c>
      <c r="H81" s="45">
        <v>63.8</v>
      </c>
      <c r="I81" s="45">
        <v>64</v>
      </c>
      <c r="J81" s="45">
        <v>47</v>
      </c>
      <c r="K81" s="45">
        <v>53</v>
      </c>
      <c r="L81" s="45">
        <v>54.3</v>
      </c>
      <c r="M81" s="45">
        <v>60</v>
      </c>
      <c r="N81" s="45">
        <v>63.3</v>
      </c>
      <c r="O81" s="45">
        <v>62.8</v>
      </c>
      <c r="P81" s="45">
        <v>51.8</v>
      </c>
      <c r="Q81" s="45">
        <v>45.8</v>
      </c>
      <c r="R81" s="45">
        <v>48</v>
      </c>
      <c r="S81" s="45">
        <v>53</v>
      </c>
      <c r="T81" s="45">
        <v>55.8</v>
      </c>
      <c r="U81" s="45">
        <v>54.4</v>
      </c>
      <c r="V81" s="45">
        <v>65.3</v>
      </c>
      <c r="W81" s="45">
        <v>56.3</v>
      </c>
      <c r="X81" s="45">
        <v>34.299999999999997</v>
      </c>
      <c r="Y81" s="45">
        <v>52.2</v>
      </c>
      <c r="Z81" s="45">
        <v>57.6</v>
      </c>
      <c r="AA81" s="45">
        <v>68.5</v>
      </c>
      <c r="AB81" s="45">
        <v>58</v>
      </c>
      <c r="AC81" s="45">
        <v>56.5</v>
      </c>
      <c r="AD81" s="45">
        <v>61.6</v>
      </c>
      <c r="AE81" s="45">
        <v>56.4</v>
      </c>
      <c r="AF81" s="45">
        <v>61</v>
      </c>
      <c r="AG81" s="52"/>
      <c r="AH81" s="47">
        <f t="shared" si="8"/>
        <v>68.5</v>
      </c>
      <c r="AI81" s="48">
        <f t="shared" si="9"/>
        <v>34.299999999999997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18" si="55">MAX(B82:AF82)</f>
        <v>0</v>
      </c>
      <c r="AI82" s="48">
        <f t="shared" ref="AI82:AI118" si="56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397</v>
      </c>
      <c r="C83" s="65">
        <v>383.8</v>
      </c>
      <c r="D83" s="65">
        <v>400</v>
      </c>
      <c r="E83" s="65">
        <v>427</v>
      </c>
      <c r="F83" s="65">
        <v>411</v>
      </c>
      <c r="G83" s="65">
        <v>439</v>
      </c>
      <c r="H83" s="65">
        <v>459</v>
      </c>
      <c r="I83" s="65">
        <v>397.7</v>
      </c>
      <c r="J83" s="65">
        <v>415</v>
      </c>
      <c r="K83" s="65">
        <v>72</v>
      </c>
      <c r="L83" s="65">
        <v>4</v>
      </c>
      <c r="M83" s="65">
        <v>20</v>
      </c>
      <c r="N83" s="65">
        <v>95.1</v>
      </c>
      <c r="O83" s="65">
        <v>405</v>
      </c>
      <c r="P83" s="65">
        <v>425</v>
      </c>
      <c r="Q83" s="65">
        <v>430</v>
      </c>
      <c r="R83" s="65">
        <v>421</v>
      </c>
      <c r="S83" s="65">
        <v>511.4</v>
      </c>
      <c r="T83" s="65">
        <v>480</v>
      </c>
      <c r="U83" s="65">
        <v>505.1</v>
      </c>
      <c r="V83" s="65">
        <v>479.1</v>
      </c>
      <c r="W83" s="65">
        <v>477.3</v>
      </c>
      <c r="X83" s="65">
        <v>481.1</v>
      </c>
      <c r="Y83" s="65">
        <v>394.6</v>
      </c>
      <c r="Z83" s="65">
        <v>229</v>
      </c>
      <c r="AA83" s="65">
        <v>95.1</v>
      </c>
      <c r="AB83" s="65">
        <v>94</v>
      </c>
      <c r="AC83" s="65">
        <v>299</v>
      </c>
      <c r="AD83" s="65">
        <v>306</v>
      </c>
      <c r="AE83" s="65">
        <v>366</v>
      </c>
      <c r="AF83" s="65">
        <v>380</v>
      </c>
      <c r="AG83" s="75"/>
      <c r="AH83" s="47">
        <f t="shared" si="55"/>
        <v>511.4</v>
      </c>
      <c r="AI83" s="48">
        <f t="shared" si="56"/>
        <v>4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76">
        <v>55.5</v>
      </c>
      <c r="C84" s="76">
        <v>52.3</v>
      </c>
      <c r="D84" s="65">
        <v>50</v>
      </c>
      <c r="E84" s="76">
        <v>3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/>
      <c r="N84" s="76">
        <v>24</v>
      </c>
      <c r="O84" s="76">
        <v>0</v>
      </c>
      <c r="P84" s="76">
        <v>0</v>
      </c>
      <c r="Q84" s="76">
        <v>40</v>
      </c>
      <c r="R84" s="76">
        <v>35</v>
      </c>
      <c r="S84" s="76">
        <v>37.200000000000003</v>
      </c>
      <c r="T84" s="76">
        <v>40.700000000000003</v>
      </c>
      <c r="U84" s="76">
        <v>41.6</v>
      </c>
      <c r="V84" s="76">
        <v>34.299999999999997</v>
      </c>
      <c r="W84" s="76">
        <v>1.5</v>
      </c>
      <c r="X84" s="76">
        <v>2.2999999999999998</v>
      </c>
      <c r="Y84" s="76">
        <v>3.5</v>
      </c>
      <c r="Z84" s="76">
        <v>3.7</v>
      </c>
      <c r="AA84" s="76">
        <v>3.89</v>
      </c>
      <c r="AB84" s="76">
        <v>3.4</v>
      </c>
      <c r="AC84" s="76">
        <v>3.1</v>
      </c>
      <c r="AD84" s="76">
        <v>51.6</v>
      </c>
      <c r="AE84" s="76">
        <v>48.2</v>
      </c>
      <c r="AF84" s="76">
        <v>51</v>
      </c>
      <c r="AG84" s="75"/>
      <c r="AH84" s="47">
        <f t="shared" si="55"/>
        <v>55.5</v>
      </c>
      <c r="AI84" s="48">
        <f t="shared" si="56"/>
        <v>0</v>
      </c>
      <c r="AK84" s="50"/>
      <c r="AY84" s="233"/>
      <c r="BF84" s="232"/>
      <c r="BG84" s="233">
        <f t="array" ref="BG84:BL107">TRANSPOSE(AZ68:BW73)</f>
        <v>58</v>
      </c>
      <c r="BH84" s="233">
        <v>0</v>
      </c>
      <c r="BI84" s="233">
        <v>384</v>
      </c>
      <c r="BJ84" s="233">
        <v>52</v>
      </c>
      <c r="BK84" s="233">
        <v>102</v>
      </c>
      <c r="BL84" s="233">
        <v>51</v>
      </c>
    </row>
    <row r="85" spans="1:64" x14ac:dyDescent="0.25">
      <c r="A85" s="54" t="s">
        <v>85</v>
      </c>
      <c r="B85" s="45">
        <v>107</v>
      </c>
      <c r="C85" s="45">
        <v>102</v>
      </c>
      <c r="D85" s="45">
        <v>106</v>
      </c>
      <c r="E85" s="45">
        <v>120</v>
      </c>
      <c r="F85" s="45">
        <v>110</v>
      </c>
      <c r="G85" s="45">
        <v>110</v>
      </c>
      <c r="H85" s="45">
        <v>108</v>
      </c>
      <c r="I85" s="45">
        <v>108</v>
      </c>
      <c r="J85" s="45">
        <v>110</v>
      </c>
      <c r="K85" s="45">
        <v>70</v>
      </c>
      <c r="L85" s="45">
        <v>0</v>
      </c>
      <c r="M85" s="45"/>
      <c r="N85" s="45">
        <v>44</v>
      </c>
      <c r="O85" s="45">
        <v>0</v>
      </c>
      <c r="P85" s="45">
        <v>40</v>
      </c>
      <c r="Q85" s="45">
        <v>88</v>
      </c>
      <c r="R85" s="45">
        <v>76</v>
      </c>
      <c r="S85" s="45">
        <v>63.8</v>
      </c>
      <c r="T85" s="45">
        <v>81</v>
      </c>
      <c r="U85" s="45">
        <v>80</v>
      </c>
      <c r="V85" s="45">
        <v>73.599999999999994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108</v>
      </c>
      <c r="AC85" s="45">
        <f>48*2</f>
        <v>96</v>
      </c>
      <c r="AD85" s="45">
        <v>100</v>
      </c>
      <c r="AE85" s="45">
        <v>100</v>
      </c>
      <c r="AF85" s="45">
        <v>53.8</v>
      </c>
      <c r="AG85" s="75"/>
      <c r="AH85" s="47">
        <f t="shared" si="55"/>
        <v>120</v>
      </c>
      <c r="AI85" s="48">
        <f t="shared" si="56"/>
        <v>0</v>
      </c>
      <c r="AK85" s="50"/>
      <c r="AY85" s="233"/>
      <c r="BF85" s="232"/>
      <c r="BG85" s="233">
        <v>55</v>
      </c>
      <c r="BH85" s="233">
        <v>0</v>
      </c>
      <c r="BI85" s="233">
        <v>400</v>
      </c>
      <c r="BJ85" s="233">
        <v>50</v>
      </c>
      <c r="BK85" s="233">
        <v>106</v>
      </c>
      <c r="BL85" s="233">
        <v>53.8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5"/>
        <v>0</v>
      </c>
      <c r="AI86" s="48">
        <f t="shared" si="56"/>
        <v>0</v>
      </c>
      <c r="AK86" s="50"/>
      <c r="AY86" s="233"/>
      <c r="BF86" s="232"/>
      <c r="BG86" s="233">
        <v>54</v>
      </c>
      <c r="BH86" s="233">
        <v>0</v>
      </c>
      <c r="BI86" s="233">
        <v>427</v>
      </c>
      <c r="BJ86" s="233">
        <v>3</v>
      </c>
      <c r="BK86" s="233">
        <v>120</v>
      </c>
      <c r="BL86" s="233">
        <v>50.4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5"/>
        <v>0</v>
      </c>
      <c r="AI87" s="48">
        <f t="shared" si="56"/>
        <v>0</v>
      </c>
      <c r="AK87" s="50"/>
      <c r="AL87" s="78" t="s">
        <v>88</v>
      </c>
      <c r="AM87" s="78"/>
      <c r="AY87" s="233"/>
      <c r="BF87" s="233"/>
      <c r="BG87" s="233">
        <v>52</v>
      </c>
      <c r="BH87" s="233">
        <v>0</v>
      </c>
      <c r="BI87" s="233">
        <v>411</v>
      </c>
      <c r="BJ87" s="233">
        <v>0</v>
      </c>
      <c r="BK87" s="233">
        <v>110</v>
      </c>
      <c r="BL87" s="233">
        <v>49.9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5"/>
        <v>0</v>
      </c>
      <c r="AI88" s="48">
        <f t="shared" si="56"/>
        <v>0</v>
      </c>
      <c r="AK88" s="79"/>
      <c r="AL88" s="80"/>
      <c r="AM88" s="80"/>
      <c r="AN88" s="81"/>
      <c r="AY88" s="233"/>
      <c r="BF88" s="233"/>
      <c r="BG88" s="233">
        <v>55.4</v>
      </c>
      <c r="BH88" s="233">
        <v>0</v>
      </c>
      <c r="BI88" s="233">
        <v>439</v>
      </c>
      <c r="BJ88" s="233">
        <v>0</v>
      </c>
      <c r="BK88" s="233">
        <v>110</v>
      </c>
      <c r="BL88" s="233">
        <v>46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5"/>
        <v>0</v>
      </c>
      <c r="AI89" s="48">
        <f t="shared" si="56"/>
        <v>0</v>
      </c>
      <c r="AK89" s="82" t="s">
        <v>91</v>
      </c>
      <c r="AL89" s="65"/>
      <c r="AM89" s="76"/>
      <c r="AN89" s="83"/>
      <c r="AY89" s="233"/>
      <c r="BF89" s="233"/>
      <c r="BG89" s="233">
        <v>64</v>
      </c>
      <c r="BH89" s="233">
        <v>0</v>
      </c>
      <c r="BI89" s="233">
        <v>397.7</v>
      </c>
      <c r="BJ89" s="233">
        <v>0</v>
      </c>
      <c r="BK89" s="233">
        <v>108</v>
      </c>
      <c r="BL89" s="233">
        <v>50.3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5"/>
        <v>0</v>
      </c>
      <c r="AI90" s="48">
        <f t="shared" si="56"/>
        <v>0</v>
      </c>
      <c r="AK90" s="82" t="s">
        <v>93</v>
      </c>
      <c r="AL90" s="76"/>
      <c r="AM90" s="76"/>
      <c r="AN90" s="83"/>
      <c r="AY90" s="233"/>
      <c r="BF90" s="233"/>
      <c r="BG90" s="233">
        <v>53</v>
      </c>
      <c r="BH90" s="233">
        <v>0</v>
      </c>
      <c r="BI90" s="233">
        <v>72</v>
      </c>
      <c r="BJ90" s="233">
        <v>0</v>
      </c>
      <c r="BK90" s="233">
        <v>70</v>
      </c>
      <c r="BL90" s="233">
        <v>78</v>
      </c>
    </row>
    <row r="91" spans="1:64" ht="15.75" thickBot="1" x14ac:dyDescent="0.3">
      <c r="A91" s="84" t="s">
        <v>394</v>
      </c>
      <c r="B91" s="77">
        <v>58</v>
      </c>
      <c r="C91" s="77">
        <v>50.7</v>
      </c>
      <c r="D91" s="77">
        <v>53.8</v>
      </c>
      <c r="E91" s="77">
        <v>50.4</v>
      </c>
      <c r="F91" s="77">
        <v>49.9</v>
      </c>
      <c r="G91" s="77">
        <v>46</v>
      </c>
      <c r="H91" s="77">
        <v>51.5</v>
      </c>
      <c r="I91" s="77">
        <v>50.3</v>
      </c>
      <c r="J91" s="77">
        <v>80</v>
      </c>
      <c r="K91" s="77">
        <v>78</v>
      </c>
      <c r="L91" s="77">
        <v>75</v>
      </c>
      <c r="M91" s="77">
        <v>75</v>
      </c>
      <c r="N91" s="77">
        <v>71</v>
      </c>
      <c r="O91" s="77">
        <v>69</v>
      </c>
      <c r="P91" s="77">
        <v>74</v>
      </c>
      <c r="Q91" s="77">
        <v>71</v>
      </c>
      <c r="R91" s="77">
        <v>67</v>
      </c>
      <c r="S91" s="77">
        <v>61.8</v>
      </c>
      <c r="T91" s="77">
        <v>58.2</v>
      </c>
      <c r="U91" s="77">
        <v>68.5</v>
      </c>
      <c r="V91" s="77">
        <v>64.900000000000006</v>
      </c>
      <c r="W91" s="77">
        <v>71.099999999999994</v>
      </c>
      <c r="X91" s="77">
        <v>75.900000000000006</v>
      </c>
      <c r="Y91" s="77">
        <v>78.3</v>
      </c>
      <c r="Z91" s="77">
        <v>71.8</v>
      </c>
      <c r="AA91" s="77">
        <v>68.599999999999994</v>
      </c>
      <c r="AB91" s="77">
        <v>65.2</v>
      </c>
      <c r="AC91" s="77">
        <v>56</v>
      </c>
      <c r="AD91" s="77">
        <v>68</v>
      </c>
      <c r="AE91" s="77">
        <v>69</v>
      </c>
      <c r="AF91" s="77">
        <v>67.5</v>
      </c>
      <c r="AG91" s="85"/>
      <c r="AH91" s="47">
        <f t="shared" si="55"/>
        <v>80</v>
      </c>
      <c r="AI91" s="48">
        <f t="shared" si="56"/>
        <v>46</v>
      </c>
      <c r="AK91" s="86"/>
      <c r="AL91" s="45"/>
      <c r="AM91" s="45"/>
      <c r="AN91" s="87"/>
      <c r="AY91" s="233"/>
      <c r="BF91" s="233"/>
      <c r="BG91" s="233">
        <v>60</v>
      </c>
      <c r="BH91" s="233">
        <v>0</v>
      </c>
      <c r="BI91" s="233">
        <v>20</v>
      </c>
      <c r="BJ91" s="233">
        <v>0</v>
      </c>
      <c r="BK91" s="233">
        <v>0</v>
      </c>
      <c r="BL91" s="233">
        <v>75</v>
      </c>
    </row>
    <row r="92" spans="1:64" ht="15.75" thickBot="1" x14ac:dyDescent="0.3">
      <c r="A92" s="74" t="s">
        <v>94</v>
      </c>
      <c r="B92" s="60">
        <f t="shared" ref="B92:AF92" si="57">SUMIF(B81:B91,"&gt;0")</f>
        <v>684</v>
      </c>
      <c r="C92" s="60">
        <f t="shared" si="57"/>
        <v>646.70000000000005</v>
      </c>
      <c r="D92" s="60">
        <f t="shared" si="57"/>
        <v>664.8</v>
      </c>
      <c r="E92" s="60">
        <f t="shared" si="57"/>
        <v>654.4</v>
      </c>
      <c r="F92" s="60">
        <f t="shared" si="57"/>
        <v>622.9</v>
      </c>
      <c r="G92" s="60">
        <f t="shared" si="57"/>
        <v>650.4</v>
      </c>
      <c r="H92" s="60">
        <f t="shared" si="57"/>
        <v>682.3</v>
      </c>
      <c r="I92" s="60">
        <f t="shared" si="57"/>
        <v>620</v>
      </c>
      <c r="J92" s="60">
        <f t="shared" si="57"/>
        <v>652</v>
      </c>
      <c r="K92" s="60">
        <f t="shared" si="57"/>
        <v>273</v>
      </c>
      <c r="L92" s="60">
        <f t="shared" si="57"/>
        <v>133.30000000000001</v>
      </c>
      <c r="M92" s="60">
        <f t="shared" si="57"/>
        <v>155</v>
      </c>
      <c r="N92" s="60">
        <f t="shared" si="57"/>
        <v>297.39999999999998</v>
      </c>
      <c r="O92" s="60">
        <f t="shared" si="57"/>
        <v>536.79999999999995</v>
      </c>
      <c r="P92" s="60">
        <f t="shared" si="57"/>
        <v>590.79999999999995</v>
      </c>
      <c r="Q92" s="60">
        <f t="shared" si="57"/>
        <v>674.8</v>
      </c>
      <c r="R92" s="60">
        <f t="shared" si="57"/>
        <v>647</v>
      </c>
      <c r="S92" s="60">
        <f t="shared" ref="S92:T92" si="58">SUMIF(S81:S91,"&gt;0")</f>
        <v>727.19999999999993</v>
      </c>
      <c r="T92" s="60">
        <f t="shared" si="58"/>
        <v>715.7</v>
      </c>
      <c r="U92" s="60">
        <f t="shared" si="57"/>
        <v>749.6</v>
      </c>
      <c r="V92" s="60">
        <f t="shared" ref="V92:W92" si="59">SUMIF(V81:V91,"&gt;0")</f>
        <v>717.19999999999993</v>
      </c>
      <c r="W92" s="60">
        <f t="shared" si="59"/>
        <v>606.20000000000005</v>
      </c>
      <c r="X92" s="60">
        <f t="shared" ref="X92:Z92" si="60">SUMIF(X81:X91,"&gt;0")</f>
        <v>593.59999999999991</v>
      </c>
      <c r="Y92" s="60">
        <f t="shared" si="60"/>
        <v>528.6</v>
      </c>
      <c r="Z92" s="60">
        <f t="shared" si="60"/>
        <v>362.1</v>
      </c>
      <c r="AA92" s="60">
        <f t="shared" ref="AA92" si="61">SUMIF(AA81:AA91,"&gt;0")</f>
        <v>236.08999999999997</v>
      </c>
      <c r="AB92" s="60">
        <f t="shared" si="57"/>
        <v>328.59999999999997</v>
      </c>
      <c r="AC92" s="60">
        <f t="shared" si="57"/>
        <v>510.6</v>
      </c>
      <c r="AD92" s="60">
        <f t="shared" si="57"/>
        <v>587.20000000000005</v>
      </c>
      <c r="AE92" s="60">
        <f t="shared" si="57"/>
        <v>639.59999999999991</v>
      </c>
      <c r="AF92" s="60">
        <f t="shared" si="57"/>
        <v>613.29999999999995</v>
      </c>
      <c r="AG92" s="88">
        <f>SUM(AG81:AG91)</f>
        <v>0</v>
      </c>
      <c r="AH92" s="47">
        <f t="shared" si="55"/>
        <v>749.6</v>
      </c>
      <c r="AI92" s="48">
        <f t="shared" si="56"/>
        <v>133.30000000000001</v>
      </c>
      <c r="AK92" s="86"/>
      <c r="AL92" s="77"/>
      <c r="AM92" s="89"/>
      <c r="AN92" s="257"/>
      <c r="AY92" s="233"/>
      <c r="BF92" s="233"/>
      <c r="BG92" s="233">
        <v>63.3</v>
      </c>
      <c r="BH92" s="233">
        <v>0</v>
      </c>
      <c r="BI92" s="233">
        <v>95.1</v>
      </c>
      <c r="BJ92" s="233">
        <v>24</v>
      </c>
      <c r="BK92" s="233">
        <v>44</v>
      </c>
      <c r="BL92" s="233">
        <v>71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5"/>
        <v>0</v>
      </c>
      <c r="AI93" s="48">
        <f t="shared" si="56"/>
        <v>0</v>
      </c>
      <c r="AK93" s="86"/>
      <c r="AL93" s="77"/>
      <c r="AM93" s="77"/>
      <c r="AN93" s="258"/>
      <c r="BF93" s="233"/>
      <c r="BG93" s="233">
        <v>62.8</v>
      </c>
      <c r="BH93" s="233">
        <v>0</v>
      </c>
      <c r="BI93" s="233">
        <v>405</v>
      </c>
      <c r="BJ93" s="233">
        <v>0</v>
      </c>
      <c r="BK93" s="233">
        <v>0</v>
      </c>
      <c r="BL93" s="233">
        <v>69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5"/>
        <v>0</v>
      </c>
      <c r="AI94" s="48">
        <f t="shared" si="56"/>
        <v>0</v>
      </c>
      <c r="AK94" s="91"/>
      <c r="AL94" s="92"/>
      <c r="AM94" s="92"/>
      <c r="AN94" s="93"/>
      <c r="BF94" s="233"/>
      <c r="BG94" s="233">
        <v>51.8</v>
      </c>
      <c r="BH94" s="233">
        <v>0</v>
      </c>
      <c r="BI94" s="233">
        <v>425</v>
      </c>
      <c r="BJ94" s="233">
        <v>0</v>
      </c>
      <c r="BK94" s="233">
        <v>40</v>
      </c>
      <c r="BL94" s="233">
        <v>74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5"/>
        <v>0</v>
      </c>
      <c r="AI95" s="48">
        <f t="shared" si="56"/>
        <v>0</v>
      </c>
      <c r="BF95" s="233"/>
      <c r="BG95" s="233">
        <v>45.8</v>
      </c>
      <c r="BH95" s="233">
        <v>0</v>
      </c>
      <c r="BI95" s="233">
        <v>430</v>
      </c>
      <c r="BJ95" s="233">
        <v>40</v>
      </c>
      <c r="BK95" s="233">
        <v>88</v>
      </c>
      <c r="BL95" s="233">
        <v>71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5"/>
        <v>0</v>
      </c>
      <c r="AI96" s="48">
        <f t="shared" si="56"/>
        <v>0</v>
      </c>
      <c r="BF96" s="233"/>
      <c r="BG96" s="233">
        <v>48</v>
      </c>
      <c r="BH96" s="233">
        <v>0</v>
      </c>
      <c r="BI96" s="233">
        <v>421</v>
      </c>
      <c r="BJ96" s="233">
        <v>35</v>
      </c>
      <c r="BK96" s="233">
        <v>76</v>
      </c>
      <c r="BL96" s="233">
        <v>67</v>
      </c>
    </row>
    <row r="97" spans="1:64" ht="15.75" thickBot="1" x14ac:dyDescent="0.3">
      <c r="A97" s="74" t="s">
        <v>99</v>
      </c>
      <c r="B97" s="95">
        <f t="shared" ref="B97:AG97" si="62">B58+B62+B80+B76+B92+B96</f>
        <v>1258.29</v>
      </c>
      <c r="C97" s="95">
        <f t="shared" si="62"/>
        <v>1220.9900000000002</v>
      </c>
      <c r="D97" s="95">
        <f t="shared" si="62"/>
        <v>1239.0900000000001</v>
      </c>
      <c r="E97" s="95">
        <f t="shared" si="62"/>
        <v>1228.69</v>
      </c>
      <c r="F97" s="95">
        <f t="shared" si="62"/>
        <v>1222.19</v>
      </c>
      <c r="G97" s="95">
        <f t="shared" si="62"/>
        <v>1262.5900000000001</v>
      </c>
      <c r="H97" s="95">
        <f t="shared" si="62"/>
        <v>1351.3899999999999</v>
      </c>
      <c r="I97" s="95">
        <f t="shared" si="62"/>
        <v>1458.19</v>
      </c>
      <c r="J97" s="95">
        <f t="shared" si="62"/>
        <v>1528.99</v>
      </c>
      <c r="K97" s="95">
        <f t="shared" si="62"/>
        <v>1437.29</v>
      </c>
      <c r="L97" s="95">
        <f t="shared" si="62"/>
        <v>1402.69</v>
      </c>
      <c r="M97" s="95">
        <f t="shared" si="62"/>
        <v>1424.39</v>
      </c>
      <c r="N97" s="95">
        <f t="shared" si="62"/>
        <v>1301.3899999999999</v>
      </c>
      <c r="O97" s="95">
        <f t="shared" si="62"/>
        <v>1304.79</v>
      </c>
      <c r="P97" s="95">
        <f t="shared" si="62"/>
        <v>1342.49</v>
      </c>
      <c r="Q97" s="95">
        <f t="shared" si="62"/>
        <v>1353.3899999999999</v>
      </c>
      <c r="R97" s="95">
        <f t="shared" si="62"/>
        <v>1290.19</v>
      </c>
      <c r="S97" s="95">
        <f t="shared" ref="S97:T97" si="63">S58+S62+S80+S76+S92+S96</f>
        <v>1310.9899999999998</v>
      </c>
      <c r="T97" s="95">
        <f t="shared" si="63"/>
        <v>1288.5900000000001</v>
      </c>
      <c r="U97" s="95">
        <f t="shared" si="62"/>
        <v>1330.5900000000001</v>
      </c>
      <c r="V97" s="95">
        <f t="shared" ref="V97:W97" si="64">V58+V62+V80+V76+V92+V96</f>
        <v>1311.69</v>
      </c>
      <c r="W97" s="95">
        <f t="shared" si="64"/>
        <v>1308.19</v>
      </c>
      <c r="X97" s="95">
        <f t="shared" ref="X97:Z97" si="65">X58+X62+X80+X76+X92+X96</f>
        <v>1378.6899999999998</v>
      </c>
      <c r="Y97" s="95">
        <f t="shared" si="65"/>
        <v>1538.4900000000002</v>
      </c>
      <c r="Z97" s="95">
        <f t="shared" si="65"/>
        <v>1550.4900000000002</v>
      </c>
      <c r="AA97" s="95">
        <f t="shared" ref="AA97" si="66">AA58+AA62+AA80+AA76+AA92+AA96</f>
        <v>1509.28</v>
      </c>
      <c r="AB97" s="95">
        <f t="shared" si="62"/>
        <v>1400.59</v>
      </c>
      <c r="AC97" s="95">
        <f t="shared" si="62"/>
        <v>1369.29</v>
      </c>
      <c r="AD97" s="95">
        <f t="shared" si="62"/>
        <v>1354.9899999999998</v>
      </c>
      <c r="AE97" s="95">
        <f t="shared" si="62"/>
        <v>1395.2899999999997</v>
      </c>
      <c r="AF97" s="95">
        <f t="shared" si="62"/>
        <v>1164.19</v>
      </c>
      <c r="AG97" s="61">
        <f t="shared" si="62"/>
        <v>2231.81</v>
      </c>
      <c r="AH97" s="47">
        <f t="shared" si="55"/>
        <v>1550.4900000000002</v>
      </c>
      <c r="AI97" s="48">
        <f t="shared" si="56"/>
        <v>1164.19</v>
      </c>
      <c r="BF97" s="233"/>
      <c r="BG97" s="233">
        <v>53</v>
      </c>
      <c r="BH97" s="233">
        <v>0</v>
      </c>
      <c r="BI97" s="233">
        <v>511.4</v>
      </c>
      <c r="BJ97" s="233">
        <v>37.200000000000003</v>
      </c>
      <c r="BK97" s="233">
        <v>63.8</v>
      </c>
      <c r="BL97" s="233">
        <v>61.8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150</v>
      </c>
      <c r="L98" s="97">
        <v>250</v>
      </c>
      <c r="M98" s="97">
        <v>260</v>
      </c>
      <c r="N98" s="97">
        <v>260</v>
      </c>
      <c r="O98" s="97">
        <v>260</v>
      </c>
      <c r="P98" s="97"/>
      <c r="Q98" s="97"/>
      <c r="R98" s="97"/>
      <c r="S98" s="97"/>
      <c r="T98" s="97"/>
      <c r="U98" s="97"/>
      <c r="V98" s="97">
        <v>100</v>
      </c>
      <c r="W98" s="97">
        <v>100</v>
      </c>
      <c r="X98" s="97">
        <v>100</v>
      </c>
      <c r="Y98" s="97">
        <v>100</v>
      </c>
      <c r="Z98" s="97">
        <v>100</v>
      </c>
      <c r="AA98" s="97">
        <v>100</v>
      </c>
      <c r="AB98" s="97">
        <v>100</v>
      </c>
      <c r="AC98" s="97"/>
      <c r="AD98" s="97"/>
      <c r="AE98" s="97"/>
      <c r="AF98" s="97"/>
      <c r="AG98" s="88"/>
      <c r="AH98" s="47">
        <f t="shared" si="55"/>
        <v>260</v>
      </c>
      <c r="AI98" s="48">
        <f t="shared" si="56"/>
        <v>100</v>
      </c>
      <c r="BF98" s="233"/>
      <c r="BG98" s="233">
        <v>55.8</v>
      </c>
      <c r="BH98" s="233">
        <v>0</v>
      </c>
      <c r="BI98" s="233">
        <v>480</v>
      </c>
      <c r="BJ98" s="233">
        <v>40.700000000000003</v>
      </c>
      <c r="BK98" s="233">
        <v>81</v>
      </c>
      <c r="BL98" s="233">
        <v>58.2</v>
      </c>
    </row>
    <row r="99" spans="1:64" ht="15.75" thickBot="1" x14ac:dyDescent="0.3">
      <c r="A99" s="74" t="s">
        <v>101</v>
      </c>
      <c r="B99" s="95">
        <f t="shared" ref="B99:AF99" si="67">B97+B98</f>
        <v>1258.29</v>
      </c>
      <c r="C99" s="95">
        <f t="shared" si="67"/>
        <v>1220.9900000000002</v>
      </c>
      <c r="D99" s="95">
        <f t="shared" si="67"/>
        <v>1239.0900000000001</v>
      </c>
      <c r="E99" s="95">
        <f t="shared" si="67"/>
        <v>1228.69</v>
      </c>
      <c r="F99" s="95">
        <f t="shared" si="67"/>
        <v>1222.19</v>
      </c>
      <c r="G99" s="95">
        <f t="shared" si="67"/>
        <v>1262.5900000000001</v>
      </c>
      <c r="H99" s="95">
        <f t="shared" si="67"/>
        <v>1351.3899999999999</v>
      </c>
      <c r="I99" s="95">
        <f t="shared" si="67"/>
        <v>1458.19</v>
      </c>
      <c r="J99" s="95">
        <f t="shared" si="67"/>
        <v>1528.99</v>
      </c>
      <c r="K99" s="95">
        <f t="shared" si="67"/>
        <v>1587.29</v>
      </c>
      <c r="L99" s="95">
        <f t="shared" si="67"/>
        <v>1652.69</v>
      </c>
      <c r="M99" s="95">
        <f t="shared" si="67"/>
        <v>1684.39</v>
      </c>
      <c r="N99" s="95">
        <f t="shared" si="67"/>
        <v>1561.3899999999999</v>
      </c>
      <c r="O99" s="95">
        <f t="shared" si="67"/>
        <v>1564.79</v>
      </c>
      <c r="P99" s="95">
        <f t="shared" si="67"/>
        <v>1342.49</v>
      </c>
      <c r="Q99" s="95">
        <f t="shared" si="67"/>
        <v>1353.3899999999999</v>
      </c>
      <c r="R99" s="95">
        <f t="shared" si="67"/>
        <v>1290.19</v>
      </c>
      <c r="S99" s="95">
        <f t="shared" ref="S99:T99" si="68">S97+S98</f>
        <v>1310.9899999999998</v>
      </c>
      <c r="T99" s="95">
        <f t="shared" si="68"/>
        <v>1288.5900000000001</v>
      </c>
      <c r="U99" s="95">
        <f t="shared" si="67"/>
        <v>1330.5900000000001</v>
      </c>
      <c r="V99" s="95">
        <f t="shared" ref="V99:W99" si="69">V97+V98</f>
        <v>1411.69</v>
      </c>
      <c r="W99" s="95">
        <f t="shared" si="69"/>
        <v>1408.19</v>
      </c>
      <c r="X99" s="95">
        <f t="shared" ref="X99:Z99" si="70">X97+X98</f>
        <v>1478.6899999999998</v>
      </c>
      <c r="Y99" s="95">
        <f t="shared" si="70"/>
        <v>1638.4900000000002</v>
      </c>
      <c r="Z99" s="95">
        <f t="shared" si="70"/>
        <v>1650.4900000000002</v>
      </c>
      <c r="AA99" s="95">
        <f t="shared" ref="AA99" si="71">AA97+AA98</f>
        <v>1609.28</v>
      </c>
      <c r="AB99" s="95">
        <f t="shared" si="67"/>
        <v>1500.59</v>
      </c>
      <c r="AC99" s="95">
        <f t="shared" si="67"/>
        <v>1369.29</v>
      </c>
      <c r="AD99" s="95">
        <f t="shared" si="67"/>
        <v>1354.9899999999998</v>
      </c>
      <c r="AE99" s="95">
        <f t="shared" si="67"/>
        <v>1395.2899999999997</v>
      </c>
      <c r="AF99" s="95">
        <f t="shared" si="67"/>
        <v>1164.19</v>
      </c>
      <c r="AG99" s="88">
        <f>AG96+AG92+AG80+AG76+AG58+AG98</f>
        <v>1693.71</v>
      </c>
      <c r="AH99" s="47">
        <f t="shared" si="55"/>
        <v>1684.39</v>
      </c>
      <c r="AI99" s="48">
        <f t="shared" si="56"/>
        <v>1164.19</v>
      </c>
      <c r="BF99" s="233"/>
      <c r="BG99" s="233">
        <v>54.4</v>
      </c>
      <c r="BH99" s="233">
        <v>0</v>
      </c>
      <c r="BI99" s="233">
        <v>505.1</v>
      </c>
      <c r="BJ99" s="233">
        <v>41.6</v>
      </c>
      <c r="BK99" s="233">
        <v>80</v>
      </c>
      <c r="BL99" s="233">
        <v>68.5</v>
      </c>
    </row>
    <row r="100" spans="1:64" ht="15.75" thickBot="1" x14ac:dyDescent="0.3">
      <c r="A100" s="74" t="s">
        <v>102</v>
      </c>
      <c r="B100" s="95">
        <f t="shared" ref="B100:M100" si="72">B99-(B107)</f>
        <v>1258.29</v>
      </c>
      <c r="C100" s="95">
        <f t="shared" si="72"/>
        <v>1220.9900000000002</v>
      </c>
      <c r="D100" s="95">
        <f t="shared" si="72"/>
        <v>1239.0900000000001</v>
      </c>
      <c r="E100" s="95">
        <f t="shared" si="72"/>
        <v>1228.69</v>
      </c>
      <c r="F100" s="95">
        <f t="shared" si="72"/>
        <v>1222.19</v>
      </c>
      <c r="G100" s="95">
        <f t="shared" si="72"/>
        <v>1262.5900000000001</v>
      </c>
      <c r="H100" s="95">
        <f t="shared" si="72"/>
        <v>1351.3899999999999</v>
      </c>
      <c r="I100" s="95">
        <f t="shared" si="72"/>
        <v>1458.19</v>
      </c>
      <c r="J100" s="95">
        <f t="shared" si="72"/>
        <v>1528.99</v>
      </c>
      <c r="K100" s="95">
        <f t="shared" si="72"/>
        <v>1587.29</v>
      </c>
      <c r="L100" s="95">
        <f t="shared" si="72"/>
        <v>1652.69</v>
      </c>
      <c r="M100" s="95">
        <f t="shared" si="72"/>
        <v>1684.39</v>
      </c>
      <c r="N100" s="95">
        <f>N99-(N107)</f>
        <v>1561.3899999999999</v>
      </c>
      <c r="O100" s="95">
        <f t="shared" ref="O100:AF100" si="73">O99-(O107)</f>
        <v>1564.79</v>
      </c>
      <c r="P100" s="95">
        <f t="shared" si="73"/>
        <v>1342.49</v>
      </c>
      <c r="Q100" s="95">
        <f t="shared" si="73"/>
        <v>1353.3899999999999</v>
      </c>
      <c r="R100" s="95">
        <f t="shared" si="73"/>
        <v>1290.19</v>
      </c>
      <c r="S100" s="95">
        <f t="shared" ref="S100:T100" si="74">S99-(S107)</f>
        <v>1310.9899999999998</v>
      </c>
      <c r="T100" s="95">
        <f t="shared" si="74"/>
        <v>1288.5900000000001</v>
      </c>
      <c r="U100" s="95">
        <f t="shared" si="73"/>
        <v>1330.5900000000001</v>
      </c>
      <c r="V100" s="95">
        <f t="shared" ref="V100:W100" si="75">V99-(V107)</f>
        <v>1411.69</v>
      </c>
      <c r="W100" s="95">
        <f t="shared" si="75"/>
        <v>1408.19</v>
      </c>
      <c r="X100" s="95">
        <f t="shared" ref="X100:Z100" si="76">X99-(X107)</f>
        <v>1478.6899999999998</v>
      </c>
      <c r="Y100" s="95">
        <f t="shared" si="76"/>
        <v>1638.4900000000002</v>
      </c>
      <c r="Z100" s="95">
        <f t="shared" si="76"/>
        <v>1650.4900000000002</v>
      </c>
      <c r="AA100" s="95">
        <f t="shared" ref="AA100" si="77">AA99-(AA107)</f>
        <v>1609.28</v>
      </c>
      <c r="AB100" s="95">
        <f t="shared" si="73"/>
        <v>1500.59</v>
      </c>
      <c r="AC100" s="95">
        <f t="shared" si="73"/>
        <v>1369.29</v>
      </c>
      <c r="AD100" s="95">
        <f t="shared" si="73"/>
        <v>1354.9899999999998</v>
      </c>
      <c r="AE100" s="95">
        <f t="shared" si="73"/>
        <v>1395.2899999999997</v>
      </c>
      <c r="AF100" s="95">
        <f t="shared" si="73"/>
        <v>1164.19</v>
      </c>
      <c r="AG100" s="88"/>
      <c r="AH100" s="47">
        <f t="shared" si="55"/>
        <v>1684.39</v>
      </c>
      <c r="AI100" s="48">
        <f t="shared" si="56"/>
        <v>1164.19</v>
      </c>
      <c r="BF100" s="233"/>
      <c r="BG100" s="233">
        <v>65.3</v>
      </c>
      <c r="BH100" s="233">
        <v>0</v>
      </c>
      <c r="BI100" s="233">
        <v>479.1</v>
      </c>
      <c r="BJ100" s="233">
        <v>34.299999999999997</v>
      </c>
      <c r="BK100" s="233">
        <v>73.599999999999994</v>
      </c>
      <c r="BL100" s="233">
        <v>64.900000000000006</v>
      </c>
    </row>
    <row r="101" spans="1:64" x14ac:dyDescent="0.25">
      <c r="A101" s="44" t="s">
        <v>84</v>
      </c>
      <c r="B101" s="76">
        <f t="shared" ref="B101:AF101" si="78">IF(B84&lt;0,B84*-1,0)</f>
        <v>0</v>
      </c>
      <c r="C101" s="76">
        <f t="shared" si="78"/>
        <v>0</v>
      </c>
      <c r="D101" s="76">
        <f t="shared" si="78"/>
        <v>0</v>
      </c>
      <c r="E101" s="76">
        <f t="shared" si="78"/>
        <v>0</v>
      </c>
      <c r="F101" s="76">
        <f t="shared" si="78"/>
        <v>0</v>
      </c>
      <c r="G101" s="76">
        <f t="shared" si="78"/>
        <v>0</v>
      </c>
      <c r="H101" s="76">
        <f t="shared" si="78"/>
        <v>0</v>
      </c>
      <c r="I101" s="76">
        <f t="shared" si="78"/>
        <v>0</v>
      </c>
      <c r="J101" s="76">
        <f t="shared" si="78"/>
        <v>0</v>
      </c>
      <c r="K101" s="76">
        <f t="shared" si="78"/>
        <v>0</v>
      </c>
      <c r="L101" s="76">
        <f t="shared" si="78"/>
        <v>0</v>
      </c>
      <c r="M101" s="76">
        <f t="shared" si="78"/>
        <v>0</v>
      </c>
      <c r="N101" s="76">
        <f t="shared" si="78"/>
        <v>0</v>
      </c>
      <c r="O101" s="76">
        <f t="shared" si="78"/>
        <v>0</v>
      </c>
      <c r="P101" s="76">
        <f t="shared" si="78"/>
        <v>0</v>
      </c>
      <c r="Q101" s="76">
        <f t="shared" si="78"/>
        <v>0</v>
      </c>
      <c r="R101" s="76">
        <f t="shared" si="78"/>
        <v>0</v>
      </c>
      <c r="S101" s="76">
        <f t="shared" ref="S101:T101" si="79">IF(S84&lt;0,S84*-1,0)</f>
        <v>0</v>
      </c>
      <c r="T101" s="76">
        <f t="shared" si="79"/>
        <v>0</v>
      </c>
      <c r="U101" s="76">
        <f t="shared" si="78"/>
        <v>0</v>
      </c>
      <c r="V101" s="76">
        <f t="shared" ref="V101:W101" si="80">IF(V84&lt;0,V84*-1,0)</f>
        <v>0</v>
      </c>
      <c r="W101" s="76">
        <f t="shared" si="80"/>
        <v>0</v>
      </c>
      <c r="X101" s="76">
        <f t="shared" ref="X101:Z101" si="81">IF(X84&lt;0,X84*-1,0)</f>
        <v>0</v>
      </c>
      <c r="Y101" s="76">
        <f t="shared" si="81"/>
        <v>0</v>
      </c>
      <c r="Z101" s="76">
        <f t="shared" si="81"/>
        <v>0</v>
      </c>
      <c r="AA101" s="76">
        <f t="shared" ref="AA101" si="82">IF(AA84&lt;0,AA84*-1,0)</f>
        <v>0</v>
      </c>
      <c r="AB101" s="76">
        <f t="shared" si="78"/>
        <v>0</v>
      </c>
      <c r="AC101" s="76">
        <f t="shared" si="78"/>
        <v>0</v>
      </c>
      <c r="AD101" s="76">
        <f t="shared" si="78"/>
        <v>0</v>
      </c>
      <c r="AE101" s="76">
        <f t="shared" si="78"/>
        <v>0</v>
      </c>
      <c r="AF101" s="76">
        <f t="shared" si="78"/>
        <v>0</v>
      </c>
      <c r="AG101" s="52"/>
      <c r="AH101" s="47">
        <f t="shared" si="55"/>
        <v>0</v>
      </c>
      <c r="AI101" s="48">
        <f t="shared" si="56"/>
        <v>0</v>
      </c>
      <c r="BF101" s="232"/>
      <c r="BG101" s="233">
        <v>34.299999999999997</v>
      </c>
      <c r="BH101" s="233">
        <v>0</v>
      </c>
      <c r="BI101" s="233">
        <v>481.1</v>
      </c>
      <c r="BJ101" s="233">
        <v>2.2999999999999998</v>
      </c>
      <c r="BK101" s="233">
        <v>0</v>
      </c>
      <c r="BL101" s="233">
        <v>75.900000000000006</v>
      </c>
    </row>
    <row r="102" spans="1:64" x14ac:dyDescent="0.25">
      <c r="A102" s="54" t="s">
        <v>82</v>
      </c>
      <c r="B102" s="76">
        <f t="shared" ref="B102:AF102" si="83">IF(B82&lt;0,B82*-1,0)</f>
        <v>0</v>
      </c>
      <c r="C102" s="76">
        <f t="shared" si="83"/>
        <v>0</v>
      </c>
      <c r="D102" s="76">
        <f t="shared" si="83"/>
        <v>0</v>
      </c>
      <c r="E102" s="76">
        <f t="shared" si="83"/>
        <v>0</v>
      </c>
      <c r="F102" s="76">
        <f t="shared" si="83"/>
        <v>0</v>
      </c>
      <c r="G102" s="76">
        <f t="shared" si="83"/>
        <v>0</v>
      </c>
      <c r="H102" s="76">
        <f t="shared" si="83"/>
        <v>0</v>
      </c>
      <c r="I102" s="76">
        <f t="shared" si="83"/>
        <v>0</v>
      </c>
      <c r="J102" s="76">
        <f t="shared" si="83"/>
        <v>0</v>
      </c>
      <c r="K102" s="76">
        <f t="shared" si="83"/>
        <v>0</v>
      </c>
      <c r="L102" s="76">
        <f t="shared" si="83"/>
        <v>0</v>
      </c>
      <c r="M102" s="76">
        <f t="shared" si="83"/>
        <v>0</v>
      </c>
      <c r="N102" s="76">
        <f t="shared" si="83"/>
        <v>0</v>
      </c>
      <c r="O102" s="76">
        <f t="shared" si="83"/>
        <v>0</v>
      </c>
      <c r="P102" s="76">
        <f t="shared" si="83"/>
        <v>0</v>
      </c>
      <c r="Q102" s="76">
        <f t="shared" si="83"/>
        <v>0</v>
      </c>
      <c r="R102" s="76">
        <f t="shared" si="83"/>
        <v>0</v>
      </c>
      <c r="S102" s="76">
        <f t="shared" ref="S102:T102" si="84">IF(S82&lt;0,S82*-1,0)</f>
        <v>0</v>
      </c>
      <c r="T102" s="76">
        <f t="shared" si="84"/>
        <v>0</v>
      </c>
      <c r="U102" s="76">
        <f t="shared" si="83"/>
        <v>0</v>
      </c>
      <c r="V102" s="76">
        <f t="shared" ref="V102:W102" si="85">IF(V82&lt;0,V82*-1,0)</f>
        <v>0</v>
      </c>
      <c r="W102" s="76">
        <f t="shared" si="85"/>
        <v>0</v>
      </c>
      <c r="X102" s="76">
        <f t="shared" ref="X102:Z102" si="86">IF(X82&lt;0,X82*-1,0)</f>
        <v>0</v>
      </c>
      <c r="Y102" s="76">
        <f t="shared" si="86"/>
        <v>0</v>
      </c>
      <c r="Z102" s="76">
        <f t="shared" si="86"/>
        <v>0</v>
      </c>
      <c r="AA102" s="76">
        <f t="shared" ref="AA102" si="87">IF(AA82&lt;0,AA82*-1,0)</f>
        <v>0</v>
      </c>
      <c r="AB102" s="76">
        <f t="shared" si="83"/>
        <v>0</v>
      </c>
      <c r="AC102" s="76">
        <f t="shared" si="83"/>
        <v>0</v>
      </c>
      <c r="AD102" s="76">
        <f t="shared" si="83"/>
        <v>0</v>
      </c>
      <c r="AE102" s="76">
        <f t="shared" si="83"/>
        <v>0</v>
      </c>
      <c r="AF102" s="76">
        <f t="shared" si="83"/>
        <v>0</v>
      </c>
      <c r="AG102" s="55"/>
      <c r="AH102" s="47">
        <f t="shared" si="55"/>
        <v>0</v>
      </c>
      <c r="AI102" s="48">
        <f t="shared" si="56"/>
        <v>0</v>
      </c>
      <c r="BF102" s="232"/>
      <c r="BG102" s="233">
        <v>57.6</v>
      </c>
      <c r="BH102" s="233">
        <v>0</v>
      </c>
      <c r="BI102" s="233">
        <v>229</v>
      </c>
      <c r="BJ102" s="233">
        <v>3.7</v>
      </c>
      <c r="BK102" s="233">
        <v>0</v>
      </c>
      <c r="BL102" s="233">
        <v>71.8</v>
      </c>
    </row>
    <row r="103" spans="1:64" x14ac:dyDescent="0.25">
      <c r="A103" s="84" t="s">
        <v>103</v>
      </c>
      <c r="B103" s="76">
        <f t="shared" ref="B103:AF103" si="88">IF(B85&lt;0,B85*-1,0)</f>
        <v>0</v>
      </c>
      <c r="C103" s="76">
        <f t="shared" si="88"/>
        <v>0</v>
      </c>
      <c r="D103" s="76">
        <f t="shared" si="88"/>
        <v>0</v>
      </c>
      <c r="E103" s="76">
        <f t="shared" si="88"/>
        <v>0</v>
      </c>
      <c r="F103" s="76">
        <f t="shared" si="88"/>
        <v>0</v>
      </c>
      <c r="G103" s="76">
        <f t="shared" si="88"/>
        <v>0</v>
      </c>
      <c r="H103" s="76">
        <f t="shared" si="88"/>
        <v>0</v>
      </c>
      <c r="I103" s="76">
        <f t="shared" si="88"/>
        <v>0</v>
      </c>
      <c r="J103" s="76">
        <f t="shared" si="88"/>
        <v>0</v>
      </c>
      <c r="K103" s="76">
        <f t="shared" si="88"/>
        <v>0</v>
      </c>
      <c r="L103" s="76">
        <f t="shared" si="88"/>
        <v>0</v>
      </c>
      <c r="M103" s="76">
        <f t="shared" si="88"/>
        <v>0</v>
      </c>
      <c r="N103" s="76">
        <f t="shared" si="88"/>
        <v>0</v>
      </c>
      <c r="O103" s="76">
        <f t="shared" si="88"/>
        <v>0</v>
      </c>
      <c r="P103" s="76">
        <f t="shared" si="88"/>
        <v>0</v>
      </c>
      <c r="Q103" s="76">
        <f t="shared" si="88"/>
        <v>0</v>
      </c>
      <c r="R103" s="76">
        <f t="shared" si="88"/>
        <v>0</v>
      </c>
      <c r="S103" s="76">
        <f t="shared" ref="S103:T103" si="89">IF(S85&lt;0,S85*-1,0)</f>
        <v>0</v>
      </c>
      <c r="T103" s="76">
        <f t="shared" si="89"/>
        <v>0</v>
      </c>
      <c r="U103" s="76">
        <f t="shared" si="88"/>
        <v>0</v>
      </c>
      <c r="V103" s="76">
        <f t="shared" ref="V103:W103" si="90">IF(V85&lt;0,V85*-1,0)</f>
        <v>0</v>
      </c>
      <c r="W103" s="76">
        <f t="shared" si="90"/>
        <v>0</v>
      </c>
      <c r="X103" s="76">
        <f t="shared" ref="X103:Z103" si="91">IF(X85&lt;0,X85*-1,0)</f>
        <v>0</v>
      </c>
      <c r="Y103" s="76">
        <f t="shared" si="91"/>
        <v>0</v>
      </c>
      <c r="Z103" s="76">
        <f t="shared" si="91"/>
        <v>0</v>
      </c>
      <c r="AA103" s="76">
        <f t="shared" ref="AA103" si="92">IF(AA85&lt;0,AA85*-1,0)</f>
        <v>0</v>
      </c>
      <c r="AB103" s="76">
        <f t="shared" si="88"/>
        <v>0</v>
      </c>
      <c r="AC103" s="76">
        <f t="shared" si="88"/>
        <v>0</v>
      </c>
      <c r="AD103" s="76">
        <f t="shared" si="88"/>
        <v>0</v>
      </c>
      <c r="AE103" s="76">
        <f t="shared" si="88"/>
        <v>0</v>
      </c>
      <c r="AF103" s="76">
        <f t="shared" si="88"/>
        <v>0</v>
      </c>
      <c r="AG103" s="98"/>
      <c r="AH103" s="47">
        <f t="shared" si="55"/>
        <v>0</v>
      </c>
      <c r="AI103" s="48">
        <f t="shared" si="56"/>
        <v>0</v>
      </c>
      <c r="BF103" s="232"/>
      <c r="BG103" s="233">
        <v>58</v>
      </c>
      <c r="BH103" s="233">
        <v>0</v>
      </c>
      <c r="BI103" s="233">
        <v>94</v>
      </c>
      <c r="BJ103" s="233">
        <v>3.4</v>
      </c>
      <c r="BK103" s="233">
        <v>108</v>
      </c>
      <c r="BL103" s="233">
        <v>65.2</v>
      </c>
    </row>
    <row r="104" spans="1:64" x14ac:dyDescent="0.25">
      <c r="A104" s="84" t="s">
        <v>104</v>
      </c>
      <c r="B104" s="76">
        <f t="shared" ref="B104:AF104" si="93">IF(B83&lt;0,B83*-1,0)</f>
        <v>0</v>
      </c>
      <c r="C104" s="76">
        <f t="shared" si="93"/>
        <v>0</v>
      </c>
      <c r="D104" s="76">
        <f t="shared" si="93"/>
        <v>0</v>
      </c>
      <c r="E104" s="76">
        <f t="shared" si="93"/>
        <v>0</v>
      </c>
      <c r="F104" s="76">
        <f t="shared" si="93"/>
        <v>0</v>
      </c>
      <c r="G104" s="76">
        <f t="shared" si="93"/>
        <v>0</v>
      </c>
      <c r="H104" s="76">
        <f t="shared" si="93"/>
        <v>0</v>
      </c>
      <c r="I104" s="76">
        <f t="shared" si="93"/>
        <v>0</v>
      </c>
      <c r="J104" s="76">
        <f t="shared" si="93"/>
        <v>0</v>
      </c>
      <c r="K104" s="76">
        <f t="shared" si="93"/>
        <v>0</v>
      </c>
      <c r="L104" s="76">
        <f t="shared" si="93"/>
        <v>0</v>
      </c>
      <c r="M104" s="76">
        <f t="shared" si="93"/>
        <v>0</v>
      </c>
      <c r="N104" s="76">
        <f t="shared" si="93"/>
        <v>0</v>
      </c>
      <c r="O104" s="76">
        <f t="shared" si="93"/>
        <v>0</v>
      </c>
      <c r="P104" s="76">
        <f t="shared" si="93"/>
        <v>0</v>
      </c>
      <c r="Q104" s="76">
        <f t="shared" si="93"/>
        <v>0</v>
      </c>
      <c r="R104" s="76">
        <f t="shared" si="93"/>
        <v>0</v>
      </c>
      <c r="S104" s="76">
        <f t="shared" ref="S104:T104" si="94">IF(S83&lt;0,S83*-1,0)</f>
        <v>0</v>
      </c>
      <c r="T104" s="76">
        <f t="shared" si="94"/>
        <v>0</v>
      </c>
      <c r="U104" s="76">
        <f t="shared" si="93"/>
        <v>0</v>
      </c>
      <c r="V104" s="76">
        <f t="shared" ref="V104:W104" si="95">IF(V83&lt;0,V83*-1,0)</f>
        <v>0</v>
      </c>
      <c r="W104" s="76">
        <f t="shared" si="95"/>
        <v>0</v>
      </c>
      <c r="X104" s="76">
        <f t="shared" ref="X104:Z104" si="96">IF(X83&lt;0,X83*-1,0)</f>
        <v>0</v>
      </c>
      <c r="Y104" s="76">
        <f t="shared" si="96"/>
        <v>0</v>
      </c>
      <c r="Z104" s="76">
        <f t="shared" si="96"/>
        <v>0</v>
      </c>
      <c r="AA104" s="76">
        <f t="shared" ref="AA104" si="97">IF(AA83&lt;0,AA83*-1,0)</f>
        <v>0</v>
      </c>
      <c r="AB104" s="76">
        <f t="shared" si="93"/>
        <v>0</v>
      </c>
      <c r="AC104" s="76">
        <f t="shared" si="93"/>
        <v>0</v>
      </c>
      <c r="AD104" s="76">
        <f t="shared" si="93"/>
        <v>0</v>
      </c>
      <c r="AE104" s="76">
        <f t="shared" si="93"/>
        <v>0</v>
      </c>
      <c r="AF104" s="76">
        <f t="shared" si="93"/>
        <v>0</v>
      </c>
      <c r="AG104" s="98"/>
      <c r="AH104" s="47">
        <f t="shared" si="55"/>
        <v>0</v>
      </c>
      <c r="AI104" s="48">
        <f t="shared" si="56"/>
        <v>0</v>
      </c>
      <c r="BF104" s="232"/>
      <c r="BG104" s="233">
        <v>61.6</v>
      </c>
      <c r="BH104" s="233">
        <v>0</v>
      </c>
      <c r="BI104" s="233">
        <v>306</v>
      </c>
      <c r="BJ104" s="233">
        <v>51.6</v>
      </c>
      <c r="BK104" s="233">
        <v>100</v>
      </c>
      <c r="BL104" s="233">
        <v>68</v>
      </c>
    </row>
    <row r="105" spans="1:64" x14ac:dyDescent="0.25">
      <c r="A105" s="84" t="s">
        <v>81</v>
      </c>
      <c r="B105" s="76">
        <f t="shared" ref="B105:AF105" si="98">IF(B81&lt;0,B81*-1,0)</f>
        <v>0</v>
      </c>
      <c r="C105" s="76">
        <f t="shared" si="98"/>
        <v>0</v>
      </c>
      <c r="D105" s="76">
        <f t="shared" si="98"/>
        <v>0</v>
      </c>
      <c r="E105" s="76">
        <f t="shared" si="98"/>
        <v>0</v>
      </c>
      <c r="F105" s="76">
        <f t="shared" si="98"/>
        <v>0</v>
      </c>
      <c r="G105" s="76">
        <f t="shared" si="98"/>
        <v>0</v>
      </c>
      <c r="H105" s="76">
        <f t="shared" si="98"/>
        <v>0</v>
      </c>
      <c r="I105" s="76">
        <f t="shared" si="98"/>
        <v>0</v>
      </c>
      <c r="J105" s="76">
        <f t="shared" si="98"/>
        <v>0</v>
      </c>
      <c r="K105" s="76">
        <f t="shared" si="98"/>
        <v>0</v>
      </c>
      <c r="L105" s="76">
        <f t="shared" si="98"/>
        <v>0</v>
      </c>
      <c r="M105" s="76">
        <f t="shared" si="98"/>
        <v>0</v>
      </c>
      <c r="N105" s="76">
        <f t="shared" si="98"/>
        <v>0</v>
      </c>
      <c r="O105" s="76">
        <f t="shared" si="98"/>
        <v>0</v>
      </c>
      <c r="P105" s="76">
        <f t="shared" si="98"/>
        <v>0</v>
      </c>
      <c r="Q105" s="76">
        <f t="shared" si="98"/>
        <v>0</v>
      </c>
      <c r="R105" s="76">
        <f t="shared" si="98"/>
        <v>0</v>
      </c>
      <c r="S105" s="76">
        <f t="shared" ref="S105:T105" si="99">IF(S81&lt;0,S81*-1,0)</f>
        <v>0</v>
      </c>
      <c r="T105" s="76">
        <f t="shared" si="99"/>
        <v>0</v>
      </c>
      <c r="U105" s="76">
        <f t="shared" si="98"/>
        <v>0</v>
      </c>
      <c r="V105" s="76">
        <f t="shared" ref="V105:W105" si="100">IF(V81&lt;0,V81*-1,0)</f>
        <v>0</v>
      </c>
      <c r="W105" s="76">
        <f t="shared" si="100"/>
        <v>0</v>
      </c>
      <c r="X105" s="76">
        <f t="shared" ref="X105:Z105" si="101">IF(X81&lt;0,X81*-1,0)</f>
        <v>0</v>
      </c>
      <c r="Y105" s="76">
        <f t="shared" si="101"/>
        <v>0</v>
      </c>
      <c r="Z105" s="76">
        <f t="shared" si="101"/>
        <v>0</v>
      </c>
      <c r="AA105" s="76">
        <f t="shared" ref="AA105" si="102">IF(AA81&lt;0,AA81*-1,0)</f>
        <v>0</v>
      </c>
      <c r="AB105" s="76">
        <f t="shared" si="98"/>
        <v>0</v>
      </c>
      <c r="AC105" s="76">
        <f t="shared" si="98"/>
        <v>0</v>
      </c>
      <c r="AD105" s="76">
        <f t="shared" si="98"/>
        <v>0</v>
      </c>
      <c r="AE105" s="76">
        <f t="shared" si="98"/>
        <v>0</v>
      </c>
      <c r="AF105" s="76">
        <f t="shared" si="98"/>
        <v>0</v>
      </c>
      <c r="AG105" s="98"/>
      <c r="AH105" s="47">
        <f t="shared" si="55"/>
        <v>0</v>
      </c>
      <c r="AI105" s="48">
        <f t="shared" si="56"/>
        <v>0</v>
      </c>
      <c r="BF105" s="232"/>
      <c r="BG105" s="233">
        <v>56.4</v>
      </c>
      <c r="BH105" s="233">
        <v>0</v>
      </c>
      <c r="BI105" s="233">
        <v>366</v>
      </c>
      <c r="BJ105" s="233">
        <v>48.2</v>
      </c>
      <c r="BK105" s="233">
        <v>100</v>
      </c>
      <c r="BL105" s="233">
        <v>69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5"/>
        <v>0</v>
      </c>
      <c r="AI106" s="48">
        <f t="shared" si="56"/>
        <v>0</v>
      </c>
      <c r="BG106" s="233">
        <v>61</v>
      </c>
      <c r="BH106" s="233">
        <v>0</v>
      </c>
      <c r="BI106" s="233">
        <v>380</v>
      </c>
      <c r="BJ106" s="233">
        <v>51</v>
      </c>
      <c r="BK106" s="233">
        <v>53.8</v>
      </c>
      <c r="BL106" s="233">
        <v>67.5</v>
      </c>
    </row>
    <row r="107" spans="1:64" ht="15.75" thickBot="1" x14ac:dyDescent="0.3">
      <c r="A107" s="99" t="s">
        <v>106</v>
      </c>
      <c r="B107" s="60">
        <f t="shared" ref="B107:C107" si="103">SUM(B101:B106)</f>
        <v>0</v>
      </c>
      <c r="C107" s="60">
        <f t="shared" si="103"/>
        <v>0</v>
      </c>
      <c r="D107" s="60">
        <f t="shared" ref="D107:AF107" si="104">SUM(D101:D106)</f>
        <v>0</v>
      </c>
      <c r="E107" s="60">
        <f t="shared" si="104"/>
        <v>0</v>
      </c>
      <c r="F107" s="60">
        <f t="shared" si="104"/>
        <v>0</v>
      </c>
      <c r="G107" s="60">
        <f t="shared" si="104"/>
        <v>0</v>
      </c>
      <c r="H107" s="60">
        <f t="shared" si="104"/>
        <v>0</v>
      </c>
      <c r="I107" s="60">
        <f t="shared" si="104"/>
        <v>0</v>
      </c>
      <c r="J107" s="60">
        <f t="shared" si="104"/>
        <v>0</v>
      </c>
      <c r="K107" s="60">
        <f t="shared" si="104"/>
        <v>0</v>
      </c>
      <c r="L107" s="60">
        <f t="shared" si="104"/>
        <v>0</v>
      </c>
      <c r="M107" s="60">
        <f t="shared" si="104"/>
        <v>0</v>
      </c>
      <c r="N107" s="60">
        <f t="shared" si="104"/>
        <v>0</v>
      </c>
      <c r="O107" s="60">
        <f t="shared" si="104"/>
        <v>0</v>
      </c>
      <c r="P107" s="60">
        <f t="shared" si="104"/>
        <v>0</v>
      </c>
      <c r="Q107" s="60">
        <f t="shared" si="104"/>
        <v>0</v>
      </c>
      <c r="R107" s="60">
        <f t="shared" si="104"/>
        <v>0</v>
      </c>
      <c r="S107" s="60">
        <f t="shared" ref="S107:T107" si="105">SUM(S101:S106)</f>
        <v>0</v>
      </c>
      <c r="T107" s="60">
        <f t="shared" si="105"/>
        <v>0</v>
      </c>
      <c r="U107" s="60">
        <f t="shared" si="104"/>
        <v>0</v>
      </c>
      <c r="V107" s="60">
        <f t="shared" ref="V107:W107" si="106">SUM(V101:V106)</f>
        <v>0</v>
      </c>
      <c r="W107" s="60">
        <f t="shared" si="106"/>
        <v>0</v>
      </c>
      <c r="X107" s="60">
        <f t="shared" ref="X107:Z107" si="107">SUM(X101:X106)</f>
        <v>0</v>
      </c>
      <c r="Y107" s="60">
        <f t="shared" si="107"/>
        <v>0</v>
      </c>
      <c r="Z107" s="60">
        <f t="shared" si="107"/>
        <v>0</v>
      </c>
      <c r="AA107" s="60">
        <f t="shared" ref="AA107" si="108">SUM(AA101:AA106)</f>
        <v>0</v>
      </c>
      <c r="AB107" s="60">
        <f t="shared" si="104"/>
        <v>0</v>
      </c>
      <c r="AC107" s="60">
        <f t="shared" si="104"/>
        <v>0</v>
      </c>
      <c r="AD107" s="60">
        <f t="shared" si="104"/>
        <v>0</v>
      </c>
      <c r="AE107" s="60">
        <f t="shared" si="104"/>
        <v>0</v>
      </c>
      <c r="AF107" s="60">
        <f t="shared" si="104"/>
        <v>0</v>
      </c>
      <c r="AG107" s="88"/>
      <c r="AH107" s="47">
        <f t="shared" si="55"/>
        <v>0</v>
      </c>
      <c r="AI107" s="48">
        <f t="shared" si="56"/>
        <v>0</v>
      </c>
      <c r="AK107" s="50"/>
      <c r="BG107" s="233">
        <v>66.5</v>
      </c>
      <c r="BH107" s="233">
        <v>0</v>
      </c>
      <c r="BI107" s="233">
        <v>397</v>
      </c>
      <c r="BJ107" s="233">
        <v>55.5</v>
      </c>
      <c r="BK107" s="233">
        <v>107</v>
      </c>
      <c r="BL107" s="233">
        <v>58</v>
      </c>
    </row>
    <row r="108" spans="1:64" ht="15.75" thickBot="1" x14ac:dyDescent="0.3">
      <c r="A108" s="74" t="s">
        <v>107</v>
      </c>
      <c r="B108" s="60">
        <f t="shared" ref="B108:AF108" si="109">B92-B107</f>
        <v>684</v>
      </c>
      <c r="C108" s="60">
        <f t="shared" si="109"/>
        <v>646.70000000000005</v>
      </c>
      <c r="D108" s="60">
        <f t="shared" si="109"/>
        <v>664.8</v>
      </c>
      <c r="E108" s="60">
        <f t="shared" si="109"/>
        <v>654.4</v>
      </c>
      <c r="F108" s="60">
        <f t="shared" si="109"/>
        <v>622.9</v>
      </c>
      <c r="G108" s="60">
        <f t="shared" si="109"/>
        <v>650.4</v>
      </c>
      <c r="H108" s="60">
        <f t="shared" si="109"/>
        <v>682.3</v>
      </c>
      <c r="I108" s="60">
        <f t="shared" si="109"/>
        <v>620</v>
      </c>
      <c r="J108" s="60">
        <f t="shared" si="109"/>
        <v>652</v>
      </c>
      <c r="K108" s="60">
        <f t="shared" si="109"/>
        <v>273</v>
      </c>
      <c r="L108" s="60">
        <f t="shared" si="109"/>
        <v>133.30000000000001</v>
      </c>
      <c r="M108" s="60">
        <f t="shared" si="109"/>
        <v>155</v>
      </c>
      <c r="N108" s="60">
        <f t="shared" si="109"/>
        <v>297.39999999999998</v>
      </c>
      <c r="O108" s="60">
        <f t="shared" si="109"/>
        <v>536.79999999999995</v>
      </c>
      <c r="P108" s="60">
        <f t="shared" si="109"/>
        <v>590.79999999999995</v>
      </c>
      <c r="Q108" s="60">
        <f t="shared" si="109"/>
        <v>674.8</v>
      </c>
      <c r="R108" s="60">
        <f t="shared" si="109"/>
        <v>647</v>
      </c>
      <c r="S108" s="60">
        <f t="shared" ref="S108:T108" si="110">S92-S107</f>
        <v>727.19999999999993</v>
      </c>
      <c r="T108" s="60">
        <f t="shared" si="110"/>
        <v>715.7</v>
      </c>
      <c r="U108" s="60">
        <f t="shared" si="109"/>
        <v>749.6</v>
      </c>
      <c r="V108" s="60">
        <f t="shared" ref="V108:W108" si="111">V92-V107</f>
        <v>717.19999999999993</v>
      </c>
      <c r="W108" s="60">
        <f t="shared" si="111"/>
        <v>606.20000000000005</v>
      </c>
      <c r="X108" s="60">
        <f t="shared" ref="X108:Z108" si="112">X92-X107</f>
        <v>593.59999999999991</v>
      </c>
      <c r="Y108" s="60">
        <f t="shared" si="112"/>
        <v>528.6</v>
      </c>
      <c r="Z108" s="60">
        <f t="shared" si="112"/>
        <v>362.1</v>
      </c>
      <c r="AA108" s="60">
        <f t="shared" ref="AA108" si="113">AA92-AA107</f>
        <v>236.08999999999997</v>
      </c>
      <c r="AB108" s="60">
        <f t="shared" si="109"/>
        <v>328.59999999999997</v>
      </c>
      <c r="AC108" s="60">
        <f t="shared" si="109"/>
        <v>510.6</v>
      </c>
      <c r="AD108" s="60">
        <f t="shared" si="109"/>
        <v>587.20000000000005</v>
      </c>
      <c r="AE108" s="60">
        <f t="shared" si="109"/>
        <v>639.59999999999991</v>
      </c>
      <c r="AF108" s="60">
        <f t="shared" si="109"/>
        <v>613.29999999999995</v>
      </c>
      <c r="AG108" s="88"/>
      <c r="AH108" s="47">
        <f t="shared" si="55"/>
        <v>749.6</v>
      </c>
      <c r="AI108" s="48">
        <f t="shared" si="56"/>
        <v>133.30000000000001</v>
      </c>
    </row>
    <row r="109" spans="1:64" x14ac:dyDescent="0.25">
      <c r="A109" s="100" t="s">
        <v>108</v>
      </c>
      <c r="B109" s="101">
        <v>50.003</v>
      </c>
      <c r="C109" s="101">
        <v>50.051000000000002</v>
      </c>
      <c r="D109" s="101">
        <v>50.040999999999997</v>
      </c>
      <c r="E109" s="101">
        <v>50.066000000000003</v>
      </c>
      <c r="F109" s="101">
        <v>50</v>
      </c>
      <c r="G109" s="101">
        <v>49.991</v>
      </c>
      <c r="H109" s="101">
        <v>50.012999999999998</v>
      </c>
      <c r="I109" s="101">
        <v>50.046999999999997</v>
      </c>
      <c r="J109" s="101">
        <v>50.1</v>
      </c>
      <c r="K109" s="101">
        <v>49.942999999999998</v>
      </c>
      <c r="L109" s="101">
        <v>49.92</v>
      </c>
      <c r="M109" s="101">
        <v>50.057000000000002</v>
      </c>
      <c r="N109" s="101">
        <v>49.893000000000001</v>
      </c>
      <c r="O109" s="101">
        <v>50.015000000000001</v>
      </c>
      <c r="P109" s="101">
        <v>50.043999999999997</v>
      </c>
      <c r="Q109" s="101">
        <v>50.052</v>
      </c>
      <c r="R109" s="101">
        <v>50.030999999999999</v>
      </c>
      <c r="S109" s="101">
        <v>50.06</v>
      </c>
      <c r="T109" s="101">
        <v>49.98</v>
      </c>
      <c r="U109" s="101">
        <v>49.951999999999998</v>
      </c>
      <c r="V109" s="101">
        <v>50.06</v>
      </c>
      <c r="W109" s="101">
        <v>50.02</v>
      </c>
      <c r="X109" s="101">
        <v>49.94</v>
      </c>
      <c r="Y109" s="101">
        <v>50.02</v>
      </c>
      <c r="Z109" s="101">
        <v>50.06</v>
      </c>
      <c r="AA109" s="101">
        <v>50</v>
      </c>
      <c r="AB109" s="101">
        <v>50.084000000000003</v>
      </c>
      <c r="AC109" s="101">
        <v>49.997999999999998</v>
      </c>
      <c r="AD109" s="101">
        <v>49.933999999999997</v>
      </c>
      <c r="AE109" s="101">
        <v>49.862000000000002</v>
      </c>
      <c r="AF109" s="101">
        <v>49.906999999999996</v>
      </c>
      <c r="AG109" s="102"/>
      <c r="AH109" s="47">
        <f t="shared" si="55"/>
        <v>50.1</v>
      </c>
      <c r="AI109" s="48">
        <f t="shared" si="56"/>
        <v>49.862000000000002</v>
      </c>
    </row>
    <row r="110" spans="1:64" x14ac:dyDescent="0.25">
      <c r="A110" s="103" t="s">
        <v>109</v>
      </c>
      <c r="B110" s="65">
        <v>130.69999999999999</v>
      </c>
      <c r="C110" s="65">
        <v>130.5</v>
      </c>
      <c r="D110" s="65">
        <v>131.1</v>
      </c>
      <c r="E110" s="65">
        <v>128</v>
      </c>
      <c r="F110" s="65">
        <v>128</v>
      </c>
      <c r="G110" s="65">
        <v>128</v>
      </c>
      <c r="H110" s="65">
        <v>128</v>
      </c>
      <c r="I110" s="65">
        <v>126.9</v>
      </c>
      <c r="J110" s="65">
        <v>126.9</v>
      </c>
      <c r="K110" s="65">
        <v>128</v>
      </c>
      <c r="L110" s="65">
        <v>126</v>
      </c>
      <c r="M110" s="65">
        <v>129.19999999999999</v>
      </c>
      <c r="N110" s="65">
        <v>130.5</v>
      </c>
      <c r="O110" s="65">
        <v>125.7</v>
      </c>
      <c r="P110" s="65">
        <v>124.7</v>
      </c>
      <c r="Q110" s="65">
        <v>125.6</v>
      </c>
      <c r="R110" s="65">
        <v>127.4</v>
      </c>
      <c r="S110" s="65">
        <v>124.6</v>
      </c>
      <c r="T110" s="65">
        <v>125.5</v>
      </c>
      <c r="U110" s="65">
        <v>124.2</v>
      </c>
      <c r="V110" s="65">
        <v>124.2</v>
      </c>
      <c r="W110" s="65">
        <v>125.8</v>
      </c>
      <c r="X110" s="65">
        <v>125.8</v>
      </c>
      <c r="Y110" s="65">
        <v>126.5</v>
      </c>
      <c r="Z110" s="65">
        <v>127.8</v>
      </c>
      <c r="AA110" s="65">
        <v>127.8</v>
      </c>
      <c r="AB110" s="65">
        <v>129.69999999999999</v>
      </c>
      <c r="AC110" s="65">
        <v>129.4</v>
      </c>
      <c r="AD110" s="65">
        <v>131.80000000000001</v>
      </c>
      <c r="AE110" s="65">
        <v>130.6</v>
      </c>
      <c r="AF110" s="65">
        <v>132.1</v>
      </c>
      <c r="AG110" s="104"/>
      <c r="AH110" s="47">
        <f t="shared" si="55"/>
        <v>132.1</v>
      </c>
      <c r="AI110" s="48">
        <f t="shared" si="56"/>
        <v>124.2</v>
      </c>
    </row>
    <row r="111" spans="1:64" x14ac:dyDescent="0.25">
      <c r="A111" s="103" t="s">
        <v>110</v>
      </c>
      <c r="B111" s="65">
        <v>134.69999999999999</v>
      </c>
      <c r="C111" s="65">
        <v>134.19999999999999</v>
      </c>
      <c r="D111" s="65">
        <v>135.19999999999999</v>
      </c>
      <c r="E111" s="65">
        <v>132</v>
      </c>
      <c r="F111" s="65">
        <v>132</v>
      </c>
      <c r="G111" s="65">
        <v>132</v>
      </c>
      <c r="H111" s="65">
        <v>132</v>
      </c>
      <c r="I111" s="65">
        <v>130</v>
      </c>
      <c r="J111" s="65">
        <v>130</v>
      </c>
      <c r="K111" s="65">
        <v>130</v>
      </c>
      <c r="L111" s="65">
        <v>128.80000000000001</v>
      </c>
      <c r="M111" s="65">
        <v>130.9</v>
      </c>
      <c r="N111" s="65">
        <v>131.6</v>
      </c>
      <c r="O111" s="65">
        <v>128.5</v>
      </c>
      <c r="P111" s="65">
        <v>127.8</v>
      </c>
      <c r="Q111" s="65">
        <v>128.80000000000001</v>
      </c>
      <c r="R111" s="65">
        <v>130.69999999999999</v>
      </c>
      <c r="S111" s="65">
        <v>128.5</v>
      </c>
      <c r="T111" s="65">
        <v>130</v>
      </c>
      <c r="U111" s="65">
        <v>129</v>
      </c>
      <c r="V111" s="65">
        <v>129</v>
      </c>
      <c r="W111" s="65">
        <v>130.80000000000001</v>
      </c>
      <c r="X111" s="65">
        <v>130.80000000000001</v>
      </c>
      <c r="Y111" s="65">
        <v>129.5</v>
      </c>
      <c r="Z111" s="65">
        <v>129.80000000000001</v>
      </c>
      <c r="AA111" s="65">
        <v>130.9</v>
      </c>
      <c r="AB111" s="65">
        <v>131.6</v>
      </c>
      <c r="AC111" s="65">
        <v>131.9</v>
      </c>
      <c r="AD111" s="65">
        <v>134.1</v>
      </c>
      <c r="AE111" s="65">
        <v>133.5</v>
      </c>
      <c r="AF111" s="65">
        <v>135.30000000000001</v>
      </c>
      <c r="AG111" s="104"/>
      <c r="AH111" s="47">
        <f t="shared" si="55"/>
        <v>135.30000000000001</v>
      </c>
      <c r="AI111" s="48">
        <f t="shared" si="56"/>
        <v>127.8</v>
      </c>
    </row>
    <row r="112" spans="1:64" x14ac:dyDescent="0.25">
      <c r="A112" s="103" t="s">
        <v>111</v>
      </c>
      <c r="B112" s="65">
        <v>130</v>
      </c>
      <c r="C112" s="65">
        <v>133.6</v>
      </c>
      <c r="D112" s="65">
        <v>128.80000000000001</v>
      </c>
      <c r="E112" s="65">
        <v>126.9</v>
      </c>
      <c r="F112" s="65">
        <v>126.9</v>
      </c>
      <c r="G112" s="65">
        <v>126.9</v>
      </c>
      <c r="H112" s="65">
        <v>126.9</v>
      </c>
      <c r="I112" s="65">
        <v>126.9</v>
      </c>
      <c r="J112" s="65">
        <v>126.9</v>
      </c>
      <c r="K112" s="65">
        <v>126</v>
      </c>
      <c r="L112" s="65">
        <v>124.8</v>
      </c>
      <c r="M112" s="65">
        <v>126.5</v>
      </c>
      <c r="N112" s="65">
        <v>127.3</v>
      </c>
      <c r="O112" s="65">
        <v>126.4</v>
      </c>
      <c r="P112" s="65">
        <v>123.9</v>
      </c>
      <c r="Q112" s="65">
        <v>129.6</v>
      </c>
      <c r="R112" s="65">
        <v>128.30000000000001</v>
      </c>
      <c r="S112" s="65">
        <v>123.1</v>
      </c>
      <c r="T112" s="65">
        <v>129.30000000000001</v>
      </c>
      <c r="U112" s="65">
        <v>126.3</v>
      </c>
      <c r="V112" s="65">
        <v>126.3</v>
      </c>
      <c r="W112" s="65">
        <v>131</v>
      </c>
      <c r="X112" s="65">
        <v>131</v>
      </c>
      <c r="Y112" s="65">
        <v>125</v>
      </c>
      <c r="Z112" s="65">
        <v>127.8</v>
      </c>
      <c r="AA112" s="65">
        <v>130.5</v>
      </c>
      <c r="AB112" s="65">
        <v>132.1</v>
      </c>
      <c r="AC112" s="65">
        <v>131.80000000000001</v>
      </c>
      <c r="AD112" s="65">
        <v>128.5</v>
      </c>
      <c r="AE112" s="65">
        <v>127</v>
      </c>
      <c r="AF112" s="65">
        <v>130.30000000000001</v>
      </c>
      <c r="AG112" s="104"/>
      <c r="AH112" s="47">
        <f t="shared" si="55"/>
        <v>133.6</v>
      </c>
      <c r="AI112" s="48">
        <f t="shared" si="56"/>
        <v>123.1</v>
      </c>
    </row>
    <row r="113" spans="1:35" x14ac:dyDescent="0.25">
      <c r="A113" s="105" t="s">
        <v>112</v>
      </c>
      <c r="B113" s="65">
        <v>132.5</v>
      </c>
      <c r="C113" s="65">
        <v>131.4</v>
      </c>
      <c r="D113" s="65">
        <v>132.30000000000001</v>
      </c>
      <c r="E113" s="65">
        <v>130.6</v>
      </c>
      <c r="F113" s="65">
        <v>130.6</v>
      </c>
      <c r="G113" s="65">
        <v>130.6</v>
      </c>
      <c r="H113" s="65">
        <v>130.6</v>
      </c>
      <c r="I113" s="65">
        <v>128.6</v>
      </c>
      <c r="J113" s="65">
        <v>128.6</v>
      </c>
      <c r="K113" s="65">
        <v>125</v>
      </c>
      <c r="L113" s="65">
        <v>123.4</v>
      </c>
      <c r="M113" s="65">
        <v>122.9</v>
      </c>
      <c r="N113" s="65">
        <v>124.2</v>
      </c>
      <c r="O113" s="65">
        <v>124.8</v>
      </c>
      <c r="P113" s="65">
        <v>122.8</v>
      </c>
      <c r="Q113" s="65">
        <v>129.9</v>
      </c>
      <c r="R113" s="65">
        <v>128.19999999999999</v>
      </c>
      <c r="S113" s="65">
        <v>120.5</v>
      </c>
      <c r="T113" s="65">
        <v>129.30000000000001</v>
      </c>
      <c r="U113" s="65">
        <v>126.8</v>
      </c>
      <c r="V113" s="65">
        <v>126.8</v>
      </c>
      <c r="W113" s="65">
        <v>129.9</v>
      </c>
      <c r="X113" s="65">
        <v>129.9</v>
      </c>
      <c r="Y113" s="65">
        <v>124.1</v>
      </c>
      <c r="Z113" s="65">
        <v>127.1</v>
      </c>
      <c r="AA113" s="65">
        <v>129</v>
      </c>
      <c r="AB113" s="65">
        <v>132</v>
      </c>
      <c r="AC113" s="65">
        <v>132.30000000000001</v>
      </c>
      <c r="AD113" s="65">
        <v>129.6</v>
      </c>
      <c r="AE113" s="65">
        <v>129.30000000000001</v>
      </c>
      <c r="AF113" s="65">
        <v>133.1</v>
      </c>
      <c r="AG113" s="104"/>
      <c r="AH113" s="47">
        <f t="shared" si="55"/>
        <v>133.1</v>
      </c>
      <c r="AI113" s="48">
        <f t="shared" si="56"/>
        <v>120.5</v>
      </c>
    </row>
    <row r="114" spans="1:35" x14ac:dyDescent="0.25">
      <c r="A114" s="105" t="s">
        <v>113</v>
      </c>
      <c r="B114" s="106">
        <v>133.80000000000001</v>
      </c>
      <c r="C114" s="106">
        <v>133.30000000000001</v>
      </c>
      <c r="D114" s="106">
        <v>134.5</v>
      </c>
      <c r="E114" s="106">
        <v>132</v>
      </c>
      <c r="F114" s="106">
        <v>132</v>
      </c>
      <c r="G114" s="106">
        <v>132</v>
      </c>
      <c r="H114" s="106">
        <v>132</v>
      </c>
      <c r="I114" s="106">
        <v>131.9</v>
      </c>
      <c r="J114" s="106">
        <v>131.9</v>
      </c>
      <c r="K114" s="106">
        <v>136</v>
      </c>
      <c r="L114" s="106">
        <v>134.6</v>
      </c>
      <c r="M114" s="106">
        <v>135.5</v>
      </c>
      <c r="N114" s="106">
        <v>135.19999999999999</v>
      </c>
      <c r="O114" s="106">
        <v>134.19999999999999</v>
      </c>
      <c r="P114" s="106">
        <v>132.6</v>
      </c>
      <c r="Q114" s="106">
        <v>133.80000000000001</v>
      </c>
      <c r="R114" s="106">
        <v>135.5</v>
      </c>
      <c r="S114" s="106">
        <v>132.5</v>
      </c>
      <c r="T114" s="106">
        <v>135.80000000000001</v>
      </c>
      <c r="U114" s="106">
        <v>134</v>
      </c>
      <c r="V114" s="106">
        <v>134</v>
      </c>
      <c r="W114" s="106">
        <v>136.30000000000001</v>
      </c>
      <c r="X114" s="106">
        <v>136.30000000000001</v>
      </c>
      <c r="Y114" s="106">
        <v>136.69999999999999</v>
      </c>
      <c r="Z114" s="106">
        <v>136.19999999999999</v>
      </c>
      <c r="AA114" s="106">
        <v>137</v>
      </c>
      <c r="AB114" s="106">
        <v>136.30000000000001</v>
      </c>
      <c r="AC114" s="106">
        <v>136.4</v>
      </c>
      <c r="AD114" s="106">
        <v>137.19999999999999</v>
      </c>
      <c r="AE114" s="106">
        <v>135.19999999999999</v>
      </c>
      <c r="AF114" s="106">
        <v>137</v>
      </c>
      <c r="AG114" s="107"/>
      <c r="AH114" s="47">
        <f t="shared" si="55"/>
        <v>137.19999999999999</v>
      </c>
      <c r="AI114" s="48">
        <f t="shared" si="56"/>
        <v>131.9</v>
      </c>
    </row>
    <row r="115" spans="1:35" x14ac:dyDescent="0.25">
      <c r="A115" s="103" t="s">
        <v>114</v>
      </c>
      <c r="B115" s="65">
        <v>130.1</v>
      </c>
      <c r="C115" s="65">
        <v>31.8</v>
      </c>
      <c r="D115" s="65">
        <v>134.4</v>
      </c>
      <c r="E115" s="65">
        <v>133</v>
      </c>
      <c r="F115" s="65">
        <v>133</v>
      </c>
      <c r="G115" s="65">
        <v>133</v>
      </c>
      <c r="H115" s="65">
        <v>133</v>
      </c>
      <c r="I115" s="65">
        <v>128</v>
      </c>
      <c r="J115" s="65">
        <v>128</v>
      </c>
      <c r="K115" s="65">
        <v>128</v>
      </c>
      <c r="L115" s="65">
        <v>132</v>
      </c>
      <c r="M115" s="65">
        <v>126.2</v>
      </c>
      <c r="N115" s="65">
        <v>130.9</v>
      </c>
      <c r="O115" s="65">
        <v>132.69999999999999</v>
      </c>
      <c r="P115" s="65">
        <v>129.9</v>
      </c>
      <c r="Q115" s="65">
        <v>134.1</v>
      </c>
      <c r="R115" s="65">
        <v>129.30000000000001</v>
      </c>
      <c r="S115" s="65">
        <v>129.30000000000001</v>
      </c>
      <c r="T115" s="65">
        <v>127.3</v>
      </c>
      <c r="U115" s="65">
        <v>132.9</v>
      </c>
      <c r="V115" s="65">
        <v>132.9</v>
      </c>
      <c r="W115" s="65">
        <v>129.80000000000001</v>
      </c>
      <c r="X115" s="65">
        <v>129.80000000000001</v>
      </c>
      <c r="Y115" s="65">
        <v>131.6</v>
      </c>
      <c r="Z115" s="65">
        <v>127.9</v>
      </c>
      <c r="AA115" s="65">
        <v>126.8</v>
      </c>
      <c r="AB115" s="65">
        <v>134.69999999999999</v>
      </c>
      <c r="AC115" s="65">
        <v>136.19999999999999</v>
      </c>
      <c r="AD115" s="65">
        <v>129.5</v>
      </c>
      <c r="AE115" s="65">
        <v>132.1</v>
      </c>
      <c r="AF115" s="65">
        <v>135.31</v>
      </c>
      <c r="AG115" s="104"/>
      <c r="AH115" s="47">
        <f t="shared" si="55"/>
        <v>136.19999999999999</v>
      </c>
      <c r="AI115" s="48">
        <f t="shared" si="56"/>
        <v>31.8</v>
      </c>
    </row>
    <row r="116" spans="1:35" ht="15.75" thickBot="1" x14ac:dyDescent="0.3">
      <c r="A116" s="103" t="s">
        <v>115</v>
      </c>
      <c r="B116" s="92">
        <v>67.5</v>
      </c>
      <c r="C116" s="92">
        <v>67.400000000000006</v>
      </c>
      <c r="D116" s="92">
        <v>67.8</v>
      </c>
      <c r="E116" s="92">
        <v>66</v>
      </c>
      <c r="F116" s="92">
        <v>66</v>
      </c>
      <c r="G116" s="92">
        <v>66</v>
      </c>
      <c r="H116" s="92">
        <v>65.8</v>
      </c>
      <c r="I116" s="92">
        <v>65.400000000000006</v>
      </c>
      <c r="J116" s="92">
        <v>65.400000000000006</v>
      </c>
      <c r="K116" s="92">
        <v>65.2</v>
      </c>
      <c r="L116" s="92">
        <v>64.099999999999994</v>
      </c>
      <c r="M116" s="92">
        <v>65.5</v>
      </c>
      <c r="N116" s="92">
        <v>65.900000000000006</v>
      </c>
      <c r="O116" s="92">
        <v>64.3</v>
      </c>
      <c r="P116" s="92">
        <v>64</v>
      </c>
      <c r="Q116" s="92">
        <v>64.599999999999994</v>
      </c>
      <c r="R116" s="92">
        <v>65.599999999999994</v>
      </c>
      <c r="S116" s="92">
        <v>64.599999999999994</v>
      </c>
      <c r="T116" s="92">
        <v>65.400000000000006</v>
      </c>
      <c r="U116" s="92">
        <v>65</v>
      </c>
      <c r="V116" s="92">
        <v>65</v>
      </c>
      <c r="W116" s="92">
        <v>65.599999999999994</v>
      </c>
      <c r="X116" s="92">
        <v>65.599999999999994</v>
      </c>
      <c r="Y116" s="92">
        <v>65</v>
      </c>
      <c r="Z116" s="92">
        <v>64.099999999999994</v>
      </c>
      <c r="AA116" s="92">
        <v>65.400000000000006</v>
      </c>
      <c r="AB116" s="92">
        <v>66</v>
      </c>
      <c r="AC116" s="92">
        <v>66.099999999999994</v>
      </c>
      <c r="AD116" s="92">
        <v>67.3</v>
      </c>
      <c r="AE116" s="92">
        <v>67.099999999999994</v>
      </c>
      <c r="AF116" s="92">
        <v>68</v>
      </c>
      <c r="AG116" s="108"/>
      <c r="AH116" s="47">
        <f t="shared" si="55"/>
        <v>68</v>
      </c>
      <c r="AI116" s="48">
        <f t="shared" si="56"/>
        <v>64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5"/>
        <v>0</v>
      </c>
      <c r="AI117" s="48">
        <f t="shared" si="56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155.66300000000001</v>
      </c>
      <c r="C118" s="111">
        <f>SUM(C22,C28,C31:C32,C66,C68:C69,C71,C73,C119:C123,C155,C161,C167,C176,C178,C190,C197,C200:C201,C208,C210,C212,C216:C218,C220:C222,C227,C233:C234,C236:C238,C246,C251)</f>
        <v>140.15899999999999</v>
      </c>
      <c r="D118" s="111">
        <f t="shared" ref="D118:O118" si="114">SUM(D22,D28,D31:D32,D66,D68:D69,D71,D73,D119:D123,D155,D161,D167,D176,D178,D190,D197,D200:D201,D208,D210,D212,D216:D218,D220:D222,D227,D233:D234,D236:D238,D246,D251)</f>
        <v>131.17699999999999</v>
      </c>
      <c r="E118" s="111">
        <f t="shared" si="114"/>
        <v>135.34</v>
      </c>
      <c r="F118" s="111">
        <f t="shared" si="114"/>
        <v>44.439999999999984</v>
      </c>
      <c r="G118" s="111">
        <f t="shared" si="114"/>
        <v>66.539999999999992</v>
      </c>
      <c r="H118" s="111">
        <f t="shared" si="114"/>
        <v>75.97999999999999</v>
      </c>
      <c r="I118" s="111">
        <f t="shared" si="114"/>
        <v>89.74</v>
      </c>
      <c r="J118" s="111">
        <f t="shared" si="114"/>
        <v>113.63999999999999</v>
      </c>
      <c r="K118" s="111">
        <f t="shared" si="114"/>
        <v>126.74</v>
      </c>
      <c r="L118" s="111">
        <f t="shared" si="114"/>
        <v>314.33999999999997</v>
      </c>
      <c r="M118" s="111">
        <f t="shared" si="114"/>
        <v>325.14</v>
      </c>
      <c r="N118" s="111">
        <f>SUM(N22,N28,N31:N32,N66,N68:N69,N71,N73,N119:N123,N155,N161,N167,N176,N178,N190,N197,N200:N201,N208,N210,N212,N216:N218,N220:N222,N227,N233:N234,N236:N238,N246,N251)</f>
        <v>327.91999999999996</v>
      </c>
      <c r="O118" s="111">
        <f t="shared" si="114"/>
        <v>313.94</v>
      </c>
      <c r="P118" s="111">
        <v>42</v>
      </c>
      <c r="Q118" s="111">
        <f t="shared" ref="Q118:AF118" si="115">SUM(Q22,Q28,Q31:Q32,Q66,Q68:Q69,Q71,Q73,Q119:Q123,Q155,Q161,Q167,Q176,Q178,Q190,Q197,Q200:Q201,Q208,Q210,Q212,Q216:Q218,Q220:Q222,Q227,Q233:Q234,Q236:Q238,Q246,Q251)</f>
        <v>228.5</v>
      </c>
      <c r="R118" s="111">
        <f t="shared" si="115"/>
        <v>247.34000000000003</v>
      </c>
      <c r="S118" s="111">
        <f t="shared" ref="S118:T118" si="116">SUM(S22,S28,S31:S32,S66,S68:S69,S71,S73,S119:S123,S155,S161,S167,S176,S178,S190,S197,S200:S201,S208,S210,S212,S216:S218,S220:S222,S227,S233:S234,S236:S238,S246,S251)</f>
        <v>235.8</v>
      </c>
      <c r="T118" s="111">
        <f t="shared" si="116"/>
        <v>230.8</v>
      </c>
      <c r="U118" s="111">
        <f t="shared" si="115"/>
        <v>232.87399999999997</v>
      </c>
      <c r="V118" s="111">
        <f t="shared" ref="V118:W118" si="117">SUM(V22,V28,V31:V32,V66,V68:V69,V71,V73,V119:V123,V155,V161,V167,V176,V178,V190,V197,V200:V201,V208,V210,V212,V216:V218,V220:V222,V227,V233:V234,V236:V238,V246,V251)</f>
        <v>229.8</v>
      </c>
      <c r="W118" s="111">
        <f t="shared" si="117"/>
        <v>238.51999999999998</v>
      </c>
      <c r="X118" s="111">
        <f t="shared" ref="X118:Z118" si="118">SUM(X22,X28,X31:X32,X66,X68:X69,X71,X73,X119:X123,X155,X161,X167,X176,X178,X190,X197,X200:X201,X208,X210,X212,X216:X218,X220:X222,X227,X233:X234,X236:X238,X246,X251)</f>
        <v>265.7</v>
      </c>
      <c r="Y118" s="111">
        <f t="shared" si="118"/>
        <v>318.3</v>
      </c>
      <c r="Z118" s="111">
        <f t="shared" si="118"/>
        <v>335.3</v>
      </c>
      <c r="AA118" s="111">
        <f t="shared" ref="AA118" si="119">SUM(AA22,AA28,AA31:AA32,AA66,AA68:AA69,AA71,AA73,AA119:AA123,AA155,AA161,AA167,AA176,AA178,AA190,AA197,AA200:AA201,AA208,AA210,AA212,AA216:AA218,AA220:AA222,AA227,AA233:AA234,AA236:AA238,AA246,AA251)</f>
        <v>320.8</v>
      </c>
      <c r="AB118" s="111">
        <f t="shared" si="115"/>
        <v>295.04000000000002</v>
      </c>
      <c r="AC118" s="111">
        <f>SUM(AC22,AC28,AC31:AC32,AC66,AC68:AC69,AC71,AC73,AC119:AC123,AC155,AC161,AC167,AC176,AC178,AC190,AC197,AC200:AC201,AC208,AC210,AC212,AC216:AC218,AC220:AC222,AC227,AC233:AC234,AC236:AC238,AC246,AC251)</f>
        <v>257.94</v>
      </c>
      <c r="AD118" s="111">
        <f t="shared" si="115"/>
        <v>264.23999999999995</v>
      </c>
      <c r="AE118" s="111">
        <f t="shared" si="115"/>
        <v>213.10000000000002</v>
      </c>
      <c r="AF118" s="111">
        <f t="shared" si="115"/>
        <v>142.13999999999999</v>
      </c>
      <c r="AG118" s="112"/>
      <c r="AH118" s="47">
        <f t="shared" si="55"/>
        <v>335.3</v>
      </c>
      <c r="AI118" s="48">
        <f t="shared" si="56"/>
        <v>42</v>
      </c>
    </row>
    <row r="119" spans="1:35" x14ac:dyDescent="0.25">
      <c r="A119" s="172" t="s">
        <v>118</v>
      </c>
      <c r="B119" s="113">
        <v>-3.6</v>
      </c>
      <c r="C119" s="113">
        <v>-5.4</v>
      </c>
      <c r="D119" s="113">
        <v>-7.4</v>
      </c>
      <c r="E119" s="113">
        <v>-16.3</v>
      </c>
      <c r="F119" s="113">
        <v>-16.7</v>
      </c>
      <c r="G119" s="113">
        <v>-15</v>
      </c>
      <c r="H119" s="113">
        <v>-5.5</v>
      </c>
      <c r="I119" s="113">
        <v>5.4</v>
      </c>
      <c r="J119" s="113">
        <v>9.5</v>
      </c>
      <c r="K119" s="113">
        <v>23.4</v>
      </c>
      <c r="L119" s="113">
        <v>32.299999999999997</v>
      </c>
      <c r="M119" s="113">
        <v>52.7</v>
      </c>
      <c r="N119" s="113">
        <v>55</v>
      </c>
      <c r="O119" s="113">
        <v>32.5</v>
      </c>
      <c r="P119" s="113">
        <v>16.899999999999999</v>
      </c>
      <c r="Q119" s="113">
        <v>11</v>
      </c>
      <c r="R119" s="113">
        <v>12.3</v>
      </c>
      <c r="S119" s="113">
        <v>1.4</v>
      </c>
      <c r="T119" s="113">
        <v>1.3</v>
      </c>
      <c r="U119" s="113">
        <v>0.3</v>
      </c>
      <c r="V119" s="113">
        <v>7.6</v>
      </c>
      <c r="W119" s="113">
        <v>1.3</v>
      </c>
      <c r="X119" s="113">
        <v>15.5</v>
      </c>
      <c r="Y119" s="113">
        <v>24.6</v>
      </c>
      <c r="Z119" s="113">
        <v>25.7</v>
      </c>
      <c r="AA119" s="113">
        <v>36.6</v>
      </c>
      <c r="AB119" s="113">
        <v>33.9</v>
      </c>
      <c r="AC119" s="113">
        <v>24.4</v>
      </c>
      <c r="AD119" s="113">
        <v>24.5</v>
      </c>
      <c r="AE119" s="113">
        <v>19.2</v>
      </c>
      <c r="AF119" s="113">
        <v>-5.8</v>
      </c>
      <c r="AG119" s="114">
        <v>75</v>
      </c>
      <c r="AH119" s="47">
        <f>MAX(B119:AF119)</f>
        <v>55</v>
      </c>
      <c r="AI119" s="48">
        <f>MIN(B119:AF119)</f>
        <v>-16.7</v>
      </c>
    </row>
    <row r="120" spans="1:35" x14ac:dyDescent="0.25">
      <c r="A120" s="173" t="s">
        <v>119</v>
      </c>
      <c r="B120" s="115">
        <v>-10.1</v>
      </c>
      <c r="C120" s="115">
        <v>-12.1</v>
      </c>
      <c r="D120" s="115">
        <v>-14.3</v>
      </c>
      <c r="E120" s="115">
        <v>-27</v>
      </c>
      <c r="F120" s="115"/>
      <c r="G120" s="115"/>
      <c r="H120" s="115"/>
      <c r="I120" s="115"/>
      <c r="J120" s="115"/>
      <c r="K120" s="115"/>
      <c r="L120" s="115">
        <v>46.2</v>
      </c>
      <c r="M120" s="115">
        <v>73.900000000000006</v>
      </c>
      <c r="N120" s="115">
        <v>76.8</v>
      </c>
      <c r="O120" s="115">
        <v>45.6</v>
      </c>
      <c r="P120" s="115">
        <v>17.399999999999999</v>
      </c>
      <c r="Q120" s="115">
        <v>5.2</v>
      </c>
      <c r="R120" s="115">
        <v>7.1</v>
      </c>
      <c r="S120" s="115">
        <v>-5.5</v>
      </c>
      <c r="T120" s="115">
        <v>-5</v>
      </c>
      <c r="U120" s="115">
        <v>-5.8</v>
      </c>
      <c r="V120" s="115">
        <v>6.4</v>
      </c>
      <c r="W120" s="115">
        <v>-2.2000000000000002</v>
      </c>
      <c r="X120" s="115">
        <v>20.7</v>
      </c>
      <c r="Y120" s="115">
        <v>31.9</v>
      </c>
      <c r="Z120" s="115">
        <v>32.9</v>
      </c>
      <c r="AA120" s="115">
        <v>48.3</v>
      </c>
      <c r="AB120" s="115">
        <v>44</v>
      </c>
      <c r="AC120" s="115">
        <v>29.2</v>
      </c>
      <c r="AD120" s="115">
        <v>24</v>
      </c>
      <c r="AE120" s="115">
        <v>19</v>
      </c>
      <c r="AF120" s="115">
        <v>-15</v>
      </c>
      <c r="AG120" s="114">
        <v>240</v>
      </c>
      <c r="AH120" s="47">
        <f>MAX(B120:AF120)</f>
        <v>76.8</v>
      </c>
      <c r="AI120" s="48">
        <f>MIN(B120:AF120)</f>
        <v>-27</v>
      </c>
    </row>
    <row r="121" spans="1:35" x14ac:dyDescent="0.25">
      <c r="A121" s="173" t="s">
        <v>120</v>
      </c>
      <c r="B121" s="115">
        <v>-7.6</v>
      </c>
      <c r="C121" s="115">
        <v>-12.4</v>
      </c>
      <c r="D121" s="115">
        <v>-12.8</v>
      </c>
      <c r="E121" s="115">
        <v>-8.9</v>
      </c>
      <c r="F121" s="115">
        <v>-14.6</v>
      </c>
      <c r="G121" s="115">
        <v>0</v>
      </c>
      <c r="H121" s="115">
        <v>1.74</v>
      </c>
      <c r="I121" s="115">
        <v>3</v>
      </c>
      <c r="J121" s="115">
        <v>15</v>
      </c>
      <c r="K121" s="115">
        <v>4</v>
      </c>
      <c r="L121" s="115">
        <v>3.9</v>
      </c>
      <c r="M121" s="115">
        <f>11.2+12.3</f>
        <v>23.5</v>
      </c>
      <c r="N121" s="115">
        <f>20+14.9</f>
        <v>34.9</v>
      </c>
      <c r="O121" s="115">
        <f>7.9+8.1</f>
        <v>16</v>
      </c>
      <c r="P121" s="115">
        <f>11+12</f>
        <v>23</v>
      </c>
      <c r="Q121" s="115">
        <f>-10-10.8</f>
        <v>-20.8</v>
      </c>
      <c r="R121" s="115">
        <f>7+7</f>
        <v>14</v>
      </c>
      <c r="S121" s="115">
        <v>16.8</v>
      </c>
      <c r="T121" s="115">
        <v>16</v>
      </c>
      <c r="U121" s="115">
        <v>16.7</v>
      </c>
      <c r="V121" s="115">
        <v>19</v>
      </c>
      <c r="W121" s="115">
        <v>10</v>
      </c>
      <c r="X121" s="115">
        <v>13</v>
      </c>
      <c r="Y121" s="115">
        <v>21</v>
      </c>
      <c r="Z121" s="115">
        <v>20</v>
      </c>
      <c r="AA121" s="115">
        <v>8</v>
      </c>
      <c r="AB121" s="115">
        <v>19</v>
      </c>
      <c r="AC121" s="115">
        <v>18</v>
      </c>
      <c r="AD121" s="115">
        <v>12</v>
      </c>
      <c r="AE121" s="115">
        <v>2.54</v>
      </c>
      <c r="AF121" s="115">
        <v>0</v>
      </c>
      <c r="AG121" s="114">
        <v>240</v>
      </c>
      <c r="AH121" s="47">
        <f>MAX(B121:AF121)</f>
        <v>34.9</v>
      </c>
      <c r="AI121" s="48">
        <f>MIN(B121:AF121)</f>
        <v>-20.8</v>
      </c>
    </row>
    <row r="122" spans="1:35" ht="15.75" thickBot="1" x14ac:dyDescent="0.3">
      <c r="A122" s="173" t="s">
        <v>121</v>
      </c>
      <c r="B122" s="115">
        <v>-3.6</v>
      </c>
      <c r="C122" s="115">
        <v>-8.5</v>
      </c>
      <c r="D122" s="115">
        <v>-5.2</v>
      </c>
      <c r="E122" s="115">
        <v>-8</v>
      </c>
      <c r="F122" s="115">
        <v>-9.8000000000000007</v>
      </c>
      <c r="G122" s="115">
        <v>-2.2000000000000002</v>
      </c>
      <c r="H122" s="115">
        <v>-4</v>
      </c>
      <c r="I122" s="115">
        <v>-2.9</v>
      </c>
      <c r="J122" s="115">
        <v>4.5999999999999996</v>
      </c>
      <c r="K122" s="115">
        <v>13.7</v>
      </c>
      <c r="L122" s="115">
        <v>14.5</v>
      </c>
      <c r="M122" s="115">
        <v>28.2</v>
      </c>
      <c r="N122" s="115">
        <v>30.6</v>
      </c>
      <c r="O122" s="115">
        <v>16</v>
      </c>
      <c r="P122" s="115">
        <v>4.4000000000000004</v>
      </c>
      <c r="Q122" s="115">
        <v>3.9</v>
      </c>
      <c r="R122" s="115">
        <v>0.3</v>
      </c>
      <c r="S122" s="115">
        <v>0.3</v>
      </c>
      <c r="T122" s="115">
        <v>-2.6</v>
      </c>
      <c r="U122" s="115">
        <v>-1</v>
      </c>
      <c r="V122" s="115">
        <v>2.7</v>
      </c>
      <c r="W122" s="115">
        <v>31.5</v>
      </c>
      <c r="X122" s="115">
        <v>10</v>
      </c>
      <c r="Y122" s="115">
        <v>30.3</v>
      </c>
      <c r="Z122" s="115">
        <v>43</v>
      </c>
      <c r="AA122" s="115">
        <v>35</v>
      </c>
      <c r="AB122" s="115">
        <v>11</v>
      </c>
      <c r="AC122" s="115">
        <v>6</v>
      </c>
      <c r="AD122" s="115">
        <v>13.2</v>
      </c>
      <c r="AE122" s="115">
        <v>4.9000000000000004</v>
      </c>
      <c r="AF122" s="115">
        <v>2.7</v>
      </c>
      <c r="AG122" s="114">
        <v>60</v>
      </c>
      <c r="AH122" s="47">
        <f>MAX(B122:AF122)</f>
        <v>43</v>
      </c>
      <c r="AI122" s="48">
        <f>MIN(B122:AF122)</f>
        <v>-9.8000000000000007</v>
      </c>
    </row>
    <row r="123" spans="1:35" x14ac:dyDescent="0.25">
      <c r="A123" s="172" t="s">
        <v>259</v>
      </c>
      <c r="B123" s="117">
        <f>56.9*1.67</f>
        <v>95.022999999999996</v>
      </c>
      <c r="C123" s="117">
        <f>55.7*1.67</f>
        <v>93.019000000000005</v>
      </c>
      <c r="D123" s="117">
        <f>51.1*1.67</f>
        <v>85.337000000000003</v>
      </c>
      <c r="E123" s="117">
        <v>110</v>
      </c>
      <c r="F123" s="117"/>
      <c r="G123" s="117"/>
      <c r="H123" s="117"/>
      <c r="I123" s="117"/>
      <c r="J123" s="117"/>
      <c r="K123" s="117"/>
      <c r="L123" s="117">
        <v>128</v>
      </c>
      <c r="M123" s="117">
        <f>35*1.64</f>
        <v>57.4</v>
      </c>
      <c r="N123" s="117">
        <f>22*1.64</f>
        <v>36.08</v>
      </c>
      <c r="O123" s="117">
        <f>65*1.64</f>
        <v>106.6</v>
      </c>
      <c r="P123" s="117">
        <f>80*1.64</f>
        <v>131.19999999999999</v>
      </c>
      <c r="Q123" s="117">
        <f>79*1.64</f>
        <v>129.56</v>
      </c>
      <c r="R123" s="117">
        <f>70*1.64</f>
        <v>114.8</v>
      </c>
      <c r="S123" s="117">
        <f>79.1*1.6</f>
        <v>126.56</v>
      </c>
      <c r="T123" s="117">
        <f>80.6*1.6</f>
        <v>128.96</v>
      </c>
      <c r="U123" s="117">
        <f>81.8*1.63</f>
        <v>133.33399999999997</v>
      </c>
      <c r="V123" s="117">
        <f>70.1*1.6</f>
        <v>112.16</v>
      </c>
      <c r="W123" s="117">
        <f>72.8*1.6</f>
        <v>116.48</v>
      </c>
      <c r="X123" s="117">
        <f>78.6*1.6</f>
        <v>125.75999999999999</v>
      </c>
      <c r="Y123" s="117">
        <f>81.1*1.6</f>
        <v>129.76</v>
      </c>
      <c r="Z123" s="117">
        <f>83.1*1.6</f>
        <v>132.96</v>
      </c>
      <c r="AA123" s="117">
        <f>70.1*1.6</f>
        <v>112.16</v>
      </c>
      <c r="AB123" s="117">
        <f>65*1.64</f>
        <v>106.6</v>
      </c>
      <c r="AC123" s="117">
        <f>70*1.64</f>
        <v>114.8</v>
      </c>
      <c r="AD123" s="117">
        <v>110</v>
      </c>
      <c r="AE123" s="117">
        <f>53*1.64</f>
        <v>86.92</v>
      </c>
      <c r="AF123" s="117">
        <v>80</v>
      </c>
      <c r="AG123" s="118">
        <v>120</v>
      </c>
      <c r="AH123" s="47">
        <f>MAX(B123:AF123)</f>
        <v>133.33399999999997</v>
      </c>
      <c r="AI123" s="48">
        <f>MIN(B123:AF123)</f>
        <v>36.08</v>
      </c>
    </row>
    <row r="124" spans="1:35" x14ac:dyDescent="0.25">
      <c r="A124" s="173" t="s">
        <v>258</v>
      </c>
      <c r="B124" s="117">
        <v>70</v>
      </c>
      <c r="C124" s="117">
        <v>68.099999999999994</v>
      </c>
      <c r="D124" s="117">
        <v>64.099999999999994</v>
      </c>
      <c r="E124" s="117">
        <v>76.2</v>
      </c>
      <c r="F124" s="117">
        <v>74.8</v>
      </c>
      <c r="G124" s="117">
        <v>82.4</v>
      </c>
      <c r="H124" s="117">
        <v>84.9</v>
      </c>
      <c r="I124" s="117">
        <v>86.6</v>
      </c>
      <c r="J124" s="117">
        <v>94</v>
      </c>
      <c r="K124" s="117">
        <v>84.8</v>
      </c>
      <c r="L124" s="117">
        <v>85.3</v>
      </c>
      <c r="M124" s="117">
        <v>47.2</v>
      </c>
      <c r="N124" s="117">
        <v>36.9</v>
      </c>
      <c r="O124" s="117">
        <v>68.2</v>
      </c>
      <c r="P124" s="117">
        <v>83.8</v>
      </c>
      <c r="Q124" s="117">
        <v>82.9</v>
      </c>
      <c r="R124" s="117">
        <v>78</v>
      </c>
      <c r="S124" s="117">
        <v>82.8</v>
      </c>
      <c r="T124" s="117">
        <v>83.9</v>
      </c>
      <c r="U124" s="117">
        <v>87.3</v>
      </c>
      <c r="V124" s="117">
        <v>76.8</v>
      </c>
      <c r="W124" s="117">
        <v>78.8</v>
      </c>
      <c r="X124" s="117">
        <v>85.9</v>
      </c>
      <c r="Y124" s="117">
        <v>87.5</v>
      </c>
      <c r="Z124" s="117">
        <v>88.3</v>
      </c>
      <c r="AA124" s="117">
        <v>78.3</v>
      </c>
      <c r="AB124" s="117">
        <v>75</v>
      </c>
      <c r="AC124" s="117">
        <v>80</v>
      </c>
      <c r="AD124" s="117">
        <v>71.2</v>
      </c>
      <c r="AE124" s="117">
        <v>66.3</v>
      </c>
      <c r="AF124" s="117">
        <v>68</v>
      </c>
      <c r="AG124" s="118"/>
      <c r="AH124" s="47"/>
      <c r="AI124" s="48"/>
    </row>
    <row r="125" spans="1:35" x14ac:dyDescent="0.25">
      <c r="A125" s="173" t="s">
        <v>255</v>
      </c>
      <c r="B125" s="117">
        <v>46.2</v>
      </c>
      <c r="C125" s="117">
        <v>49.1</v>
      </c>
      <c r="D125" s="117">
        <v>49.3</v>
      </c>
      <c r="E125" s="117">
        <v>66.900000000000006</v>
      </c>
      <c r="F125" s="117">
        <v>78</v>
      </c>
      <c r="G125" s="117">
        <v>64.5</v>
      </c>
      <c r="H125" s="117">
        <v>53.7</v>
      </c>
      <c r="I125" s="117">
        <v>40.799999999999997</v>
      </c>
      <c r="J125" s="117">
        <v>27.4</v>
      </c>
      <c r="K125" s="117">
        <v>2.5</v>
      </c>
      <c r="L125" s="117">
        <v>-5.5</v>
      </c>
      <c r="M125" s="117">
        <v>-65.7</v>
      </c>
      <c r="N125" s="117">
        <v>-75</v>
      </c>
      <c r="O125" s="117">
        <v>-22.8</v>
      </c>
      <c r="P125" s="117">
        <v>18.399999999999999</v>
      </c>
      <c r="Q125" s="117">
        <v>29.1</v>
      </c>
      <c r="R125" s="117">
        <v>28.7</v>
      </c>
      <c r="S125" s="117">
        <v>43.4</v>
      </c>
      <c r="T125" s="117">
        <v>42.7</v>
      </c>
      <c r="U125" s="117">
        <v>42.8</v>
      </c>
      <c r="V125" s="117">
        <v>23.3</v>
      </c>
      <c r="W125" s="117">
        <v>31.6</v>
      </c>
      <c r="X125" s="117">
        <v>16.7</v>
      </c>
      <c r="Y125" s="117">
        <v>-1.3</v>
      </c>
      <c r="Z125" s="117">
        <v>-2.2999999999999998</v>
      </c>
      <c r="AA125" s="117">
        <v>-13.2</v>
      </c>
      <c r="AB125" s="117">
        <v>-17</v>
      </c>
      <c r="AC125" s="117">
        <v>1.4</v>
      </c>
      <c r="AD125" s="117">
        <v>2.6</v>
      </c>
      <c r="AE125" s="117">
        <v>10.8</v>
      </c>
      <c r="AF125" s="117">
        <v>46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75</v>
      </c>
      <c r="C126" s="117">
        <v>71.5</v>
      </c>
      <c r="D126" s="117">
        <v>70</v>
      </c>
      <c r="E126" s="117">
        <v>82.7</v>
      </c>
      <c r="F126" s="117">
        <v>85.5</v>
      </c>
      <c r="G126" s="117">
        <v>93.4</v>
      </c>
      <c r="H126" s="117">
        <v>89.8</v>
      </c>
      <c r="I126" s="117">
        <v>90</v>
      </c>
      <c r="J126" s="117">
        <v>96.2</v>
      </c>
      <c r="K126" s="117">
        <v>69.7</v>
      </c>
      <c r="L126" s="117">
        <v>73.099999999999994</v>
      </c>
      <c r="M126" s="117">
        <v>79</v>
      </c>
      <c r="N126" s="117">
        <v>11</v>
      </c>
      <c r="O126" s="117">
        <v>67.900000000000006</v>
      </c>
      <c r="P126" s="117">
        <v>86.2</v>
      </c>
      <c r="Q126" s="117">
        <v>90.4</v>
      </c>
      <c r="R126" s="117">
        <v>87</v>
      </c>
      <c r="S126" s="117">
        <v>95</v>
      </c>
      <c r="T126" s="117">
        <v>88.7</v>
      </c>
      <c r="U126" s="117">
        <v>99.9</v>
      </c>
      <c r="V126" s="117">
        <v>81.7</v>
      </c>
      <c r="W126" s="117">
        <v>90.2</v>
      </c>
      <c r="X126" s="117">
        <v>102.1</v>
      </c>
      <c r="Y126" s="117">
        <v>97.7</v>
      </c>
      <c r="Z126" s="117">
        <v>89.3</v>
      </c>
      <c r="AA126" s="117">
        <v>72.5</v>
      </c>
      <c r="AB126" s="117">
        <v>53.6</v>
      </c>
      <c r="AC126" s="117">
        <v>76.900000000000006</v>
      </c>
      <c r="AD126" s="117">
        <v>65.599999999999994</v>
      </c>
      <c r="AE126" s="117">
        <v>61</v>
      </c>
      <c r="AF126" s="117">
        <v>71</v>
      </c>
      <c r="AG126" s="114"/>
      <c r="AH126" s="47">
        <f>MAX(B126:AF126)</f>
        <v>102.1</v>
      </c>
      <c r="AI126" s="48">
        <f>MIN(B126:AF126)</f>
        <v>11</v>
      </c>
    </row>
    <row r="127" spans="1:35" x14ac:dyDescent="0.25">
      <c r="A127" s="172" t="s">
        <v>587</v>
      </c>
      <c r="B127" s="117">
        <v>12.1</v>
      </c>
      <c r="C127" s="117">
        <v>10</v>
      </c>
      <c r="D127" s="117">
        <v>10.4</v>
      </c>
      <c r="E127" s="117">
        <v>26.6</v>
      </c>
      <c r="F127" s="117"/>
      <c r="G127" s="117"/>
      <c r="H127" s="117"/>
      <c r="I127" s="117"/>
      <c r="J127" s="117"/>
      <c r="K127" s="117"/>
      <c r="L127" s="117">
        <v>1.7</v>
      </c>
      <c r="M127" s="117">
        <v>-20.9</v>
      </c>
      <c r="N127" s="117">
        <v>-25.8</v>
      </c>
      <c r="O127" s="117">
        <v>-2.9</v>
      </c>
      <c r="P127" s="117">
        <v>-1</v>
      </c>
      <c r="Q127" s="117">
        <v>-13</v>
      </c>
      <c r="R127" s="117">
        <v>-14.6</v>
      </c>
      <c r="S127" s="117">
        <v>-4.7</v>
      </c>
      <c r="T127" s="117">
        <v>-4.5999999999999996</v>
      </c>
      <c r="U127" s="117">
        <v>1.2</v>
      </c>
      <c r="V127" s="117">
        <v>-3.3</v>
      </c>
      <c r="W127" s="117">
        <v>3.2</v>
      </c>
      <c r="X127" s="117">
        <v>2.2999999999999998</v>
      </c>
      <c r="Y127" s="117">
        <v>5.0999999999999996</v>
      </c>
      <c r="Z127" s="117">
        <v>6</v>
      </c>
      <c r="AA127" s="117">
        <v>0</v>
      </c>
      <c r="AB127" s="117">
        <v>6.6</v>
      </c>
      <c r="AC127" s="117">
        <v>7.2</v>
      </c>
      <c r="AD127" s="117">
        <v>0</v>
      </c>
      <c r="AE127" s="117">
        <v>1.9</v>
      </c>
      <c r="AF127" s="117">
        <v>5</v>
      </c>
      <c r="AG127" s="114"/>
      <c r="AH127" s="47">
        <f>MAX(B127:AF127)</f>
        <v>26.6</v>
      </c>
      <c r="AI127" s="48">
        <f>MIN(B127:AF127)</f>
        <v>-25.8</v>
      </c>
    </row>
    <row r="128" spans="1:35" x14ac:dyDescent="0.25">
      <c r="A128" s="173" t="s">
        <v>123</v>
      </c>
      <c r="B128" s="106">
        <v>-14.9</v>
      </c>
      <c r="C128" s="106">
        <v>-12.4</v>
      </c>
      <c r="D128" s="106">
        <v>-12.7</v>
      </c>
      <c r="E128" s="106">
        <v>-12.5</v>
      </c>
      <c r="F128" s="106">
        <v>-13.4</v>
      </c>
      <c r="G128" s="106">
        <v>-17</v>
      </c>
      <c r="H128" s="106">
        <v>-22.3</v>
      </c>
      <c r="I128" s="106">
        <v>-32.799999999999997</v>
      </c>
      <c r="J128" s="106">
        <v>-40.799999999999997</v>
      </c>
      <c r="K128" s="106">
        <v>-45</v>
      </c>
      <c r="L128" s="106">
        <v>-47.9</v>
      </c>
      <c r="M128" s="106">
        <v>-49.4</v>
      </c>
      <c r="N128" s="106">
        <v>-45.8</v>
      </c>
      <c r="O128" s="106">
        <v>-39.9</v>
      </c>
      <c r="P128" s="106">
        <v>-37.9</v>
      </c>
      <c r="Q128" s="106">
        <v>-27.6</v>
      </c>
      <c r="R128" s="106">
        <v>-30.8</v>
      </c>
      <c r="S128" s="106">
        <v>-27.9</v>
      </c>
      <c r="T128" s="106">
        <v>-29.2</v>
      </c>
      <c r="U128" s="106">
        <v>-33.1</v>
      </c>
      <c r="V128" s="106">
        <v>-45.7</v>
      </c>
      <c r="W128" s="106">
        <v>-45.3</v>
      </c>
      <c r="X128" s="106">
        <v>-54.2</v>
      </c>
      <c r="Y128" s="106">
        <v>-64</v>
      </c>
      <c r="Z128" s="106">
        <v>-59.9</v>
      </c>
      <c r="AA128" s="106">
        <v>-48.9</v>
      </c>
      <c r="AB128" s="106">
        <v>-41</v>
      </c>
      <c r="AC128" s="106">
        <v>-33.4</v>
      </c>
      <c r="AD128" s="106">
        <v>-31</v>
      </c>
      <c r="AE128" s="106">
        <v>-20</v>
      </c>
      <c r="AF128" s="106">
        <v>-17</v>
      </c>
      <c r="AG128" s="114"/>
      <c r="AH128" s="47">
        <f>MAX(B128:AF128)</f>
        <v>-12.4</v>
      </c>
      <c r="AI128" s="48">
        <f>MIN(B128:AF128)</f>
        <v>-64</v>
      </c>
    </row>
    <row r="129" spans="1:37" x14ac:dyDescent="0.25">
      <c r="A129" s="173" t="s">
        <v>260</v>
      </c>
      <c r="B129" s="106">
        <v>-18</v>
      </c>
      <c r="C129" s="106">
        <v>-16.100000000000001</v>
      </c>
      <c r="D129" s="106">
        <v>-16.8</v>
      </c>
      <c r="E129" s="106">
        <v>-26.4</v>
      </c>
      <c r="F129" s="106">
        <v>-28.2</v>
      </c>
      <c r="G129" s="106">
        <v>-32.799999999999997</v>
      </c>
      <c r="H129" s="106">
        <v>-28.5</v>
      </c>
      <c r="I129" s="106">
        <v>-25.7</v>
      </c>
      <c r="J129" s="106">
        <v>-29.7</v>
      </c>
      <c r="K129" s="106">
        <v>-7.5</v>
      </c>
      <c r="L129" s="106">
        <v>-1.5</v>
      </c>
      <c r="M129" s="106">
        <v>9.8000000000000007</v>
      </c>
      <c r="N129" s="106">
        <v>18.100000000000001</v>
      </c>
      <c r="O129" s="106">
        <v>-5.5</v>
      </c>
      <c r="P129" s="106">
        <v>-33.299999999999997</v>
      </c>
      <c r="Q129" s="106">
        <v>-22.3</v>
      </c>
      <c r="R129" s="106">
        <v>-21.3</v>
      </c>
      <c r="S129" s="106">
        <v>-31.1</v>
      </c>
      <c r="T129" s="106">
        <v>-28</v>
      </c>
      <c r="U129" s="106">
        <v>-31.7</v>
      </c>
      <c r="V129" s="106">
        <v>-31.1</v>
      </c>
      <c r="W129" s="106">
        <v>-9.4</v>
      </c>
      <c r="X129" s="106">
        <v>-15</v>
      </c>
      <c r="Y129" s="106">
        <v>-3.4</v>
      </c>
      <c r="Z129" s="106">
        <v>5.2</v>
      </c>
      <c r="AA129" s="106">
        <v>26.4</v>
      </c>
      <c r="AB129" s="106">
        <v>-13</v>
      </c>
      <c r="AC129" s="106">
        <v>-21.4</v>
      </c>
      <c r="AD129" s="106">
        <v>-12.8</v>
      </c>
      <c r="AE129" s="106">
        <v>-10</v>
      </c>
      <c r="AF129" s="106">
        <v>-19</v>
      </c>
      <c r="AG129" s="114"/>
      <c r="AH129" s="47">
        <f>MAX(B129:AF129)</f>
        <v>26.4</v>
      </c>
      <c r="AI129" s="48">
        <f>MIN(B129:AF129)</f>
        <v>-33.299999999999997</v>
      </c>
    </row>
    <row r="130" spans="1:37" ht="15.75" thickBot="1" x14ac:dyDescent="0.3">
      <c r="A130" s="173" t="s">
        <v>257</v>
      </c>
      <c r="B130" s="106">
        <v>100.7</v>
      </c>
      <c r="C130" s="106">
        <v>89.2</v>
      </c>
      <c r="D130" s="106">
        <v>95</v>
      </c>
      <c r="E130" s="106">
        <v>95.9</v>
      </c>
      <c r="F130" s="106"/>
      <c r="G130" s="106"/>
      <c r="H130" s="106"/>
      <c r="I130" s="106"/>
      <c r="J130" s="106"/>
      <c r="K130" s="106"/>
      <c r="L130" s="106">
        <v>101.9</v>
      </c>
      <c r="M130" s="117"/>
      <c r="N130" s="117">
        <v>96.8</v>
      </c>
      <c r="O130" s="117">
        <v>98.2</v>
      </c>
      <c r="P130" s="117">
        <v>102</v>
      </c>
      <c r="Q130" s="117">
        <v>109.6</v>
      </c>
      <c r="R130" s="117">
        <v>105.4</v>
      </c>
      <c r="S130" s="117">
        <v>109.5</v>
      </c>
      <c r="T130" s="117">
        <v>108.5</v>
      </c>
      <c r="U130" s="106">
        <v>112.7</v>
      </c>
      <c r="V130" s="106">
        <v>115.9</v>
      </c>
      <c r="W130" s="106">
        <v>113.1</v>
      </c>
      <c r="X130" s="106">
        <v>95.5</v>
      </c>
      <c r="Y130" s="106">
        <v>117.7</v>
      </c>
      <c r="Z130" s="106">
        <v>112.6</v>
      </c>
      <c r="AA130" s="106">
        <v>101.6</v>
      </c>
      <c r="AB130" s="106">
        <v>93.6</v>
      </c>
      <c r="AC130" s="106">
        <v>97</v>
      </c>
      <c r="AD130" s="106">
        <v>97</v>
      </c>
      <c r="AE130" s="106">
        <v>104</v>
      </c>
      <c r="AF130" s="106">
        <v>92</v>
      </c>
      <c r="AG130" s="114"/>
      <c r="AH130" s="47">
        <f>MAX(B130:AF130)</f>
        <v>117.7</v>
      </c>
      <c r="AI130" s="48">
        <f>MIN(B130:AF130)</f>
        <v>89.2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17"/>
      <c r="N131" s="117"/>
      <c r="O131" s="117"/>
      <c r="P131" s="117"/>
      <c r="Q131" s="117"/>
      <c r="R131" s="117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86">
        <v>1983.35</v>
      </c>
      <c r="C132" s="186">
        <v>1983.6</v>
      </c>
      <c r="D132" s="186">
        <v>1983.85</v>
      </c>
      <c r="E132" s="186">
        <v>1984.1</v>
      </c>
      <c r="F132" s="186">
        <v>1984.35</v>
      </c>
      <c r="G132" s="186">
        <v>1984.52</v>
      </c>
      <c r="H132" s="186"/>
      <c r="I132" s="186">
        <v>1984.65</v>
      </c>
      <c r="J132" s="186"/>
      <c r="K132" s="186">
        <v>1984.39</v>
      </c>
      <c r="L132" s="186"/>
      <c r="M132" s="117">
        <v>1983.2</v>
      </c>
      <c r="N132" s="117">
        <v>1982.52</v>
      </c>
      <c r="O132" s="117">
        <v>1982.6</v>
      </c>
      <c r="P132" s="117">
        <v>1982.89</v>
      </c>
      <c r="Q132" s="117">
        <v>1982.98</v>
      </c>
      <c r="R132" s="117">
        <v>1983.08</v>
      </c>
      <c r="S132" s="147">
        <v>1983.27</v>
      </c>
      <c r="T132" s="147">
        <v>1983.48</v>
      </c>
      <c r="U132" s="147">
        <v>1983.68</v>
      </c>
      <c r="V132" s="147">
        <v>1983.9</v>
      </c>
      <c r="W132" s="147"/>
      <c r="X132" s="147">
        <v>1984.1</v>
      </c>
      <c r="Y132" s="147"/>
      <c r="Z132" s="147">
        <v>1983.95</v>
      </c>
      <c r="AA132" s="147"/>
      <c r="AB132" s="147">
        <v>1983</v>
      </c>
      <c r="AC132" s="147"/>
      <c r="AD132" s="147">
        <v>1982.74</v>
      </c>
      <c r="AE132" s="147">
        <v>1982.85</v>
      </c>
      <c r="AF132" s="148">
        <v>1983.1</v>
      </c>
      <c r="AG132" s="149"/>
      <c r="AH132" s="47"/>
      <c r="AI132" s="48"/>
    </row>
    <row r="133" spans="1:37" x14ac:dyDescent="0.25">
      <c r="A133" s="185" t="s">
        <v>238</v>
      </c>
      <c r="B133" s="187">
        <v>519.85</v>
      </c>
      <c r="C133" s="187">
        <v>520.23</v>
      </c>
      <c r="D133" s="187">
        <v>520.58000000000004</v>
      </c>
      <c r="E133" s="187">
        <v>520.9</v>
      </c>
      <c r="F133" s="187">
        <v>521.26</v>
      </c>
      <c r="G133" s="187">
        <v>521.54</v>
      </c>
      <c r="H133" s="187"/>
      <c r="I133" s="187">
        <v>521.65</v>
      </c>
      <c r="J133" s="187"/>
      <c r="K133" s="187">
        <v>521.48</v>
      </c>
      <c r="L133" s="187"/>
      <c r="M133" s="117">
        <v>521.20000000000005</v>
      </c>
      <c r="N133" s="117">
        <v>520.70000000000005</v>
      </c>
      <c r="O133" s="117">
        <v>520.28</v>
      </c>
      <c r="P133" s="117">
        <v>520.1</v>
      </c>
      <c r="Q133" s="117">
        <v>519.96</v>
      </c>
      <c r="R133" s="117">
        <v>519.74</v>
      </c>
      <c r="S133" s="150">
        <v>519.69000000000005</v>
      </c>
      <c r="T133" s="150">
        <v>519.77</v>
      </c>
      <c r="U133" s="150">
        <v>519.94000000000005</v>
      </c>
      <c r="V133" s="150">
        <v>520.07000000000005</v>
      </c>
      <c r="W133" s="150"/>
      <c r="X133" s="150">
        <v>520.14</v>
      </c>
      <c r="Y133" s="150"/>
      <c r="Z133" s="150">
        <v>519.86</v>
      </c>
      <c r="AA133" s="150"/>
      <c r="AB133" s="150">
        <v>519.24</v>
      </c>
      <c r="AC133" s="150"/>
      <c r="AD133" s="150">
        <v>518.88</v>
      </c>
      <c r="AE133" s="150">
        <v>518.94000000000005</v>
      </c>
      <c r="AF133" s="151">
        <v>519.22</v>
      </c>
      <c r="AG133" s="149"/>
      <c r="AH133" s="47"/>
      <c r="AI133" s="48"/>
    </row>
    <row r="134" spans="1:37" x14ac:dyDescent="0.25">
      <c r="A134" s="185" t="s">
        <v>239</v>
      </c>
      <c r="B134" s="187">
        <v>622.9</v>
      </c>
      <c r="C134" s="187">
        <v>623.26</v>
      </c>
      <c r="D134" s="187">
        <v>623.66999999999996</v>
      </c>
      <c r="E134" s="187">
        <v>624.08000000000004</v>
      </c>
      <c r="F134" s="187">
        <v>624.35</v>
      </c>
      <c r="G134" s="187">
        <v>624.37</v>
      </c>
      <c r="H134" s="187"/>
      <c r="I134" s="187">
        <v>624.24</v>
      </c>
      <c r="J134" s="187"/>
      <c r="K134" s="187">
        <v>624.20000000000005</v>
      </c>
      <c r="L134" s="187"/>
      <c r="M134" s="117">
        <v>623.71</v>
      </c>
      <c r="N134" s="117">
        <v>623.03</v>
      </c>
      <c r="O134" s="117">
        <v>622.54999999999995</v>
      </c>
      <c r="P134" s="117">
        <v>621.54</v>
      </c>
      <c r="Q134" s="117">
        <v>620.94000000000005</v>
      </c>
      <c r="R134" s="117">
        <v>621.48</v>
      </c>
      <c r="S134" s="150">
        <v>622.82000000000005</v>
      </c>
      <c r="T134" s="150">
        <v>622.97</v>
      </c>
      <c r="U134" s="150">
        <v>622.95000000000005</v>
      </c>
      <c r="V134" s="150">
        <v>622.89</v>
      </c>
      <c r="W134" s="150"/>
      <c r="X134" s="150">
        <v>622.91</v>
      </c>
      <c r="Y134" s="150"/>
      <c r="Z134" s="150">
        <v>622.75</v>
      </c>
      <c r="AA134" s="150"/>
      <c r="AB134" s="150">
        <v>621.69000000000005</v>
      </c>
      <c r="AC134" s="150"/>
      <c r="AD134" s="150">
        <v>621.75</v>
      </c>
      <c r="AE134" s="150">
        <v>622</v>
      </c>
      <c r="AF134" s="151">
        <v>622.52</v>
      </c>
      <c r="AG134" s="149"/>
      <c r="AH134" s="47"/>
      <c r="AI134" s="48"/>
    </row>
    <row r="135" spans="1:37" x14ac:dyDescent="0.25">
      <c r="A135" s="185" t="s">
        <v>240</v>
      </c>
      <c r="B135" s="187">
        <v>334.75</v>
      </c>
      <c r="C135" s="187">
        <v>334.99</v>
      </c>
      <c r="D135" s="187">
        <v>335.29</v>
      </c>
      <c r="E135" s="187">
        <v>335.57</v>
      </c>
      <c r="F135" s="187">
        <v>335.84</v>
      </c>
      <c r="G135" s="187">
        <v>336.06</v>
      </c>
      <c r="H135" s="187"/>
      <c r="I135" s="187">
        <v>336.12</v>
      </c>
      <c r="J135" s="187"/>
      <c r="K135" s="187">
        <v>335.86</v>
      </c>
      <c r="L135" s="187"/>
      <c r="M135" s="117">
        <v>335.43</v>
      </c>
      <c r="N135" s="117">
        <v>334.87</v>
      </c>
      <c r="O135" s="117">
        <v>334.32</v>
      </c>
      <c r="P135" s="117">
        <v>334.03</v>
      </c>
      <c r="Q135" s="117">
        <v>333.85</v>
      </c>
      <c r="R135" s="117">
        <v>334.29</v>
      </c>
      <c r="S135" s="150">
        <v>334.86</v>
      </c>
      <c r="T135" s="150">
        <v>335.34</v>
      </c>
      <c r="U135" s="150">
        <v>335.94</v>
      </c>
      <c r="V135" s="150">
        <v>336.37</v>
      </c>
      <c r="W135" s="150"/>
      <c r="X135" s="150">
        <v>336.56</v>
      </c>
      <c r="Y135" s="150"/>
      <c r="Z135" s="150">
        <v>336.42</v>
      </c>
      <c r="AA135" s="150"/>
      <c r="AB135" s="150">
        <v>335.9</v>
      </c>
      <c r="AC135" s="150"/>
      <c r="AD135" s="150">
        <v>335.39</v>
      </c>
      <c r="AE135" s="150">
        <v>334.86</v>
      </c>
      <c r="AF135" s="151">
        <v>334.8</v>
      </c>
      <c r="AG135" s="149"/>
      <c r="AH135" s="47"/>
      <c r="AI135" s="48"/>
    </row>
    <row r="136" spans="1:37" x14ac:dyDescent="0.25">
      <c r="A136" s="185" t="s">
        <v>384</v>
      </c>
      <c r="B136" s="187">
        <v>882.7</v>
      </c>
      <c r="C136" s="187">
        <v>883.6</v>
      </c>
      <c r="D136" s="187">
        <v>884.3</v>
      </c>
      <c r="E136" s="187">
        <v>884.9</v>
      </c>
      <c r="F136" s="187">
        <v>885.6</v>
      </c>
      <c r="G136" s="187">
        <v>886</v>
      </c>
      <c r="H136" s="187"/>
      <c r="I136" s="187">
        <v>886.5</v>
      </c>
      <c r="J136" s="187"/>
      <c r="K136" s="187">
        <v>886.2</v>
      </c>
      <c r="L136" s="187"/>
      <c r="M136" s="117">
        <v>885.9</v>
      </c>
      <c r="N136" s="117">
        <v>885.8</v>
      </c>
      <c r="O136" s="117">
        <v>885.6</v>
      </c>
      <c r="P136" s="117">
        <v>885.1</v>
      </c>
      <c r="Q136" s="117">
        <v>884.9</v>
      </c>
      <c r="R136" s="117">
        <v>885.4</v>
      </c>
      <c r="S136" s="150">
        <v>885.9</v>
      </c>
      <c r="T136" s="150">
        <v>886.4</v>
      </c>
      <c r="U136" s="150">
        <v>887</v>
      </c>
      <c r="V136" s="150">
        <v>887.2</v>
      </c>
      <c r="W136" s="150"/>
      <c r="X136" s="150">
        <v>886.6</v>
      </c>
      <c r="Y136" s="150"/>
      <c r="Z136" s="150">
        <v>886</v>
      </c>
      <c r="AA136" s="150"/>
      <c r="AB136" s="150">
        <v>884.3</v>
      </c>
      <c r="AC136" s="150"/>
      <c r="AD136" s="150">
        <v>883.4</v>
      </c>
      <c r="AE136" s="150">
        <v>882.9</v>
      </c>
      <c r="AF136" s="151">
        <v>882.3</v>
      </c>
      <c r="AG136" s="149"/>
      <c r="AH136" s="47"/>
      <c r="AI136" s="48"/>
    </row>
    <row r="137" spans="1:37" ht="15.75" thickBot="1" x14ac:dyDescent="0.3">
      <c r="A137" s="185" t="s">
        <v>241</v>
      </c>
      <c r="B137" s="188">
        <v>1519.74</v>
      </c>
      <c r="C137" s="188"/>
      <c r="D137" s="188"/>
      <c r="E137" s="188">
        <v>1519.75</v>
      </c>
      <c r="F137" s="188"/>
      <c r="G137" s="188"/>
      <c r="H137" s="188"/>
      <c r="I137" s="188"/>
      <c r="J137" s="188"/>
      <c r="K137" s="188"/>
      <c r="L137" s="188"/>
      <c r="M137" s="117"/>
      <c r="N137" s="117"/>
      <c r="O137" s="117"/>
      <c r="P137" s="117"/>
      <c r="Q137" s="117"/>
      <c r="R137" s="117"/>
      <c r="S137" s="152"/>
      <c r="T137" s="152"/>
      <c r="U137" s="152"/>
      <c r="V137" s="152">
        <v>1519.75</v>
      </c>
      <c r="W137" s="152"/>
      <c r="X137" s="152"/>
      <c r="Y137" s="152"/>
      <c r="Z137" s="152"/>
      <c r="AA137" s="152">
        <v>1519.73</v>
      </c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20">SUM(B139:B243)</f>
        <v>0</v>
      </c>
      <c r="C244" s="134">
        <f t="shared" si="120"/>
        <v>0</v>
      </c>
      <c r="D244" s="134">
        <f t="shared" si="120"/>
        <v>0</v>
      </c>
      <c r="E244" s="134">
        <f t="shared" si="120"/>
        <v>0</v>
      </c>
      <c r="F244" s="134">
        <f t="shared" si="120"/>
        <v>0</v>
      </c>
      <c r="G244" s="134">
        <f t="shared" si="120"/>
        <v>0</v>
      </c>
      <c r="H244" s="134">
        <f t="shared" si="120"/>
        <v>0</v>
      </c>
      <c r="I244" s="134">
        <f t="shared" si="120"/>
        <v>0</v>
      </c>
      <c r="J244" s="134">
        <f t="shared" si="120"/>
        <v>0</v>
      </c>
      <c r="K244" s="134">
        <f t="shared" si="120"/>
        <v>0</v>
      </c>
      <c r="L244" s="134">
        <f t="shared" si="120"/>
        <v>0</v>
      </c>
      <c r="M244" s="134">
        <f t="shared" si="120"/>
        <v>0</v>
      </c>
      <c r="N244" s="134">
        <f t="shared" si="120"/>
        <v>0</v>
      </c>
      <c r="O244" s="134">
        <f t="shared" si="120"/>
        <v>0</v>
      </c>
      <c r="P244" s="134">
        <f t="shared" si="120"/>
        <v>0</v>
      </c>
      <c r="Q244" s="134">
        <f t="shared" si="120"/>
        <v>0</v>
      </c>
      <c r="R244" s="134">
        <f t="shared" si="120"/>
        <v>0</v>
      </c>
      <c r="S244" s="134">
        <f t="shared" si="120"/>
        <v>0</v>
      </c>
      <c r="T244" s="134">
        <f t="shared" si="120"/>
        <v>0</v>
      </c>
      <c r="U244" s="134">
        <f t="shared" si="120"/>
        <v>0</v>
      </c>
      <c r="V244" s="134">
        <f t="shared" si="120"/>
        <v>0</v>
      </c>
      <c r="W244" s="134">
        <f t="shared" si="120"/>
        <v>0</v>
      </c>
      <c r="X244" s="134">
        <f t="shared" si="120"/>
        <v>0</v>
      </c>
      <c r="Y244" s="134">
        <f t="shared" si="120"/>
        <v>0</v>
      </c>
      <c r="Z244" s="134">
        <f t="shared" si="120"/>
        <v>0</v>
      </c>
      <c r="AA244" s="134">
        <f t="shared" si="120"/>
        <v>0</v>
      </c>
      <c r="AB244" s="134">
        <f t="shared" si="120"/>
        <v>0</v>
      </c>
      <c r="AC244" s="134">
        <f t="shared" si="120"/>
        <v>0</v>
      </c>
      <c r="AD244" s="134">
        <f t="shared" si="120"/>
        <v>0</v>
      </c>
      <c r="AE244" s="134">
        <f t="shared" si="120"/>
        <v>0</v>
      </c>
      <c r="AF244" s="135">
        <f t="shared" si="120"/>
        <v>0</v>
      </c>
      <c r="AG244" s="136">
        <f t="shared" si="12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21">AF246</f>
        <v>0.3</v>
      </c>
      <c r="C246" s="138">
        <v>0.3</v>
      </c>
      <c r="D246" s="138">
        <f t="shared" ref="D246:S251" si="122">C246</f>
        <v>0.3</v>
      </c>
      <c r="E246" s="138">
        <f t="shared" si="122"/>
        <v>0.3</v>
      </c>
      <c r="F246" s="138">
        <f t="shared" si="122"/>
        <v>0.3</v>
      </c>
      <c r="G246" s="138">
        <f t="shared" si="122"/>
        <v>0.3</v>
      </c>
      <c r="H246" s="138">
        <f t="shared" si="122"/>
        <v>0.3</v>
      </c>
      <c r="I246" s="138">
        <f t="shared" si="122"/>
        <v>0.3</v>
      </c>
      <c r="J246" s="138">
        <f t="shared" si="122"/>
        <v>0.3</v>
      </c>
      <c r="K246" s="138">
        <f t="shared" si="122"/>
        <v>0.3</v>
      </c>
      <c r="L246" s="138">
        <f t="shared" si="122"/>
        <v>0.3</v>
      </c>
      <c r="M246" s="138">
        <f t="shared" si="122"/>
        <v>0.3</v>
      </c>
      <c r="N246" s="138">
        <f t="shared" si="122"/>
        <v>0.3</v>
      </c>
      <c r="O246" s="138">
        <f t="shared" si="122"/>
        <v>0.3</v>
      </c>
      <c r="P246" s="138">
        <f t="shared" si="122"/>
        <v>0.3</v>
      </c>
      <c r="Q246" s="138">
        <f t="shared" si="122"/>
        <v>0.3</v>
      </c>
      <c r="R246" s="138">
        <f t="shared" si="122"/>
        <v>0.3</v>
      </c>
      <c r="S246" s="138">
        <f t="shared" si="122"/>
        <v>0.3</v>
      </c>
      <c r="T246" s="138">
        <f t="shared" ref="T246:AF251" si="123">S246</f>
        <v>0.3</v>
      </c>
      <c r="U246" s="138">
        <f t="shared" si="123"/>
        <v>0.3</v>
      </c>
      <c r="V246" s="138">
        <f t="shared" si="123"/>
        <v>0.3</v>
      </c>
      <c r="W246" s="138">
        <f t="shared" si="123"/>
        <v>0.3</v>
      </c>
      <c r="X246" s="138">
        <f t="shared" si="123"/>
        <v>0.3</v>
      </c>
      <c r="Y246" s="138">
        <f t="shared" si="123"/>
        <v>0.3</v>
      </c>
      <c r="Z246" s="138">
        <f t="shared" si="123"/>
        <v>0.3</v>
      </c>
      <c r="AA246" s="138">
        <f t="shared" si="123"/>
        <v>0.3</v>
      </c>
      <c r="AB246" s="138">
        <f t="shared" si="123"/>
        <v>0.3</v>
      </c>
      <c r="AC246" s="138">
        <f t="shared" si="123"/>
        <v>0.3</v>
      </c>
      <c r="AD246" s="138">
        <f t="shared" si="123"/>
        <v>0.3</v>
      </c>
      <c r="AE246" s="138">
        <f t="shared" si="123"/>
        <v>0.3</v>
      </c>
      <c r="AF246" s="138">
        <f t="shared" si="12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21"/>
        <v>0.4</v>
      </c>
      <c r="C247" s="126">
        <v>0.4</v>
      </c>
      <c r="D247" s="126">
        <f t="shared" si="122"/>
        <v>0.4</v>
      </c>
      <c r="E247" s="126">
        <f t="shared" si="122"/>
        <v>0.4</v>
      </c>
      <c r="F247" s="126">
        <f t="shared" si="122"/>
        <v>0.4</v>
      </c>
      <c r="G247" s="126">
        <f t="shared" si="122"/>
        <v>0.4</v>
      </c>
      <c r="H247" s="126">
        <f t="shared" si="122"/>
        <v>0.4</v>
      </c>
      <c r="I247" s="126">
        <f t="shared" si="122"/>
        <v>0.4</v>
      </c>
      <c r="J247" s="126">
        <f t="shared" si="122"/>
        <v>0.4</v>
      </c>
      <c r="K247" s="126">
        <f t="shared" si="122"/>
        <v>0.4</v>
      </c>
      <c r="L247" s="126">
        <f t="shared" si="122"/>
        <v>0.4</v>
      </c>
      <c r="M247" s="126">
        <f t="shared" si="122"/>
        <v>0.4</v>
      </c>
      <c r="N247" s="126">
        <f t="shared" si="122"/>
        <v>0.4</v>
      </c>
      <c r="O247" s="126">
        <f t="shared" si="122"/>
        <v>0.4</v>
      </c>
      <c r="P247" s="126">
        <f t="shared" si="122"/>
        <v>0.4</v>
      </c>
      <c r="Q247" s="126">
        <f t="shared" si="122"/>
        <v>0.4</v>
      </c>
      <c r="R247" s="126">
        <f t="shared" si="122"/>
        <v>0.4</v>
      </c>
      <c r="S247" s="126">
        <f t="shared" si="122"/>
        <v>0.4</v>
      </c>
      <c r="T247" s="126">
        <f t="shared" si="123"/>
        <v>0.4</v>
      </c>
      <c r="U247" s="126">
        <f t="shared" si="123"/>
        <v>0.4</v>
      </c>
      <c r="V247" s="126">
        <f t="shared" si="123"/>
        <v>0.4</v>
      </c>
      <c r="W247" s="126">
        <f t="shared" si="123"/>
        <v>0.4</v>
      </c>
      <c r="X247" s="126">
        <f t="shared" si="123"/>
        <v>0.4</v>
      </c>
      <c r="Y247" s="126">
        <f t="shared" si="123"/>
        <v>0.4</v>
      </c>
      <c r="Z247" s="126">
        <f t="shared" si="123"/>
        <v>0.4</v>
      </c>
      <c r="AA247" s="126">
        <f t="shared" si="123"/>
        <v>0.4</v>
      </c>
      <c r="AB247" s="126">
        <f t="shared" si="123"/>
        <v>0.4</v>
      </c>
      <c r="AC247" s="126">
        <f t="shared" si="123"/>
        <v>0.4</v>
      </c>
      <c r="AD247" s="126">
        <f t="shared" si="123"/>
        <v>0.4</v>
      </c>
      <c r="AE247" s="126">
        <f t="shared" si="123"/>
        <v>0.4</v>
      </c>
      <c r="AF247" s="126">
        <f t="shared" si="12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21"/>
        <v>1.5</v>
      </c>
      <c r="C248" s="126">
        <v>1.5</v>
      </c>
      <c r="D248" s="126">
        <f t="shared" si="122"/>
        <v>1.5</v>
      </c>
      <c r="E248" s="126">
        <f t="shared" si="122"/>
        <v>1.5</v>
      </c>
      <c r="F248" s="126">
        <f t="shared" si="122"/>
        <v>1.5</v>
      </c>
      <c r="G248" s="126">
        <f t="shared" si="122"/>
        <v>1.5</v>
      </c>
      <c r="H248" s="126">
        <f t="shared" si="122"/>
        <v>1.5</v>
      </c>
      <c r="I248" s="126">
        <f t="shared" si="122"/>
        <v>1.5</v>
      </c>
      <c r="J248" s="126">
        <f t="shared" si="122"/>
        <v>1.5</v>
      </c>
      <c r="K248" s="126">
        <f t="shared" si="122"/>
        <v>1.5</v>
      </c>
      <c r="L248" s="126">
        <f t="shared" si="122"/>
        <v>1.5</v>
      </c>
      <c r="M248" s="126">
        <f t="shared" si="122"/>
        <v>1.5</v>
      </c>
      <c r="N248" s="126">
        <f t="shared" si="122"/>
        <v>1.5</v>
      </c>
      <c r="O248" s="126">
        <f t="shared" si="122"/>
        <v>1.5</v>
      </c>
      <c r="P248" s="126">
        <f t="shared" si="122"/>
        <v>1.5</v>
      </c>
      <c r="Q248" s="126">
        <f t="shared" si="122"/>
        <v>1.5</v>
      </c>
      <c r="R248" s="126">
        <f t="shared" si="122"/>
        <v>1.5</v>
      </c>
      <c r="S248" s="126">
        <f t="shared" si="122"/>
        <v>1.5</v>
      </c>
      <c r="T248" s="126">
        <f t="shared" si="123"/>
        <v>1.5</v>
      </c>
      <c r="U248" s="126">
        <f t="shared" si="123"/>
        <v>1.5</v>
      </c>
      <c r="V248" s="126">
        <f t="shared" si="123"/>
        <v>1.5</v>
      </c>
      <c r="W248" s="126">
        <f t="shared" si="123"/>
        <v>1.5</v>
      </c>
      <c r="X248" s="126">
        <f t="shared" si="123"/>
        <v>1.5</v>
      </c>
      <c r="Y248" s="126">
        <f t="shared" si="123"/>
        <v>1.5</v>
      </c>
      <c r="Z248" s="126">
        <f t="shared" si="123"/>
        <v>1.5</v>
      </c>
      <c r="AA248" s="126">
        <f t="shared" si="123"/>
        <v>1.5</v>
      </c>
      <c r="AB248" s="126">
        <f t="shared" si="123"/>
        <v>1.5</v>
      </c>
      <c r="AC248" s="126">
        <f t="shared" si="123"/>
        <v>1.5</v>
      </c>
      <c r="AD248" s="126">
        <f t="shared" si="123"/>
        <v>1.5</v>
      </c>
      <c r="AE248" s="126">
        <f t="shared" si="123"/>
        <v>1.5</v>
      </c>
      <c r="AF248" s="126">
        <f t="shared" si="12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21"/>
        <v>0.3</v>
      </c>
      <c r="C249" s="126">
        <v>0.3</v>
      </c>
      <c r="D249" s="126">
        <f t="shared" si="122"/>
        <v>0.3</v>
      </c>
      <c r="E249" s="126">
        <f t="shared" si="122"/>
        <v>0.3</v>
      </c>
      <c r="F249" s="126">
        <f t="shared" si="122"/>
        <v>0.3</v>
      </c>
      <c r="G249" s="126">
        <f t="shared" si="122"/>
        <v>0.3</v>
      </c>
      <c r="H249" s="126">
        <f t="shared" si="122"/>
        <v>0.3</v>
      </c>
      <c r="I249" s="126">
        <f t="shared" si="122"/>
        <v>0.3</v>
      </c>
      <c r="J249" s="126">
        <f t="shared" si="122"/>
        <v>0.3</v>
      </c>
      <c r="K249" s="126">
        <f t="shared" si="122"/>
        <v>0.3</v>
      </c>
      <c r="L249" s="126">
        <f t="shared" si="122"/>
        <v>0.3</v>
      </c>
      <c r="M249" s="126">
        <f t="shared" si="122"/>
        <v>0.3</v>
      </c>
      <c r="N249" s="126">
        <f t="shared" si="122"/>
        <v>0.3</v>
      </c>
      <c r="O249" s="126">
        <f t="shared" si="122"/>
        <v>0.3</v>
      </c>
      <c r="P249" s="126">
        <f t="shared" si="122"/>
        <v>0.3</v>
      </c>
      <c r="Q249" s="126">
        <f t="shared" si="122"/>
        <v>0.3</v>
      </c>
      <c r="R249" s="126">
        <f t="shared" si="122"/>
        <v>0.3</v>
      </c>
      <c r="S249" s="126">
        <f t="shared" si="122"/>
        <v>0.3</v>
      </c>
      <c r="T249" s="126">
        <f t="shared" si="123"/>
        <v>0.3</v>
      </c>
      <c r="U249" s="126">
        <f t="shared" si="123"/>
        <v>0.3</v>
      </c>
      <c r="V249" s="126">
        <f t="shared" si="123"/>
        <v>0.3</v>
      </c>
      <c r="W249" s="126">
        <f t="shared" si="123"/>
        <v>0.3</v>
      </c>
      <c r="X249" s="126">
        <f t="shared" si="123"/>
        <v>0.3</v>
      </c>
      <c r="Y249" s="126">
        <f t="shared" si="123"/>
        <v>0.3</v>
      </c>
      <c r="Z249" s="126">
        <f t="shared" si="123"/>
        <v>0.3</v>
      </c>
      <c r="AA249" s="126">
        <f t="shared" si="123"/>
        <v>0.3</v>
      </c>
      <c r="AB249" s="126">
        <f t="shared" si="123"/>
        <v>0.3</v>
      </c>
      <c r="AC249" s="126">
        <f t="shared" si="123"/>
        <v>0.3</v>
      </c>
      <c r="AD249" s="126">
        <f t="shared" si="123"/>
        <v>0.3</v>
      </c>
      <c r="AE249" s="126">
        <f t="shared" si="123"/>
        <v>0.3</v>
      </c>
      <c r="AF249" s="126">
        <f t="shared" si="12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21"/>
        <v>0.4</v>
      </c>
      <c r="C250" s="126">
        <v>0.4</v>
      </c>
      <c r="D250" s="126">
        <f t="shared" si="122"/>
        <v>0.4</v>
      </c>
      <c r="E250" s="126">
        <f t="shared" si="122"/>
        <v>0.4</v>
      </c>
      <c r="F250" s="126">
        <f t="shared" si="122"/>
        <v>0.4</v>
      </c>
      <c r="G250" s="126">
        <f t="shared" si="122"/>
        <v>0.4</v>
      </c>
      <c r="H250" s="126">
        <f t="shared" si="122"/>
        <v>0.4</v>
      </c>
      <c r="I250" s="126">
        <f t="shared" si="122"/>
        <v>0.4</v>
      </c>
      <c r="J250" s="126">
        <f t="shared" si="122"/>
        <v>0.4</v>
      </c>
      <c r="K250" s="126">
        <f t="shared" si="122"/>
        <v>0.4</v>
      </c>
      <c r="L250" s="126">
        <f t="shared" si="122"/>
        <v>0.4</v>
      </c>
      <c r="M250" s="126">
        <f t="shared" si="122"/>
        <v>0.4</v>
      </c>
      <c r="N250" s="126">
        <f t="shared" si="122"/>
        <v>0.4</v>
      </c>
      <c r="O250" s="126">
        <f t="shared" si="122"/>
        <v>0.4</v>
      </c>
      <c r="P250" s="126">
        <f t="shared" si="122"/>
        <v>0.4</v>
      </c>
      <c r="Q250" s="126">
        <f t="shared" si="122"/>
        <v>0.4</v>
      </c>
      <c r="R250" s="126">
        <f t="shared" si="122"/>
        <v>0.4</v>
      </c>
      <c r="S250" s="126">
        <f t="shared" si="122"/>
        <v>0.4</v>
      </c>
      <c r="T250" s="126">
        <f t="shared" si="123"/>
        <v>0.4</v>
      </c>
      <c r="U250" s="126">
        <f t="shared" si="123"/>
        <v>0.4</v>
      </c>
      <c r="V250" s="126">
        <f t="shared" si="123"/>
        <v>0.4</v>
      </c>
      <c r="W250" s="126">
        <f t="shared" si="123"/>
        <v>0.4</v>
      </c>
      <c r="X250" s="126">
        <f t="shared" si="123"/>
        <v>0.4</v>
      </c>
      <c r="Y250" s="126">
        <f t="shared" si="123"/>
        <v>0.4</v>
      </c>
      <c r="Z250" s="126">
        <f t="shared" si="123"/>
        <v>0.4</v>
      </c>
      <c r="AA250" s="126">
        <f t="shared" si="123"/>
        <v>0.4</v>
      </c>
      <c r="AB250" s="126">
        <f t="shared" si="123"/>
        <v>0.4</v>
      </c>
      <c r="AC250" s="126">
        <f t="shared" si="123"/>
        <v>0.4</v>
      </c>
      <c r="AD250" s="126">
        <f t="shared" si="123"/>
        <v>0.4</v>
      </c>
      <c r="AE250" s="126">
        <f t="shared" si="123"/>
        <v>0.4</v>
      </c>
      <c r="AF250" s="126">
        <f t="shared" si="12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21"/>
        <v>0.64</v>
      </c>
      <c r="C251" s="130">
        <v>0.64</v>
      </c>
      <c r="D251" s="130">
        <f t="shared" si="122"/>
        <v>0.64</v>
      </c>
      <c r="E251" s="130">
        <f t="shared" si="122"/>
        <v>0.64</v>
      </c>
      <c r="F251" s="130">
        <f t="shared" si="122"/>
        <v>0.64</v>
      </c>
      <c r="G251" s="130">
        <f t="shared" si="122"/>
        <v>0.64</v>
      </c>
      <c r="H251" s="130">
        <f t="shared" si="122"/>
        <v>0.64</v>
      </c>
      <c r="I251" s="130">
        <f t="shared" si="122"/>
        <v>0.64</v>
      </c>
      <c r="J251" s="130">
        <f t="shared" si="122"/>
        <v>0.64</v>
      </c>
      <c r="K251" s="130">
        <f t="shared" si="122"/>
        <v>0.64</v>
      </c>
      <c r="L251" s="130">
        <f t="shared" si="122"/>
        <v>0.64</v>
      </c>
      <c r="M251" s="130">
        <f t="shared" si="122"/>
        <v>0.64</v>
      </c>
      <c r="N251" s="130">
        <f t="shared" si="122"/>
        <v>0.64</v>
      </c>
      <c r="O251" s="130">
        <f t="shared" si="122"/>
        <v>0.64</v>
      </c>
      <c r="P251" s="130">
        <f t="shared" si="122"/>
        <v>0.64</v>
      </c>
      <c r="Q251" s="130">
        <f t="shared" si="122"/>
        <v>0.64</v>
      </c>
      <c r="R251" s="130">
        <f t="shared" si="122"/>
        <v>0.64</v>
      </c>
      <c r="S251" s="130">
        <f t="shared" si="122"/>
        <v>0.64</v>
      </c>
      <c r="T251" s="130">
        <f t="shared" si="123"/>
        <v>0.64</v>
      </c>
      <c r="U251" s="130">
        <f t="shared" si="123"/>
        <v>0.64</v>
      </c>
      <c r="V251" s="130">
        <f t="shared" si="123"/>
        <v>0.64</v>
      </c>
      <c r="W251" s="130">
        <f t="shared" si="123"/>
        <v>0.64</v>
      </c>
      <c r="X251" s="130">
        <f t="shared" si="123"/>
        <v>0.64</v>
      </c>
      <c r="Y251" s="130">
        <f t="shared" si="123"/>
        <v>0.64</v>
      </c>
      <c r="Z251" s="130">
        <f t="shared" si="123"/>
        <v>0.64</v>
      </c>
      <c r="AA251" s="130">
        <f t="shared" si="123"/>
        <v>0.64</v>
      </c>
      <c r="AB251" s="130">
        <f t="shared" si="123"/>
        <v>0.64</v>
      </c>
      <c r="AC251" s="130">
        <f t="shared" si="123"/>
        <v>0.64</v>
      </c>
      <c r="AD251" s="130">
        <f t="shared" si="123"/>
        <v>0.64</v>
      </c>
      <c r="AE251" s="130">
        <f t="shared" si="123"/>
        <v>0.64</v>
      </c>
      <c r="AF251" s="130">
        <f t="shared" si="12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24">SUM(B246:B251)</f>
        <v>3.54</v>
      </c>
      <c r="C252" s="134">
        <f t="shared" si="124"/>
        <v>3.54</v>
      </c>
      <c r="D252" s="134">
        <f t="shared" si="124"/>
        <v>3.54</v>
      </c>
      <c r="E252" s="134">
        <f t="shared" si="124"/>
        <v>3.54</v>
      </c>
      <c r="F252" s="134">
        <f t="shared" si="124"/>
        <v>3.54</v>
      </c>
      <c r="G252" s="134">
        <f t="shared" si="124"/>
        <v>3.54</v>
      </c>
      <c r="H252" s="134">
        <f t="shared" si="124"/>
        <v>3.54</v>
      </c>
      <c r="I252" s="134">
        <f t="shared" si="124"/>
        <v>3.54</v>
      </c>
      <c r="J252" s="134">
        <f t="shared" si="124"/>
        <v>3.54</v>
      </c>
      <c r="K252" s="134">
        <f t="shared" si="124"/>
        <v>3.54</v>
      </c>
      <c r="L252" s="134">
        <f t="shared" si="124"/>
        <v>3.54</v>
      </c>
      <c r="M252" s="134">
        <f t="shared" si="124"/>
        <v>3.54</v>
      </c>
      <c r="N252" s="134">
        <f t="shared" si="124"/>
        <v>3.54</v>
      </c>
      <c r="O252" s="134">
        <f t="shared" si="124"/>
        <v>3.54</v>
      </c>
      <c r="P252" s="134">
        <f t="shared" si="124"/>
        <v>3.54</v>
      </c>
      <c r="Q252" s="134">
        <f t="shared" si="124"/>
        <v>3.54</v>
      </c>
      <c r="R252" s="134">
        <f t="shared" si="124"/>
        <v>3.54</v>
      </c>
      <c r="S252" s="134">
        <f t="shared" si="124"/>
        <v>3.54</v>
      </c>
      <c r="T252" s="134">
        <f t="shared" si="124"/>
        <v>3.54</v>
      </c>
      <c r="U252" s="134">
        <f t="shared" si="124"/>
        <v>3.54</v>
      </c>
      <c r="V252" s="134">
        <f t="shared" si="124"/>
        <v>3.54</v>
      </c>
      <c r="W252" s="134">
        <f t="shared" si="124"/>
        <v>3.54</v>
      </c>
      <c r="X252" s="134">
        <f t="shared" si="124"/>
        <v>3.54</v>
      </c>
      <c r="Y252" s="134">
        <f t="shared" si="124"/>
        <v>3.54</v>
      </c>
      <c r="Z252" s="134">
        <f t="shared" si="124"/>
        <v>3.54</v>
      </c>
      <c r="AA252" s="134">
        <f t="shared" si="124"/>
        <v>3.54</v>
      </c>
      <c r="AB252" s="134">
        <f t="shared" si="124"/>
        <v>3.54</v>
      </c>
      <c r="AC252" s="134">
        <f t="shared" si="124"/>
        <v>3.54</v>
      </c>
      <c r="AD252" s="134">
        <f t="shared" si="124"/>
        <v>3.54</v>
      </c>
      <c r="AE252" s="134">
        <f t="shared" si="124"/>
        <v>3.54</v>
      </c>
      <c r="AF252" s="134">
        <f t="shared" si="124"/>
        <v>3.54</v>
      </c>
      <c r="AG252" s="143">
        <f t="shared" si="12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1684.39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2080/10/25)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097" priority="132">
      <formula>$AH11=0</formula>
    </cfRule>
  </conditionalFormatting>
  <conditionalFormatting sqref="A132:A253">
    <cfRule type="expression" dxfId="1096" priority="133">
      <formula>$AH132=0</formula>
    </cfRule>
  </conditionalFormatting>
  <conditionalFormatting sqref="B8">
    <cfRule type="expression" dxfId="1095" priority="191">
      <formula>AND(C$9&gt;=14/24,C$9&lt;20/24)</formula>
    </cfRule>
    <cfRule type="expression" dxfId="1094" priority="192">
      <formula>AND(C$9&gt;=8/24,C$9&lt;14/24)</formula>
    </cfRule>
    <cfRule type="expression" dxfId="1093" priority="193">
      <formula>C$9&lt;8/24</formula>
    </cfRule>
    <cfRule type="expression" dxfId="1092" priority="194">
      <formula>C$9&gt;=20/24</formula>
    </cfRule>
  </conditionalFormatting>
  <conditionalFormatting sqref="B55:B57">
    <cfRule type="expression" dxfId="1091" priority="23">
      <formula>B$9&gt;=20/24</formula>
    </cfRule>
    <cfRule type="expression" dxfId="1090" priority="24">
      <formula>AND(B$9&gt;=14/24,B$9&lt;20/24)</formula>
    </cfRule>
    <cfRule type="expression" dxfId="1089" priority="25">
      <formula>AND(B$9&gt;=8/24,B$9&lt;14/24)</formula>
    </cfRule>
  </conditionalFormatting>
  <conditionalFormatting sqref="B57">
    <cfRule type="expression" dxfId="1088" priority="34">
      <formula>B$9&lt;8/24</formula>
    </cfRule>
  </conditionalFormatting>
  <conditionalFormatting sqref="B63:G68">
    <cfRule type="expression" dxfId="1087" priority="38">
      <formula>B$9&lt;8/24</formula>
    </cfRule>
    <cfRule type="expression" dxfId="1086" priority="36">
      <formula>AND(B$9&gt;=14/24,B$9&lt;20/24)</formula>
    </cfRule>
    <cfRule type="expression" dxfId="1085" priority="35">
      <formula>B$9&gt;=20/24</formula>
    </cfRule>
    <cfRule type="expression" dxfId="1084" priority="37">
      <formula>AND(B$9&gt;=8/24,B$9&lt;14/24)</formula>
    </cfRule>
  </conditionalFormatting>
  <conditionalFormatting sqref="B11:Y12">
    <cfRule type="expression" dxfId="1083" priority="4">
      <formula>B11&gt;$AG11</formula>
    </cfRule>
    <cfRule type="expression" dxfId="1082" priority="5">
      <formula>B$9&gt;=20/24</formula>
    </cfRule>
    <cfRule type="expression" dxfId="1081" priority="6">
      <formula>AND(B$9&gt;=14/24,B$9&lt;20/24)</formula>
    </cfRule>
    <cfRule type="expression" dxfId="1080" priority="7">
      <formula>AND(B$9&gt;=8/24,B$9&lt;14/24)</formula>
    </cfRule>
    <cfRule type="expression" dxfId="1079" priority="8">
      <formula>B$9&lt;8/24</formula>
    </cfRule>
  </conditionalFormatting>
  <conditionalFormatting sqref="B13:Y52 E59:H61 B59:D68 U63:AD68 E63:G74 AE63:AF74 B69:AD74 B77:AF99 B9:AF10 B101:AF117 B119:AF137 B244:AF244 B246:B252">
    <cfRule type="expression" dxfId="1078" priority="83">
      <formula>B$9&gt;=20/24</formula>
    </cfRule>
  </conditionalFormatting>
  <conditionalFormatting sqref="B13:Y55 B57:Y80 AB58:AF61 Z58:AA80 AB62:AG62 AB63:AD67 AE63:AF74 AB68:AC68 AD68:AD69 AB69 AB70:AD74 AB75:AF80 X77:AA79 AG80">
    <cfRule type="expression" dxfId="1077" priority="82">
      <formula>B13&gt;$AG13</formula>
    </cfRule>
  </conditionalFormatting>
  <conditionalFormatting sqref="B53:Y56">
    <cfRule type="expression" dxfId="1076" priority="95">
      <formula>B$9&lt;8/24</formula>
    </cfRule>
  </conditionalFormatting>
  <conditionalFormatting sqref="B56:Y56">
    <cfRule type="expression" dxfId="1075" priority="9">
      <formula>B56&gt;$AG56</formula>
    </cfRule>
  </conditionalFormatting>
  <conditionalFormatting sqref="B9:AF10 B13:Y52 E59:H61 B59:D68 U63:AD68 E63:G74 AE63:AF74 B69:AD74 B77:AF99 B101:AF117 B119:AF137 B244:AF244 B246:B252">
    <cfRule type="expression" dxfId="1074" priority="84">
      <formula>AND(B$9&gt;=14/24,B$9&lt;20/24)</formula>
    </cfRule>
    <cfRule type="expression" dxfId="1073" priority="85">
      <formula>AND(B$9&gt;=8/24,B$9&lt;14/24)</formula>
    </cfRule>
    <cfRule type="expression" dxfId="1072" priority="86">
      <formula>B$9&lt;8/24</formula>
    </cfRule>
  </conditionalFormatting>
  <conditionalFormatting sqref="B53:AF54">
    <cfRule type="expression" dxfId="1071" priority="79">
      <formula>B$9&gt;=20/24</formula>
    </cfRule>
    <cfRule type="expression" dxfId="1070" priority="80">
      <formula>AND(B$9&gt;=14/24,B$9&lt;20/24)</formula>
    </cfRule>
    <cfRule type="expression" dxfId="1069" priority="81">
      <formula>AND(B$9&gt;=8/24,B$9&lt;14/24)</formula>
    </cfRule>
  </conditionalFormatting>
  <conditionalFormatting sqref="C55:C56">
    <cfRule type="expression" dxfId="1068" priority="10">
      <formula>C$9&gt;=20/24</formula>
    </cfRule>
    <cfRule type="expression" dxfId="1067" priority="11">
      <formula>AND(C$9&gt;=14/24,C$9&lt;20/24)</formula>
    </cfRule>
    <cfRule type="expression" dxfId="1066" priority="12">
      <formula>AND(C$9&gt;=8/24,C$9&lt;14/24)</formula>
    </cfRule>
  </conditionalFormatting>
  <conditionalFormatting sqref="C57:M57">
    <cfRule type="expression" dxfId="1065" priority="18">
      <formula>C$9&gt;=20/24</formula>
    </cfRule>
    <cfRule type="expression" dxfId="1064" priority="19">
      <formula>AND(C$9&gt;=14/24,C$9&lt;20/24)</formula>
    </cfRule>
    <cfRule type="expression" dxfId="1063" priority="20">
      <formula>AND(C$9&gt;=8/24,C$9&lt;14/24)</formula>
    </cfRule>
    <cfRule type="expression" dxfId="1062" priority="21">
      <formula>C$9&lt;8/24</formula>
    </cfRule>
  </conditionalFormatting>
  <conditionalFormatting sqref="D57:Y57">
    <cfRule type="expression" dxfId="1061" priority="109">
      <formula>D$9&lt;8/24</formula>
    </cfRule>
  </conditionalFormatting>
  <conditionalFormatting sqref="D246:AF252">
    <cfRule type="expression" dxfId="1060" priority="179">
      <formula>D$9&lt;8/24</formula>
    </cfRule>
    <cfRule type="expression" dxfId="1059" priority="177">
      <formula>AND(D$9&gt;=14/24,D$9&lt;20/24)</formula>
    </cfRule>
    <cfRule type="expression" dxfId="1058" priority="176">
      <formula>D$9&gt;=20/24</formula>
    </cfRule>
    <cfRule type="expression" dxfId="1057" priority="178">
      <formula>AND(D$9&gt;=8/24,D$9&lt;14/24)</formula>
    </cfRule>
  </conditionalFormatting>
  <conditionalFormatting sqref="E63:I67 J64:J67 K67">
    <cfRule type="expression" dxfId="1056" priority="96">
      <formula>E$9&gt;=20/24</formula>
    </cfRule>
    <cfRule type="expression" dxfId="1055" priority="97">
      <formula>AND(E$9&gt;=14/24,E$9&lt;20/24)</formula>
    </cfRule>
    <cfRule type="expression" dxfId="1054" priority="98">
      <formula>AND(E$9&gt;=8/24,E$9&lt;14/24)</formula>
    </cfRule>
    <cfRule type="expression" dxfId="1053" priority="99">
      <formula>E$9&lt;8/24</formula>
    </cfRule>
  </conditionalFormatting>
  <conditionalFormatting sqref="E68:Y68">
    <cfRule type="expression" dxfId="1052" priority="94">
      <formula>E$9&lt;8/24</formula>
    </cfRule>
    <cfRule type="expression" dxfId="1051" priority="93">
      <formula>AND(E$9&gt;=8/24,E$9&lt;14/24)</formula>
    </cfRule>
    <cfRule type="expression" dxfId="1050" priority="92">
      <formula>AND(E$9&gt;=14/24,E$9&lt;20/24)</formula>
    </cfRule>
    <cfRule type="expression" dxfId="1049" priority="91">
      <formula>E$9&gt;=20/24</formula>
    </cfRule>
  </conditionalFormatting>
  <conditionalFormatting sqref="E59:AF62">
    <cfRule type="expression" dxfId="1048" priority="112">
      <formula>AND(E$9&gt;=8/24,E$9&lt;14/24)</formula>
    </cfRule>
    <cfRule type="expression" dxfId="1047" priority="111">
      <formula>AND(E$9&gt;=14/24,E$9&lt;20/24)</formula>
    </cfRule>
    <cfRule type="expression" dxfId="1046" priority="110">
      <formula>E$9&gt;=20/24</formula>
    </cfRule>
    <cfRule type="expression" dxfId="1045" priority="113">
      <formula>E$9&lt;8/24</formula>
    </cfRule>
  </conditionalFormatting>
  <conditionalFormatting sqref="F63:M65">
    <cfRule type="expression" dxfId="1044" priority="124">
      <formula>F$9&gt;=20/24</formula>
    </cfRule>
    <cfRule type="expression" dxfId="1043" priority="127">
      <formula>F$9&lt;8/24</formula>
    </cfRule>
    <cfRule type="expression" dxfId="1042" priority="126">
      <formula>AND(F$9&gt;=8/24,F$9&lt;14/24)</formula>
    </cfRule>
    <cfRule type="expression" dxfId="1041" priority="125">
      <formula>AND(F$9&gt;=14/24,F$9&lt;20/24)</formula>
    </cfRule>
  </conditionalFormatting>
  <conditionalFormatting sqref="M8 S8 AB8">
    <cfRule type="expression" dxfId="1040" priority="185">
      <formula>N$9&lt;8/24</formula>
    </cfRule>
    <cfRule type="expression" dxfId="1039" priority="184">
      <formula>AND(N$9&gt;=8/24,N$9&lt;14/24)</formula>
    </cfRule>
    <cfRule type="expression" dxfId="1038" priority="183">
      <formula>AND(N$9&gt;=14/24,N$9&lt;20/24)</formula>
    </cfRule>
  </conditionalFormatting>
  <conditionalFormatting sqref="M63:Y67">
    <cfRule type="expression" dxfId="1037" priority="129">
      <formula>AND(M$9&gt;=14/24,M$9&lt;20/24)</formula>
    </cfRule>
    <cfRule type="expression" dxfId="1036" priority="128">
      <formula>M$9&gt;=20/24</formula>
    </cfRule>
    <cfRule type="expression" dxfId="1035" priority="131">
      <formula>M$9&lt;8/24</formula>
    </cfRule>
    <cfRule type="expression" dxfId="1034" priority="130">
      <formula>AND(M$9&gt;=8/24,M$9&lt;14/24)</formula>
    </cfRule>
  </conditionalFormatting>
  <conditionalFormatting sqref="O3:P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O55:Y55 D55:N56">
    <cfRule type="expression" dxfId="1033" priority="2">
      <formula>AND(D$9&gt;=14/24,D$9&lt;20/24)</formula>
    </cfRule>
    <cfRule type="expression" dxfId="1032" priority="3">
      <formula>AND(D$9&gt;=8/24,D$9&lt;14/24)</formula>
    </cfRule>
    <cfRule type="expression" dxfId="1031" priority="1">
      <formula>D$9&gt;=20/24</formula>
    </cfRule>
  </conditionalFormatting>
  <conditionalFormatting sqref="O56:Y56">
    <cfRule type="expression" dxfId="1030" priority="88">
      <formula>O$9&gt;=20/24</formula>
    </cfRule>
    <cfRule type="expression" dxfId="1029" priority="89">
      <formula>AND(O$9&gt;=14/24,O$9&lt;20/24)</formula>
    </cfRule>
    <cfRule type="expression" dxfId="1028" priority="90">
      <formula>AND(O$9&gt;=8/24,O$9&lt;14/24)</formula>
    </cfRule>
  </conditionalFormatting>
  <conditionalFormatting sqref="S8 AB8 M8">
    <cfRule type="expression" dxfId="1027" priority="182">
      <formula>N$9&gt;=20/24</formula>
    </cfRule>
  </conditionalFormatting>
  <conditionalFormatting sqref="S8">
    <cfRule type="expression" dxfId="1026" priority="169">
      <formula>U$9&gt;=20/24</formula>
    </cfRule>
    <cfRule type="expression" dxfId="1025" priority="172">
      <formula>U$9&lt;8/24</formula>
    </cfRule>
    <cfRule type="expression" dxfId="1024" priority="171">
      <formula>AND(U$9&gt;=8/24,U$9&lt;14/24)</formula>
    </cfRule>
    <cfRule type="expression" dxfId="1023" priority="170">
      <formula>AND(U$9&gt;=14/24,U$9&lt;20/24)</formula>
    </cfRule>
  </conditionalFormatting>
  <conditionalFormatting sqref="V3 AB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1022" priority="102">
      <formula>AND(Z$9&gt;=14/24,Z$9&lt;20/24)</formula>
    </cfRule>
    <cfRule type="expression" dxfId="1021" priority="101">
      <formula>Z$9&gt;=20/24</formula>
    </cfRule>
    <cfRule type="expression" dxfId="1020" priority="104">
      <formula>Z$9&lt;8/24</formula>
    </cfRule>
    <cfRule type="expression" dxfId="1019" priority="103">
      <formula>AND(Z$9&gt;=8/24,Z$9&lt;14/24)</formula>
    </cfRule>
    <cfRule type="expression" dxfId="1018" priority="100">
      <formula>Z11&gt;$AG11</formula>
    </cfRule>
  </conditionalFormatting>
  <conditionalFormatting sqref="Z53:AF55">
    <cfRule type="expression" dxfId="1017" priority="119">
      <formula>Z53&gt;$AG53</formula>
    </cfRule>
  </conditionalFormatting>
  <conditionalFormatting sqref="Z53:AF57">
    <cfRule type="expression" dxfId="1016" priority="118">
      <formula>Z$9&lt;8/24</formula>
    </cfRule>
  </conditionalFormatting>
  <conditionalFormatting sqref="Z55:AF57 D57:Y57">
    <cfRule type="expression" dxfId="1015" priority="107">
      <formula>AND(D$9&gt;=14/24,D$9&lt;20/24)</formula>
    </cfRule>
    <cfRule type="expression" dxfId="1014" priority="106">
      <formula>D$9&gt;=20/24</formula>
    </cfRule>
    <cfRule type="expression" dxfId="1013" priority="108">
      <formula>AND(D$9&gt;=8/24,D$9&lt;14/24)</formula>
    </cfRule>
  </conditionalFormatting>
  <conditionalFormatting sqref="Z56:AF57">
    <cfRule type="expression" dxfId="1012" priority="105">
      <formula>Z56&gt;$AG56</formula>
    </cfRule>
  </conditionalFormatting>
  <conditionalFormatting sqref="AB8">
    <cfRule type="expression" dxfId="1011" priority="168">
      <formula>AD$9&lt;8/24</formula>
    </cfRule>
    <cfRule type="expression" dxfId="1010" priority="167">
      <formula>AND(AD$9&gt;=8/24,AD$9&lt;14/24)</formula>
    </cfRule>
    <cfRule type="expression" dxfId="1009" priority="166">
      <formula>AND(AD$9&gt;=14/24,AD$9&lt;20/24)</formula>
    </cfRule>
    <cfRule type="expression" dxfId="1008" priority="165">
      <formula>AD$9&gt;=20/24</formula>
    </cfRule>
  </conditionalFormatting>
  <conditionalFormatting sqref="AC69">
    <cfRule type="expression" dxfId="1007" priority="394">
      <formula>AND(AD$9&gt;=14/24,AD$9&lt;20/24)</formula>
    </cfRule>
    <cfRule type="expression" dxfId="1006" priority="393">
      <formula>AD$9&gt;=20/24</formula>
    </cfRule>
    <cfRule type="expression" dxfId="1005" priority="387">
      <formula>AC69&gt;$AG68</formula>
    </cfRule>
    <cfRule type="expression" dxfId="1004" priority="395">
      <formula>AND(AD$9&gt;=8/24,AD$9&lt;14/24)</formula>
    </cfRule>
    <cfRule type="expression" dxfId="1003" priority="396">
      <formula>AD$9&lt;8/24</formula>
    </cfRule>
  </conditionalFormatting>
  <conditionalFormatting sqref="AG58">
    <cfRule type="expression" dxfId="1002" priority="160">
      <formula>AG58&gt;$AG58</formula>
    </cfRule>
  </conditionalFormatting>
  <conditionalFormatting sqref="AG62">
    <cfRule type="expression" dxfId="1001" priority="146">
      <formula>AG$9&lt;8/24</formula>
    </cfRule>
    <cfRule type="expression" dxfId="1000" priority="145">
      <formula>AND(AG$9&gt;=8/24,AG$9&lt;14/24)</formula>
    </cfRule>
    <cfRule type="expression" dxfId="999" priority="143">
      <formula>AG$9&gt;=20/24</formula>
    </cfRule>
    <cfRule type="expression" dxfId="998" priority="144">
      <formula>AND(AG$9&gt;=14/24,AG$9&lt;20/24)</formula>
    </cfRule>
  </conditionalFormatting>
  <conditionalFormatting sqref="AG75:AG76">
    <cfRule type="expression" dxfId="997" priority="138">
      <formula>AG75&gt;$AG75</formula>
    </cfRule>
  </conditionalFormatting>
  <conditionalFormatting sqref="AG80">
    <cfRule type="expression" dxfId="996" priority="139">
      <formula>AG$9&gt;=20/24</formula>
    </cfRule>
    <cfRule type="expression" dxfId="995" priority="140">
      <formula>AND(AG$9&gt;=14/24,AG$9&lt;20/24)</formula>
    </cfRule>
    <cfRule type="expression" dxfId="994" priority="141">
      <formula>AND(AG$9&gt;=8/24,AG$9&lt;14/24)</formula>
    </cfRule>
    <cfRule type="expression" dxfId="993" priority="142">
      <formula>AG$9&lt;8/24</formula>
    </cfRule>
  </conditionalFormatting>
  <conditionalFormatting sqref="AG97">
    <cfRule type="expression" dxfId="992" priority="162">
      <formula>AND(AG$9&gt;=14/24,AG$9&lt;20/24)</formula>
    </cfRule>
    <cfRule type="expression" dxfId="991" priority="164">
      <formula>AG$9&lt;8/24</formula>
    </cfRule>
    <cfRule type="expression" dxfId="990" priority="161">
      <formula>AG$9&gt;=20/24</formula>
    </cfRule>
    <cfRule type="expression" dxfId="989" priority="163">
      <formula>AND(AG$9&gt;=8/24,AG$9&lt;14/24)</formula>
    </cfRule>
  </conditionalFormatting>
  <conditionalFormatting sqref="AL4:AL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988" priority="187">
      <formula>AND(AJ$9&gt;=14/24,AJ$9&lt;20/24)</formula>
    </cfRule>
    <cfRule type="expression" dxfId="987" priority="186">
      <formula>AJ$9&gt;=20/24</formula>
    </cfRule>
    <cfRule type="expression" dxfId="986" priority="189">
      <formula>AJ$9&lt;8/24</formula>
    </cfRule>
    <cfRule type="expression" dxfId="985" priority="188">
      <formula>AND(AJ$9&gt;=8/24,AJ$9&lt;14/24)</formula>
    </cfRule>
  </conditionalFormatting>
  <conditionalFormatting sqref="AL88:AN88 AL94:AN94">
    <cfRule type="expression" dxfId="984" priority="153">
      <formula>AL$9&gt;=20/24</formula>
    </cfRule>
    <cfRule type="expression" dxfId="983" priority="154">
      <formula>AND(AL$9&gt;=14/24,AL$9&lt;20/24)</formula>
    </cfRule>
    <cfRule type="expression" dxfId="982" priority="155">
      <formula>AND(AL$9&gt;=8/24,AL$9&lt;14/24)</formula>
    </cfRule>
    <cfRule type="expression" dxfId="981" priority="156">
      <formula>AL$9&lt;8/24</formula>
    </cfRule>
  </conditionalFormatting>
  <conditionalFormatting sqref="AM15:AM21 AN16:AR21">
    <cfRule type="expression" dxfId="980" priority="57">
      <formula>AND(AX$9&gt;=8/24,AX$9&lt;14/24)</formula>
    </cfRule>
    <cfRule type="expression" dxfId="979" priority="55">
      <formula>AX$9&gt;=20/24</formula>
    </cfRule>
    <cfRule type="expression" dxfId="978" priority="56">
      <formula>AND(AX$9&gt;=14/24,AX$9&lt;20/24)</formula>
    </cfRule>
    <cfRule type="expression" dxfId="977" priority="58">
      <formula>AX$9&lt;8/24</formula>
    </cfRule>
  </conditionalFormatting>
  <conditionalFormatting sqref="AN89:AN92">
    <cfRule type="expression" dxfId="976" priority="151">
      <formula>AND(AN$9&gt;=8/24,AN$9&lt;14/24)</formula>
    </cfRule>
    <cfRule type="expression" dxfId="975" priority="152">
      <formula>AN$9&lt;8/24</formula>
    </cfRule>
    <cfRule type="expression" dxfId="974" priority="150">
      <formula>AND(AN$9&gt;=14/24,AN$9&lt;20/24)</formula>
    </cfRule>
    <cfRule type="expression" dxfId="973" priority="149">
      <formula>AN$9&gt;=20/24</formula>
    </cfRule>
  </conditionalFormatting>
  <conditionalFormatting sqref="AN15:AR15">
    <cfRule type="expression" dxfId="972" priority="45">
      <formula>AND(U$9&gt;=8/24,U$9&lt;14/24)</formula>
    </cfRule>
    <cfRule type="expression" dxfId="971" priority="46">
      <formula>U$9&lt;8/24</formula>
    </cfRule>
    <cfRule type="expression" dxfId="970" priority="43">
      <formula>U$9&gt;=20/24</formula>
    </cfRule>
    <cfRule type="expression" dxfId="969" priority="44">
      <formula>AND(U$9&gt;=14/24,U$9&lt;20/24)</formula>
    </cfRule>
  </conditionalFormatting>
  <conditionalFormatting sqref="AS15">
    <cfRule type="expression" dxfId="968" priority="51">
      <formula>AA$9&gt;=20/24</formula>
    </cfRule>
    <cfRule type="expression" dxfId="967" priority="53">
      <formula>AND(AA$9&gt;=8/24,AA$9&lt;14/24)</formula>
    </cfRule>
    <cfRule type="expression" dxfId="966" priority="52">
      <formula>AND(AA$9&gt;=14/24,AA$9&lt;20/24)</formula>
    </cfRule>
    <cfRule type="expression" dxfId="965" priority="54">
      <formula>AA$9&lt;8/24</formula>
    </cfRule>
  </conditionalFormatting>
  <conditionalFormatting sqref="AS16:AS21">
    <cfRule type="expression" dxfId="964" priority="59">
      <formula>BE$9&gt;=20/24</formula>
    </cfRule>
    <cfRule type="expression" dxfId="963" priority="62">
      <formula>BE$9&lt;8/24</formula>
    </cfRule>
    <cfRule type="expression" dxfId="962" priority="60">
      <formula>AND(BE$9&gt;=14/24,BE$9&lt;20/24)</formula>
    </cfRule>
    <cfRule type="expression" dxfId="961" priority="61">
      <formula>AND(BE$9&gt;=8/24,BE$9&lt;14/24)</formula>
    </cfRule>
  </conditionalFormatting>
  <conditionalFormatting sqref="AT15 AX15">
    <cfRule type="expression" dxfId="960" priority="65">
      <formula>AND(AC$9&gt;=8/24,AC$9&lt;14/24)</formula>
    </cfRule>
    <cfRule type="expression" dxfId="959" priority="64">
      <formula>AND(AC$9&gt;=14/24,AC$9&lt;20/24)</formula>
    </cfRule>
    <cfRule type="expression" dxfId="958" priority="63">
      <formula>AC$9&gt;=20/24</formula>
    </cfRule>
    <cfRule type="expression" dxfId="957" priority="66">
      <formula>AC$9&lt;8/24</formula>
    </cfRule>
  </conditionalFormatting>
  <conditionalFormatting sqref="AT16:AT21">
    <cfRule type="expression" dxfId="956" priority="70">
      <formula>BG$9&lt;8/24</formula>
    </cfRule>
    <cfRule type="expression" dxfId="955" priority="69">
      <formula>AND(BG$9&gt;=8/24,BG$9&lt;14/24)</formula>
    </cfRule>
    <cfRule type="expression" dxfId="954" priority="67">
      <formula>BG$9&gt;=20/24</formula>
    </cfRule>
    <cfRule type="expression" dxfId="953" priority="68">
      <formula>AND(BG$9&gt;=14/24,BG$9&lt;20/24)</formula>
    </cfRule>
  </conditionalFormatting>
  <conditionalFormatting sqref="AU15:AV15">
    <cfRule type="expression" dxfId="952" priority="71">
      <formula>AE$9&gt;=20/24</formula>
    </cfRule>
    <cfRule type="expression" dxfId="951" priority="72">
      <formula>AND(AE$9&gt;=14/24,AE$9&lt;20/24)</formula>
    </cfRule>
    <cfRule type="expression" dxfId="950" priority="73">
      <formula>AND(AE$9&gt;=8/24,AE$9&lt;14/24)</formula>
    </cfRule>
    <cfRule type="expression" dxfId="949" priority="74">
      <formula>AE$9&lt;8/24</formula>
    </cfRule>
  </conditionalFormatting>
  <conditionalFormatting sqref="AU16:AX21">
    <cfRule type="expression" dxfId="948" priority="77">
      <formula>AND(BI$9&gt;=8/24,BI$9&lt;14/24)</formula>
    </cfRule>
    <cfRule type="expression" dxfId="947" priority="78">
      <formula>BI$9&lt;8/24</formula>
    </cfRule>
    <cfRule type="expression" dxfId="946" priority="76">
      <formula>AND(BI$9&gt;=14/24,BI$9&lt;20/24)</formula>
    </cfRule>
    <cfRule type="expression" dxfId="945" priority="75">
      <formula>BI$9&gt;=20/24</formula>
    </cfRule>
  </conditionalFormatting>
  <conditionalFormatting sqref="AW15">
    <cfRule type="expression" dxfId="944" priority="47">
      <formula>B$9&gt;=20/24</formula>
    </cfRule>
    <cfRule type="expression" dxfId="943" priority="50">
      <formula>B$9&lt;8/24</formula>
    </cfRule>
    <cfRule type="expression" dxfId="942" priority="49">
      <formula>AND(B$9&gt;=8/24,B$9&lt;14/24)</formula>
    </cfRule>
    <cfRule type="expression" dxfId="941" priority="48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054B-0A03-48A4-B294-0D2CBFDFE5AF}">
  <dimension ref="A1:CJ294"/>
  <sheetViews>
    <sheetView zoomScale="106" workbookViewId="0">
      <pane xSplit="1" ySplit="10" topLeftCell="B70" activePane="bottomRight" state="frozen"/>
      <selection activeCell="Z63" sqref="Z63"/>
      <selection pane="topRight" activeCell="Z63" sqref="Z63"/>
      <selection pane="bottomLeft" activeCell="Z63" sqref="Z63"/>
      <selection pane="bottomRight" activeCell="G84" sqref="G84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2080/10/26</v>
      </c>
      <c r="C4" s="272"/>
      <c r="D4" s="272"/>
      <c r="E4" s="273" t="str">
        <f ca="1">"2080/"&amp;"10/"&amp;INT(MID(CELL("filename",G6),FIND("]",CELL("filename",G6))+1,200))</f>
        <v>2080/10/26</v>
      </c>
      <c r="F4" s="273"/>
      <c r="G4" s="273"/>
      <c r="H4" s="273" t="str">
        <f ca="1">TEXT(E4,"dddd")</f>
        <v>Saturday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614.4</v>
      </c>
      <c r="C5" s="30">
        <f t="shared" ref="C5:AE5" si="0">D92</f>
        <v>608.9</v>
      </c>
      <c r="D5" s="30">
        <f t="shared" si="0"/>
        <v>626.70000000000005</v>
      </c>
      <c r="E5" s="30">
        <f t="shared" si="0"/>
        <v>601.29999999999995</v>
      </c>
      <c r="F5" s="30">
        <f t="shared" si="0"/>
        <v>662.30000000000007</v>
      </c>
      <c r="G5" s="30">
        <f t="shared" si="0"/>
        <v>668.04</v>
      </c>
      <c r="H5" s="30">
        <f t="shared" si="0"/>
        <v>649.29999999999995</v>
      </c>
      <c r="I5" s="30">
        <f t="shared" si="0"/>
        <v>694.80000000000007</v>
      </c>
      <c r="J5" s="30">
        <f t="shared" si="0"/>
        <v>488.9</v>
      </c>
      <c r="K5" s="30">
        <f t="shared" si="0"/>
        <v>115.6</v>
      </c>
      <c r="L5" s="30">
        <f t="shared" si="0"/>
        <v>104.1</v>
      </c>
      <c r="M5" s="30">
        <f t="shared" si="0"/>
        <v>397</v>
      </c>
      <c r="N5" s="30">
        <f t="shared" si="0"/>
        <v>456.2</v>
      </c>
      <c r="O5" s="30">
        <f t="shared" si="0"/>
        <v>570</v>
      </c>
      <c r="P5" s="30">
        <f t="shared" si="0"/>
        <v>566</v>
      </c>
      <c r="Q5" s="30">
        <f t="shared" si="0"/>
        <v>594.30000000000007</v>
      </c>
      <c r="R5" s="30">
        <f t="shared" si="0"/>
        <v>643</v>
      </c>
      <c r="S5" s="30">
        <f t="shared" si="0"/>
        <v>640.5</v>
      </c>
      <c r="T5" s="30">
        <f t="shared" si="0"/>
        <v>571.5</v>
      </c>
      <c r="U5" s="30">
        <f t="shared" si="0"/>
        <v>647.70000000000005</v>
      </c>
      <c r="V5" s="30">
        <f t="shared" si="0"/>
        <v>655.1</v>
      </c>
      <c r="W5" s="30">
        <f t="shared" si="0"/>
        <v>663</v>
      </c>
      <c r="X5" s="30">
        <f t="shared" si="0"/>
        <v>702.19999999999993</v>
      </c>
      <c r="Y5" s="30">
        <f t="shared" si="0"/>
        <v>257.8</v>
      </c>
      <c r="Z5" s="30">
        <f t="shared" si="0"/>
        <v>242.90000000000003</v>
      </c>
      <c r="AA5" s="30">
        <f t="shared" si="0"/>
        <v>207.8</v>
      </c>
      <c r="AB5" s="30">
        <f t="shared" si="0"/>
        <v>572.69999999999993</v>
      </c>
      <c r="AC5" s="30">
        <f t="shared" si="0"/>
        <v>596.9</v>
      </c>
      <c r="AD5" s="30">
        <f t="shared" si="0"/>
        <v>610.29999999999995</v>
      </c>
      <c r="AE5" s="30">
        <f t="shared" si="0"/>
        <v>617.6</v>
      </c>
      <c r="AF5" s="30">
        <f>B92</f>
        <v>654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1502MW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Load=1155</v>
      </c>
      <c r="B7" s="35">
        <f>B100</f>
        <v>1205.3899999999999</v>
      </c>
      <c r="C7" s="35">
        <f t="shared" ref="C7:AF7" si="1">C100</f>
        <v>1165.79</v>
      </c>
      <c r="D7" s="35">
        <f t="shared" si="1"/>
        <v>1160.29</v>
      </c>
      <c r="E7" s="35">
        <f t="shared" si="1"/>
        <v>1180.5900000000001</v>
      </c>
      <c r="F7" s="35">
        <f t="shared" si="1"/>
        <v>1155.19</v>
      </c>
      <c r="G7" s="35">
        <f t="shared" si="1"/>
        <v>1216.19</v>
      </c>
      <c r="H7" s="35">
        <f t="shared" si="1"/>
        <v>1244.03</v>
      </c>
      <c r="I7" s="35">
        <f t="shared" si="1"/>
        <v>1320.4899999999998</v>
      </c>
      <c r="J7" s="35">
        <f t="shared" si="1"/>
        <v>1389.49</v>
      </c>
      <c r="K7" s="35">
        <f t="shared" si="1"/>
        <v>1467.9899999999998</v>
      </c>
      <c r="L7" s="35">
        <f t="shared" si="1"/>
        <v>1320.2899999999997</v>
      </c>
      <c r="M7" s="35">
        <f t="shared" si="1"/>
        <v>1471.4899999999998</v>
      </c>
      <c r="N7" s="35">
        <f t="shared" si="1"/>
        <v>1501.89</v>
      </c>
      <c r="O7" s="35">
        <f t="shared" si="1"/>
        <v>1397.59</v>
      </c>
      <c r="P7" s="35">
        <f t="shared" si="1"/>
        <v>1262.29</v>
      </c>
      <c r="Q7" s="35">
        <f t="shared" si="1"/>
        <v>1255.8899999999999</v>
      </c>
      <c r="R7" s="35">
        <f t="shared" si="1"/>
        <v>1264.5900000000001</v>
      </c>
      <c r="S7" s="35">
        <f t="shared" si="1"/>
        <v>1319.1899999999998</v>
      </c>
      <c r="T7" s="35">
        <f t="shared" si="1"/>
        <v>1338.59</v>
      </c>
      <c r="U7" s="35">
        <f t="shared" si="1"/>
        <v>1358.6799999999998</v>
      </c>
      <c r="V7" s="35">
        <f t="shared" si="1"/>
        <v>1331.2</v>
      </c>
      <c r="W7" s="35">
        <f t="shared" si="1"/>
        <v>1349.4</v>
      </c>
      <c r="X7" s="35">
        <f t="shared" si="1"/>
        <v>1504.19</v>
      </c>
      <c r="Y7" s="35">
        <f t="shared" si="1"/>
        <v>1676.35</v>
      </c>
      <c r="Z7" s="35">
        <f t="shared" si="1"/>
        <v>1644.1499999999999</v>
      </c>
      <c r="AA7" s="35">
        <f t="shared" si="1"/>
        <v>1663.19</v>
      </c>
      <c r="AB7" s="35">
        <f t="shared" si="1"/>
        <v>1583.69</v>
      </c>
      <c r="AC7" s="35">
        <f t="shared" si="1"/>
        <v>1545.69</v>
      </c>
      <c r="AD7" s="35">
        <f t="shared" si="1"/>
        <v>1417.8899999999999</v>
      </c>
      <c r="AE7" s="35">
        <f t="shared" si="1"/>
        <v>1287.69</v>
      </c>
      <c r="AF7" s="35">
        <f t="shared" si="1"/>
        <v>1207.79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1501.89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1501.89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20.6</v>
      </c>
      <c r="C11" s="45">
        <v>20.6</v>
      </c>
      <c r="D11" s="45">
        <v>20.6</v>
      </c>
      <c r="E11" s="45">
        <v>20.6</v>
      </c>
      <c r="F11" s="45">
        <v>20.6</v>
      </c>
      <c r="G11" s="45">
        <v>20.6</v>
      </c>
      <c r="H11" s="45">
        <v>20.6</v>
      </c>
      <c r="I11" s="45">
        <v>20.6</v>
      </c>
      <c r="J11" s="45">
        <v>20.6</v>
      </c>
      <c r="K11" s="45">
        <v>20.6</v>
      </c>
      <c r="L11" s="45">
        <v>20.6</v>
      </c>
      <c r="M11" s="45">
        <v>23.6</v>
      </c>
      <c r="N11" s="45">
        <v>21.2</v>
      </c>
      <c r="O11" s="45">
        <v>24</v>
      </c>
      <c r="P11" s="45">
        <v>21.8</v>
      </c>
      <c r="Q11" s="45">
        <v>21.8</v>
      </c>
      <c r="R11" s="45">
        <v>21.8</v>
      </c>
      <c r="S11" s="45">
        <v>26.1</v>
      </c>
      <c r="T11" s="45">
        <v>24.7</v>
      </c>
      <c r="U11" s="45">
        <v>24.7</v>
      </c>
      <c r="V11" s="45">
        <v>24.7</v>
      </c>
      <c r="W11" s="45">
        <v>24.7</v>
      </c>
      <c r="X11" s="45">
        <v>24.7</v>
      </c>
      <c r="Y11" s="45">
        <v>22.4</v>
      </c>
      <c r="Z11" s="45">
        <v>22.4</v>
      </c>
      <c r="AA11" s="45">
        <v>22.4</v>
      </c>
      <c r="AB11" s="45">
        <v>25.8</v>
      </c>
      <c r="AC11" s="45">
        <v>25.8</v>
      </c>
      <c r="AD11" s="45">
        <v>25.7</v>
      </c>
      <c r="AE11" s="45">
        <v>25.1</v>
      </c>
      <c r="AF11" s="45">
        <v>25.7</v>
      </c>
      <c r="AG11" s="46">
        <v>86</v>
      </c>
      <c r="AH11" s="47">
        <f t="shared" ref="AH11:AH16" si="2">MAX(B11:AF11)</f>
        <v>26.1</v>
      </c>
      <c r="AI11" s="48">
        <f t="shared" ref="AI11:AI16" si="3">MIN(B11:AF11)</f>
        <v>20.6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26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11</v>
      </c>
      <c r="C13" s="45">
        <v>11</v>
      </c>
      <c r="D13" s="45">
        <v>11</v>
      </c>
      <c r="E13" s="45">
        <v>11</v>
      </c>
      <c r="F13" s="45">
        <v>11</v>
      </c>
      <c r="G13" s="45">
        <v>11</v>
      </c>
      <c r="H13" s="45">
        <v>11</v>
      </c>
      <c r="I13" s="45">
        <v>11</v>
      </c>
      <c r="J13" s="45">
        <v>11</v>
      </c>
      <c r="K13" s="45">
        <v>11</v>
      </c>
      <c r="L13" s="45">
        <v>11</v>
      </c>
      <c r="M13" s="45">
        <v>11</v>
      </c>
      <c r="N13" s="45">
        <v>11</v>
      </c>
      <c r="O13" s="45">
        <v>11</v>
      </c>
      <c r="P13" s="45">
        <v>11</v>
      </c>
      <c r="Q13" s="45">
        <v>11</v>
      </c>
      <c r="R13" s="45">
        <v>11</v>
      </c>
      <c r="S13" s="45">
        <v>11</v>
      </c>
      <c r="T13" s="45">
        <v>11</v>
      </c>
      <c r="U13" s="45">
        <v>11</v>
      </c>
      <c r="V13" s="45">
        <v>11</v>
      </c>
      <c r="W13" s="45">
        <v>11</v>
      </c>
      <c r="X13" s="45">
        <v>11</v>
      </c>
      <c r="Y13" s="45">
        <v>11</v>
      </c>
      <c r="Z13" s="45">
        <v>11</v>
      </c>
      <c r="AA13" s="45">
        <v>11</v>
      </c>
      <c r="AB13" s="45">
        <v>11</v>
      </c>
      <c r="AC13" s="45">
        <v>11</v>
      </c>
      <c r="AD13" s="45">
        <v>11</v>
      </c>
      <c r="AE13" s="45">
        <v>11</v>
      </c>
      <c r="AF13" s="45">
        <v>11</v>
      </c>
      <c r="AG13" s="49">
        <v>54</v>
      </c>
      <c r="AH13" s="47">
        <f t="shared" si="2"/>
        <v>11</v>
      </c>
      <c r="AI13" s="48">
        <f t="shared" si="3"/>
        <v>11</v>
      </c>
      <c r="AK13" s="50"/>
      <c r="AL13" s="157" t="str">
        <f ca="1">"Daily Load Curve(Excluding of Export) of Nepal ("&amp;A4&amp;" "&amp;B4&amp;")"</f>
        <v>Daily Load Curve(Excluding of Export) of Nepal (Nepali Date: 2080/10/26)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</v>
      </c>
      <c r="C14" s="45">
        <v>14</v>
      </c>
      <c r="D14" s="45">
        <v>14</v>
      </c>
      <c r="E14" s="45">
        <v>14</v>
      </c>
      <c r="F14" s="45">
        <v>14</v>
      </c>
      <c r="G14" s="45">
        <v>14</v>
      </c>
      <c r="H14" s="45">
        <v>14</v>
      </c>
      <c r="I14" s="45">
        <v>14</v>
      </c>
      <c r="J14" s="45">
        <v>14</v>
      </c>
      <c r="K14" s="45">
        <v>14</v>
      </c>
      <c r="L14" s="45">
        <v>14</v>
      </c>
      <c r="M14" s="45">
        <v>14</v>
      </c>
      <c r="N14" s="45">
        <v>14</v>
      </c>
      <c r="O14" s="45">
        <v>14</v>
      </c>
      <c r="P14" s="45">
        <v>14</v>
      </c>
      <c r="Q14" s="45">
        <v>14</v>
      </c>
      <c r="R14" s="45">
        <v>14</v>
      </c>
      <c r="S14" s="45">
        <v>13.2</v>
      </c>
      <c r="T14" s="45">
        <v>13.2</v>
      </c>
      <c r="U14" s="45">
        <v>13.2</v>
      </c>
      <c r="V14" s="45">
        <v>13.2</v>
      </c>
      <c r="W14" s="45">
        <v>13.2</v>
      </c>
      <c r="X14" s="45">
        <v>13.2</v>
      </c>
      <c r="Y14" s="45">
        <v>13.2</v>
      </c>
      <c r="Z14" s="45">
        <v>13.2</v>
      </c>
      <c r="AA14" s="45">
        <v>13.2</v>
      </c>
      <c r="AB14" s="45">
        <v>13.2</v>
      </c>
      <c r="AC14" s="45">
        <v>13.2</v>
      </c>
      <c r="AD14" s="45">
        <v>13.2</v>
      </c>
      <c r="AE14" s="45">
        <v>13.2</v>
      </c>
      <c r="AF14" s="45">
        <v>13.2</v>
      </c>
      <c r="AG14" s="46">
        <v>52.4</v>
      </c>
      <c r="AH14" s="47">
        <f t="shared" si="2"/>
        <v>14</v>
      </c>
      <c r="AI14" s="48">
        <f t="shared" si="3"/>
        <v>13.2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25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45">
        <v>25</v>
      </c>
      <c r="Z15" s="45">
        <v>25</v>
      </c>
      <c r="AA15" s="45">
        <v>25</v>
      </c>
      <c r="AB15" s="45">
        <v>25</v>
      </c>
      <c r="AC15" s="45">
        <v>25</v>
      </c>
      <c r="AD15" s="45">
        <v>25</v>
      </c>
      <c r="AE15" s="45">
        <v>25</v>
      </c>
      <c r="AF15" s="45">
        <v>25</v>
      </c>
      <c r="AG15" s="49">
        <v>50</v>
      </c>
      <c r="AH15" s="47">
        <f t="shared" si="2"/>
        <v>25</v>
      </c>
      <c r="AI15" s="48">
        <f t="shared" si="3"/>
        <v>0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15.4</v>
      </c>
      <c r="C16" s="45">
        <v>15.4</v>
      </c>
      <c r="D16" s="45">
        <v>15.4</v>
      </c>
      <c r="E16" s="45">
        <v>15.4</v>
      </c>
      <c r="F16" s="45">
        <v>15.4</v>
      </c>
      <c r="G16" s="45">
        <v>15.4</v>
      </c>
      <c r="H16" s="45">
        <v>15.4</v>
      </c>
      <c r="I16" s="45">
        <v>15.4</v>
      </c>
      <c r="J16" s="45">
        <v>15.4</v>
      </c>
      <c r="K16" s="45">
        <v>15.4</v>
      </c>
      <c r="L16" s="45">
        <v>15.4</v>
      </c>
      <c r="M16" s="45">
        <v>15.4</v>
      </c>
      <c r="N16" s="45">
        <v>15.4</v>
      </c>
      <c r="O16" s="45">
        <v>15.4</v>
      </c>
      <c r="P16" s="45">
        <v>15.4</v>
      </c>
      <c r="Q16" s="45">
        <v>15.4</v>
      </c>
      <c r="R16" s="45">
        <v>15.4</v>
      </c>
      <c r="S16" s="45">
        <v>12.9</v>
      </c>
      <c r="T16" s="45">
        <v>12.9</v>
      </c>
      <c r="U16" s="45">
        <v>12.9</v>
      </c>
      <c r="V16" s="45">
        <v>12.9</v>
      </c>
      <c r="W16" s="45">
        <v>12.9</v>
      </c>
      <c r="X16" s="45">
        <v>12.9</v>
      </c>
      <c r="Y16" s="45">
        <v>12.9</v>
      </c>
      <c r="Z16" s="45">
        <v>12.9</v>
      </c>
      <c r="AA16" s="45">
        <v>12.9</v>
      </c>
      <c r="AB16" s="45">
        <v>12.9</v>
      </c>
      <c r="AC16" s="45">
        <v>12.9</v>
      </c>
      <c r="AD16" s="45">
        <v>12.9</v>
      </c>
      <c r="AE16" s="45">
        <v>12.9</v>
      </c>
      <c r="AF16" s="45">
        <v>12.9</v>
      </c>
      <c r="AG16" s="49">
        <v>45</v>
      </c>
      <c r="AH16" s="47">
        <f t="shared" si="2"/>
        <v>15.4</v>
      </c>
      <c r="AI16" s="48">
        <f t="shared" si="3"/>
        <v>12.9</v>
      </c>
      <c r="AK16" s="50"/>
      <c r="AL16" s="160" t="s">
        <v>7</v>
      </c>
      <c r="AM16" s="227">
        <f>B58</f>
        <v>447.34999999999997</v>
      </c>
      <c r="AN16" s="227">
        <f t="shared" ref="AN16:AR16" si="4">C58</f>
        <v>447.34999999999997</v>
      </c>
      <c r="AO16" s="227">
        <f t="shared" si="4"/>
        <v>447.34999999999997</v>
      </c>
      <c r="AP16" s="227">
        <f t="shared" si="4"/>
        <v>447.34999999999997</v>
      </c>
      <c r="AQ16" s="227">
        <f t="shared" si="4"/>
        <v>447.34999999999997</v>
      </c>
      <c r="AR16" s="227">
        <f t="shared" si="4"/>
        <v>447.34999999999997</v>
      </c>
      <c r="AS16" s="227">
        <f>I58</f>
        <v>447.34999999999997</v>
      </c>
      <c r="AT16" s="227">
        <f>K58</f>
        <v>447.34999999999997</v>
      </c>
      <c r="AU16" s="227">
        <f t="shared" ref="AU16:AX16" si="5">M58</f>
        <v>450.34999999999997</v>
      </c>
      <c r="AV16" s="227">
        <f t="shared" si="5"/>
        <v>447.95</v>
      </c>
      <c r="AW16" s="227">
        <f t="shared" si="5"/>
        <v>450.75</v>
      </c>
      <c r="AX16" s="227">
        <f t="shared" si="5"/>
        <v>448.55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36</v>
      </c>
      <c r="AN17" s="227">
        <f t="shared" ref="AN17:AR17" si="6">C62</f>
        <v>36</v>
      </c>
      <c r="AO17" s="227">
        <f t="shared" si="6"/>
        <v>36</v>
      </c>
      <c r="AP17" s="227">
        <f t="shared" si="6"/>
        <v>36</v>
      </c>
      <c r="AQ17" s="227">
        <f t="shared" si="6"/>
        <v>36</v>
      </c>
      <c r="AR17" s="227">
        <f t="shared" si="6"/>
        <v>36</v>
      </c>
      <c r="AS17" s="227">
        <f>I62</f>
        <v>36</v>
      </c>
      <c r="AT17" s="227">
        <f>K62</f>
        <v>158</v>
      </c>
      <c r="AU17" s="227">
        <f t="shared" ref="AU17:AW17" si="7">M62</f>
        <v>376.5</v>
      </c>
      <c r="AV17" s="227">
        <f t="shared" si="7"/>
        <v>86.5</v>
      </c>
      <c r="AW17" s="227">
        <f t="shared" si="7"/>
        <v>51.5</v>
      </c>
      <c r="AX17" s="227">
        <f>P62</f>
        <v>36.5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</v>
      </c>
      <c r="C18" s="45">
        <v>6</v>
      </c>
      <c r="D18" s="45">
        <v>6</v>
      </c>
      <c r="E18" s="45">
        <v>6</v>
      </c>
      <c r="F18" s="45">
        <v>6</v>
      </c>
      <c r="G18" s="45">
        <v>6</v>
      </c>
      <c r="H18" s="45">
        <v>6</v>
      </c>
      <c r="I18" s="45">
        <v>6</v>
      </c>
      <c r="J18" s="45">
        <v>6</v>
      </c>
      <c r="K18" s="45">
        <v>6</v>
      </c>
      <c r="L18" s="45">
        <v>6</v>
      </c>
      <c r="M18" s="45">
        <v>6</v>
      </c>
      <c r="N18" s="45">
        <v>6</v>
      </c>
      <c r="O18" s="45">
        <v>6</v>
      </c>
      <c r="P18" s="45">
        <v>6</v>
      </c>
      <c r="Q18" s="45">
        <v>6</v>
      </c>
      <c r="R18" s="45">
        <v>6</v>
      </c>
      <c r="S18" s="45">
        <v>6</v>
      </c>
      <c r="T18" s="45">
        <v>6</v>
      </c>
      <c r="U18" s="45">
        <v>6</v>
      </c>
      <c r="V18" s="45">
        <v>6</v>
      </c>
      <c r="W18" s="45">
        <v>6</v>
      </c>
      <c r="X18" s="45">
        <v>6</v>
      </c>
      <c r="Y18" s="45">
        <v>6</v>
      </c>
      <c r="Z18" s="45">
        <v>6</v>
      </c>
      <c r="AA18" s="45">
        <v>6</v>
      </c>
      <c r="AB18" s="45">
        <v>6</v>
      </c>
      <c r="AC18" s="45">
        <v>6</v>
      </c>
      <c r="AD18" s="45">
        <v>6</v>
      </c>
      <c r="AE18" s="45">
        <v>6</v>
      </c>
      <c r="AF18" s="45">
        <v>6</v>
      </c>
      <c r="AG18" s="49">
        <v>42</v>
      </c>
      <c r="AH18" s="47">
        <f t="shared" ref="AH18:AH81" si="8">MAX(B18:AF18)</f>
        <v>6</v>
      </c>
      <c r="AI18" s="48">
        <f t="shared" ref="AI18:AI81" si="9">MIN(B18:AF18)</f>
        <v>6</v>
      </c>
      <c r="AK18" s="50"/>
      <c r="AL18" s="160" t="s">
        <v>593</v>
      </c>
      <c r="AM18" s="227">
        <f>B76</f>
        <v>68.040000000000006</v>
      </c>
      <c r="AN18" s="227">
        <f t="shared" ref="AN18:AR18" si="10">C76</f>
        <v>68.040000000000006</v>
      </c>
      <c r="AO18" s="227">
        <f t="shared" si="10"/>
        <v>68.040000000000006</v>
      </c>
      <c r="AP18" s="227">
        <f t="shared" si="10"/>
        <v>70.54000000000002</v>
      </c>
      <c r="AQ18" s="227">
        <f t="shared" si="10"/>
        <v>70.54000000000002</v>
      </c>
      <c r="AR18" s="227">
        <f t="shared" si="10"/>
        <v>70.54000000000002</v>
      </c>
      <c r="AS18" s="227">
        <f>I76</f>
        <v>187.83999999999997</v>
      </c>
      <c r="AT18" s="227">
        <f>K76</f>
        <v>273.74</v>
      </c>
      <c r="AU18" s="227">
        <f t="shared" ref="AU18:AX18" si="11">M76</f>
        <v>294.04000000000002</v>
      </c>
      <c r="AV18" s="227">
        <f t="shared" si="11"/>
        <v>290.44000000000005</v>
      </c>
      <c r="AW18" s="227">
        <f t="shared" si="11"/>
        <v>189.13999999999996</v>
      </c>
      <c r="AX18" s="227">
        <f t="shared" si="11"/>
        <v>207.23999999999995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654</v>
      </c>
      <c r="AN19" s="227">
        <f t="shared" ref="AN19:AR19" si="12">C92</f>
        <v>614.4</v>
      </c>
      <c r="AO19" s="227">
        <f t="shared" si="12"/>
        <v>608.9</v>
      </c>
      <c r="AP19" s="227">
        <f t="shared" si="12"/>
        <v>626.70000000000005</v>
      </c>
      <c r="AQ19" s="227">
        <f t="shared" si="12"/>
        <v>601.29999999999995</v>
      </c>
      <c r="AR19" s="227">
        <f t="shared" si="12"/>
        <v>662.30000000000007</v>
      </c>
      <c r="AS19" s="227">
        <f>I92</f>
        <v>649.29999999999995</v>
      </c>
      <c r="AT19" s="227">
        <f>K92</f>
        <v>488.9</v>
      </c>
      <c r="AU19" s="227">
        <f t="shared" ref="AU19:AX19" si="13">M92</f>
        <v>104.1</v>
      </c>
      <c r="AV19" s="227">
        <f t="shared" si="13"/>
        <v>397</v>
      </c>
      <c r="AW19" s="227">
        <f t="shared" si="13"/>
        <v>456.2</v>
      </c>
      <c r="AX19" s="227">
        <f t="shared" si="13"/>
        <v>570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100</v>
      </c>
      <c r="AU21" s="227">
        <f t="shared" ref="AU21:AX21" si="17">M98</f>
        <v>250</v>
      </c>
      <c r="AV21" s="227">
        <f t="shared" si="17"/>
        <v>280</v>
      </c>
      <c r="AW21" s="227">
        <f t="shared" si="17"/>
        <v>250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7.2</v>
      </c>
      <c r="C22" s="45">
        <v>7.2</v>
      </c>
      <c r="D22" s="45">
        <v>7.2</v>
      </c>
      <c r="E22" s="45">
        <v>7.2</v>
      </c>
      <c r="F22" s="45">
        <v>7.2</v>
      </c>
      <c r="G22" s="45">
        <v>7.2</v>
      </c>
      <c r="H22" s="45">
        <v>7.2</v>
      </c>
      <c r="I22" s="45">
        <v>7.2</v>
      </c>
      <c r="J22" s="45">
        <v>7.2</v>
      </c>
      <c r="K22" s="45">
        <v>7.2</v>
      </c>
      <c r="L22" s="45">
        <v>7.2</v>
      </c>
      <c r="M22" s="45">
        <v>7.2</v>
      </c>
      <c r="N22" s="45">
        <v>7.2</v>
      </c>
      <c r="O22" s="45">
        <v>7.2</v>
      </c>
      <c r="P22" s="45">
        <v>7.2</v>
      </c>
      <c r="Q22" s="45">
        <v>7.2</v>
      </c>
      <c r="R22" s="45">
        <v>7.2</v>
      </c>
      <c r="S22" s="45">
        <v>6.7</v>
      </c>
      <c r="T22" s="45">
        <v>6.7</v>
      </c>
      <c r="U22" s="45">
        <v>6.7</v>
      </c>
      <c r="V22" s="45">
        <v>6.7</v>
      </c>
      <c r="W22" s="45">
        <v>6.7</v>
      </c>
      <c r="X22" s="45">
        <v>6.7</v>
      </c>
      <c r="Y22" s="45">
        <v>6.7</v>
      </c>
      <c r="Z22" s="45">
        <v>6.7</v>
      </c>
      <c r="AA22" s="45">
        <v>6.7</v>
      </c>
      <c r="AB22" s="45">
        <v>6.7</v>
      </c>
      <c r="AC22" s="45">
        <v>6.7</v>
      </c>
      <c r="AD22" s="45">
        <v>6.7</v>
      </c>
      <c r="AE22" s="45">
        <v>6.7</v>
      </c>
      <c r="AF22" s="45">
        <v>6.7</v>
      </c>
      <c r="AG22" s="52">
        <v>30</v>
      </c>
      <c r="AH22" s="47">
        <f t="shared" si="8"/>
        <v>7.2</v>
      </c>
      <c r="AI22" s="48">
        <f t="shared" si="9"/>
        <v>6.7</v>
      </c>
      <c r="AK22" s="50"/>
      <c r="AL22" s="229" t="s">
        <v>597</v>
      </c>
      <c r="AM22" s="228">
        <f>SUM(AM16:AM21)</f>
        <v>1205.3899999999999</v>
      </c>
      <c r="AN22" s="228">
        <f t="shared" ref="AN22:AX22" si="18">SUM(AN16:AN21)</f>
        <v>1165.79</v>
      </c>
      <c r="AO22" s="228">
        <f t="shared" si="18"/>
        <v>1160.29</v>
      </c>
      <c r="AP22" s="228">
        <f t="shared" si="18"/>
        <v>1180.5900000000001</v>
      </c>
      <c r="AQ22" s="228">
        <f t="shared" si="18"/>
        <v>1155.19</v>
      </c>
      <c r="AR22" s="228">
        <f t="shared" si="18"/>
        <v>1216.19</v>
      </c>
      <c r="AS22" s="228">
        <f t="shared" si="18"/>
        <v>1320.4899999999998</v>
      </c>
      <c r="AT22" s="228">
        <f t="shared" si="18"/>
        <v>1467.9899999999998</v>
      </c>
      <c r="AU22" s="228">
        <f t="shared" si="18"/>
        <v>1474.9899999999998</v>
      </c>
      <c r="AV22" s="228">
        <f t="shared" si="18"/>
        <v>1501.89</v>
      </c>
      <c r="AW22" s="228">
        <f t="shared" si="18"/>
        <v>1397.59</v>
      </c>
      <c r="AX22" s="228">
        <f t="shared" si="18"/>
        <v>1262.29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-3.5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6.7</v>
      </c>
      <c r="C24" s="45">
        <v>6.7</v>
      </c>
      <c r="D24" s="45">
        <v>6.7</v>
      </c>
      <c r="E24" s="45">
        <v>6.7</v>
      </c>
      <c r="F24" s="45">
        <v>6.7</v>
      </c>
      <c r="G24" s="45">
        <v>6.7</v>
      </c>
      <c r="H24" s="45">
        <v>6.7</v>
      </c>
      <c r="I24" s="45">
        <v>6.7</v>
      </c>
      <c r="J24" s="45">
        <v>6.7</v>
      </c>
      <c r="K24" s="45">
        <v>6.7</v>
      </c>
      <c r="L24" s="45">
        <v>6.7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6.7</v>
      </c>
      <c r="X24" s="45">
        <v>6.7</v>
      </c>
      <c r="Y24" s="45">
        <v>6.7</v>
      </c>
      <c r="Z24" s="45">
        <v>6.7</v>
      </c>
      <c r="AA24" s="45">
        <v>6.7</v>
      </c>
      <c r="AB24" s="45">
        <v>6.7</v>
      </c>
      <c r="AC24" s="45">
        <v>6.7</v>
      </c>
      <c r="AD24" s="45">
        <v>6.7</v>
      </c>
      <c r="AE24" s="45">
        <v>6.7</v>
      </c>
      <c r="AF24" s="45">
        <v>6.7</v>
      </c>
      <c r="AG24" s="49">
        <v>28</v>
      </c>
      <c r="AH24" s="47">
        <f t="shared" si="8"/>
        <v>6.7</v>
      </c>
      <c r="AI24" s="48">
        <f t="shared" si="9"/>
        <v>6.7</v>
      </c>
      <c r="AK24" s="50"/>
      <c r="AL24" s="229" t="s">
        <v>598</v>
      </c>
      <c r="AM24" s="228">
        <f>AM22+AM23</f>
        <v>1205.3899999999999</v>
      </c>
      <c r="AN24" s="228">
        <f t="shared" ref="AN24:AX24" si="21">AN22+AN23</f>
        <v>1165.79</v>
      </c>
      <c r="AO24" s="228">
        <f t="shared" si="21"/>
        <v>1160.29</v>
      </c>
      <c r="AP24" s="228">
        <f t="shared" si="21"/>
        <v>1180.5900000000001</v>
      </c>
      <c r="AQ24" s="228">
        <f t="shared" si="21"/>
        <v>1155.19</v>
      </c>
      <c r="AR24" s="228">
        <f t="shared" si="21"/>
        <v>1216.19</v>
      </c>
      <c r="AS24" s="228">
        <f t="shared" si="21"/>
        <v>1320.4899999999998</v>
      </c>
      <c r="AT24" s="228">
        <f t="shared" si="21"/>
        <v>1467.9899999999998</v>
      </c>
      <c r="AU24" s="228">
        <f t="shared" si="21"/>
        <v>1471.4899999999998</v>
      </c>
      <c r="AV24" s="228">
        <f t="shared" si="21"/>
        <v>1501.89</v>
      </c>
      <c r="AW24" s="228">
        <f t="shared" si="21"/>
        <v>1397.59</v>
      </c>
      <c r="AX24" s="228">
        <f t="shared" si="21"/>
        <v>1262.29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14.5</v>
      </c>
      <c r="C25" s="45">
        <v>14.5</v>
      </c>
      <c r="D25" s="45">
        <v>14.5</v>
      </c>
      <c r="E25" s="45">
        <v>14.5</v>
      </c>
      <c r="F25" s="45">
        <v>14.5</v>
      </c>
      <c r="G25" s="45">
        <v>14.5</v>
      </c>
      <c r="H25" s="45">
        <v>14.5</v>
      </c>
      <c r="I25" s="45">
        <v>14.5</v>
      </c>
      <c r="J25" s="45">
        <v>14.5</v>
      </c>
      <c r="K25" s="45">
        <v>14.5</v>
      </c>
      <c r="L25" s="45">
        <v>14.5</v>
      </c>
      <c r="M25" s="45">
        <v>14.5</v>
      </c>
      <c r="N25" s="45">
        <v>14.5</v>
      </c>
      <c r="O25" s="45">
        <v>14.5</v>
      </c>
      <c r="P25" s="45">
        <v>14.5</v>
      </c>
      <c r="Q25" s="45">
        <v>14.5</v>
      </c>
      <c r="R25" s="45">
        <v>14.5</v>
      </c>
      <c r="S25" s="45">
        <v>5.2</v>
      </c>
      <c r="T25" s="45">
        <v>5.2</v>
      </c>
      <c r="U25" s="45">
        <v>5.2</v>
      </c>
      <c r="V25" s="45">
        <v>5.2</v>
      </c>
      <c r="W25" s="45">
        <v>5.2</v>
      </c>
      <c r="X25" s="45">
        <v>5.2</v>
      </c>
      <c r="Y25" s="45">
        <v>5.2</v>
      </c>
      <c r="Z25" s="45">
        <v>5.2</v>
      </c>
      <c r="AA25" s="45">
        <v>5.2</v>
      </c>
      <c r="AB25" s="45">
        <v>5.2</v>
      </c>
      <c r="AC25" s="45">
        <v>5.2</v>
      </c>
      <c r="AD25" s="45">
        <v>5.2</v>
      </c>
      <c r="AE25" s="45">
        <v>5.2</v>
      </c>
      <c r="AF25" s="45">
        <v>5.2</v>
      </c>
      <c r="AG25" s="52">
        <v>30</v>
      </c>
      <c r="AH25" s="47">
        <f t="shared" si="8"/>
        <v>14.5</v>
      </c>
      <c r="AI25" s="48">
        <f t="shared" si="9"/>
        <v>5.2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8.3000000000000007</v>
      </c>
      <c r="C26" s="45">
        <v>8.3000000000000007</v>
      </c>
      <c r="D26" s="45">
        <v>8.3000000000000007</v>
      </c>
      <c r="E26" s="45">
        <v>8.3000000000000007</v>
      </c>
      <c r="F26" s="45">
        <v>8.3000000000000007</v>
      </c>
      <c r="G26" s="45">
        <v>8.3000000000000007</v>
      </c>
      <c r="H26" s="45">
        <v>8.3000000000000007</v>
      </c>
      <c r="I26" s="45">
        <v>8.3000000000000007</v>
      </c>
      <c r="J26" s="45">
        <v>8.3000000000000007</v>
      </c>
      <c r="K26" s="45">
        <v>8.3000000000000007</v>
      </c>
      <c r="L26" s="45">
        <v>8.3000000000000007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8.3000000000000007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8.3000000000000007</v>
      </c>
      <c r="X26" s="45">
        <v>8.3000000000000007</v>
      </c>
      <c r="Y26" s="45">
        <v>8.3000000000000007</v>
      </c>
      <c r="Z26" s="45">
        <v>8.3000000000000007</v>
      </c>
      <c r="AA26" s="45">
        <v>8.3000000000000007</v>
      </c>
      <c r="AB26" s="45">
        <v>8.3000000000000007</v>
      </c>
      <c r="AC26" s="45">
        <v>8.3000000000000007</v>
      </c>
      <c r="AD26" s="45">
        <v>8.3000000000000007</v>
      </c>
      <c r="AE26" s="45">
        <v>8.3000000000000007</v>
      </c>
      <c r="AF26" s="45">
        <v>8.3000000000000007</v>
      </c>
      <c r="AG26" s="49">
        <v>25</v>
      </c>
      <c r="AH26" s="47">
        <f t="shared" si="8"/>
        <v>8.3000000000000007</v>
      </c>
      <c r="AI26" s="48">
        <f t="shared" si="9"/>
        <v>8.3000000000000007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12.4</v>
      </c>
      <c r="C29" s="45">
        <v>12.4</v>
      </c>
      <c r="D29" s="45">
        <v>12.4</v>
      </c>
      <c r="E29" s="45">
        <v>12.4</v>
      </c>
      <c r="F29" s="45">
        <v>12.4</v>
      </c>
      <c r="G29" s="45">
        <v>12.4</v>
      </c>
      <c r="H29" s="45">
        <v>12.4</v>
      </c>
      <c r="I29" s="45">
        <v>12.4</v>
      </c>
      <c r="J29" s="45">
        <v>12.4</v>
      </c>
      <c r="K29" s="45">
        <v>12.4</v>
      </c>
      <c r="L29" s="45">
        <v>12.4</v>
      </c>
      <c r="M29" s="45">
        <v>12.4</v>
      </c>
      <c r="N29" s="45">
        <v>12.4</v>
      </c>
      <c r="O29" s="45">
        <v>12.4</v>
      </c>
      <c r="P29" s="45">
        <v>12.4</v>
      </c>
      <c r="Q29" s="45">
        <v>12.4</v>
      </c>
      <c r="R29" s="45">
        <v>12.4</v>
      </c>
      <c r="S29" s="45">
        <v>12.4</v>
      </c>
      <c r="T29" s="45">
        <v>12.4</v>
      </c>
      <c r="U29" s="45">
        <v>12.4</v>
      </c>
      <c r="V29" s="45">
        <v>12.4</v>
      </c>
      <c r="W29" s="45">
        <v>12.4</v>
      </c>
      <c r="X29" s="45">
        <v>12.4</v>
      </c>
      <c r="Y29" s="45">
        <v>12.4</v>
      </c>
      <c r="Z29" s="45">
        <v>12.4</v>
      </c>
      <c r="AA29" s="45">
        <v>12.4</v>
      </c>
      <c r="AB29" s="45">
        <v>12.4</v>
      </c>
      <c r="AC29" s="45">
        <v>12.4</v>
      </c>
      <c r="AD29" s="45">
        <v>12.4</v>
      </c>
      <c r="AE29" s="45">
        <v>12.4</v>
      </c>
      <c r="AF29" s="45">
        <v>12.4</v>
      </c>
      <c r="AG29" s="49">
        <v>25</v>
      </c>
      <c r="AH29" s="47">
        <f t="shared" si="8"/>
        <v>12.4</v>
      </c>
      <c r="AI29" s="48">
        <f t="shared" si="9"/>
        <v>12.4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>
        <v>6.9</v>
      </c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6.9</v>
      </c>
      <c r="X30" s="45">
        <v>6.9</v>
      </c>
      <c r="Y30" s="45">
        <v>6.9</v>
      </c>
      <c r="Z30" s="45">
        <v>6.9</v>
      </c>
      <c r="AA30" s="45">
        <v>6.9</v>
      </c>
      <c r="AB30" s="45">
        <v>6.9</v>
      </c>
      <c r="AC30" s="45">
        <v>6.9</v>
      </c>
      <c r="AD30" s="45">
        <v>6.9</v>
      </c>
      <c r="AE30" s="45">
        <v>6.9</v>
      </c>
      <c r="AF30" s="45">
        <v>6.9</v>
      </c>
      <c r="AG30" s="49">
        <v>23.5</v>
      </c>
      <c r="AH30" s="47">
        <f t="shared" si="8"/>
        <v>6.9</v>
      </c>
      <c r="AI30" s="48">
        <f t="shared" si="9"/>
        <v>6.9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9.3000000000000007</v>
      </c>
      <c r="C34" s="45">
        <v>9.3000000000000007</v>
      </c>
      <c r="D34" s="45">
        <v>9.3000000000000007</v>
      </c>
      <c r="E34" s="45">
        <v>9.3000000000000007</v>
      </c>
      <c r="F34" s="45">
        <v>9.3000000000000007</v>
      </c>
      <c r="G34" s="45">
        <v>9.3000000000000007</v>
      </c>
      <c r="H34" s="45">
        <v>9.3000000000000007</v>
      </c>
      <c r="I34" s="45">
        <v>9.3000000000000007</v>
      </c>
      <c r="J34" s="45">
        <v>9.3000000000000007</v>
      </c>
      <c r="K34" s="45">
        <v>9.3000000000000007</v>
      </c>
      <c r="L34" s="45">
        <v>9.3000000000000007</v>
      </c>
      <c r="M34" s="45">
        <v>9.3000000000000007</v>
      </c>
      <c r="N34" s="45">
        <v>9.3000000000000007</v>
      </c>
      <c r="O34" s="45">
        <v>9.3000000000000007</v>
      </c>
      <c r="P34" s="45">
        <v>9.3000000000000007</v>
      </c>
      <c r="Q34" s="45">
        <v>9.3000000000000007</v>
      </c>
      <c r="R34" s="45">
        <v>9.3000000000000007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9.3000000000000007</v>
      </c>
      <c r="X34" s="45">
        <v>9.3000000000000007</v>
      </c>
      <c r="Y34" s="45">
        <v>9.3000000000000007</v>
      </c>
      <c r="Z34" s="45">
        <v>9.3000000000000007</v>
      </c>
      <c r="AA34" s="45">
        <v>9.3000000000000007</v>
      </c>
      <c r="AB34" s="45">
        <v>9.3000000000000007</v>
      </c>
      <c r="AC34" s="45">
        <v>9.3000000000000007</v>
      </c>
      <c r="AD34" s="45">
        <v>9.3000000000000007</v>
      </c>
      <c r="AE34" s="45">
        <v>9.3000000000000007</v>
      </c>
      <c r="AF34" s="45">
        <v>9.3000000000000007</v>
      </c>
      <c r="AG34" s="49">
        <v>22</v>
      </c>
      <c r="AH34" s="47">
        <f t="shared" si="8"/>
        <v>9.3000000000000007</v>
      </c>
      <c r="AI34" s="48">
        <f t="shared" si="9"/>
        <v>9.3000000000000007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7.5</v>
      </c>
      <c r="C44" s="45">
        <v>7.5</v>
      </c>
      <c r="D44" s="45">
        <v>7.5</v>
      </c>
      <c r="E44" s="45">
        <v>7.5</v>
      </c>
      <c r="F44" s="45">
        <v>7.5</v>
      </c>
      <c r="G44" s="45">
        <v>7.5</v>
      </c>
      <c r="H44" s="45">
        <v>7.5</v>
      </c>
      <c r="I44" s="45">
        <v>7.5</v>
      </c>
      <c r="J44" s="45">
        <v>7.5</v>
      </c>
      <c r="K44" s="45">
        <v>7.5</v>
      </c>
      <c r="L44" s="45">
        <v>7.5</v>
      </c>
      <c r="M44" s="45">
        <v>7.5</v>
      </c>
      <c r="N44" s="45">
        <v>7.5</v>
      </c>
      <c r="O44" s="45">
        <v>7.5</v>
      </c>
      <c r="P44" s="45">
        <v>7.5</v>
      </c>
      <c r="Q44" s="45">
        <v>7.5</v>
      </c>
      <c r="R44" s="45">
        <v>7.5</v>
      </c>
      <c r="S44" s="45">
        <v>7.5</v>
      </c>
      <c r="T44" s="45">
        <v>7.5</v>
      </c>
      <c r="U44" s="45">
        <v>7.5</v>
      </c>
      <c r="V44" s="45">
        <v>7.5</v>
      </c>
      <c r="W44" s="45">
        <v>7.5</v>
      </c>
      <c r="X44" s="45">
        <v>7.5</v>
      </c>
      <c r="Y44" s="45">
        <v>7.5</v>
      </c>
      <c r="Z44" s="45">
        <v>7.5</v>
      </c>
      <c r="AA44" s="45">
        <v>7.5</v>
      </c>
      <c r="AB44" s="45">
        <v>7.5</v>
      </c>
      <c r="AC44" s="45">
        <v>7.5</v>
      </c>
      <c r="AD44" s="45">
        <v>7.5</v>
      </c>
      <c r="AE44" s="45">
        <v>7.5</v>
      </c>
      <c r="AF44" s="45">
        <v>7.5</v>
      </c>
      <c r="AG44" s="49">
        <v>12</v>
      </c>
      <c r="AH44" s="47">
        <f t="shared" si="8"/>
        <v>7.5</v>
      </c>
      <c r="AI44" s="48">
        <f t="shared" si="9"/>
        <v>7.5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17.8</v>
      </c>
      <c r="C57" s="57">
        <v>17.8</v>
      </c>
      <c r="D57" s="57">
        <v>17.8</v>
      </c>
      <c r="E57" s="57">
        <v>21.6</v>
      </c>
      <c r="F57" s="57">
        <v>21.6</v>
      </c>
      <c r="G57" s="57">
        <v>21.6</v>
      </c>
      <c r="H57" s="57">
        <v>21.6</v>
      </c>
      <c r="I57" s="57">
        <v>21.6</v>
      </c>
      <c r="J57" s="57">
        <v>21.6</v>
      </c>
      <c r="K57" s="57">
        <v>17.899999999999999</v>
      </c>
      <c r="L57" s="57">
        <v>21.6</v>
      </c>
      <c r="M57" s="51">
        <f>11.9+4.9</f>
        <v>16.8</v>
      </c>
      <c r="N57" s="51">
        <f>13.9+5.8</f>
        <v>19.7</v>
      </c>
      <c r="O57" s="51">
        <f>13.2+5.4</f>
        <v>18.600000000000001</v>
      </c>
      <c r="P57" s="51">
        <f>12.1+5.3</f>
        <v>17.399999999999999</v>
      </c>
      <c r="Q57" s="51">
        <v>17.100000000000001</v>
      </c>
      <c r="R57" s="51">
        <v>17.100000000000001</v>
      </c>
      <c r="S57" s="51">
        <v>17.100000000000001</v>
      </c>
      <c r="T57" s="51">
        <v>19.600000000000001</v>
      </c>
      <c r="U57" s="51">
        <v>15.8</v>
      </c>
      <c r="V57" s="51">
        <v>17.5</v>
      </c>
      <c r="W57" s="51">
        <v>17.5</v>
      </c>
      <c r="X57" s="51">
        <v>17.5</v>
      </c>
      <c r="Y57" s="51">
        <v>17.5</v>
      </c>
      <c r="Z57" s="51">
        <v>17.5</v>
      </c>
      <c r="AA57" s="51">
        <v>17.5</v>
      </c>
      <c r="AB57" s="57">
        <f>7.9+3.6</f>
        <v>11.5</v>
      </c>
      <c r="AC57" s="57">
        <f>8.5+3.6</f>
        <v>12.1</v>
      </c>
      <c r="AD57" s="57">
        <v>14.9</v>
      </c>
      <c r="AE57" s="57">
        <v>14.2</v>
      </c>
      <c r="AF57" s="57">
        <f>13.4+5.6</f>
        <v>19</v>
      </c>
      <c r="AG57" s="55">
        <v>240</v>
      </c>
      <c r="AH57" s="47">
        <f t="shared" si="8"/>
        <v>21.6</v>
      </c>
      <c r="AI57" s="48">
        <f t="shared" si="9"/>
        <v>11.5</v>
      </c>
      <c r="AK57" s="50"/>
    </row>
    <row r="58" spans="1:88" ht="15.75" thickBot="1" x14ac:dyDescent="0.3">
      <c r="A58" s="59" t="s">
        <v>58</v>
      </c>
      <c r="B58" s="60">
        <f t="shared" ref="B58:AF58" si="22">SUM(B11:B56)</f>
        <v>447.34999999999997</v>
      </c>
      <c r="C58" s="60">
        <f t="shared" si="22"/>
        <v>447.34999999999997</v>
      </c>
      <c r="D58" s="60">
        <f t="shared" si="22"/>
        <v>447.34999999999997</v>
      </c>
      <c r="E58" s="60">
        <f t="shared" si="22"/>
        <v>447.34999999999997</v>
      </c>
      <c r="F58" s="60">
        <f t="shared" si="22"/>
        <v>447.34999999999997</v>
      </c>
      <c r="G58" s="60">
        <f t="shared" si="22"/>
        <v>447.34999999999997</v>
      </c>
      <c r="H58" s="60">
        <f t="shared" si="22"/>
        <v>447.34999999999997</v>
      </c>
      <c r="I58" s="60">
        <f t="shared" si="22"/>
        <v>447.34999999999997</v>
      </c>
      <c r="J58" s="60">
        <f t="shared" si="22"/>
        <v>447.34999999999997</v>
      </c>
      <c r="K58" s="60">
        <f t="shared" si="22"/>
        <v>447.34999999999997</v>
      </c>
      <c r="L58" s="60">
        <f t="shared" si="22"/>
        <v>447.34999999999997</v>
      </c>
      <c r="M58" s="60">
        <f t="shared" si="22"/>
        <v>450.34999999999997</v>
      </c>
      <c r="N58" s="60">
        <f t="shared" si="22"/>
        <v>447.95</v>
      </c>
      <c r="O58" s="60">
        <f t="shared" si="22"/>
        <v>450.75</v>
      </c>
      <c r="P58" s="60">
        <f t="shared" si="22"/>
        <v>448.55</v>
      </c>
      <c r="Q58" s="60">
        <f t="shared" si="22"/>
        <v>448.55</v>
      </c>
      <c r="R58" s="60">
        <f t="shared" si="22"/>
        <v>448.55</v>
      </c>
      <c r="S58" s="60">
        <f t="shared" si="22"/>
        <v>464.75</v>
      </c>
      <c r="T58" s="60">
        <f t="shared" si="22"/>
        <v>463.35</v>
      </c>
      <c r="U58" s="60">
        <f t="shared" si="22"/>
        <v>463.35</v>
      </c>
      <c r="V58" s="60">
        <f t="shared" si="22"/>
        <v>463.35</v>
      </c>
      <c r="W58" s="60">
        <f t="shared" ref="W58:X58" si="23">SUM(W11:W56)</f>
        <v>463.35</v>
      </c>
      <c r="X58" s="60">
        <f t="shared" si="23"/>
        <v>463.35</v>
      </c>
      <c r="Y58" s="60">
        <f t="shared" si="22"/>
        <v>461.05</v>
      </c>
      <c r="Z58" s="60">
        <f t="shared" si="22"/>
        <v>461.05</v>
      </c>
      <c r="AA58" s="60">
        <f t="shared" si="22"/>
        <v>461.05</v>
      </c>
      <c r="AB58" s="60">
        <f t="shared" si="22"/>
        <v>467.45000000000005</v>
      </c>
      <c r="AC58" s="60">
        <f t="shared" si="22"/>
        <v>467.45000000000005</v>
      </c>
      <c r="AD58" s="60">
        <f t="shared" si="22"/>
        <v>467.35</v>
      </c>
      <c r="AE58" s="60">
        <f t="shared" si="22"/>
        <v>466.75</v>
      </c>
      <c r="AF58" s="60">
        <f t="shared" si="22"/>
        <v>467.35</v>
      </c>
      <c r="AG58" s="61">
        <f>SUM(AG14:AG56)</f>
        <v>1042.4000000000001</v>
      </c>
      <c r="AH58" s="47">
        <f t="shared" si="8"/>
        <v>467.45000000000005</v>
      </c>
      <c r="AI58" s="48">
        <f t="shared" si="9"/>
        <v>447.34999999999997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122</v>
      </c>
      <c r="L59" s="45">
        <v>330</v>
      </c>
      <c r="M59" s="45">
        <v>340</v>
      </c>
      <c r="N59" s="63">
        <v>50</v>
      </c>
      <c r="O59" s="63">
        <v>15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90</v>
      </c>
      <c r="V59" s="63">
        <v>25</v>
      </c>
      <c r="W59" s="63">
        <v>55</v>
      </c>
      <c r="X59" s="63">
        <v>55</v>
      </c>
      <c r="Y59" s="45">
        <v>105</v>
      </c>
      <c r="Z59" s="45">
        <v>380</v>
      </c>
      <c r="AA59" s="45">
        <v>380</v>
      </c>
      <c r="AB59" s="45">
        <v>390</v>
      </c>
      <c r="AC59" s="45">
        <v>60</v>
      </c>
      <c r="AD59" s="45">
        <v>40</v>
      </c>
      <c r="AE59" s="45">
        <v>30</v>
      </c>
      <c r="AF59" s="45">
        <v>15</v>
      </c>
      <c r="AG59" s="52">
        <v>456</v>
      </c>
      <c r="AH59" s="47">
        <f t="shared" si="8"/>
        <v>390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9</v>
      </c>
      <c r="C61" s="67">
        <v>9</v>
      </c>
      <c r="D61" s="67">
        <v>9</v>
      </c>
      <c r="E61" s="67">
        <v>9</v>
      </c>
      <c r="F61" s="67">
        <v>9</v>
      </c>
      <c r="G61" s="67">
        <v>9</v>
      </c>
      <c r="H61" s="67">
        <v>9</v>
      </c>
      <c r="I61" s="67">
        <v>9</v>
      </c>
      <c r="J61" s="67">
        <v>9</v>
      </c>
      <c r="K61" s="67">
        <v>9</v>
      </c>
      <c r="L61" s="67">
        <v>9</v>
      </c>
      <c r="M61" s="67">
        <v>9.5</v>
      </c>
      <c r="N61" s="67">
        <v>9.5</v>
      </c>
      <c r="O61" s="67">
        <v>9.5</v>
      </c>
      <c r="P61" s="67">
        <v>9.5</v>
      </c>
      <c r="Q61" s="67">
        <v>9.5</v>
      </c>
      <c r="R61" s="67">
        <v>9.5</v>
      </c>
      <c r="S61" s="67">
        <v>9.5</v>
      </c>
      <c r="T61" s="67">
        <v>9.5</v>
      </c>
      <c r="U61" s="67">
        <v>9.5</v>
      </c>
      <c r="V61" s="67">
        <v>9</v>
      </c>
      <c r="W61" s="67">
        <v>9</v>
      </c>
      <c r="X61" s="67">
        <v>9</v>
      </c>
      <c r="Y61" s="67">
        <v>9</v>
      </c>
      <c r="Z61" s="67">
        <v>5.2</v>
      </c>
      <c r="AA61" s="67">
        <v>10.5</v>
      </c>
      <c r="AB61" s="67">
        <v>10.5</v>
      </c>
      <c r="AC61" s="67">
        <v>10.5</v>
      </c>
      <c r="AD61" s="67">
        <v>10.5</v>
      </c>
      <c r="AE61" s="67">
        <v>10.5</v>
      </c>
      <c r="AF61" s="67">
        <v>10.5</v>
      </c>
      <c r="AG61" s="68">
        <v>22.1</v>
      </c>
      <c r="AH61" s="47">
        <f t="shared" si="8"/>
        <v>10.5</v>
      </c>
      <c r="AI61" s="48">
        <f t="shared" si="9"/>
        <v>5.2</v>
      </c>
      <c r="AK61" s="50"/>
    </row>
    <row r="62" spans="1:88" ht="15.75" thickBot="1" x14ac:dyDescent="0.3">
      <c r="A62" s="69" t="s">
        <v>62</v>
      </c>
      <c r="B62" s="60">
        <f t="shared" ref="B62:AG62" si="24">SUM(B59:B61)</f>
        <v>36</v>
      </c>
      <c r="C62" s="60">
        <f t="shared" si="24"/>
        <v>36</v>
      </c>
      <c r="D62" s="60">
        <f t="shared" si="24"/>
        <v>36</v>
      </c>
      <c r="E62" s="60">
        <f t="shared" si="24"/>
        <v>36</v>
      </c>
      <c r="F62" s="60">
        <f t="shared" si="24"/>
        <v>36</v>
      </c>
      <c r="G62" s="60">
        <f t="shared" si="24"/>
        <v>36</v>
      </c>
      <c r="H62" s="60">
        <f t="shared" si="24"/>
        <v>36</v>
      </c>
      <c r="I62" s="60">
        <f t="shared" si="24"/>
        <v>36</v>
      </c>
      <c r="J62" s="60">
        <f t="shared" si="24"/>
        <v>36</v>
      </c>
      <c r="K62" s="60">
        <f t="shared" si="24"/>
        <v>158</v>
      </c>
      <c r="L62" s="60">
        <f t="shared" si="24"/>
        <v>366</v>
      </c>
      <c r="M62" s="60">
        <f t="shared" si="24"/>
        <v>376.5</v>
      </c>
      <c r="N62" s="60">
        <f t="shared" si="24"/>
        <v>86.5</v>
      </c>
      <c r="O62" s="60">
        <f t="shared" si="24"/>
        <v>51.5</v>
      </c>
      <c r="P62" s="60">
        <f>SUM(P59:P61)</f>
        <v>36.5</v>
      </c>
      <c r="Q62" s="60">
        <f t="shared" si="24"/>
        <v>36.5</v>
      </c>
      <c r="R62" s="60">
        <f t="shared" si="24"/>
        <v>36.5</v>
      </c>
      <c r="S62" s="60">
        <f t="shared" si="24"/>
        <v>36.5</v>
      </c>
      <c r="T62" s="60">
        <f t="shared" si="24"/>
        <v>36.5</v>
      </c>
      <c r="U62" s="60">
        <f t="shared" si="24"/>
        <v>126.5</v>
      </c>
      <c r="V62" s="60">
        <f t="shared" si="24"/>
        <v>61</v>
      </c>
      <c r="W62" s="60">
        <f t="shared" ref="W62:X62" si="25">SUM(W59:W61)</f>
        <v>91</v>
      </c>
      <c r="X62" s="60">
        <f t="shared" si="25"/>
        <v>91</v>
      </c>
      <c r="Y62" s="60">
        <f t="shared" si="24"/>
        <v>141</v>
      </c>
      <c r="Z62" s="60">
        <f t="shared" si="24"/>
        <v>412.2</v>
      </c>
      <c r="AA62" s="60">
        <f t="shared" si="24"/>
        <v>417.5</v>
      </c>
      <c r="AB62" s="60">
        <f t="shared" si="24"/>
        <v>427.5</v>
      </c>
      <c r="AC62" s="60">
        <f t="shared" si="24"/>
        <v>97.5</v>
      </c>
      <c r="AD62" s="60">
        <f t="shared" si="24"/>
        <v>77.5</v>
      </c>
      <c r="AE62" s="60">
        <f t="shared" si="24"/>
        <v>67.5</v>
      </c>
      <c r="AF62" s="60">
        <f t="shared" si="24"/>
        <v>52.5</v>
      </c>
      <c r="AG62" s="61">
        <f t="shared" si="24"/>
        <v>538.1</v>
      </c>
      <c r="AH62" s="47">
        <f t="shared" si="8"/>
        <v>427.5</v>
      </c>
      <c r="AI62" s="48">
        <f t="shared" si="9"/>
        <v>36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40.799999999999997</v>
      </c>
      <c r="J63" s="45">
        <v>65</v>
      </c>
      <c r="K63" s="45">
        <v>97</v>
      </c>
      <c r="L63" s="45">
        <v>91</v>
      </c>
      <c r="M63" s="45">
        <v>91.5</v>
      </c>
      <c r="N63" s="45">
        <v>91.4</v>
      </c>
      <c r="O63" s="45">
        <v>30</v>
      </c>
      <c r="P63" s="45">
        <v>49.1</v>
      </c>
      <c r="Q63" s="45">
        <v>49.1</v>
      </c>
      <c r="R63" s="45">
        <v>30.6</v>
      </c>
      <c r="S63" s="45">
        <v>30.8</v>
      </c>
      <c r="T63" s="45">
        <v>49.1</v>
      </c>
      <c r="U63" s="45">
        <v>48.39</v>
      </c>
      <c r="V63" s="45">
        <v>30.41</v>
      </c>
      <c r="W63" s="45">
        <v>30.41</v>
      </c>
      <c r="X63" s="45">
        <v>60</v>
      </c>
      <c r="Y63" s="45">
        <v>94.5</v>
      </c>
      <c r="Z63" s="45">
        <v>132</v>
      </c>
      <c r="AA63" s="45">
        <v>141.6</v>
      </c>
      <c r="AB63" s="45">
        <v>111.7</v>
      </c>
      <c r="AC63" s="45">
        <v>100.4</v>
      </c>
      <c r="AD63" s="45">
        <v>91.7</v>
      </c>
      <c r="AE63" s="45">
        <v>25</v>
      </c>
      <c r="AF63" s="45">
        <v>0</v>
      </c>
      <c r="AG63" s="52">
        <v>144</v>
      </c>
      <c r="AH63" s="47">
        <f t="shared" si="8"/>
        <v>141.6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30</v>
      </c>
      <c r="J64" s="65">
        <v>30</v>
      </c>
      <c r="K64" s="65">
        <v>30</v>
      </c>
      <c r="L64" s="65">
        <v>60</v>
      </c>
      <c r="M64" s="65">
        <v>59.5</v>
      </c>
      <c r="N64" s="65">
        <v>50.4</v>
      </c>
      <c r="O64" s="65">
        <v>25.5</v>
      </c>
      <c r="P64" s="65">
        <v>29.8</v>
      </c>
      <c r="Q64" s="65">
        <v>29.8</v>
      </c>
      <c r="R64" s="65">
        <v>25.1</v>
      </c>
      <c r="S64" s="65">
        <v>25</v>
      </c>
      <c r="T64" s="65">
        <v>35.4</v>
      </c>
      <c r="U64" s="65">
        <v>35.4</v>
      </c>
      <c r="V64" s="65">
        <v>25.7</v>
      </c>
      <c r="W64" s="65">
        <v>25.7</v>
      </c>
      <c r="X64" s="65">
        <v>25.7</v>
      </c>
      <c r="Y64" s="45">
        <v>51.3</v>
      </c>
      <c r="Z64" s="45">
        <v>53.1</v>
      </c>
      <c r="AA64" s="45">
        <v>55.6</v>
      </c>
      <c r="AB64" s="45">
        <v>24.7</v>
      </c>
      <c r="AC64" s="45">
        <v>24.7</v>
      </c>
      <c r="AD64" s="45">
        <v>34.6</v>
      </c>
      <c r="AE64" s="45">
        <v>24.6</v>
      </c>
      <c r="AF64" s="45">
        <v>0</v>
      </c>
      <c r="AG64" s="55">
        <v>70</v>
      </c>
      <c r="AH64" s="47">
        <f t="shared" si="8"/>
        <v>60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22.3</v>
      </c>
      <c r="I65" s="65">
        <v>46.5</v>
      </c>
      <c r="J65" s="65">
        <v>46</v>
      </c>
      <c r="K65" s="65">
        <v>65</v>
      </c>
      <c r="L65" s="65">
        <v>63</v>
      </c>
      <c r="M65" s="65">
        <v>55.7</v>
      </c>
      <c r="N65" s="65">
        <v>55.3</v>
      </c>
      <c r="O65" s="65">
        <v>32.4</v>
      </c>
      <c r="P65" s="65">
        <v>32.799999999999997</v>
      </c>
      <c r="Q65" s="65">
        <v>32.799999999999997</v>
      </c>
      <c r="R65" s="65">
        <v>32.799999999999997</v>
      </c>
      <c r="S65" s="65">
        <v>34.9</v>
      </c>
      <c r="T65" s="65">
        <v>22.3</v>
      </c>
      <c r="U65" s="65">
        <v>22.4</v>
      </c>
      <c r="V65" s="65">
        <v>16.8</v>
      </c>
      <c r="W65" s="65">
        <v>0</v>
      </c>
      <c r="X65" s="65">
        <v>16.8</v>
      </c>
      <c r="Y65" s="45">
        <v>34.4</v>
      </c>
      <c r="Z65" s="45">
        <v>57.8</v>
      </c>
      <c r="AA65" s="45">
        <v>68.3</v>
      </c>
      <c r="AB65" s="45">
        <v>68</v>
      </c>
      <c r="AC65" s="45">
        <v>67.900000000000006</v>
      </c>
      <c r="AD65" s="45">
        <v>67.599999999999994</v>
      </c>
      <c r="AE65" s="45">
        <v>16.3</v>
      </c>
      <c r="AF65" s="45">
        <v>0</v>
      </c>
      <c r="AG65" s="55">
        <v>69</v>
      </c>
      <c r="AH65" s="47">
        <f t="shared" si="8"/>
        <v>68.3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33</v>
      </c>
      <c r="C66" s="65">
        <v>33</v>
      </c>
      <c r="D66" s="65">
        <v>33</v>
      </c>
      <c r="E66" s="65">
        <v>35.5</v>
      </c>
      <c r="F66" s="65">
        <v>35.5</v>
      </c>
      <c r="G66" s="65">
        <v>35.5</v>
      </c>
      <c r="H66" s="65">
        <v>35.299999999999997</v>
      </c>
      <c r="I66" s="65">
        <v>35.5</v>
      </c>
      <c r="J66" s="65">
        <v>35.299999999999997</v>
      </c>
      <c r="K66" s="57">
        <v>35.299999999999997</v>
      </c>
      <c r="L66" s="57">
        <v>35.299999999999997</v>
      </c>
      <c r="M66" s="65">
        <v>35.299999999999997</v>
      </c>
      <c r="N66" s="65">
        <v>36</v>
      </c>
      <c r="O66" s="65">
        <v>36</v>
      </c>
      <c r="P66" s="65">
        <v>35.299999999999997</v>
      </c>
      <c r="Q66" s="65">
        <v>35.299999999999997</v>
      </c>
      <c r="R66" s="65">
        <v>35.299999999999997</v>
      </c>
      <c r="S66" s="65">
        <v>35.299999999999997</v>
      </c>
      <c r="T66" s="65">
        <v>34.299999999999997</v>
      </c>
      <c r="U66" s="65">
        <v>34.5</v>
      </c>
      <c r="V66" s="65">
        <v>34.299999999999997</v>
      </c>
      <c r="W66" s="65">
        <v>34.299999999999997</v>
      </c>
      <c r="X66" s="65">
        <v>34.299999999999997</v>
      </c>
      <c r="Y66" s="45">
        <v>33</v>
      </c>
      <c r="Z66" s="45">
        <v>33.299999999999997</v>
      </c>
      <c r="AA66" s="45">
        <v>33.299999999999997</v>
      </c>
      <c r="AB66" s="45">
        <v>34.299999999999997</v>
      </c>
      <c r="AC66" s="45">
        <v>34.299999999999997</v>
      </c>
      <c r="AD66" s="45">
        <v>32.200000000000003</v>
      </c>
      <c r="AE66" s="45">
        <v>32.200000000000003</v>
      </c>
      <c r="AF66" s="45">
        <v>35.299999999999997</v>
      </c>
      <c r="AG66" s="55">
        <v>60</v>
      </c>
      <c r="AH66" s="47">
        <f t="shared" si="8"/>
        <v>36</v>
      </c>
      <c r="AI66" s="48">
        <f t="shared" si="9"/>
        <v>32.200000000000003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65">
        <v>0</v>
      </c>
      <c r="K67" s="65">
        <v>10.5</v>
      </c>
      <c r="L67" s="65">
        <v>10.5</v>
      </c>
      <c r="M67" s="65">
        <v>10.3</v>
      </c>
      <c r="N67" s="65">
        <v>10.3</v>
      </c>
      <c r="O67" s="65">
        <v>15</v>
      </c>
      <c r="P67" s="65">
        <v>10</v>
      </c>
      <c r="Q67" s="65">
        <v>10</v>
      </c>
      <c r="R67" s="65">
        <v>10</v>
      </c>
      <c r="S67" s="65">
        <v>0</v>
      </c>
      <c r="T67" s="65">
        <v>10</v>
      </c>
      <c r="U67" s="65">
        <v>15</v>
      </c>
      <c r="V67" s="65">
        <v>15</v>
      </c>
      <c r="W67" s="65">
        <v>15</v>
      </c>
      <c r="X67" s="65">
        <v>15</v>
      </c>
      <c r="Y67" s="45">
        <v>23.9</v>
      </c>
      <c r="Z67" s="45">
        <v>27.9</v>
      </c>
      <c r="AA67" s="45">
        <v>28</v>
      </c>
      <c r="AB67" s="45">
        <v>27.5</v>
      </c>
      <c r="AC67" s="45">
        <v>23.9</v>
      </c>
      <c r="AD67" s="45">
        <v>15</v>
      </c>
      <c r="AE67" s="45">
        <v>10</v>
      </c>
      <c r="AF67" s="45">
        <v>0</v>
      </c>
      <c r="AG67" s="55">
        <v>30</v>
      </c>
      <c r="AH67" s="47">
        <f t="shared" si="8"/>
        <v>28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0.9</v>
      </c>
      <c r="L68" s="45">
        <v>0.9</v>
      </c>
      <c r="M68" s="65">
        <v>6.7</v>
      </c>
      <c r="N68" s="65">
        <v>12</v>
      </c>
      <c r="O68" s="65">
        <v>15.2</v>
      </c>
      <c r="P68" s="65">
        <v>15.2</v>
      </c>
      <c r="Q68" s="65">
        <v>15.2</v>
      </c>
      <c r="R68" s="65">
        <v>18.399999999999999</v>
      </c>
      <c r="S68" s="65">
        <v>15.6</v>
      </c>
      <c r="T68" s="65">
        <v>12.1</v>
      </c>
      <c r="U68" s="65">
        <v>6.6</v>
      </c>
      <c r="V68" s="65">
        <v>1.9</v>
      </c>
      <c r="W68" s="65">
        <v>0.5</v>
      </c>
      <c r="X68" s="6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18.399999999999999</v>
      </c>
      <c r="AI68" s="48">
        <f t="shared" si="9"/>
        <v>0</v>
      </c>
      <c r="AK68" s="50"/>
      <c r="AY68" s="1" t="s">
        <v>377</v>
      </c>
      <c r="AZ68" s="233">
        <f>ROUND(C81,0)</f>
        <v>48</v>
      </c>
      <c r="BA68" s="232">
        <f t="shared" ref="BA68:BD72" si="26">D81</f>
        <v>51.6</v>
      </c>
      <c r="BB68" s="232">
        <f t="shared" si="26"/>
        <v>55.3</v>
      </c>
      <c r="BC68" s="232">
        <f t="shared" si="26"/>
        <v>56</v>
      </c>
      <c r="BD68" s="232">
        <f t="shared" si="26"/>
        <v>56.5</v>
      </c>
      <c r="BE68" s="233">
        <f>I81</f>
        <v>60.7</v>
      </c>
      <c r="BF68" s="233">
        <f>K81</f>
        <v>51.6</v>
      </c>
      <c r="BG68" s="233">
        <f t="shared" ref="BG68:BP72" si="27">M81</f>
        <v>43.5</v>
      </c>
      <c r="BH68" s="233">
        <f t="shared" si="27"/>
        <v>57.3</v>
      </c>
      <c r="BI68" s="233">
        <f t="shared" si="27"/>
        <v>48</v>
      </c>
      <c r="BJ68" s="233">
        <f t="shared" si="27"/>
        <v>45</v>
      </c>
      <c r="BK68" s="233">
        <f t="shared" si="27"/>
        <v>36</v>
      </c>
      <c r="BL68" s="233">
        <f t="shared" si="27"/>
        <v>37.1</v>
      </c>
      <c r="BM68" s="233">
        <f t="shared" si="27"/>
        <v>45</v>
      </c>
      <c r="BN68" s="233">
        <f t="shared" si="27"/>
        <v>46.2</v>
      </c>
      <c r="BO68" s="233">
        <f t="shared" si="27"/>
        <v>45</v>
      </c>
      <c r="BP68" s="233">
        <f t="shared" si="27"/>
        <v>53.2</v>
      </c>
      <c r="BQ68" s="233">
        <f>X81</f>
        <v>51</v>
      </c>
      <c r="BR68" s="233">
        <f>Z81</f>
        <v>65.8</v>
      </c>
      <c r="BS68" s="232">
        <f>AB81</f>
        <v>62.4</v>
      </c>
      <c r="BT68" s="232">
        <f>AD81</f>
        <v>63</v>
      </c>
      <c r="BU68" s="232">
        <f>AE81</f>
        <v>56</v>
      </c>
      <c r="BV68" s="232">
        <f>AF81</f>
        <v>65</v>
      </c>
      <c r="BW68" s="232">
        <f>B81</f>
        <v>50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26"/>
        <v>0</v>
      </c>
      <c r="BB69" s="232">
        <f t="shared" si="26"/>
        <v>0</v>
      </c>
      <c r="BC69" s="232">
        <f t="shared" si="26"/>
        <v>0</v>
      </c>
      <c r="BD69" s="232">
        <f t="shared" si="26"/>
        <v>0</v>
      </c>
      <c r="BE69" s="233">
        <f t="shared" ref="BE69:BE72" si="28">I82</f>
        <v>0</v>
      </c>
      <c r="BF69" s="233">
        <f t="shared" ref="BF69:BF72" si="29">K82</f>
        <v>0</v>
      </c>
      <c r="BG69" s="233">
        <f t="shared" si="27"/>
        <v>0</v>
      </c>
      <c r="BH69" s="233">
        <f t="shared" si="27"/>
        <v>0</v>
      </c>
      <c r="BI69" s="233">
        <f t="shared" si="27"/>
        <v>0</v>
      </c>
      <c r="BJ69" s="233">
        <f t="shared" si="27"/>
        <v>0</v>
      </c>
      <c r="BK69" s="233">
        <f t="shared" si="27"/>
        <v>0</v>
      </c>
      <c r="BL69" s="233">
        <f t="shared" si="27"/>
        <v>0</v>
      </c>
      <c r="BM69" s="233">
        <f t="shared" si="27"/>
        <v>0</v>
      </c>
      <c r="BN69" s="233">
        <f t="shared" si="27"/>
        <v>0</v>
      </c>
      <c r="BO69" s="233">
        <f t="shared" si="27"/>
        <v>0</v>
      </c>
      <c r="BP69" s="233">
        <f t="shared" si="27"/>
        <v>0</v>
      </c>
      <c r="BQ69" s="233">
        <f t="shared" ref="BQ69:BQ72" si="30">X82</f>
        <v>0</v>
      </c>
      <c r="BR69" s="233">
        <f t="shared" ref="BR69:BR72" si="31">Z82</f>
        <v>0</v>
      </c>
      <c r="BS69" s="232">
        <f t="shared" ref="BS69:BS72" si="32">AB82</f>
        <v>0</v>
      </c>
      <c r="BT69" s="232">
        <f t="shared" ref="BT69:BV72" si="33">AD82</f>
        <v>0</v>
      </c>
      <c r="BU69" s="232">
        <f t="shared" si="33"/>
        <v>0</v>
      </c>
      <c r="BV69" s="232">
        <f t="shared" si="33"/>
        <v>0</v>
      </c>
      <c r="BW69" s="232">
        <f t="shared" ref="BW69:BW72" si="34">B82</f>
        <v>0</v>
      </c>
    </row>
    <row r="70" spans="1:75" x14ac:dyDescent="0.25">
      <c r="A70" s="54" t="s">
        <v>70</v>
      </c>
      <c r="B70" s="65">
        <v>2.2000000000000002</v>
      </c>
      <c r="C70" s="65">
        <v>2.2000000000000002</v>
      </c>
      <c r="D70" s="65">
        <v>2.2000000000000002</v>
      </c>
      <c r="E70" s="65">
        <v>2.2000000000000002</v>
      </c>
      <c r="F70" s="65">
        <v>2.2000000000000002</v>
      </c>
      <c r="G70" s="65">
        <v>2.2000000000000002</v>
      </c>
      <c r="H70" s="65">
        <v>2.2000000000000002</v>
      </c>
      <c r="I70" s="65">
        <v>2.2000000000000002</v>
      </c>
      <c r="J70" s="65">
        <v>2.2000000000000002</v>
      </c>
      <c r="K70" s="65">
        <v>2.2000000000000002</v>
      </c>
      <c r="L70" s="65">
        <v>2.2000000000000002</v>
      </c>
      <c r="M70" s="65">
        <v>2.2000000000000002</v>
      </c>
      <c r="N70" s="65">
        <v>2.2000000000000002</v>
      </c>
      <c r="O70" s="65">
        <v>2.2000000000000002</v>
      </c>
      <c r="P70" s="65">
        <v>2.2000000000000002</v>
      </c>
      <c r="Q70" s="65">
        <v>2.2000000000000002</v>
      </c>
      <c r="R70" s="65">
        <v>2.2000000000000002</v>
      </c>
      <c r="S70" s="65">
        <v>2.2000000000000002</v>
      </c>
      <c r="T70" s="65">
        <v>2.2000000000000002</v>
      </c>
      <c r="U70" s="65">
        <v>2.2000000000000002</v>
      </c>
      <c r="V70" s="65">
        <v>2.2000000000000002</v>
      </c>
      <c r="W70" s="65">
        <v>2.2000000000000002</v>
      </c>
      <c r="X70" s="65">
        <v>2.2000000000000002</v>
      </c>
      <c r="Y70" s="65">
        <v>2.2000000000000002</v>
      </c>
      <c r="Z70" s="65">
        <v>2.2000000000000002</v>
      </c>
      <c r="AA70" s="65">
        <v>2.2000000000000002</v>
      </c>
      <c r="AB70" s="65">
        <v>2.2000000000000002</v>
      </c>
      <c r="AC70" s="65">
        <v>2.2000000000000002</v>
      </c>
      <c r="AD70" s="65">
        <v>2.2000000000000002</v>
      </c>
      <c r="AE70" s="65">
        <v>2.2000000000000002</v>
      </c>
      <c r="AF70" s="65">
        <v>2.2000000000000002</v>
      </c>
      <c r="AG70" s="55">
        <v>15</v>
      </c>
      <c r="AH70" s="47">
        <f t="shared" si="8"/>
        <v>2.2000000000000002</v>
      </c>
      <c r="AI70" s="48">
        <f t="shared" si="9"/>
        <v>2.2000000000000002</v>
      </c>
      <c r="AK70" s="50"/>
      <c r="AL70" s="70"/>
      <c r="AO70" s="70"/>
      <c r="AY70" s="1" t="s">
        <v>605</v>
      </c>
      <c r="AZ70" s="233">
        <f>ROUND(C83,0)</f>
        <v>389</v>
      </c>
      <c r="BA70" s="232">
        <f t="shared" si="26"/>
        <v>388</v>
      </c>
      <c r="BB70" s="232">
        <f t="shared" si="26"/>
        <v>405</v>
      </c>
      <c r="BC70" s="232">
        <f t="shared" si="26"/>
        <v>431</v>
      </c>
      <c r="BD70" s="232">
        <f t="shared" si="26"/>
        <v>455</v>
      </c>
      <c r="BE70" s="233">
        <f t="shared" si="28"/>
        <v>428.6</v>
      </c>
      <c r="BF70" s="233">
        <f t="shared" si="29"/>
        <v>279</v>
      </c>
      <c r="BG70" s="233">
        <f t="shared" si="27"/>
        <v>-3.5</v>
      </c>
      <c r="BH70" s="233">
        <f t="shared" si="27"/>
        <v>284</v>
      </c>
      <c r="BI70" s="233">
        <f t="shared" si="27"/>
        <v>353</v>
      </c>
      <c r="BJ70" s="233">
        <f t="shared" si="27"/>
        <v>387</v>
      </c>
      <c r="BK70" s="233">
        <f t="shared" si="27"/>
        <v>395</v>
      </c>
      <c r="BL70" s="233">
        <f t="shared" si="27"/>
        <v>414</v>
      </c>
      <c r="BM70" s="233">
        <f t="shared" si="27"/>
        <v>429</v>
      </c>
      <c r="BN70" s="233">
        <f t="shared" si="27"/>
        <v>432</v>
      </c>
      <c r="BO70" s="233">
        <f t="shared" si="27"/>
        <v>382</v>
      </c>
      <c r="BP70" s="233">
        <f t="shared" si="27"/>
        <v>392.6</v>
      </c>
      <c r="BQ70" s="233">
        <f t="shared" si="30"/>
        <v>413</v>
      </c>
      <c r="BR70" s="233">
        <f t="shared" si="31"/>
        <v>110</v>
      </c>
      <c r="BS70" s="232">
        <f t="shared" si="32"/>
        <v>69</v>
      </c>
      <c r="BT70" s="232">
        <f t="shared" si="33"/>
        <v>334</v>
      </c>
      <c r="BU70" s="232">
        <f t="shared" si="33"/>
        <v>349</v>
      </c>
      <c r="BV70" s="232">
        <f t="shared" si="33"/>
        <v>352</v>
      </c>
      <c r="BW70" s="232">
        <f t="shared" si="34"/>
        <v>392</v>
      </c>
    </row>
    <row r="71" spans="1:75" s="70" customFormat="1" x14ac:dyDescent="0.25">
      <c r="A71" s="54" t="s">
        <v>71</v>
      </c>
      <c r="B71" s="65">
        <v>8.1</v>
      </c>
      <c r="C71" s="65">
        <v>8.1</v>
      </c>
      <c r="D71" s="65">
        <v>8.1</v>
      </c>
      <c r="E71" s="65">
        <v>8.1</v>
      </c>
      <c r="F71" s="65">
        <v>8.1</v>
      </c>
      <c r="G71" s="65">
        <v>8.1</v>
      </c>
      <c r="H71" s="65">
        <v>8.1</v>
      </c>
      <c r="I71" s="65">
        <v>8.1</v>
      </c>
      <c r="J71" s="65">
        <v>8.1</v>
      </c>
      <c r="K71" s="65">
        <v>8.1</v>
      </c>
      <c r="L71" s="65">
        <v>8.1</v>
      </c>
      <c r="M71" s="65">
        <v>8.1</v>
      </c>
      <c r="N71" s="65">
        <v>8.1</v>
      </c>
      <c r="O71" s="65">
        <v>8.1</v>
      </c>
      <c r="P71" s="65">
        <v>8.1</v>
      </c>
      <c r="Q71" s="65">
        <v>8.1</v>
      </c>
      <c r="R71" s="65">
        <v>8.1</v>
      </c>
      <c r="S71" s="65">
        <v>8.1</v>
      </c>
      <c r="T71" s="65">
        <v>8.1</v>
      </c>
      <c r="U71" s="65">
        <v>8.1</v>
      </c>
      <c r="V71" s="65">
        <v>8.1</v>
      </c>
      <c r="W71" s="65">
        <v>8.1</v>
      </c>
      <c r="X71" s="65">
        <v>8.1</v>
      </c>
      <c r="Y71" s="65">
        <v>8.1</v>
      </c>
      <c r="Z71" s="65">
        <v>8.1</v>
      </c>
      <c r="AA71" s="65">
        <v>8.1</v>
      </c>
      <c r="AB71" s="65">
        <v>8.1</v>
      </c>
      <c r="AC71" s="65">
        <v>8.1</v>
      </c>
      <c r="AD71" s="65">
        <v>8.1</v>
      </c>
      <c r="AE71" s="65">
        <v>8.1</v>
      </c>
      <c r="AF71" s="65">
        <v>8.1</v>
      </c>
      <c r="AG71" s="55">
        <v>14.1</v>
      </c>
      <c r="AH71" s="47">
        <f t="shared" si="8"/>
        <v>8.1</v>
      </c>
      <c r="AI71" s="48">
        <f t="shared" si="9"/>
        <v>8.1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1</v>
      </c>
      <c r="BA71" s="232">
        <f t="shared" si="26"/>
        <v>1.7</v>
      </c>
      <c r="BB71" s="232">
        <f t="shared" si="26"/>
        <v>1.9</v>
      </c>
      <c r="BC71" s="232">
        <f t="shared" si="26"/>
        <v>2.2999999999999998</v>
      </c>
      <c r="BD71" s="232">
        <f t="shared" si="26"/>
        <v>3.2</v>
      </c>
      <c r="BE71" s="233">
        <f t="shared" si="28"/>
        <v>4</v>
      </c>
      <c r="BF71" s="233">
        <f t="shared" si="29"/>
        <v>4.9000000000000004</v>
      </c>
      <c r="BG71" s="233">
        <f t="shared" si="27"/>
        <v>2.6</v>
      </c>
      <c r="BH71" s="233">
        <f t="shared" si="27"/>
        <v>0</v>
      </c>
      <c r="BI71" s="233">
        <f t="shared" si="27"/>
        <v>0</v>
      </c>
      <c r="BJ71" s="233">
        <f t="shared" si="27"/>
        <v>0</v>
      </c>
      <c r="BK71" s="233">
        <f t="shared" si="27"/>
        <v>-2.4</v>
      </c>
      <c r="BL71" s="233">
        <f t="shared" si="27"/>
        <v>-2</v>
      </c>
      <c r="BM71" s="233">
        <f t="shared" si="27"/>
        <v>-1.7</v>
      </c>
      <c r="BN71" s="233">
        <f t="shared" si="27"/>
        <v>0.3</v>
      </c>
      <c r="BO71" s="233">
        <f t="shared" si="27"/>
        <v>0</v>
      </c>
      <c r="BP71" s="233">
        <f t="shared" si="27"/>
        <v>50.2</v>
      </c>
      <c r="BQ71" s="233">
        <f t="shared" si="30"/>
        <v>52</v>
      </c>
      <c r="BR71" s="233">
        <f t="shared" si="31"/>
        <v>5.4</v>
      </c>
      <c r="BS71" s="232">
        <f t="shared" si="32"/>
        <v>4</v>
      </c>
      <c r="BT71" s="232">
        <f t="shared" si="33"/>
        <v>42.3</v>
      </c>
      <c r="BU71" s="232">
        <f t="shared" si="33"/>
        <v>47.4</v>
      </c>
      <c r="BV71" s="232">
        <f t="shared" si="33"/>
        <v>42.8</v>
      </c>
      <c r="BW71" s="232">
        <f t="shared" si="34"/>
        <v>42</v>
      </c>
    </row>
    <row r="72" spans="1:75" x14ac:dyDescent="0.25">
      <c r="A72" s="71" t="s">
        <v>72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5">
        <v>14</v>
      </c>
      <c r="AH72" s="47">
        <f t="shared" si="8"/>
        <v>0</v>
      </c>
      <c r="AI72" s="48">
        <f t="shared" si="9"/>
        <v>0</v>
      </c>
      <c r="AK72" s="50"/>
      <c r="AY72" s="1" t="s">
        <v>607</v>
      </c>
      <c r="AZ72" s="233">
        <f>ROUND(C85,0)</f>
        <v>130</v>
      </c>
      <c r="BA72" s="232">
        <f t="shared" si="26"/>
        <v>120</v>
      </c>
      <c r="BB72" s="232">
        <f t="shared" si="26"/>
        <v>116</v>
      </c>
      <c r="BC72" s="232">
        <f t="shared" si="26"/>
        <v>112</v>
      </c>
      <c r="BD72" s="232">
        <f t="shared" si="26"/>
        <v>106</v>
      </c>
      <c r="BE72" s="233">
        <f t="shared" si="28"/>
        <v>111</v>
      </c>
      <c r="BF72" s="233">
        <f t="shared" si="29"/>
        <v>90</v>
      </c>
      <c r="BG72" s="233">
        <f t="shared" si="27"/>
        <v>0</v>
      </c>
      <c r="BH72" s="233">
        <f t="shared" si="27"/>
        <v>0</v>
      </c>
      <c r="BI72" s="233">
        <f t="shared" si="27"/>
        <v>0</v>
      </c>
      <c r="BJ72" s="233">
        <f t="shared" si="27"/>
        <v>88</v>
      </c>
      <c r="BK72" s="233">
        <f t="shared" si="27"/>
        <v>78</v>
      </c>
      <c r="BL72" s="233">
        <f t="shared" si="27"/>
        <v>88</v>
      </c>
      <c r="BM72" s="233">
        <f t="shared" si="27"/>
        <v>108</v>
      </c>
      <c r="BN72" s="233">
        <f t="shared" si="27"/>
        <v>96</v>
      </c>
      <c r="BO72" s="233">
        <f t="shared" si="27"/>
        <v>78</v>
      </c>
      <c r="BP72" s="233">
        <f t="shared" si="27"/>
        <v>88</v>
      </c>
      <c r="BQ72" s="233">
        <f t="shared" si="30"/>
        <v>76</v>
      </c>
      <c r="BR72" s="233">
        <f t="shared" si="31"/>
        <v>0</v>
      </c>
      <c r="BS72" s="232">
        <f t="shared" si="32"/>
        <v>0</v>
      </c>
      <c r="BT72" s="232">
        <f t="shared" si="33"/>
        <v>88.6</v>
      </c>
      <c r="BU72" s="232">
        <f t="shared" si="33"/>
        <v>88.8</v>
      </c>
      <c r="BV72" s="232">
        <f t="shared" si="33"/>
        <v>90.6</v>
      </c>
      <c r="BW72" s="232">
        <f t="shared" si="34"/>
        <v>120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46</v>
      </c>
      <c r="BA73" s="233">
        <f>D91</f>
        <v>47.6</v>
      </c>
      <c r="BB73" s="233">
        <f>E91</f>
        <v>48.5</v>
      </c>
      <c r="BC73" s="233">
        <f>F91</f>
        <v>0</v>
      </c>
      <c r="BD73" s="233">
        <f>G91</f>
        <v>41.6</v>
      </c>
      <c r="BE73" s="233">
        <f>I91</f>
        <v>45</v>
      </c>
      <c r="BF73" s="233">
        <f>K91</f>
        <v>63.4</v>
      </c>
      <c r="BG73" s="233">
        <f t="shared" ref="BG73:BP73" si="35">M91</f>
        <v>58</v>
      </c>
      <c r="BH73" s="233">
        <f t="shared" si="35"/>
        <v>55.7</v>
      </c>
      <c r="BI73" s="233">
        <f t="shared" si="35"/>
        <v>55.2</v>
      </c>
      <c r="BJ73" s="233">
        <f t="shared" si="35"/>
        <v>50</v>
      </c>
      <c r="BK73" s="233">
        <f t="shared" si="35"/>
        <v>57</v>
      </c>
      <c r="BL73" s="233">
        <f t="shared" si="35"/>
        <v>55.2</v>
      </c>
      <c r="BM73" s="233">
        <f t="shared" si="35"/>
        <v>61</v>
      </c>
      <c r="BN73" s="233">
        <f t="shared" si="35"/>
        <v>66</v>
      </c>
      <c r="BO73" s="233">
        <f t="shared" si="35"/>
        <v>66.5</v>
      </c>
      <c r="BP73" s="233">
        <f t="shared" si="35"/>
        <v>63.7</v>
      </c>
      <c r="BQ73" s="233">
        <f>X91</f>
        <v>71</v>
      </c>
      <c r="BR73" s="233">
        <f>Z91</f>
        <v>76.599999999999994</v>
      </c>
      <c r="BS73" s="233">
        <f>AB91</f>
        <v>72.400000000000006</v>
      </c>
      <c r="BT73" s="233">
        <f>AD91</f>
        <v>69</v>
      </c>
      <c r="BU73" s="233">
        <f>AE91</f>
        <v>69.099999999999994</v>
      </c>
      <c r="BV73" s="233">
        <f>AF91</f>
        <v>67.2</v>
      </c>
      <c r="BW73" s="233">
        <f>B91</f>
        <v>50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5.5</v>
      </c>
      <c r="AI75" s="48">
        <f t="shared" si="9"/>
        <v>3.5</v>
      </c>
      <c r="AK75" s="50"/>
      <c r="AZ75" s="233">
        <f>VALUE(AZ68)</f>
        <v>48</v>
      </c>
      <c r="BA75" s="233">
        <f t="shared" ref="BA75:BW75" si="36">VALUE(BA68)</f>
        <v>51.6</v>
      </c>
      <c r="BB75" s="233">
        <f t="shared" si="36"/>
        <v>55.3</v>
      </c>
      <c r="BC75" s="233">
        <f t="shared" si="36"/>
        <v>56</v>
      </c>
      <c r="BD75" s="233">
        <f t="shared" si="36"/>
        <v>56.5</v>
      </c>
      <c r="BE75" s="233">
        <f t="shared" si="36"/>
        <v>60.7</v>
      </c>
      <c r="BF75" s="233">
        <f t="shared" si="36"/>
        <v>51.6</v>
      </c>
      <c r="BG75" s="233">
        <f t="shared" si="36"/>
        <v>43.5</v>
      </c>
      <c r="BH75" s="233">
        <f t="shared" si="36"/>
        <v>57.3</v>
      </c>
      <c r="BI75" s="233">
        <f t="shared" si="36"/>
        <v>48</v>
      </c>
      <c r="BJ75" s="233">
        <f t="shared" si="36"/>
        <v>45</v>
      </c>
      <c r="BK75" s="233">
        <f t="shared" si="36"/>
        <v>36</v>
      </c>
      <c r="BL75" s="233">
        <f t="shared" si="36"/>
        <v>37.1</v>
      </c>
      <c r="BM75" s="233">
        <f t="shared" si="36"/>
        <v>45</v>
      </c>
      <c r="BN75" s="233">
        <f t="shared" si="36"/>
        <v>46.2</v>
      </c>
      <c r="BO75" s="233">
        <f t="shared" si="36"/>
        <v>45</v>
      </c>
      <c r="BP75" s="233">
        <f t="shared" si="36"/>
        <v>53.2</v>
      </c>
      <c r="BQ75" s="233">
        <f t="shared" si="36"/>
        <v>51</v>
      </c>
      <c r="BR75" s="233">
        <f t="shared" si="36"/>
        <v>65.8</v>
      </c>
      <c r="BS75" s="233">
        <f t="shared" si="36"/>
        <v>62.4</v>
      </c>
      <c r="BT75" s="233">
        <f t="shared" si="36"/>
        <v>63</v>
      </c>
      <c r="BU75" s="233">
        <f t="shared" si="36"/>
        <v>56</v>
      </c>
      <c r="BV75" s="233">
        <f t="shared" si="36"/>
        <v>65</v>
      </c>
      <c r="BW75" s="233">
        <f t="shared" si="36"/>
        <v>50</v>
      </c>
    </row>
    <row r="76" spans="1:75" ht="15.75" thickBot="1" x14ac:dyDescent="0.3">
      <c r="A76" s="74" t="s">
        <v>76</v>
      </c>
      <c r="B76" s="60">
        <f t="shared" ref="B76:AG76" si="37">SUM(B63:B75)</f>
        <v>68.040000000000006</v>
      </c>
      <c r="C76" s="60">
        <f t="shared" si="37"/>
        <v>68.040000000000006</v>
      </c>
      <c r="D76" s="60">
        <f t="shared" si="37"/>
        <v>68.040000000000006</v>
      </c>
      <c r="E76" s="60">
        <f t="shared" si="37"/>
        <v>70.54000000000002</v>
      </c>
      <c r="F76" s="60">
        <f t="shared" si="37"/>
        <v>70.54000000000002</v>
      </c>
      <c r="G76" s="60">
        <f t="shared" si="37"/>
        <v>70.54000000000002</v>
      </c>
      <c r="H76" s="60">
        <f t="shared" si="37"/>
        <v>92.64</v>
      </c>
      <c r="I76" s="60">
        <f t="shared" si="37"/>
        <v>187.83999999999997</v>
      </c>
      <c r="J76" s="60">
        <f t="shared" si="37"/>
        <v>211.33999999999997</v>
      </c>
      <c r="K76" s="60">
        <f t="shared" si="37"/>
        <v>273.74</v>
      </c>
      <c r="L76" s="60">
        <f t="shared" si="37"/>
        <v>295.74</v>
      </c>
      <c r="M76" s="60">
        <f t="shared" si="37"/>
        <v>294.04000000000002</v>
      </c>
      <c r="N76" s="60">
        <f t="shared" si="37"/>
        <v>290.44000000000005</v>
      </c>
      <c r="O76" s="60">
        <f t="shared" si="37"/>
        <v>189.13999999999996</v>
      </c>
      <c r="P76" s="60">
        <f>SUM(P63:P75)</f>
        <v>207.23999999999995</v>
      </c>
      <c r="Q76" s="60">
        <f t="shared" si="37"/>
        <v>207.23999999999995</v>
      </c>
      <c r="R76" s="60">
        <f t="shared" si="37"/>
        <v>187.23999999999998</v>
      </c>
      <c r="S76" s="60">
        <f t="shared" si="37"/>
        <v>176.63999999999996</v>
      </c>
      <c r="T76" s="60">
        <f t="shared" si="37"/>
        <v>198.23999999999995</v>
      </c>
      <c r="U76" s="60">
        <f t="shared" si="37"/>
        <v>197.32999999999996</v>
      </c>
      <c r="V76" s="60">
        <f t="shared" si="37"/>
        <v>159.14999999999998</v>
      </c>
      <c r="W76" s="60">
        <f t="shared" ref="W76:X76" si="38">SUM(W63:W75)</f>
        <v>140.94999999999999</v>
      </c>
      <c r="X76" s="60">
        <f t="shared" si="38"/>
        <v>186.83999999999997</v>
      </c>
      <c r="Y76" s="60">
        <f>SUM(Y63:Y75)</f>
        <v>272.10000000000002</v>
      </c>
      <c r="Z76" s="60">
        <f>SUM(Z63:Z75)</f>
        <v>341.09999999999997</v>
      </c>
      <c r="AA76" s="60">
        <f t="shared" si="37"/>
        <v>361.84000000000003</v>
      </c>
      <c r="AB76" s="60">
        <f t="shared" si="37"/>
        <v>301.24</v>
      </c>
      <c r="AC76" s="60">
        <f t="shared" si="37"/>
        <v>286.24000000000007</v>
      </c>
      <c r="AD76" s="60">
        <f t="shared" si="37"/>
        <v>276.14000000000004</v>
      </c>
      <c r="AE76" s="60">
        <f t="shared" si="37"/>
        <v>143.13999999999999</v>
      </c>
      <c r="AF76" s="60">
        <f t="shared" si="37"/>
        <v>70.34</v>
      </c>
      <c r="AG76" s="61">
        <f t="shared" si="37"/>
        <v>489.91</v>
      </c>
      <c r="AH76" s="47">
        <f t="shared" si="8"/>
        <v>361.84000000000003</v>
      </c>
      <c r="AI76" s="48">
        <f t="shared" si="9"/>
        <v>68.040000000000006</v>
      </c>
      <c r="AK76" s="50"/>
      <c r="AZ76" s="233">
        <f t="shared" ref="AZ76:BW80" si="39">VALUE(AZ69)</f>
        <v>0</v>
      </c>
      <c r="BA76" s="233">
        <f t="shared" si="39"/>
        <v>0</v>
      </c>
      <c r="BB76" s="233">
        <f t="shared" si="39"/>
        <v>0</v>
      </c>
      <c r="BC76" s="233">
        <f t="shared" si="39"/>
        <v>0</v>
      </c>
      <c r="BD76" s="233">
        <f t="shared" si="39"/>
        <v>0</v>
      </c>
      <c r="BE76" s="233">
        <f t="shared" si="39"/>
        <v>0</v>
      </c>
      <c r="BF76" s="233">
        <f t="shared" si="39"/>
        <v>0</v>
      </c>
      <c r="BG76" s="233">
        <f t="shared" si="39"/>
        <v>0</v>
      </c>
      <c r="BH76" s="233">
        <f t="shared" si="39"/>
        <v>0</v>
      </c>
      <c r="BI76" s="233">
        <f t="shared" si="39"/>
        <v>0</v>
      </c>
      <c r="BJ76" s="233">
        <f t="shared" si="39"/>
        <v>0</v>
      </c>
      <c r="BK76" s="233">
        <f t="shared" si="39"/>
        <v>0</v>
      </c>
      <c r="BL76" s="233">
        <f t="shared" si="39"/>
        <v>0</v>
      </c>
      <c r="BM76" s="233">
        <f t="shared" si="39"/>
        <v>0</v>
      </c>
      <c r="BN76" s="233">
        <f t="shared" si="39"/>
        <v>0</v>
      </c>
      <c r="BO76" s="233">
        <f t="shared" si="39"/>
        <v>0</v>
      </c>
      <c r="BP76" s="233">
        <f t="shared" si="39"/>
        <v>0</v>
      </c>
      <c r="BQ76" s="233">
        <f t="shared" si="39"/>
        <v>0</v>
      </c>
      <c r="BR76" s="233">
        <f t="shared" si="39"/>
        <v>0</v>
      </c>
      <c r="BS76" s="233">
        <f t="shared" si="39"/>
        <v>0</v>
      </c>
      <c r="BT76" s="233">
        <f t="shared" si="39"/>
        <v>0</v>
      </c>
      <c r="BU76" s="233">
        <f t="shared" si="39"/>
        <v>0</v>
      </c>
      <c r="BV76" s="233">
        <f t="shared" si="39"/>
        <v>0</v>
      </c>
      <c r="BW76" s="233">
        <f t="shared" si="39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>
        <v>45</v>
      </c>
      <c r="AA77" s="45">
        <v>50</v>
      </c>
      <c r="AB77" s="45">
        <v>50</v>
      </c>
      <c r="AC77" s="45">
        <v>0</v>
      </c>
      <c r="AD77" s="45"/>
      <c r="AE77" s="45"/>
      <c r="AF77" s="45"/>
      <c r="AG77" s="52">
        <v>60</v>
      </c>
      <c r="AH77" s="47">
        <f t="shared" si="8"/>
        <v>50</v>
      </c>
      <c r="AI77" s="48">
        <f t="shared" si="9"/>
        <v>0</v>
      </c>
      <c r="AK77" s="50"/>
      <c r="AZ77" s="233">
        <f t="shared" si="39"/>
        <v>389</v>
      </c>
      <c r="BA77" s="233">
        <f t="shared" si="39"/>
        <v>388</v>
      </c>
      <c r="BB77" s="233">
        <f t="shared" si="39"/>
        <v>405</v>
      </c>
      <c r="BC77" s="233">
        <f t="shared" si="39"/>
        <v>431</v>
      </c>
      <c r="BD77" s="233">
        <f t="shared" si="39"/>
        <v>455</v>
      </c>
      <c r="BE77" s="233">
        <f t="shared" si="39"/>
        <v>428.6</v>
      </c>
      <c r="BF77" s="233">
        <f t="shared" si="39"/>
        <v>279</v>
      </c>
      <c r="BG77" s="233">
        <f t="shared" si="39"/>
        <v>-3.5</v>
      </c>
      <c r="BH77" s="233">
        <f t="shared" si="39"/>
        <v>284</v>
      </c>
      <c r="BI77" s="233">
        <f t="shared" si="39"/>
        <v>353</v>
      </c>
      <c r="BJ77" s="233">
        <f t="shared" si="39"/>
        <v>387</v>
      </c>
      <c r="BK77" s="233">
        <f t="shared" si="39"/>
        <v>395</v>
      </c>
      <c r="BL77" s="233">
        <f t="shared" si="39"/>
        <v>414</v>
      </c>
      <c r="BM77" s="233">
        <f t="shared" si="39"/>
        <v>429</v>
      </c>
      <c r="BN77" s="233">
        <f t="shared" si="39"/>
        <v>432</v>
      </c>
      <c r="BO77" s="233">
        <f t="shared" si="39"/>
        <v>382</v>
      </c>
      <c r="BP77" s="233">
        <f t="shared" si="39"/>
        <v>392.6</v>
      </c>
      <c r="BQ77" s="233">
        <f t="shared" si="39"/>
        <v>413</v>
      </c>
      <c r="BR77" s="233">
        <f t="shared" si="39"/>
        <v>110</v>
      </c>
      <c r="BS77" s="233">
        <f t="shared" si="39"/>
        <v>69</v>
      </c>
      <c r="BT77" s="233">
        <f t="shared" si="39"/>
        <v>334</v>
      </c>
      <c r="BU77" s="233">
        <f t="shared" si="39"/>
        <v>349</v>
      </c>
      <c r="BV77" s="233">
        <f t="shared" si="39"/>
        <v>352</v>
      </c>
      <c r="BW77" s="233">
        <f t="shared" si="39"/>
        <v>392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>
        <v>20</v>
      </c>
      <c r="AA78" s="65">
        <v>21.9</v>
      </c>
      <c r="AB78" s="65">
        <v>21.8</v>
      </c>
      <c r="AC78" s="65">
        <v>16</v>
      </c>
      <c r="AD78" s="65"/>
      <c r="AE78" s="65"/>
      <c r="AF78" s="65"/>
      <c r="AG78" s="55">
        <v>32</v>
      </c>
      <c r="AH78" s="47">
        <f t="shared" si="8"/>
        <v>21.9</v>
      </c>
      <c r="AI78" s="48">
        <f t="shared" si="9"/>
        <v>16</v>
      </c>
      <c r="AK78" s="50"/>
      <c r="AZ78" s="233">
        <f t="shared" si="39"/>
        <v>1</v>
      </c>
      <c r="BA78" s="233">
        <f t="shared" si="39"/>
        <v>1.7</v>
      </c>
      <c r="BB78" s="233">
        <f t="shared" si="39"/>
        <v>1.9</v>
      </c>
      <c r="BC78" s="233">
        <f t="shared" si="39"/>
        <v>2.2999999999999998</v>
      </c>
      <c r="BD78" s="233">
        <f t="shared" si="39"/>
        <v>3.2</v>
      </c>
      <c r="BE78" s="233">
        <f t="shared" si="39"/>
        <v>4</v>
      </c>
      <c r="BF78" s="233">
        <f t="shared" si="39"/>
        <v>4.9000000000000004</v>
      </c>
      <c r="BG78" s="233">
        <f t="shared" si="39"/>
        <v>2.6</v>
      </c>
      <c r="BH78" s="233">
        <f t="shared" si="39"/>
        <v>0</v>
      </c>
      <c r="BI78" s="233">
        <f t="shared" si="39"/>
        <v>0</v>
      </c>
      <c r="BJ78" s="233">
        <f t="shared" si="39"/>
        <v>0</v>
      </c>
      <c r="BK78" s="233">
        <f t="shared" si="39"/>
        <v>-2.4</v>
      </c>
      <c r="BL78" s="233">
        <f t="shared" si="39"/>
        <v>-2</v>
      </c>
      <c r="BM78" s="233">
        <f t="shared" si="39"/>
        <v>-1.7</v>
      </c>
      <c r="BN78" s="233">
        <f t="shared" si="39"/>
        <v>0.3</v>
      </c>
      <c r="BO78" s="233">
        <f t="shared" si="39"/>
        <v>0</v>
      </c>
      <c r="BP78" s="233">
        <f t="shared" si="39"/>
        <v>50.2</v>
      </c>
      <c r="BQ78" s="233">
        <f t="shared" si="39"/>
        <v>52</v>
      </c>
      <c r="BR78" s="233">
        <f t="shared" si="39"/>
        <v>5.4</v>
      </c>
      <c r="BS78" s="233">
        <f t="shared" si="39"/>
        <v>4</v>
      </c>
      <c r="BT78" s="233">
        <f t="shared" si="39"/>
        <v>42.3</v>
      </c>
      <c r="BU78" s="233">
        <f t="shared" si="39"/>
        <v>47.4</v>
      </c>
      <c r="BV78" s="233">
        <f t="shared" si="39"/>
        <v>42.8</v>
      </c>
      <c r="BW78" s="233">
        <f t="shared" si="39"/>
        <v>42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>
        <v>7</v>
      </c>
      <c r="AA79" s="67">
        <v>8</v>
      </c>
      <c r="AB79" s="67">
        <v>7.9</v>
      </c>
      <c r="AC79" s="67">
        <v>5.8</v>
      </c>
      <c r="AD79" s="67"/>
      <c r="AE79" s="67"/>
      <c r="AF79" s="67"/>
      <c r="AG79" s="68">
        <v>14</v>
      </c>
      <c r="AH79" s="47">
        <f t="shared" si="8"/>
        <v>8</v>
      </c>
      <c r="AI79" s="48">
        <f t="shared" si="9"/>
        <v>5.8</v>
      </c>
      <c r="AK79" s="50"/>
      <c r="AZ79" s="233">
        <f t="shared" si="39"/>
        <v>130</v>
      </c>
      <c r="BA79" s="233">
        <f t="shared" si="39"/>
        <v>120</v>
      </c>
      <c r="BB79" s="233">
        <f t="shared" si="39"/>
        <v>116</v>
      </c>
      <c r="BC79" s="233">
        <f t="shared" si="39"/>
        <v>112</v>
      </c>
      <c r="BD79" s="233">
        <f t="shared" si="39"/>
        <v>106</v>
      </c>
      <c r="BE79" s="233">
        <f t="shared" si="39"/>
        <v>111</v>
      </c>
      <c r="BF79" s="233">
        <f t="shared" si="39"/>
        <v>90</v>
      </c>
      <c r="BG79" s="233">
        <f t="shared" si="39"/>
        <v>0</v>
      </c>
      <c r="BH79" s="233">
        <f t="shared" si="39"/>
        <v>0</v>
      </c>
      <c r="BI79" s="233">
        <f t="shared" si="39"/>
        <v>0</v>
      </c>
      <c r="BJ79" s="233">
        <f t="shared" si="39"/>
        <v>88</v>
      </c>
      <c r="BK79" s="233">
        <f t="shared" si="39"/>
        <v>78</v>
      </c>
      <c r="BL79" s="233">
        <f t="shared" si="39"/>
        <v>88</v>
      </c>
      <c r="BM79" s="233">
        <f t="shared" si="39"/>
        <v>108</v>
      </c>
      <c r="BN79" s="233">
        <f t="shared" si="39"/>
        <v>96</v>
      </c>
      <c r="BO79" s="233">
        <f t="shared" si="39"/>
        <v>78</v>
      </c>
      <c r="BP79" s="233">
        <f t="shared" si="39"/>
        <v>88</v>
      </c>
      <c r="BQ79" s="233">
        <f t="shared" si="39"/>
        <v>76</v>
      </c>
      <c r="BR79" s="233">
        <f t="shared" si="39"/>
        <v>0</v>
      </c>
      <c r="BS79" s="233">
        <f t="shared" si="39"/>
        <v>0</v>
      </c>
      <c r="BT79" s="233">
        <f t="shared" si="39"/>
        <v>88.6</v>
      </c>
      <c r="BU79" s="233">
        <f t="shared" si="39"/>
        <v>88.8</v>
      </c>
      <c r="BV79" s="233">
        <f t="shared" si="39"/>
        <v>90.6</v>
      </c>
      <c r="BW79" s="233">
        <f t="shared" si="39"/>
        <v>120</v>
      </c>
    </row>
    <row r="80" spans="1:75" ht="15.75" thickBot="1" x14ac:dyDescent="0.3">
      <c r="A80" s="74" t="s">
        <v>80</v>
      </c>
      <c r="B80" s="60">
        <f t="shared" ref="B80:AF80" si="40">B77+B78+B79</f>
        <v>0</v>
      </c>
      <c r="C80" s="60">
        <f t="shared" si="40"/>
        <v>0</v>
      </c>
      <c r="D80" s="60">
        <f t="shared" si="40"/>
        <v>0</v>
      </c>
      <c r="E80" s="60">
        <f t="shared" si="40"/>
        <v>0</v>
      </c>
      <c r="F80" s="60">
        <f t="shared" si="40"/>
        <v>0</v>
      </c>
      <c r="G80" s="60">
        <f t="shared" si="40"/>
        <v>0</v>
      </c>
      <c r="H80" s="60">
        <f t="shared" si="40"/>
        <v>0</v>
      </c>
      <c r="I80" s="60">
        <f t="shared" si="40"/>
        <v>0</v>
      </c>
      <c r="J80" s="60">
        <f t="shared" si="40"/>
        <v>0</v>
      </c>
      <c r="K80" s="60">
        <f t="shared" si="40"/>
        <v>0</v>
      </c>
      <c r="L80" s="60">
        <f t="shared" si="40"/>
        <v>0</v>
      </c>
      <c r="M80" s="60">
        <f t="shared" si="40"/>
        <v>0</v>
      </c>
      <c r="N80" s="60">
        <f t="shared" si="40"/>
        <v>0</v>
      </c>
      <c r="O80" s="60">
        <f t="shared" si="40"/>
        <v>0</v>
      </c>
      <c r="P80" s="60">
        <f t="shared" si="40"/>
        <v>0</v>
      </c>
      <c r="Q80" s="60">
        <f t="shared" si="40"/>
        <v>0</v>
      </c>
      <c r="R80" s="60">
        <f t="shared" si="40"/>
        <v>0</v>
      </c>
      <c r="S80" s="60">
        <f t="shared" si="40"/>
        <v>0</v>
      </c>
      <c r="T80" s="60">
        <f t="shared" si="40"/>
        <v>0</v>
      </c>
      <c r="U80" s="60">
        <f t="shared" si="40"/>
        <v>0</v>
      </c>
      <c r="V80" s="60">
        <f t="shared" si="40"/>
        <v>0</v>
      </c>
      <c r="W80" s="60">
        <f t="shared" ref="W80:X80" si="41">W77+W78+W79</f>
        <v>0</v>
      </c>
      <c r="X80" s="60">
        <f t="shared" si="41"/>
        <v>0</v>
      </c>
      <c r="Y80" s="60">
        <f>Y77+Y78+Y79</f>
        <v>0</v>
      </c>
      <c r="Z80" s="60">
        <f>Z77+Z78+Z79</f>
        <v>72</v>
      </c>
      <c r="AA80" s="60">
        <f t="shared" si="40"/>
        <v>79.900000000000006</v>
      </c>
      <c r="AB80" s="60">
        <f t="shared" si="40"/>
        <v>79.7</v>
      </c>
      <c r="AC80" s="60">
        <f t="shared" si="40"/>
        <v>21.8</v>
      </c>
      <c r="AD80" s="60">
        <f t="shared" si="40"/>
        <v>0</v>
      </c>
      <c r="AE80" s="60">
        <f t="shared" si="40"/>
        <v>0</v>
      </c>
      <c r="AF80" s="60">
        <f t="shared" si="40"/>
        <v>0</v>
      </c>
      <c r="AG80" s="61">
        <f>SUM(AG77:AG79)</f>
        <v>106</v>
      </c>
      <c r="AH80" s="47">
        <f t="shared" si="8"/>
        <v>79.900000000000006</v>
      </c>
      <c r="AI80" s="48">
        <f t="shared" si="9"/>
        <v>0</v>
      </c>
      <c r="AK80" s="50"/>
      <c r="AZ80" s="233">
        <f t="shared" si="39"/>
        <v>46</v>
      </c>
      <c r="BA80" s="233">
        <f t="shared" si="39"/>
        <v>47.6</v>
      </c>
      <c r="BB80" s="233">
        <f t="shared" si="39"/>
        <v>48.5</v>
      </c>
      <c r="BC80" s="233">
        <f t="shared" si="39"/>
        <v>0</v>
      </c>
      <c r="BD80" s="233">
        <f t="shared" si="39"/>
        <v>41.6</v>
      </c>
      <c r="BE80" s="233">
        <f t="shared" si="39"/>
        <v>45</v>
      </c>
      <c r="BF80" s="233">
        <f t="shared" si="39"/>
        <v>63.4</v>
      </c>
      <c r="BG80" s="233">
        <f t="shared" si="39"/>
        <v>58</v>
      </c>
      <c r="BH80" s="233">
        <f t="shared" si="39"/>
        <v>55.7</v>
      </c>
      <c r="BI80" s="233">
        <f t="shared" si="39"/>
        <v>55.2</v>
      </c>
      <c r="BJ80" s="233">
        <f t="shared" si="39"/>
        <v>50</v>
      </c>
      <c r="BK80" s="233">
        <f t="shared" si="39"/>
        <v>57</v>
      </c>
      <c r="BL80" s="233">
        <f t="shared" si="39"/>
        <v>55.2</v>
      </c>
      <c r="BM80" s="233">
        <f t="shared" si="39"/>
        <v>61</v>
      </c>
      <c r="BN80" s="233">
        <f t="shared" si="39"/>
        <v>66</v>
      </c>
      <c r="BO80" s="233">
        <f t="shared" si="39"/>
        <v>66.5</v>
      </c>
      <c r="BP80" s="233">
        <f t="shared" si="39"/>
        <v>63.7</v>
      </c>
      <c r="BQ80" s="233">
        <f t="shared" si="39"/>
        <v>71</v>
      </c>
      <c r="BR80" s="233">
        <f t="shared" si="39"/>
        <v>76.599999999999994</v>
      </c>
      <c r="BS80" s="233">
        <f t="shared" si="39"/>
        <v>72.400000000000006</v>
      </c>
      <c r="BT80" s="233">
        <f t="shared" si="39"/>
        <v>69</v>
      </c>
      <c r="BU80" s="233">
        <f t="shared" si="39"/>
        <v>69.099999999999994</v>
      </c>
      <c r="BV80" s="233">
        <f t="shared" si="39"/>
        <v>67.2</v>
      </c>
      <c r="BW80" s="233">
        <f t="shared" si="39"/>
        <v>50</v>
      </c>
    </row>
    <row r="81" spans="1:64" x14ac:dyDescent="0.25">
      <c r="A81" s="44" t="s">
        <v>81</v>
      </c>
      <c r="B81" s="45">
        <v>50</v>
      </c>
      <c r="C81" s="45">
        <v>48</v>
      </c>
      <c r="D81" s="45">
        <v>51.6</v>
      </c>
      <c r="E81" s="45">
        <v>55.3</v>
      </c>
      <c r="F81" s="45">
        <v>56</v>
      </c>
      <c r="G81" s="45">
        <v>56.5</v>
      </c>
      <c r="H81" s="45">
        <v>60</v>
      </c>
      <c r="I81" s="45">
        <v>60.7</v>
      </c>
      <c r="J81" s="45">
        <v>61.3</v>
      </c>
      <c r="K81" s="45">
        <v>51.6</v>
      </c>
      <c r="L81" s="45">
        <v>52</v>
      </c>
      <c r="M81" s="45">
        <v>43.5</v>
      </c>
      <c r="N81" s="45">
        <v>57.3</v>
      </c>
      <c r="O81" s="45">
        <v>48</v>
      </c>
      <c r="P81" s="45">
        <v>45</v>
      </c>
      <c r="Q81" s="45">
        <v>36</v>
      </c>
      <c r="R81" s="45">
        <v>37.1</v>
      </c>
      <c r="S81" s="45">
        <v>45</v>
      </c>
      <c r="T81" s="45">
        <v>46.2</v>
      </c>
      <c r="U81" s="45">
        <v>45</v>
      </c>
      <c r="V81" s="45">
        <v>53.2</v>
      </c>
      <c r="W81" s="45">
        <v>53.2</v>
      </c>
      <c r="X81" s="45">
        <v>51</v>
      </c>
      <c r="Y81" s="45">
        <v>63.5</v>
      </c>
      <c r="Z81" s="45">
        <v>65.8</v>
      </c>
      <c r="AA81" s="45">
        <v>68.2</v>
      </c>
      <c r="AB81" s="45">
        <v>62.4</v>
      </c>
      <c r="AC81" s="45">
        <v>58.4</v>
      </c>
      <c r="AD81" s="45">
        <v>63</v>
      </c>
      <c r="AE81" s="45">
        <v>56</v>
      </c>
      <c r="AF81" s="45">
        <v>65</v>
      </c>
      <c r="AG81" s="52"/>
      <c r="AH81" s="47">
        <f t="shared" si="8"/>
        <v>68.2</v>
      </c>
      <c r="AI81" s="48">
        <f t="shared" si="9"/>
        <v>36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5" si="42">MAX(B82:AF82)</f>
        <v>0</v>
      </c>
      <c r="AI82" s="48">
        <f t="shared" ref="AI82:AI125" si="43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392</v>
      </c>
      <c r="C83" s="65">
        <v>389</v>
      </c>
      <c r="D83" s="65">
        <v>388</v>
      </c>
      <c r="E83" s="65">
        <v>405</v>
      </c>
      <c r="F83" s="65">
        <v>431</v>
      </c>
      <c r="G83" s="65">
        <v>455</v>
      </c>
      <c r="H83" s="65">
        <v>461</v>
      </c>
      <c r="I83" s="65">
        <v>428.6</v>
      </c>
      <c r="J83" s="65">
        <v>443</v>
      </c>
      <c r="K83" s="65">
        <v>279</v>
      </c>
      <c r="L83" s="65">
        <v>-4.4000000000000004</v>
      </c>
      <c r="M83" s="65">
        <v>-3.5</v>
      </c>
      <c r="N83" s="65">
        <v>284</v>
      </c>
      <c r="O83" s="65">
        <v>353</v>
      </c>
      <c r="P83" s="65">
        <v>387</v>
      </c>
      <c r="Q83" s="65">
        <v>395</v>
      </c>
      <c r="R83" s="65">
        <v>414</v>
      </c>
      <c r="S83" s="65">
        <v>429</v>
      </c>
      <c r="T83" s="65">
        <v>432</v>
      </c>
      <c r="U83" s="65">
        <v>382</v>
      </c>
      <c r="V83" s="65">
        <v>392.6</v>
      </c>
      <c r="W83" s="65">
        <v>400</v>
      </c>
      <c r="X83" s="65">
        <v>413</v>
      </c>
      <c r="Y83" s="65">
        <v>439.8</v>
      </c>
      <c r="Z83" s="65">
        <v>110</v>
      </c>
      <c r="AA83" s="65">
        <v>97.1</v>
      </c>
      <c r="AB83" s="65">
        <v>69</v>
      </c>
      <c r="AC83" s="65">
        <v>331.9</v>
      </c>
      <c r="AD83" s="65">
        <v>334</v>
      </c>
      <c r="AE83" s="65">
        <v>349</v>
      </c>
      <c r="AF83" s="65">
        <v>352</v>
      </c>
      <c r="AG83" s="75"/>
      <c r="AH83" s="47">
        <f t="shared" si="42"/>
        <v>461</v>
      </c>
      <c r="AI83" s="48">
        <f t="shared" si="43"/>
        <v>-4.4000000000000004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42</v>
      </c>
      <c r="C84" s="65">
        <v>1.4</v>
      </c>
      <c r="D84" s="65">
        <v>1.7</v>
      </c>
      <c r="E84" s="76">
        <v>1.9</v>
      </c>
      <c r="F84" s="76">
        <v>2.2999999999999998</v>
      </c>
      <c r="G84" s="76">
        <v>3.2</v>
      </c>
      <c r="H84" s="76">
        <v>3.3</v>
      </c>
      <c r="I84" s="76">
        <v>4</v>
      </c>
      <c r="J84" s="76">
        <v>4.5999999999999996</v>
      </c>
      <c r="K84" s="76">
        <v>4.9000000000000004</v>
      </c>
      <c r="L84" s="76">
        <v>4.5999999999999996</v>
      </c>
      <c r="M84" s="76">
        <v>2.6</v>
      </c>
      <c r="N84" s="76">
        <v>0</v>
      </c>
      <c r="O84" s="76"/>
      <c r="P84" s="76"/>
      <c r="Q84" s="76">
        <v>-2.4</v>
      </c>
      <c r="R84" s="76">
        <v>-2</v>
      </c>
      <c r="S84" s="76">
        <v>-1.7</v>
      </c>
      <c r="T84" s="76">
        <v>0.3</v>
      </c>
      <c r="U84" s="76">
        <v>0</v>
      </c>
      <c r="V84" s="76">
        <v>50.2</v>
      </c>
      <c r="W84" s="76">
        <v>50.2</v>
      </c>
      <c r="X84" s="76">
        <v>52</v>
      </c>
      <c r="Y84" s="76">
        <v>50.1</v>
      </c>
      <c r="Z84" s="76">
        <v>5.4</v>
      </c>
      <c r="AA84" s="76">
        <v>4.9000000000000004</v>
      </c>
      <c r="AB84" s="76">
        <v>4</v>
      </c>
      <c r="AC84" s="76">
        <v>44.4</v>
      </c>
      <c r="AD84" s="76">
        <v>42.3</v>
      </c>
      <c r="AE84" s="76">
        <v>47.4</v>
      </c>
      <c r="AF84" s="76">
        <v>42.8</v>
      </c>
      <c r="AG84" s="75"/>
      <c r="AH84" s="47">
        <f t="shared" si="42"/>
        <v>52</v>
      </c>
      <c r="AI84" s="48">
        <f t="shared" si="43"/>
        <v>-2.4</v>
      </c>
      <c r="AK84" s="50"/>
      <c r="AY84" s="233"/>
      <c r="BF84" s="232"/>
      <c r="BG84" s="233">
        <f t="array" ref="BG84:BL107">TRANSPOSE(AZ68:BW73)</f>
        <v>48</v>
      </c>
      <c r="BH84" s="233">
        <v>0</v>
      </c>
      <c r="BI84" s="233">
        <v>389</v>
      </c>
      <c r="BJ84" s="233">
        <v>1</v>
      </c>
      <c r="BK84" s="233">
        <v>130</v>
      </c>
      <c r="BL84" s="233">
        <v>46</v>
      </c>
    </row>
    <row r="85" spans="1:64" x14ac:dyDescent="0.25">
      <c r="A85" s="54" t="s">
        <v>85</v>
      </c>
      <c r="B85" s="45">
        <v>120</v>
      </c>
      <c r="C85" s="45">
        <v>130</v>
      </c>
      <c r="D85" s="45">
        <v>120</v>
      </c>
      <c r="E85" s="45">
        <v>116</v>
      </c>
      <c r="F85" s="45">
        <v>112</v>
      </c>
      <c r="G85" s="45">
        <v>106</v>
      </c>
      <c r="H85" s="45">
        <v>96</v>
      </c>
      <c r="I85" s="45">
        <v>111</v>
      </c>
      <c r="J85" s="45">
        <v>112</v>
      </c>
      <c r="K85" s="45">
        <v>90</v>
      </c>
      <c r="L85" s="45">
        <v>0</v>
      </c>
      <c r="M85" s="45"/>
      <c r="N85" s="45">
        <v>0</v>
      </c>
      <c r="O85" s="45"/>
      <c r="P85" s="45">
        <v>88</v>
      </c>
      <c r="Q85" s="45">
        <v>78</v>
      </c>
      <c r="R85" s="45">
        <v>88</v>
      </c>
      <c r="S85" s="45">
        <v>108</v>
      </c>
      <c r="T85" s="45">
        <v>96</v>
      </c>
      <c r="U85" s="45">
        <v>78</v>
      </c>
      <c r="V85" s="45">
        <v>88</v>
      </c>
      <c r="W85" s="45">
        <v>88</v>
      </c>
      <c r="X85" s="45">
        <v>76</v>
      </c>
      <c r="Y85" s="45">
        <v>72</v>
      </c>
      <c r="Z85" s="45">
        <v>0</v>
      </c>
      <c r="AA85" s="45">
        <v>0</v>
      </c>
      <c r="AB85" s="45">
        <v>0</v>
      </c>
      <c r="AC85" s="45">
        <f>71</f>
        <v>71</v>
      </c>
      <c r="AD85" s="45">
        <v>88.6</v>
      </c>
      <c r="AE85" s="45">
        <v>88.8</v>
      </c>
      <c r="AF85" s="45">
        <v>90.6</v>
      </c>
      <c r="AG85" s="75"/>
      <c r="AH85" s="47">
        <f t="shared" si="42"/>
        <v>130</v>
      </c>
      <c r="AI85" s="48">
        <f t="shared" si="43"/>
        <v>0</v>
      </c>
      <c r="AK85" s="50"/>
      <c r="AY85" s="233"/>
      <c r="BF85" s="232"/>
      <c r="BG85" s="233">
        <v>51.6</v>
      </c>
      <c r="BH85" s="233">
        <v>0</v>
      </c>
      <c r="BI85" s="233">
        <v>388</v>
      </c>
      <c r="BJ85" s="233">
        <v>1.7</v>
      </c>
      <c r="BK85" s="233">
        <v>120</v>
      </c>
      <c r="BL85" s="233">
        <v>47.6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2"/>
        <v>0</v>
      </c>
      <c r="AI86" s="48">
        <f t="shared" si="43"/>
        <v>0</v>
      </c>
      <c r="AK86" s="50"/>
      <c r="AY86" s="233"/>
      <c r="BF86" s="232"/>
      <c r="BG86" s="233">
        <v>55.3</v>
      </c>
      <c r="BH86" s="233">
        <v>0</v>
      </c>
      <c r="BI86" s="233">
        <v>405</v>
      </c>
      <c r="BJ86" s="233">
        <v>1.9</v>
      </c>
      <c r="BK86" s="233">
        <v>116</v>
      </c>
      <c r="BL86" s="233">
        <v>48.5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2"/>
        <v>0</v>
      </c>
      <c r="AI87" s="48">
        <f t="shared" si="43"/>
        <v>0</v>
      </c>
      <c r="AK87" s="50"/>
      <c r="AL87" s="78" t="s">
        <v>88</v>
      </c>
      <c r="AM87" s="78"/>
      <c r="AY87" s="233"/>
      <c r="BF87" s="233"/>
      <c r="BG87" s="233">
        <v>56</v>
      </c>
      <c r="BH87" s="233">
        <v>0</v>
      </c>
      <c r="BI87" s="233">
        <v>431</v>
      </c>
      <c r="BJ87" s="233">
        <v>2.2999999999999998</v>
      </c>
      <c r="BK87" s="233">
        <v>112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2"/>
        <v>0</v>
      </c>
      <c r="AI88" s="48">
        <f t="shared" si="43"/>
        <v>0</v>
      </c>
      <c r="AK88" s="79"/>
      <c r="AL88" s="80"/>
      <c r="AM88" s="80"/>
      <c r="AN88" s="81"/>
      <c r="AY88" s="233"/>
      <c r="BF88" s="233"/>
      <c r="BG88" s="233">
        <v>56.5</v>
      </c>
      <c r="BH88" s="233">
        <v>0</v>
      </c>
      <c r="BI88" s="233">
        <v>455</v>
      </c>
      <c r="BJ88" s="233">
        <v>3.2</v>
      </c>
      <c r="BK88" s="233">
        <v>106</v>
      </c>
      <c r="BL88" s="233">
        <v>41.6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2"/>
        <v>0</v>
      </c>
      <c r="AI89" s="48">
        <f t="shared" si="43"/>
        <v>0</v>
      </c>
      <c r="AK89" s="82" t="s">
        <v>91</v>
      </c>
      <c r="AL89" s="65"/>
      <c r="AM89" s="76"/>
      <c r="AN89" s="83"/>
      <c r="AY89" s="233"/>
      <c r="BF89" s="233"/>
      <c r="BG89" s="233">
        <v>60.7</v>
      </c>
      <c r="BH89" s="233">
        <v>0</v>
      </c>
      <c r="BI89" s="233">
        <v>428.6</v>
      </c>
      <c r="BJ89" s="233">
        <v>4</v>
      </c>
      <c r="BK89" s="233">
        <v>111</v>
      </c>
      <c r="BL89" s="233">
        <v>45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2"/>
        <v>0</v>
      </c>
      <c r="AI90" s="48">
        <f t="shared" si="43"/>
        <v>0</v>
      </c>
      <c r="AK90" s="82" t="s">
        <v>93</v>
      </c>
      <c r="AL90" s="76"/>
      <c r="AM90" s="76"/>
      <c r="AN90" s="83"/>
      <c r="AY90" s="233"/>
      <c r="BF90" s="233"/>
      <c r="BG90" s="233">
        <v>51.6</v>
      </c>
      <c r="BH90" s="233">
        <v>0</v>
      </c>
      <c r="BI90" s="233">
        <v>279</v>
      </c>
      <c r="BJ90" s="233">
        <v>4.9000000000000004</v>
      </c>
      <c r="BK90" s="233">
        <v>90</v>
      </c>
      <c r="BL90" s="233">
        <v>63.4</v>
      </c>
    </row>
    <row r="91" spans="1:64" ht="15.75" thickBot="1" x14ac:dyDescent="0.3">
      <c r="A91" s="84" t="s">
        <v>394</v>
      </c>
      <c r="B91" s="77">
        <v>50</v>
      </c>
      <c r="C91" s="77">
        <v>46</v>
      </c>
      <c r="D91" s="77">
        <v>47.6</v>
      </c>
      <c r="E91" s="77">
        <v>48.5</v>
      </c>
      <c r="F91" s="77">
        <v>0</v>
      </c>
      <c r="G91" s="77">
        <v>41.6</v>
      </c>
      <c r="H91" s="77">
        <v>47.74</v>
      </c>
      <c r="I91" s="77">
        <v>45</v>
      </c>
      <c r="J91" s="77">
        <v>73.900000000000006</v>
      </c>
      <c r="K91" s="77">
        <v>63.4</v>
      </c>
      <c r="L91" s="77">
        <v>59</v>
      </c>
      <c r="M91" s="77">
        <v>58</v>
      </c>
      <c r="N91" s="77">
        <v>55.7</v>
      </c>
      <c r="O91" s="77">
        <v>55.2</v>
      </c>
      <c r="P91" s="77">
        <v>50</v>
      </c>
      <c r="Q91" s="77">
        <v>57</v>
      </c>
      <c r="R91" s="77">
        <v>55.2</v>
      </c>
      <c r="S91" s="77">
        <v>61</v>
      </c>
      <c r="T91" s="77">
        <v>66</v>
      </c>
      <c r="U91" s="77">
        <v>66.5</v>
      </c>
      <c r="V91" s="77">
        <v>63.7</v>
      </c>
      <c r="W91" s="77">
        <v>63.7</v>
      </c>
      <c r="X91" s="77">
        <v>71</v>
      </c>
      <c r="Y91" s="77">
        <v>76.8</v>
      </c>
      <c r="Z91" s="77">
        <v>76.599999999999994</v>
      </c>
      <c r="AA91" s="77">
        <v>72.7</v>
      </c>
      <c r="AB91" s="77">
        <v>72.400000000000006</v>
      </c>
      <c r="AC91" s="77">
        <v>67</v>
      </c>
      <c r="AD91" s="77">
        <v>69</v>
      </c>
      <c r="AE91" s="77">
        <v>69.099999999999994</v>
      </c>
      <c r="AF91" s="77">
        <v>67.2</v>
      </c>
      <c r="AG91" s="85"/>
      <c r="AH91" s="47">
        <f t="shared" si="42"/>
        <v>76.8</v>
      </c>
      <c r="AI91" s="48">
        <f t="shared" si="43"/>
        <v>0</v>
      </c>
      <c r="AK91" s="86"/>
      <c r="AL91" s="45"/>
      <c r="AM91" s="45"/>
      <c r="AN91" s="87"/>
      <c r="AY91" s="233"/>
      <c r="BF91" s="233"/>
      <c r="BG91" s="233">
        <v>43.5</v>
      </c>
      <c r="BH91" s="233">
        <v>0</v>
      </c>
      <c r="BI91" s="233">
        <v>-3.5</v>
      </c>
      <c r="BJ91" s="233">
        <v>2.6</v>
      </c>
      <c r="BK91" s="233">
        <v>0</v>
      </c>
      <c r="BL91" s="233">
        <v>58</v>
      </c>
    </row>
    <row r="92" spans="1:64" ht="15.75" thickBot="1" x14ac:dyDescent="0.3">
      <c r="A92" s="74" t="s">
        <v>94</v>
      </c>
      <c r="B92" s="60">
        <f t="shared" ref="B92:AF92" si="44">SUMIF(B81:B91,"&gt;0")</f>
        <v>654</v>
      </c>
      <c r="C92" s="60">
        <f t="shared" si="44"/>
        <v>614.4</v>
      </c>
      <c r="D92" s="60">
        <f t="shared" si="44"/>
        <v>608.9</v>
      </c>
      <c r="E92" s="60">
        <f t="shared" si="44"/>
        <v>626.70000000000005</v>
      </c>
      <c r="F92" s="60">
        <f t="shared" si="44"/>
        <v>601.29999999999995</v>
      </c>
      <c r="G92" s="60">
        <f t="shared" si="44"/>
        <v>662.30000000000007</v>
      </c>
      <c r="H92" s="60">
        <f t="shared" si="44"/>
        <v>668.04</v>
      </c>
      <c r="I92" s="60">
        <f t="shared" si="44"/>
        <v>649.29999999999995</v>
      </c>
      <c r="J92" s="60">
        <f t="shared" si="44"/>
        <v>694.80000000000007</v>
      </c>
      <c r="K92" s="60">
        <f t="shared" si="44"/>
        <v>488.9</v>
      </c>
      <c r="L92" s="60">
        <f t="shared" si="44"/>
        <v>115.6</v>
      </c>
      <c r="M92" s="60">
        <f t="shared" si="44"/>
        <v>104.1</v>
      </c>
      <c r="N92" s="60">
        <f t="shared" si="44"/>
        <v>397</v>
      </c>
      <c r="O92" s="60">
        <f t="shared" si="44"/>
        <v>456.2</v>
      </c>
      <c r="P92" s="60">
        <f t="shared" si="44"/>
        <v>570</v>
      </c>
      <c r="Q92" s="60">
        <f t="shared" si="44"/>
        <v>566</v>
      </c>
      <c r="R92" s="60">
        <f t="shared" si="44"/>
        <v>594.30000000000007</v>
      </c>
      <c r="S92" s="60">
        <f t="shared" si="44"/>
        <v>643</v>
      </c>
      <c r="T92" s="60">
        <f t="shared" si="44"/>
        <v>640.5</v>
      </c>
      <c r="U92" s="60">
        <f t="shared" si="44"/>
        <v>571.5</v>
      </c>
      <c r="V92" s="60">
        <f t="shared" si="44"/>
        <v>647.70000000000005</v>
      </c>
      <c r="W92" s="60">
        <f t="shared" ref="W92:X92" si="45">SUMIF(W81:W91,"&gt;0")</f>
        <v>655.1</v>
      </c>
      <c r="X92" s="60">
        <f t="shared" si="45"/>
        <v>663</v>
      </c>
      <c r="Y92" s="60">
        <f>SUMIF(Y81:Y91,"&gt;0")</f>
        <v>702.19999999999993</v>
      </c>
      <c r="Z92" s="60">
        <f>SUMIF(Z81:Z91,"&gt;0")</f>
        <v>257.8</v>
      </c>
      <c r="AA92" s="60">
        <f t="shared" si="44"/>
        <v>242.90000000000003</v>
      </c>
      <c r="AB92" s="60">
        <f t="shared" si="44"/>
        <v>207.8</v>
      </c>
      <c r="AC92" s="60">
        <f t="shared" si="44"/>
        <v>572.69999999999993</v>
      </c>
      <c r="AD92" s="60">
        <f t="shared" si="44"/>
        <v>596.9</v>
      </c>
      <c r="AE92" s="60">
        <f t="shared" si="44"/>
        <v>610.29999999999995</v>
      </c>
      <c r="AF92" s="60">
        <f t="shared" si="44"/>
        <v>617.6</v>
      </c>
      <c r="AG92" s="88">
        <f>SUM(AG81:AG91)</f>
        <v>0</v>
      </c>
      <c r="AH92" s="47">
        <f t="shared" si="42"/>
        <v>702.19999999999993</v>
      </c>
      <c r="AI92" s="48">
        <f t="shared" si="43"/>
        <v>104.1</v>
      </c>
      <c r="AK92" s="86"/>
      <c r="AL92" s="77"/>
      <c r="AM92" s="89"/>
      <c r="AN92" s="257"/>
      <c r="AY92" s="233"/>
      <c r="BF92" s="233"/>
      <c r="BG92" s="233">
        <v>57.3</v>
      </c>
      <c r="BH92" s="233">
        <v>0</v>
      </c>
      <c r="BI92" s="233">
        <v>284</v>
      </c>
      <c r="BJ92" s="233">
        <v>0</v>
      </c>
      <c r="BK92" s="233">
        <v>0</v>
      </c>
      <c r="BL92" s="233">
        <v>55.7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2"/>
        <v>0</v>
      </c>
      <c r="AI93" s="48">
        <f t="shared" si="43"/>
        <v>0</v>
      </c>
      <c r="AK93" s="86"/>
      <c r="AL93" s="77"/>
      <c r="AM93" s="77"/>
      <c r="AN93" s="258"/>
      <c r="BF93" s="233"/>
      <c r="BG93" s="233">
        <v>48</v>
      </c>
      <c r="BH93" s="233">
        <v>0</v>
      </c>
      <c r="BI93" s="233">
        <v>353</v>
      </c>
      <c r="BJ93" s="233">
        <v>0</v>
      </c>
      <c r="BK93" s="233">
        <v>0</v>
      </c>
      <c r="BL93" s="233">
        <v>55.2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2"/>
        <v>0</v>
      </c>
      <c r="AI94" s="48">
        <f t="shared" si="43"/>
        <v>0</v>
      </c>
      <c r="AK94" s="91"/>
      <c r="AL94" s="92"/>
      <c r="AM94" s="92"/>
      <c r="AN94" s="93"/>
      <c r="BF94" s="233"/>
      <c r="BG94" s="233">
        <v>45</v>
      </c>
      <c r="BH94" s="233">
        <v>0</v>
      </c>
      <c r="BI94" s="233">
        <v>387</v>
      </c>
      <c r="BJ94" s="233">
        <v>0</v>
      </c>
      <c r="BK94" s="233">
        <v>88</v>
      </c>
      <c r="BL94" s="233">
        <v>50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2"/>
        <v>0</v>
      </c>
      <c r="AI95" s="48">
        <f t="shared" si="43"/>
        <v>0</v>
      </c>
      <c r="BF95" s="233"/>
      <c r="BG95" s="233">
        <v>36</v>
      </c>
      <c r="BH95" s="233">
        <v>0</v>
      </c>
      <c r="BI95" s="233">
        <v>395</v>
      </c>
      <c r="BJ95" s="233">
        <v>-2.4</v>
      </c>
      <c r="BK95" s="233">
        <v>78</v>
      </c>
      <c r="BL95" s="233">
        <v>57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2"/>
        <v>0</v>
      </c>
      <c r="AI96" s="48">
        <f t="shared" si="43"/>
        <v>0</v>
      </c>
      <c r="BF96" s="233"/>
      <c r="BG96" s="233">
        <v>37.1</v>
      </c>
      <c r="BH96" s="233">
        <v>0</v>
      </c>
      <c r="BI96" s="233">
        <v>414</v>
      </c>
      <c r="BJ96" s="233">
        <v>-2</v>
      </c>
      <c r="BK96" s="233">
        <v>88</v>
      </c>
      <c r="BL96" s="233">
        <v>55.2</v>
      </c>
    </row>
    <row r="97" spans="1:64" ht="15.75" thickBot="1" x14ac:dyDescent="0.3">
      <c r="A97" s="74" t="s">
        <v>99</v>
      </c>
      <c r="B97" s="95">
        <f t="shared" ref="B97:AG97" si="46">B58+B62+B80+B76+B92+B96</f>
        <v>1205.3899999999999</v>
      </c>
      <c r="C97" s="95">
        <f t="shared" si="46"/>
        <v>1165.79</v>
      </c>
      <c r="D97" s="95">
        <f t="shared" si="46"/>
        <v>1160.29</v>
      </c>
      <c r="E97" s="95">
        <f t="shared" si="46"/>
        <v>1180.5900000000001</v>
      </c>
      <c r="F97" s="95">
        <f t="shared" si="46"/>
        <v>1155.19</v>
      </c>
      <c r="G97" s="95">
        <f t="shared" si="46"/>
        <v>1216.19</v>
      </c>
      <c r="H97" s="95">
        <f t="shared" si="46"/>
        <v>1244.03</v>
      </c>
      <c r="I97" s="95">
        <f t="shared" si="46"/>
        <v>1320.4899999999998</v>
      </c>
      <c r="J97" s="95">
        <f t="shared" si="46"/>
        <v>1389.49</v>
      </c>
      <c r="K97" s="95">
        <f t="shared" si="46"/>
        <v>1367.9899999999998</v>
      </c>
      <c r="L97" s="95">
        <f t="shared" si="46"/>
        <v>1224.6899999999998</v>
      </c>
      <c r="M97" s="95">
        <f t="shared" si="46"/>
        <v>1224.9899999999998</v>
      </c>
      <c r="N97" s="95">
        <f t="shared" si="46"/>
        <v>1221.8900000000001</v>
      </c>
      <c r="O97" s="95">
        <f t="shared" si="46"/>
        <v>1147.5899999999999</v>
      </c>
      <c r="P97" s="95">
        <f>P58+P62+P80+P76+P92+P96</f>
        <v>1262.29</v>
      </c>
      <c r="Q97" s="95">
        <f t="shared" si="46"/>
        <v>1258.29</v>
      </c>
      <c r="R97" s="95">
        <f t="shared" si="46"/>
        <v>1266.5900000000001</v>
      </c>
      <c r="S97" s="95">
        <f t="shared" si="46"/>
        <v>1320.8899999999999</v>
      </c>
      <c r="T97" s="95">
        <f t="shared" si="46"/>
        <v>1338.59</v>
      </c>
      <c r="U97" s="95">
        <f t="shared" si="46"/>
        <v>1358.6799999999998</v>
      </c>
      <c r="V97" s="95">
        <f t="shared" si="46"/>
        <v>1331.2</v>
      </c>
      <c r="W97" s="95">
        <f t="shared" ref="W97:X97" si="47">W58+W62+W80+W76+W92+W96</f>
        <v>1350.4</v>
      </c>
      <c r="X97" s="95">
        <f t="shared" si="47"/>
        <v>1404.19</v>
      </c>
      <c r="Y97" s="95">
        <f>Y58+Y62+Y80+Y76+Y92+Y96</f>
        <v>1576.35</v>
      </c>
      <c r="Z97" s="95">
        <f>Z58+Z62+Z80+Z76+Z92+Z96</f>
        <v>1544.1499999999999</v>
      </c>
      <c r="AA97" s="95">
        <f t="shared" si="46"/>
        <v>1563.19</v>
      </c>
      <c r="AB97" s="95">
        <f t="shared" si="46"/>
        <v>1483.69</v>
      </c>
      <c r="AC97" s="95">
        <f t="shared" si="46"/>
        <v>1445.69</v>
      </c>
      <c r="AD97" s="95">
        <f t="shared" si="46"/>
        <v>1417.8899999999999</v>
      </c>
      <c r="AE97" s="95">
        <f t="shared" si="46"/>
        <v>1287.69</v>
      </c>
      <c r="AF97" s="95">
        <f t="shared" si="46"/>
        <v>1207.79</v>
      </c>
      <c r="AG97" s="61">
        <f t="shared" si="46"/>
        <v>2231.81</v>
      </c>
      <c r="AH97" s="47">
        <f t="shared" si="42"/>
        <v>1576.35</v>
      </c>
      <c r="AI97" s="48">
        <f t="shared" si="43"/>
        <v>1147.5899999999999</v>
      </c>
      <c r="BF97" s="233"/>
      <c r="BG97" s="233">
        <v>45</v>
      </c>
      <c r="BH97" s="233">
        <v>0</v>
      </c>
      <c r="BI97" s="233">
        <v>429</v>
      </c>
      <c r="BJ97" s="233">
        <v>-1.7</v>
      </c>
      <c r="BK97" s="233">
        <v>108</v>
      </c>
      <c r="BL97" s="233">
        <v>61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100</v>
      </c>
      <c r="L98" s="97">
        <v>100</v>
      </c>
      <c r="M98" s="97">
        <v>250</v>
      </c>
      <c r="N98" s="97">
        <v>280</v>
      </c>
      <c r="O98" s="97">
        <v>250</v>
      </c>
      <c r="P98" s="97"/>
      <c r="Q98" s="97"/>
      <c r="R98" s="97"/>
      <c r="S98" s="97"/>
      <c r="T98" s="97"/>
      <c r="U98" s="97"/>
      <c r="V98" s="97"/>
      <c r="W98" s="97"/>
      <c r="X98" s="97">
        <v>100</v>
      </c>
      <c r="Y98" s="97">
        <v>100</v>
      </c>
      <c r="Z98" s="97">
        <v>100</v>
      </c>
      <c r="AA98" s="97">
        <v>100</v>
      </c>
      <c r="AB98" s="97">
        <v>100</v>
      </c>
      <c r="AC98" s="97">
        <v>100</v>
      </c>
      <c r="AD98" s="97"/>
      <c r="AE98" s="97"/>
      <c r="AF98" s="97"/>
      <c r="AG98" s="88"/>
      <c r="AH98" s="47">
        <f t="shared" si="42"/>
        <v>280</v>
      </c>
      <c r="AI98" s="48">
        <f t="shared" si="43"/>
        <v>100</v>
      </c>
      <c r="BF98" s="233"/>
      <c r="BG98" s="233">
        <v>46.2</v>
      </c>
      <c r="BH98" s="233">
        <v>0</v>
      </c>
      <c r="BI98" s="233">
        <v>432</v>
      </c>
      <c r="BJ98" s="233">
        <v>0.3</v>
      </c>
      <c r="BK98" s="233">
        <v>96</v>
      </c>
      <c r="BL98" s="233">
        <v>66</v>
      </c>
    </row>
    <row r="99" spans="1:64" ht="15.75" thickBot="1" x14ac:dyDescent="0.3">
      <c r="A99" s="74" t="s">
        <v>101</v>
      </c>
      <c r="B99" s="95">
        <f t="shared" ref="B99:AF99" si="48">B97+B98</f>
        <v>1205.3899999999999</v>
      </c>
      <c r="C99" s="95">
        <f t="shared" si="48"/>
        <v>1165.79</v>
      </c>
      <c r="D99" s="95">
        <f t="shared" si="48"/>
        <v>1160.29</v>
      </c>
      <c r="E99" s="95">
        <f t="shared" si="48"/>
        <v>1180.5900000000001</v>
      </c>
      <c r="F99" s="95">
        <f t="shared" si="48"/>
        <v>1155.19</v>
      </c>
      <c r="G99" s="95">
        <f t="shared" si="48"/>
        <v>1216.19</v>
      </c>
      <c r="H99" s="95">
        <f t="shared" si="48"/>
        <v>1244.03</v>
      </c>
      <c r="I99" s="95">
        <f t="shared" si="48"/>
        <v>1320.4899999999998</v>
      </c>
      <c r="J99" s="95">
        <f t="shared" si="48"/>
        <v>1389.49</v>
      </c>
      <c r="K99" s="95">
        <f t="shared" si="48"/>
        <v>1467.9899999999998</v>
      </c>
      <c r="L99" s="95">
        <f t="shared" si="48"/>
        <v>1324.6899999999998</v>
      </c>
      <c r="M99" s="95">
        <f t="shared" si="48"/>
        <v>1474.9899999999998</v>
      </c>
      <c r="N99" s="95">
        <f t="shared" si="48"/>
        <v>1501.89</v>
      </c>
      <c r="O99" s="95">
        <f t="shared" si="48"/>
        <v>1397.59</v>
      </c>
      <c r="P99" s="95">
        <f t="shared" si="48"/>
        <v>1262.29</v>
      </c>
      <c r="Q99" s="95">
        <f t="shared" si="48"/>
        <v>1258.29</v>
      </c>
      <c r="R99" s="95">
        <f t="shared" si="48"/>
        <v>1266.5900000000001</v>
      </c>
      <c r="S99" s="95">
        <f t="shared" si="48"/>
        <v>1320.8899999999999</v>
      </c>
      <c r="T99" s="95">
        <f t="shared" si="48"/>
        <v>1338.59</v>
      </c>
      <c r="U99" s="95">
        <f t="shared" si="48"/>
        <v>1358.6799999999998</v>
      </c>
      <c r="V99" s="95">
        <f t="shared" si="48"/>
        <v>1331.2</v>
      </c>
      <c r="W99" s="95">
        <f t="shared" ref="W99:X99" si="49">W97+W98</f>
        <v>1350.4</v>
      </c>
      <c r="X99" s="95">
        <f t="shared" si="49"/>
        <v>1504.19</v>
      </c>
      <c r="Y99" s="95">
        <f>Y97+Y98</f>
        <v>1676.35</v>
      </c>
      <c r="Z99" s="95">
        <f>Z97+Z98</f>
        <v>1644.1499999999999</v>
      </c>
      <c r="AA99" s="95">
        <f t="shared" si="48"/>
        <v>1663.19</v>
      </c>
      <c r="AB99" s="95">
        <f t="shared" si="48"/>
        <v>1583.69</v>
      </c>
      <c r="AC99" s="95">
        <f t="shared" si="48"/>
        <v>1545.69</v>
      </c>
      <c r="AD99" s="95">
        <f t="shared" si="48"/>
        <v>1417.8899999999999</v>
      </c>
      <c r="AE99" s="95">
        <f t="shared" si="48"/>
        <v>1287.69</v>
      </c>
      <c r="AF99" s="95">
        <f t="shared" si="48"/>
        <v>1207.79</v>
      </c>
      <c r="AG99" s="88">
        <f>AG96+AG92+AG80+AG76+AG58+AG98</f>
        <v>1693.71</v>
      </c>
      <c r="AH99" s="47">
        <f t="shared" si="42"/>
        <v>1676.35</v>
      </c>
      <c r="AI99" s="48">
        <f t="shared" si="43"/>
        <v>1155.19</v>
      </c>
      <c r="BF99" s="233"/>
      <c r="BG99" s="233">
        <v>45</v>
      </c>
      <c r="BH99" s="233">
        <v>0</v>
      </c>
      <c r="BI99" s="233">
        <v>382</v>
      </c>
      <c r="BJ99" s="233">
        <v>0</v>
      </c>
      <c r="BK99" s="233">
        <v>78</v>
      </c>
      <c r="BL99" s="233">
        <v>66.5</v>
      </c>
    </row>
    <row r="100" spans="1:64" ht="15.75" thickBot="1" x14ac:dyDescent="0.3">
      <c r="A100" s="74" t="s">
        <v>102</v>
      </c>
      <c r="B100" s="95">
        <f t="shared" ref="B100:M100" si="50">B99-(B107)</f>
        <v>1205.3899999999999</v>
      </c>
      <c r="C100" s="95">
        <f t="shared" si="50"/>
        <v>1165.79</v>
      </c>
      <c r="D100" s="95">
        <f t="shared" si="50"/>
        <v>1160.29</v>
      </c>
      <c r="E100" s="95">
        <f t="shared" si="50"/>
        <v>1180.5900000000001</v>
      </c>
      <c r="F100" s="95">
        <f t="shared" si="50"/>
        <v>1155.19</v>
      </c>
      <c r="G100" s="95">
        <f t="shared" si="50"/>
        <v>1216.19</v>
      </c>
      <c r="H100" s="95">
        <f t="shared" si="50"/>
        <v>1244.03</v>
      </c>
      <c r="I100" s="95">
        <f t="shared" si="50"/>
        <v>1320.4899999999998</v>
      </c>
      <c r="J100" s="95">
        <f t="shared" si="50"/>
        <v>1389.49</v>
      </c>
      <c r="K100" s="95">
        <f t="shared" si="50"/>
        <v>1467.9899999999998</v>
      </c>
      <c r="L100" s="95">
        <f t="shared" si="50"/>
        <v>1320.2899999999997</v>
      </c>
      <c r="M100" s="95">
        <f t="shared" si="50"/>
        <v>1471.4899999999998</v>
      </c>
      <c r="N100" s="95">
        <f>N99-(N107)</f>
        <v>1501.89</v>
      </c>
      <c r="O100" s="95">
        <f t="shared" ref="O100:AF100" si="51">O99-(O107)</f>
        <v>1397.59</v>
      </c>
      <c r="P100" s="95">
        <f t="shared" si="51"/>
        <v>1262.29</v>
      </c>
      <c r="Q100" s="95">
        <f t="shared" si="51"/>
        <v>1255.8899999999999</v>
      </c>
      <c r="R100" s="95">
        <f t="shared" si="51"/>
        <v>1264.5900000000001</v>
      </c>
      <c r="S100" s="95">
        <f t="shared" si="51"/>
        <v>1319.1899999999998</v>
      </c>
      <c r="T100" s="95">
        <f t="shared" si="51"/>
        <v>1338.59</v>
      </c>
      <c r="U100" s="95">
        <f t="shared" si="51"/>
        <v>1358.6799999999998</v>
      </c>
      <c r="V100" s="95">
        <f t="shared" si="51"/>
        <v>1331.2</v>
      </c>
      <c r="W100" s="95">
        <f t="shared" ref="W100:X100" si="52">W99-(W107)</f>
        <v>1349.4</v>
      </c>
      <c r="X100" s="95">
        <f t="shared" si="52"/>
        <v>1504.19</v>
      </c>
      <c r="Y100" s="95">
        <f t="shared" si="51"/>
        <v>1676.35</v>
      </c>
      <c r="Z100" s="95">
        <f t="shared" si="51"/>
        <v>1644.1499999999999</v>
      </c>
      <c r="AA100" s="95">
        <f t="shared" si="51"/>
        <v>1663.19</v>
      </c>
      <c r="AB100" s="95">
        <f t="shared" si="51"/>
        <v>1583.69</v>
      </c>
      <c r="AC100" s="95">
        <f t="shared" si="51"/>
        <v>1545.69</v>
      </c>
      <c r="AD100" s="95">
        <f t="shared" si="51"/>
        <v>1417.8899999999999</v>
      </c>
      <c r="AE100" s="95">
        <f t="shared" si="51"/>
        <v>1287.69</v>
      </c>
      <c r="AF100" s="95">
        <f t="shared" si="51"/>
        <v>1207.79</v>
      </c>
      <c r="AG100" s="88"/>
      <c r="AH100" s="47">
        <f t="shared" si="42"/>
        <v>1676.35</v>
      </c>
      <c r="AI100" s="48">
        <f t="shared" si="43"/>
        <v>1155.19</v>
      </c>
      <c r="BF100" s="233"/>
      <c r="BG100" s="233">
        <v>53.2</v>
      </c>
      <c r="BH100" s="233">
        <v>0</v>
      </c>
      <c r="BI100" s="233">
        <v>392.6</v>
      </c>
      <c r="BJ100" s="233">
        <v>50.2</v>
      </c>
      <c r="BK100" s="233">
        <v>88</v>
      </c>
      <c r="BL100" s="233">
        <v>63.7</v>
      </c>
    </row>
    <row r="101" spans="1:64" x14ac:dyDescent="0.25">
      <c r="A101" s="44" t="s">
        <v>84</v>
      </c>
      <c r="B101" s="76">
        <f t="shared" ref="B101:AF101" si="53">IF(B84&lt;0,B84*-1,0)</f>
        <v>0</v>
      </c>
      <c r="C101" s="76">
        <f t="shared" si="53"/>
        <v>0</v>
      </c>
      <c r="D101" s="76">
        <f t="shared" si="53"/>
        <v>0</v>
      </c>
      <c r="E101" s="76">
        <f t="shared" si="53"/>
        <v>0</v>
      </c>
      <c r="F101" s="76">
        <f t="shared" si="53"/>
        <v>0</v>
      </c>
      <c r="G101" s="76">
        <f t="shared" si="53"/>
        <v>0</v>
      </c>
      <c r="H101" s="76">
        <f t="shared" si="53"/>
        <v>0</v>
      </c>
      <c r="I101" s="76">
        <f t="shared" si="53"/>
        <v>0</v>
      </c>
      <c r="J101" s="76">
        <f t="shared" si="53"/>
        <v>0</v>
      </c>
      <c r="K101" s="76">
        <f t="shared" si="53"/>
        <v>0</v>
      </c>
      <c r="L101" s="76">
        <f t="shared" si="53"/>
        <v>0</v>
      </c>
      <c r="M101" s="76">
        <f t="shared" si="53"/>
        <v>0</v>
      </c>
      <c r="N101" s="76">
        <f t="shared" si="53"/>
        <v>0</v>
      </c>
      <c r="O101" s="76">
        <f t="shared" si="53"/>
        <v>0</v>
      </c>
      <c r="P101" s="76">
        <f t="shared" si="53"/>
        <v>0</v>
      </c>
      <c r="Q101" s="76">
        <f t="shared" si="53"/>
        <v>2.4</v>
      </c>
      <c r="R101" s="76">
        <f t="shared" si="53"/>
        <v>2</v>
      </c>
      <c r="S101" s="76">
        <f t="shared" si="53"/>
        <v>1.7</v>
      </c>
      <c r="T101" s="76">
        <f t="shared" si="53"/>
        <v>0</v>
      </c>
      <c r="U101" s="76">
        <f t="shared" si="53"/>
        <v>0</v>
      </c>
      <c r="V101" s="76">
        <f t="shared" si="53"/>
        <v>0</v>
      </c>
      <c r="W101" s="76">
        <f t="shared" ref="W101:X101" si="54">IF(W84&lt;0,W84*-1,0)</f>
        <v>0</v>
      </c>
      <c r="X101" s="76">
        <f t="shared" si="54"/>
        <v>0</v>
      </c>
      <c r="Y101" s="76">
        <f t="shared" si="53"/>
        <v>0</v>
      </c>
      <c r="Z101" s="76">
        <f t="shared" si="53"/>
        <v>0</v>
      </c>
      <c r="AA101" s="76">
        <f t="shared" si="53"/>
        <v>0</v>
      </c>
      <c r="AB101" s="76">
        <f t="shared" si="53"/>
        <v>0</v>
      </c>
      <c r="AC101" s="76">
        <f t="shared" si="53"/>
        <v>0</v>
      </c>
      <c r="AD101" s="76">
        <f t="shared" si="53"/>
        <v>0</v>
      </c>
      <c r="AE101" s="76">
        <f t="shared" si="53"/>
        <v>0</v>
      </c>
      <c r="AF101" s="76">
        <f t="shared" si="53"/>
        <v>0</v>
      </c>
      <c r="AG101" s="52"/>
      <c r="AH101" s="47">
        <f t="shared" si="42"/>
        <v>2.4</v>
      </c>
      <c r="AI101" s="48">
        <f t="shared" si="43"/>
        <v>0</v>
      </c>
      <c r="BF101" s="232"/>
      <c r="BG101" s="233">
        <v>51</v>
      </c>
      <c r="BH101" s="233">
        <v>0</v>
      </c>
      <c r="BI101" s="233">
        <v>413</v>
      </c>
      <c r="BJ101" s="233">
        <v>52</v>
      </c>
      <c r="BK101" s="233">
        <v>76</v>
      </c>
      <c r="BL101" s="233">
        <v>71</v>
      </c>
    </row>
    <row r="102" spans="1:64" x14ac:dyDescent="0.25">
      <c r="A102" s="54" t="s">
        <v>82</v>
      </c>
      <c r="B102" s="76">
        <f t="shared" ref="B102:AF102" si="55">IF(B82&lt;0,B82*-1,0)</f>
        <v>0</v>
      </c>
      <c r="C102" s="76">
        <f t="shared" si="55"/>
        <v>0</v>
      </c>
      <c r="D102" s="76">
        <f t="shared" si="55"/>
        <v>0</v>
      </c>
      <c r="E102" s="76">
        <f t="shared" si="55"/>
        <v>0</v>
      </c>
      <c r="F102" s="76">
        <f t="shared" si="55"/>
        <v>0</v>
      </c>
      <c r="G102" s="76">
        <f t="shared" si="55"/>
        <v>0</v>
      </c>
      <c r="H102" s="76">
        <f t="shared" si="55"/>
        <v>0</v>
      </c>
      <c r="I102" s="76">
        <f t="shared" si="55"/>
        <v>0</v>
      </c>
      <c r="J102" s="76">
        <f t="shared" si="55"/>
        <v>0</v>
      </c>
      <c r="K102" s="76">
        <f t="shared" si="55"/>
        <v>0</v>
      </c>
      <c r="L102" s="76">
        <f t="shared" si="55"/>
        <v>0</v>
      </c>
      <c r="M102" s="76">
        <f t="shared" si="55"/>
        <v>0</v>
      </c>
      <c r="N102" s="76">
        <f t="shared" si="55"/>
        <v>0</v>
      </c>
      <c r="O102" s="76">
        <f t="shared" si="55"/>
        <v>0</v>
      </c>
      <c r="P102" s="76">
        <f t="shared" si="55"/>
        <v>0</v>
      </c>
      <c r="Q102" s="76">
        <f t="shared" si="55"/>
        <v>0</v>
      </c>
      <c r="R102" s="76">
        <f t="shared" si="55"/>
        <v>0</v>
      </c>
      <c r="S102" s="76">
        <f t="shared" si="55"/>
        <v>0</v>
      </c>
      <c r="T102" s="76">
        <f t="shared" si="55"/>
        <v>0</v>
      </c>
      <c r="U102" s="76">
        <f t="shared" si="55"/>
        <v>0</v>
      </c>
      <c r="V102" s="76">
        <f t="shared" si="55"/>
        <v>0</v>
      </c>
      <c r="W102" s="76">
        <f t="shared" ref="W102:X102" si="56">IF(W82&lt;0,W82*-1,0)</f>
        <v>0</v>
      </c>
      <c r="X102" s="76">
        <f t="shared" si="56"/>
        <v>0</v>
      </c>
      <c r="Y102" s="76">
        <f t="shared" si="55"/>
        <v>0</v>
      </c>
      <c r="Z102" s="76">
        <f t="shared" si="55"/>
        <v>0</v>
      </c>
      <c r="AA102" s="76">
        <f t="shared" si="55"/>
        <v>0</v>
      </c>
      <c r="AB102" s="76">
        <f t="shared" si="55"/>
        <v>0</v>
      </c>
      <c r="AC102" s="76">
        <f t="shared" si="55"/>
        <v>0</v>
      </c>
      <c r="AD102" s="76">
        <f t="shared" si="55"/>
        <v>0</v>
      </c>
      <c r="AE102" s="76">
        <f t="shared" si="55"/>
        <v>0</v>
      </c>
      <c r="AF102" s="76">
        <f t="shared" si="55"/>
        <v>0</v>
      </c>
      <c r="AG102" s="55"/>
      <c r="AH102" s="47">
        <f t="shared" si="42"/>
        <v>0</v>
      </c>
      <c r="AI102" s="48">
        <f t="shared" si="43"/>
        <v>0</v>
      </c>
      <c r="BF102" s="232"/>
      <c r="BG102" s="233">
        <v>65.8</v>
      </c>
      <c r="BH102" s="233">
        <v>0</v>
      </c>
      <c r="BI102" s="233">
        <v>110</v>
      </c>
      <c r="BJ102" s="233">
        <v>5.4</v>
      </c>
      <c r="BK102" s="233">
        <v>0</v>
      </c>
      <c r="BL102" s="233">
        <v>76.599999999999994</v>
      </c>
    </row>
    <row r="103" spans="1:64" x14ac:dyDescent="0.25">
      <c r="A103" s="84" t="s">
        <v>103</v>
      </c>
      <c r="B103" s="76">
        <f t="shared" ref="B103:AF103" si="57">IF(B85&lt;0,B85*-1,0)</f>
        <v>0</v>
      </c>
      <c r="C103" s="76">
        <f t="shared" si="57"/>
        <v>0</v>
      </c>
      <c r="D103" s="76">
        <f t="shared" si="57"/>
        <v>0</v>
      </c>
      <c r="E103" s="76">
        <f t="shared" si="57"/>
        <v>0</v>
      </c>
      <c r="F103" s="76">
        <f t="shared" si="57"/>
        <v>0</v>
      </c>
      <c r="G103" s="76">
        <f t="shared" si="57"/>
        <v>0</v>
      </c>
      <c r="H103" s="76">
        <f t="shared" si="57"/>
        <v>0</v>
      </c>
      <c r="I103" s="76">
        <f t="shared" si="57"/>
        <v>0</v>
      </c>
      <c r="J103" s="76">
        <f t="shared" si="57"/>
        <v>0</v>
      </c>
      <c r="K103" s="76">
        <f t="shared" si="57"/>
        <v>0</v>
      </c>
      <c r="L103" s="76">
        <f t="shared" si="57"/>
        <v>0</v>
      </c>
      <c r="M103" s="76">
        <f t="shared" si="57"/>
        <v>0</v>
      </c>
      <c r="N103" s="76">
        <f t="shared" si="57"/>
        <v>0</v>
      </c>
      <c r="O103" s="76">
        <f t="shared" si="57"/>
        <v>0</v>
      </c>
      <c r="P103" s="76">
        <f t="shared" si="57"/>
        <v>0</v>
      </c>
      <c r="Q103" s="76">
        <f t="shared" si="57"/>
        <v>0</v>
      </c>
      <c r="R103" s="76">
        <f t="shared" si="57"/>
        <v>0</v>
      </c>
      <c r="S103" s="76">
        <f t="shared" si="57"/>
        <v>0</v>
      </c>
      <c r="T103" s="76">
        <f t="shared" si="57"/>
        <v>0</v>
      </c>
      <c r="U103" s="76">
        <f t="shared" si="57"/>
        <v>0</v>
      </c>
      <c r="V103" s="76">
        <f t="shared" si="57"/>
        <v>0</v>
      </c>
      <c r="W103" s="76">
        <f t="shared" ref="W103:X103" si="58">IF(W85&lt;0,W85*-1,0)</f>
        <v>0</v>
      </c>
      <c r="X103" s="76">
        <f t="shared" si="58"/>
        <v>0</v>
      </c>
      <c r="Y103" s="76">
        <f t="shared" si="57"/>
        <v>0</v>
      </c>
      <c r="Z103" s="76">
        <f t="shared" si="57"/>
        <v>0</v>
      </c>
      <c r="AA103" s="76">
        <f t="shared" si="57"/>
        <v>0</v>
      </c>
      <c r="AB103" s="76">
        <f t="shared" si="57"/>
        <v>0</v>
      </c>
      <c r="AC103" s="76">
        <f t="shared" si="57"/>
        <v>0</v>
      </c>
      <c r="AD103" s="76">
        <f t="shared" si="57"/>
        <v>0</v>
      </c>
      <c r="AE103" s="76">
        <f t="shared" si="57"/>
        <v>0</v>
      </c>
      <c r="AF103" s="76">
        <f t="shared" si="57"/>
        <v>0</v>
      </c>
      <c r="AG103" s="98"/>
      <c r="AH103" s="47">
        <f t="shared" si="42"/>
        <v>0</v>
      </c>
      <c r="AI103" s="48">
        <f t="shared" si="43"/>
        <v>0</v>
      </c>
      <c r="BF103" s="232"/>
      <c r="BG103" s="233">
        <v>62.4</v>
      </c>
      <c r="BH103" s="233">
        <v>0</v>
      </c>
      <c r="BI103" s="233">
        <v>69</v>
      </c>
      <c r="BJ103" s="233">
        <v>4</v>
      </c>
      <c r="BK103" s="233">
        <v>0</v>
      </c>
      <c r="BL103" s="233">
        <v>72.400000000000006</v>
      </c>
    </row>
    <row r="104" spans="1:64" x14ac:dyDescent="0.25">
      <c r="A104" s="84" t="s">
        <v>104</v>
      </c>
      <c r="B104" s="76">
        <f t="shared" ref="B104:AF104" si="59">IF(B83&lt;0,B83*-1,0)</f>
        <v>0</v>
      </c>
      <c r="C104" s="76">
        <f t="shared" si="59"/>
        <v>0</v>
      </c>
      <c r="D104" s="76">
        <f t="shared" si="59"/>
        <v>0</v>
      </c>
      <c r="E104" s="76">
        <f t="shared" si="59"/>
        <v>0</v>
      </c>
      <c r="F104" s="76">
        <f t="shared" si="59"/>
        <v>0</v>
      </c>
      <c r="G104" s="76">
        <f t="shared" si="59"/>
        <v>0</v>
      </c>
      <c r="H104" s="76">
        <f t="shared" si="59"/>
        <v>0</v>
      </c>
      <c r="I104" s="76">
        <f t="shared" si="59"/>
        <v>0</v>
      </c>
      <c r="J104" s="76">
        <f t="shared" si="59"/>
        <v>0</v>
      </c>
      <c r="K104" s="76">
        <f t="shared" si="59"/>
        <v>0</v>
      </c>
      <c r="L104" s="76">
        <f t="shared" si="59"/>
        <v>4.4000000000000004</v>
      </c>
      <c r="M104" s="76">
        <f t="shared" si="59"/>
        <v>3.5</v>
      </c>
      <c r="N104" s="76">
        <f t="shared" si="59"/>
        <v>0</v>
      </c>
      <c r="O104" s="76">
        <f t="shared" si="59"/>
        <v>0</v>
      </c>
      <c r="P104" s="76">
        <f t="shared" si="59"/>
        <v>0</v>
      </c>
      <c r="Q104" s="76">
        <f t="shared" si="59"/>
        <v>0</v>
      </c>
      <c r="R104" s="76">
        <f t="shared" si="59"/>
        <v>0</v>
      </c>
      <c r="S104" s="76">
        <f t="shared" si="59"/>
        <v>0</v>
      </c>
      <c r="T104" s="76">
        <f t="shared" si="59"/>
        <v>0</v>
      </c>
      <c r="U104" s="76">
        <f t="shared" si="59"/>
        <v>0</v>
      </c>
      <c r="V104" s="76">
        <f t="shared" si="59"/>
        <v>0</v>
      </c>
      <c r="W104" s="76">
        <f t="shared" ref="W104:X104" si="60">IF(W83&lt;0,W83*-1,0)</f>
        <v>0</v>
      </c>
      <c r="X104" s="76">
        <f t="shared" si="60"/>
        <v>0</v>
      </c>
      <c r="Y104" s="76">
        <f t="shared" si="59"/>
        <v>0</v>
      </c>
      <c r="Z104" s="76">
        <f t="shared" si="59"/>
        <v>0</v>
      </c>
      <c r="AA104" s="76">
        <f t="shared" si="59"/>
        <v>0</v>
      </c>
      <c r="AB104" s="76">
        <f t="shared" si="59"/>
        <v>0</v>
      </c>
      <c r="AC104" s="76">
        <f t="shared" si="59"/>
        <v>0</v>
      </c>
      <c r="AD104" s="76">
        <f t="shared" si="59"/>
        <v>0</v>
      </c>
      <c r="AE104" s="76">
        <f t="shared" si="59"/>
        <v>0</v>
      </c>
      <c r="AF104" s="76">
        <f t="shared" si="59"/>
        <v>0</v>
      </c>
      <c r="AG104" s="98"/>
      <c r="AH104" s="47">
        <f t="shared" si="42"/>
        <v>4.4000000000000004</v>
      </c>
      <c r="AI104" s="48">
        <f t="shared" si="43"/>
        <v>0</v>
      </c>
      <c r="BF104" s="232"/>
      <c r="BG104" s="233">
        <v>63</v>
      </c>
      <c r="BH104" s="233">
        <v>0</v>
      </c>
      <c r="BI104" s="233">
        <v>334</v>
      </c>
      <c r="BJ104" s="233">
        <v>42.3</v>
      </c>
      <c r="BK104" s="233">
        <v>88.6</v>
      </c>
      <c r="BL104" s="233">
        <v>69</v>
      </c>
    </row>
    <row r="105" spans="1:64" x14ac:dyDescent="0.25">
      <c r="A105" s="84" t="s">
        <v>81</v>
      </c>
      <c r="B105" s="76">
        <f t="shared" ref="B105:AF105" si="61">IF(B81&lt;0,B81*-1,0)</f>
        <v>0</v>
      </c>
      <c r="C105" s="76">
        <f t="shared" si="61"/>
        <v>0</v>
      </c>
      <c r="D105" s="76">
        <f t="shared" si="61"/>
        <v>0</v>
      </c>
      <c r="E105" s="76">
        <f t="shared" si="61"/>
        <v>0</v>
      </c>
      <c r="F105" s="76">
        <f t="shared" si="61"/>
        <v>0</v>
      </c>
      <c r="G105" s="76">
        <f t="shared" si="61"/>
        <v>0</v>
      </c>
      <c r="H105" s="76">
        <f t="shared" si="61"/>
        <v>0</v>
      </c>
      <c r="I105" s="76">
        <f t="shared" si="61"/>
        <v>0</v>
      </c>
      <c r="J105" s="76">
        <f t="shared" si="61"/>
        <v>0</v>
      </c>
      <c r="K105" s="76">
        <f t="shared" si="61"/>
        <v>0</v>
      </c>
      <c r="L105" s="76">
        <f t="shared" si="61"/>
        <v>0</v>
      </c>
      <c r="M105" s="76">
        <f t="shared" si="61"/>
        <v>0</v>
      </c>
      <c r="N105" s="76">
        <f t="shared" si="61"/>
        <v>0</v>
      </c>
      <c r="O105" s="76">
        <f t="shared" si="61"/>
        <v>0</v>
      </c>
      <c r="P105" s="76">
        <f t="shared" si="61"/>
        <v>0</v>
      </c>
      <c r="Q105" s="76">
        <f t="shared" si="61"/>
        <v>0</v>
      </c>
      <c r="R105" s="76">
        <f t="shared" si="61"/>
        <v>0</v>
      </c>
      <c r="S105" s="76">
        <f t="shared" si="61"/>
        <v>0</v>
      </c>
      <c r="T105" s="76">
        <f t="shared" si="61"/>
        <v>0</v>
      </c>
      <c r="U105" s="76">
        <f t="shared" si="61"/>
        <v>0</v>
      </c>
      <c r="V105" s="76">
        <f t="shared" si="61"/>
        <v>0</v>
      </c>
      <c r="W105" s="76">
        <f t="shared" ref="W105:X105" si="62">IF(W81&lt;0,W81*-1,0)</f>
        <v>0</v>
      </c>
      <c r="X105" s="76">
        <f t="shared" si="62"/>
        <v>0</v>
      </c>
      <c r="Y105" s="76">
        <f t="shared" si="61"/>
        <v>0</v>
      </c>
      <c r="Z105" s="76">
        <f t="shared" si="61"/>
        <v>0</v>
      </c>
      <c r="AA105" s="76">
        <f t="shared" si="61"/>
        <v>0</v>
      </c>
      <c r="AB105" s="76">
        <f t="shared" si="61"/>
        <v>0</v>
      </c>
      <c r="AC105" s="76">
        <f t="shared" si="61"/>
        <v>0</v>
      </c>
      <c r="AD105" s="76">
        <f t="shared" si="61"/>
        <v>0</v>
      </c>
      <c r="AE105" s="76">
        <f t="shared" si="61"/>
        <v>0</v>
      </c>
      <c r="AF105" s="76">
        <f t="shared" si="61"/>
        <v>0</v>
      </c>
      <c r="AG105" s="98"/>
      <c r="AH105" s="47">
        <f t="shared" si="42"/>
        <v>0</v>
      </c>
      <c r="AI105" s="48">
        <f t="shared" si="43"/>
        <v>0</v>
      </c>
      <c r="BF105" s="232"/>
      <c r="BG105" s="233">
        <v>56</v>
      </c>
      <c r="BH105" s="233">
        <v>0</v>
      </c>
      <c r="BI105" s="233">
        <v>349</v>
      </c>
      <c r="BJ105" s="233">
        <v>47.4</v>
      </c>
      <c r="BK105" s="233">
        <v>88.8</v>
      </c>
      <c r="BL105" s="233">
        <v>69.099999999999994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1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2"/>
        <v>1</v>
      </c>
      <c r="AI106" s="48">
        <f t="shared" si="43"/>
        <v>0</v>
      </c>
      <c r="BG106" s="233">
        <v>65</v>
      </c>
      <c r="BH106" s="233">
        <v>0</v>
      </c>
      <c r="BI106" s="233">
        <v>352</v>
      </c>
      <c r="BJ106" s="233">
        <v>42.8</v>
      </c>
      <c r="BK106" s="233">
        <v>90.6</v>
      </c>
      <c r="BL106" s="233">
        <v>67.2</v>
      </c>
    </row>
    <row r="107" spans="1:64" ht="15.75" thickBot="1" x14ac:dyDescent="0.3">
      <c r="A107" s="99" t="s">
        <v>106</v>
      </c>
      <c r="B107" s="60">
        <f t="shared" ref="B107:C107" si="63">SUM(B101:B106)</f>
        <v>0</v>
      </c>
      <c r="C107" s="60">
        <f t="shared" si="63"/>
        <v>0</v>
      </c>
      <c r="D107" s="60">
        <f t="shared" ref="D107:AF107" si="64">SUM(D101:D106)</f>
        <v>0</v>
      </c>
      <c r="E107" s="60">
        <f t="shared" si="64"/>
        <v>0</v>
      </c>
      <c r="F107" s="60">
        <f t="shared" si="64"/>
        <v>0</v>
      </c>
      <c r="G107" s="60">
        <f t="shared" si="64"/>
        <v>0</v>
      </c>
      <c r="H107" s="60">
        <f t="shared" si="64"/>
        <v>0</v>
      </c>
      <c r="I107" s="60">
        <f t="shared" si="64"/>
        <v>0</v>
      </c>
      <c r="J107" s="60">
        <f t="shared" si="64"/>
        <v>0</v>
      </c>
      <c r="K107" s="60">
        <f t="shared" si="64"/>
        <v>0</v>
      </c>
      <c r="L107" s="60">
        <f t="shared" si="64"/>
        <v>4.4000000000000004</v>
      </c>
      <c r="M107" s="60">
        <f t="shared" si="64"/>
        <v>3.5</v>
      </c>
      <c r="N107" s="60">
        <f t="shared" si="64"/>
        <v>0</v>
      </c>
      <c r="O107" s="60">
        <f t="shared" si="64"/>
        <v>0</v>
      </c>
      <c r="P107" s="60">
        <f t="shared" si="64"/>
        <v>0</v>
      </c>
      <c r="Q107" s="60">
        <f t="shared" si="64"/>
        <v>2.4</v>
      </c>
      <c r="R107" s="60">
        <f t="shared" si="64"/>
        <v>2</v>
      </c>
      <c r="S107" s="60">
        <f t="shared" si="64"/>
        <v>1.7</v>
      </c>
      <c r="T107" s="60">
        <f t="shared" si="64"/>
        <v>0</v>
      </c>
      <c r="U107" s="60">
        <f t="shared" si="64"/>
        <v>0</v>
      </c>
      <c r="V107" s="60">
        <f t="shared" si="64"/>
        <v>0</v>
      </c>
      <c r="W107" s="60">
        <f t="shared" ref="W107:X107" si="65">SUM(W101:W106)</f>
        <v>1</v>
      </c>
      <c r="X107" s="60">
        <f t="shared" si="65"/>
        <v>0</v>
      </c>
      <c r="Y107" s="60">
        <f t="shared" si="64"/>
        <v>0</v>
      </c>
      <c r="Z107" s="60">
        <f t="shared" si="64"/>
        <v>0</v>
      </c>
      <c r="AA107" s="60">
        <f t="shared" si="64"/>
        <v>0</v>
      </c>
      <c r="AB107" s="60">
        <f t="shared" si="64"/>
        <v>0</v>
      </c>
      <c r="AC107" s="60">
        <f t="shared" si="64"/>
        <v>0</v>
      </c>
      <c r="AD107" s="60">
        <f t="shared" si="64"/>
        <v>0</v>
      </c>
      <c r="AE107" s="60">
        <f t="shared" si="64"/>
        <v>0</v>
      </c>
      <c r="AF107" s="60">
        <f t="shared" si="64"/>
        <v>0</v>
      </c>
      <c r="AG107" s="88"/>
      <c r="AH107" s="47">
        <f t="shared" si="42"/>
        <v>4.4000000000000004</v>
      </c>
      <c r="AI107" s="48">
        <f t="shared" si="43"/>
        <v>0</v>
      </c>
      <c r="AK107" s="50"/>
      <c r="BG107" s="233">
        <v>50</v>
      </c>
      <c r="BH107" s="233">
        <v>0</v>
      </c>
      <c r="BI107" s="233">
        <v>392</v>
      </c>
      <c r="BJ107" s="233">
        <v>42</v>
      </c>
      <c r="BK107" s="233">
        <v>120</v>
      </c>
      <c r="BL107" s="233">
        <v>50</v>
      </c>
    </row>
    <row r="108" spans="1:64" ht="15.75" thickBot="1" x14ac:dyDescent="0.3">
      <c r="A108" s="74" t="s">
        <v>107</v>
      </c>
      <c r="B108" s="60">
        <f t="shared" ref="B108:AF108" si="66">B92-B107</f>
        <v>654</v>
      </c>
      <c r="C108" s="60">
        <f t="shared" si="66"/>
        <v>614.4</v>
      </c>
      <c r="D108" s="60">
        <f t="shared" si="66"/>
        <v>608.9</v>
      </c>
      <c r="E108" s="60">
        <f t="shared" si="66"/>
        <v>626.70000000000005</v>
      </c>
      <c r="F108" s="60">
        <f t="shared" si="66"/>
        <v>601.29999999999995</v>
      </c>
      <c r="G108" s="60">
        <f t="shared" si="66"/>
        <v>662.30000000000007</v>
      </c>
      <c r="H108" s="60">
        <f t="shared" si="66"/>
        <v>668.04</v>
      </c>
      <c r="I108" s="60">
        <f t="shared" si="66"/>
        <v>649.29999999999995</v>
      </c>
      <c r="J108" s="60">
        <f t="shared" si="66"/>
        <v>694.80000000000007</v>
      </c>
      <c r="K108" s="60">
        <f t="shared" si="66"/>
        <v>488.9</v>
      </c>
      <c r="L108" s="60">
        <f t="shared" si="66"/>
        <v>111.19999999999999</v>
      </c>
      <c r="M108" s="60">
        <f t="shared" si="66"/>
        <v>100.6</v>
      </c>
      <c r="N108" s="60">
        <f t="shared" si="66"/>
        <v>397</v>
      </c>
      <c r="O108" s="60">
        <f t="shared" si="66"/>
        <v>456.2</v>
      </c>
      <c r="P108" s="60">
        <f t="shared" si="66"/>
        <v>570</v>
      </c>
      <c r="Q108" s="60">
        <f t="shared" si="66"/>
        <v>563.6</v>
      </c>
      <c r="R108" s="60">
        <f t="shared" si="66"/>
        <v>592.30000000000007</v>
      </c>
      <c r="S108" s="60">
        <f t="shared" si="66"/>
        <v>641.29999999999995</v>
      </c>
      <c r="T108" s="60">
        <f t="shared" si="66"/>
        <v>640.5</v>
      </c>
      <c r="U108" s="60">
        <f t="shared" si="66"/>
        <v>571.5</v>
      </c>
      <c r="V108" s="60">
        <f t="shared" si="66"/>
        <v>647.70000000000005</v>
      </c>
      <c r="W108" s="60">
        <f t="shared" ref="W108:X108" si="67">W92-W107</f>
        <v>654.1</v>
      </c>
      <c r="X108" s="60">
        <f t="shared" si="67"/>
        <v>663</v>
      </c>
      <c r="Y108" s="60">
        <f>Y92-Y107</f>
        <v>702.19999999999993</v>
      </c>
      <c r="Z108" s="60">
        <f>Z92-Z107</f>
        <v>257.8</v>
      </c>
      <c r="AA108" s="60">
        <f t="shared" si="66"/>
        <v>242.90000000000003</v>
      </c>
      <c r="AB108" s="60">
        <f t="shared" si="66"/>
        <v>207.8</v>
      </c>
      <c r="AC108" s="60">
        <f t="shared" si="66"/>
        <v>572.69999999999993</v>
      </c>
      <c r="AD108" s="60">
        <f t="shared" si="66"/>
        <v>596.9</v>
      </c>
      <c r="AE108" s="60">
        <f t="shared" si="66"/>
        <v>610.29999999999995</v>
      </c>
      <c r="AF108" s="60">
        <f t="shared" si="66"/>
        <v>617.6</v>
      </c>
      <c r="AG108" s="88"/>
      <c r="AH108" s="47">
        <f t="shared" si="42"/>
        <v>702.19999999999993</v>
      </c>
      <c r="AI108" s="48">
        <f t="shared" si="43"/>
        <v>100.6</v>
      </c>
    </row>
    <row r="109" spans="1:64" x14ac:dyDescent="0.25">
      <c r="A109" s="100" t="s">
        <v>108</v>
      </c>
      <c r="B109" s="101">
        <v>49.962000000000003</v>
      </c>
      <c r="C109" s="101">
        <v>49.974600000000002</v>
      </c>
      <c r="D109" s="101">
        <v>49.975999999999999</v>
      </c>
      <c r="E109" s="101">
        <v>50.051000000000002</v>
      </c>
      <c r="F109" s="101">
        <v>49.978000000000002</v>
      </c>
      <c r="G109" s="101">
        <v>49.991</v>
      </c>
      <c r="H109" s="101">
        <v>49.975999999999999</v>
      </c>
      <c r="I109" s="101">
        <v>50.015999999999998</v>
      </c>
      <c r="J109" s="101">
        <v>50.1</v>
      </c>
      <c r="K109" s="101">
        <v>50</v>
      </c>
      <c r="L109" s="101">
        <v>50.085999999999999</v>
      </c>
      <c r="M109" s="101">
        <v>50.064999999999998</v>
      </c>
      <c r="N109" s="101">
        <v>49.945999999999998</v>
      </c>
      <c r="O109" s="101">
        <v>50.067</v>
      </c>
      <c r="P109" s="101">
        <v>50.017000000000003</v>
      </c>
      <c r="Q109" s="101">
        <v>50.101999999999997</v>
      </c>
      <c r="R109" s="101">
        <v>49.98</v>
      </c>
      <c r="S109" s="101">
        <v>50.001199999999997</v>
      </c>
      <c r="T109" s="101">
        <v>49.917000000000002</v>
      </c>
      <c r="U109" s="101">
        <v>49.646000000000001</v>
      </c>
      <c r="V109" s="101">
        <v>50.03</v>
      </c>
      <c r="W109" s="101">
        <v>50.03</v>
      </c>
      <c r="X109" s="101">
        <v>49.97</v>
      </c>
      <c r="Y109" s="101">
        <v>50.048999999999999</v>
      </c>
      <c r="Z109" s="101">
        <v>49.811999999999998</v>
      </c>
      <c r="AA109" s="101">
        <v>49.722000000000001</v>
      </c>
      <c r="AB109" s="101">
        <v>50.040999999999997</v>
      </c>
      <c r="AC109" s="101">
        <v>50.009</v>
      </c>
      <c r="AD109" s="101">
        <v>50.095999999999997</v>
      </c>
      <c r="AE109" s="101">
        <v>50.048999999999999</v>
      </c>
      <c r="AF109" s="101">
        <v>49.953000000000003</v>
      </c>
      <c r="AG109" s="102"/>
      <c r="AH109" s="47">
        <f t="shared" si="42"/>
        <v>50.101999999999997</v>
      </c>
      <c r="AI109" s="48">
        <f t="shared" si="43"/>
        <v>49.646000000000001</v>
      </c>
    </row>
    <row r="110" spans="1:64" x14ac:dyDescent="0.25">
      <c r="A110" s="103" t="s">
        <v>109</v>
      </c>
      <c r="B110" s="65">
        <v>129.1</v>
      </c>
      <c r="C110" s="65">
        <v>128.4</v>
      </c>
      <c r="D110" s="65">
        <v>129.5</v>
      </c>
      <c r="E110" s="65">
        <v>129.5</v>
      </c>
      <c r="F110" s="65">
        <v>129.5</v>
      </c>
      <c r="G110" s="65">
        <v>129.5</v>
      </c>
      <c r="H110" s="65">
        <v>125.6</v>
      </c>
      <c r="I110" s="65">
        <v>129.69999999999999</v>
      </c>
      <c r="J110" s="65">
        <v>129.69999999999999</v>
      </c>
      <c r="K110" s="65">
        <v>130</v>
      </c>
      <c r="L110" s="65">
        <v>128.5</v>
      </c>
      <c r="M110" s="65">
        <v>127</v>
      </c>
      <c r="N110" s="65">
        <v>127.6</v>
      </c>
      <c r="O110" s="65">
        <v>127.5</v>
      </c>
      <c r="P110" s="65">
        <v>125.2</v>
      </c>
      <c r="Q110" s="65">
        <v>124.6</v>
      </c>
      <c r="R110" s="65">
        <v>124.6</v>
      </c>
      <c r="S110" s="65">
        <v>124.7</v>
      </c>
      <c r="T110" s="65">
        <v>126.6</v>
      </c>
      <c r="U110" s="65">
        <v>126.6</v>
      </c>
      <c r="V110" s="65">
        <v>126.6</v>
      </c>
      <c r="W110" s="65">
        <v>126.6</v>
      </c>
      <c r="X110" s="65">
        <v>128</v>
      </c>
      <c r="Y110" s="65">
        <v>127.5</v>
      </c>
      <c r="Z110" s="65">
        <v>127.7</v>
      </c>
      <c r="AA110" s="65">
        <v>127</v>
      </c>
      <c r="AB110" s="65">
        <v>131.6</v>
      </c>
      <c r="AC110" s="65">
        <v>130.69999999999999</v>
      </c>
      <c r="AD110" s="65">
        <v>130.9</v>
      </c>
      <c r="AE110" s="65">
        <v>130.9</v>
      </c>
      <c r="AF110" s="65">
        <v>130.6</v>
      </c>
      <c r="AG110" s="104"/>
      <c r="AH110" s="47">
        <f t="shared" si="42"/>
        <v>131.6</v>
      </c>
      <c r="AI110" s="48">
        <f t="shared" si="43"/>
        <v>124.6</v>
      </c>
    </row>
    <row r="111" spans="1:64" x14ac:dyDescent="0.25">
      <c r="A111" s="103" t="s">
        <v>110</v>
      </c>
      <c r="B111" s="65">
        <v>134</v>
      </c>
      <c r="C111" s="65">
        <v>133.4</v>
      </c>
      <c r="D111" s="65">
        <v>134.19999999999999</v>
      </c>
      <c r="E111" s="65">
        <v>134.19999999999999</v>
      </c>
      <c r="F111" s="65">
        <v>134.19999999999999</v>
      </c>
      <c r="G111" s="65">
        <v>134.19999999999999</v>
      </c>
      <c r="H111" s="65">
        <v>130</v>
      </c>
      <c r="I111" s="65">
        <v>132</v>
      </c>
      <c r="J111" s="65">
        <v>132</v>
      </c>
      <c r="K111" s="65">
        <v>131.9</v>
      </c>
      <c r="L111" s="65">
        <v>130.19999999999999</v>
      </c>
      <c r="M111" s="65">
        <v>128.69999999999999</v>
      </c>
      <c r="N111" s="65">
        <v>129.30000000000001</v>
      </c>
      <c r="O111" s="65">
        <v>129.4</v>
      </c>
      <c r="P111" s="65">
        <v>128.1</v>
      </c>
      <c r="Q111" s="65">
        <v>127.9</v>
      </c>
      <c r="R111" s="65">
        <v>128</v>
      </c>
      <c r="S111" s="65">
        <v>128.19999999999999</v>
      </c>
      <c r="T111" s="65">
        <v>130</v>
      </c>
      <c r="U111" s="65">
        <v>130</v>
      </c>
      <c r="V111" s="65">
        <v>130</v>
      </c>
      <c r="W111" s="65">
        <v>130</v>
      </c>
      <c r="X111" s="65">
        <v>130</v>
      </c>
      <c r="Y111" s="65">
        <v>129.5</v>
      </c>
      <c r="Z111" s="65">
        <v>129</v>
      </c>
      <c r="AA111" s="65">
        <v>129.19999999999999</v>
      </c>
      <c r="AB111" s="65">
        <v>133.30000000000001</v>
      </c>
      <c r="AC111" s="65">
        <v>132.80000000000001</v>
      </c>
      <c r="AD111" s="65">
        <v>133.30000000000001</v>
      </c>
      <c r="AE111" s="65">
        <v>134.80000000000001</v>
      </c>
      <c r="AF111" s="65">
        <v>134.80000000000001</v>
      </c>
      <c r="AG111" s="104"/>
      <c r="AH111" s="47">
        <f t="shared" si="42"/>
        <v>134.80000000000001</v>
      </c>
      <c r="AI111" s="48">
        <f t="shared" si="43"/>
        <v>127.9</v>
      </c>
    </row>
    <row r="112" spans="1:64" x14ac:dyDescent="0.25">
      <c r="A112" s="103" t="s">
        <v>111</v>
      </c>
      <c r="B112" s="65">
        <v>127.3</v>
      </c>
      <c r="C112" s="65">
        <v>128.30000000000001</v>
      </c>
      <c r="D112" s="65">
        <v>126.6</v>
      </c>
      <c r="E112" s="65">
        <v>126.6</v>
      </c>
      <c r="F112" s="65">
        <v>126.6</v>
      </c>
      <c r="G112" s="65">
        <v>126.6</v>
      </c>
      <c r="H112" s="65">
        <v>128.5</v>
      </c>
      <c r="I112" s="65">
        <v>126</v>
      </c>
      <c r="J112" s="65">
        <v>126</v>
      </c>
      <c r="K112" s="65">
        <v>130.6</v>
      </c>
      <c r="L112" s="65">
        <v>130</v>
      </c>
      <c r="M112" s="65">
        <v>129.9</v>
      </c>
      <c r="N112" s="65">
        <v>130.19999999999999</v>
      </c>
      <c r="O112" s="65">
        <v>132.30000000000001</v>
      </c>
      <c r="P112" s="65">
        <v>133.80000000000001</v>
      </c>
      <c r="Q112" s="65">
        <v>133.30000000000001</v>
      </c>
      <c r="R112" s="65">
        <v>131.6</v>
      </c>
      <c r="S112" s="65">
        <v>128.19999999999999</v>
      </c>
      <c r="T112" s="65">
        <v>128.80000000000001</v>
      </c>
      <c r="U112" s="65">
        <v>128.80000000000001</v>
      </c>
      <c r="V112" s="65">
        <v>128.80000000000001</v>
      </c>
      <c r="W112" s="65">
        <v>128.80000000000001</v>
      </c>
      <c r="X112" s="65">
        <v>128</v>
      </c>
      <c r="Y112" s="65">
        <v>127.2</v>
      </c>
      <c r="Z112" s="65">
        <v>130.6</v>
      </c>
      <c r="AA112" s="65">
        <v>130.19999999999999</v>
      </c>
      <c r="AB112" s="65">
        <v>129.4</v>
      </c>
      <c r="AC112" s="65">
        <v>128.30000000000001</v>
      </c>
      <c r="AD112" s="65">
        <v>132.1</v>
      </c>
      <c r="AE112" s="65">
        <v>132.9</v>
      </c>
      <c r="AF112" s="65">
        <v>131.69999999999999</v>
      </c>
      <c r="AG112" s="104"/>
      <c r="AH112" s="47">
        <f t="shared" si="42"/>
        <v>133.80000000000001</v>
      </c>
      <c r="AI112" s="48">
        <f t="shared" si="43"/>
        <v>126</v>
      </c>
    </row>
    <row r="113" spans="1:35" x14ac:dyDescent="0.25">
      <c r="A113" s="105" t="s">
        <v>112</v>
      </c>
      <c r="B113" s="65">
        <v>130.30000000000001</v>
      </c>
      <c r="C113" s="65">
        <v>130.19999999999999</v>
      </c>
      <c r="D113" s="65">
        <v>129.30000000000001</v>
      </c>
      <c r="E113" s="65">
        <v>129.30000000000001</v>
      </c>
      <c r="F113" s="65">
        <v>129.30000000000001</v>
      </c>
      <c r="G113" s="65">
        <v>129.30000000000001</v>
      </c>
      <c r="H113" s="65">
        <v>128.80000000000001</v>
      </c>
      <c r="I113" s="65">
        <v>126.6</v>
      </c>
      <c r="J113" s="65">
        <v>126.6</v>
      </c>
      <c r="K113" s="65">
        <v>129</v>
      </c>
      <c r="L113" s="65">
        <v>127.8</v>
      </c>
      <c r="M113" s="65">
        <v>128.4</v>
      </c>
      <c r="N113" s="65">
        <v>128.4</v>
      </c>
      <c r="O113" s="65">
        <v>130.5</v>
      </c>
      <c r="P113" s="65">
        <v>131.80000000000001</v>
      </c>
      <c r="Q113" s="65">
        <v>132.30000000000001</v>
      </c>
      <c r="R113" s="65">
        <v>131.5</v>
      </c>
      <c r="S113" s="65">
        <v>129.30000000000001</v>
      </c>
      <c r="T113" s="65">
        <v>129.6</v>
      </c>
      <c r="U113" s="65">
        <v>129.6</v>
      </c>
      <c r="V113" s="65">
        <v>129.6</v>
      </c>
      <c r="W113" s="65">
        <v>129.6</v>
      </c>
      <c r="X113" s="65">
        <v>126</v>
      </c>
      <c r="Y113" s="65">
        <v>124.5</v>
      </c>
      <c r="Z113" s="65">
        <v>129.19999999999999</v>
      </c>
      <c r="AA113" s="65">
        <v>129.9</v>
      </c>
      <c r="AB113" s="65">
        <v>130.4</v>
      </c>
      <c r="AC113" s="65">
        <v>129.69999999999999</v>
      </c>
      <c r="AD113" s="65">
        <v>133.19999999999999</v>
      </c>
      <c r="AE113" s="65">
        <v>134.19999999999999</v>
      </c>
      <c r="AF113" s="65">
        <v>132.19999999999999</v>
      </c>
      <c r="AG113" s="104"/>
      <c r="AH113" s="47">
        <f t="shared" si="42"/>
        <v>134.19999999999999</v>
      </c>
      <c r="AI113" s="48">
        <f t="shared" si="43"/>
        <v>124.5</v>
      </c>
    </row>
    <row r="114" spans="1:35" x14ac:dyDescent="0.25">
      <c r="A114" s="105" t="s">
        <v>113</v>
      </c>
      <c r="B114" s="106">
        <v>132.6</v>
      </c>
      <c r="C114" s="106">
        <v>132</v>
      </c>
      <c r="D114" s="106">
        <v>133.1</v>
      </c>
      <c r="E114" s="106">
        <v>133.1</v>
      </c>
      <c r="F114" s="106">
        <v>133.1</v>
      </c>
      <c r="G114" s="106">
        <v>133.1</v>
      </c>
      <c r="H114" s="106">
        <v>128.69999999999999</v>
      </c>
      <c r="I114" s="106">
        <v>133</v>
      </c>
      <c r="J114" s="106">
        <v>133</v>
      </c>
      <c r="K114" s="106">
        <v>136</v>
      </c>
      <c r="L114" s="106">
        <v>133.6</v>
      </c>
      <c r="M114" s="106">
        <v>132.19999999999999</v>
      </c>
      <c r="N114" s="106">
        <v>132.6</v>
      </c>
      <c r="O114" s="106">
        <v>134</v>
      </c>
      <c r="P114" s="106">
        <v>129.80000000000001</v>
      </c>
      <c r="Q114" s="106">
        <v>129.5</v>
      </c>
      <c r="R114" s="106">
        <v>129.69999999999999</v>
      </c>
      <c r="S114" s="106">
        <v>129.4</v>
      </c>
      <c r="T114" s="106">
        <v>134.1</v>
      </c>
      <c r="U114" s="106">
        <v>134.1</v>
      </c>
      <c r="V114" s="106">
        <v>134.1</v>
      </c>
      <c r="W114" s="106">
        <v>134.1</v>
      </c>
      <c r="X114" s="106">
        <v>134.69999999999999</v>
      </c>
      <c r="Y114" s="106">
        <v>133.30000000000001</v>
      </c>
      <c r="Z114" s="106">
        <v>130.19999999999999</v>
      </c>
      <c r="AA114" s="106">
        <v>133.6</v>
      </c>
      <c r="AB114" s="106">
        <v>136.1</v>
      </c>
      <c r="AC114" s="106">
        <v>136.80000000000001</v>
      </c>
      <c r="AD114" s="106">
        <v>136.19999999999999</v>
      </c>
      <c r="AE114" s="106">
        <v>136.6</v>
      </c>
      <c r="AF114" s="106">
        <v>136</v>
      </c>
      <c r="AG114" s="107"/>
      <c r="AH114" s="47">
        <f t="shared" si="42"/>
        <v>136.80000000000001</v>
      </c>
      <c r="AI114" s="48">
        <f t="shared" si="43"/>
        <v>128.69999999999999</v>
      </c>
    </row>
    <row r="115" spans="1:35" x14ac:dyDescent="0.25">
      <c r="A115" s="103" t="s">
        <v>114</v>
      </c>
      <c r="B115" s="65">
        <v>134.1</v>
      </c>
      <c r="C115" s="65">
        <v>131.69999999999999</v>
      </c>
      <c r="D115" s="65">
        <v>130</v>
      </c>
      <c r="E115" s="65">
        <v>130</v>
      </c>
      <c r="F115" s="65">
        <v>130</v>
      </c>
      <c r="G115" s="65">
        <v>130</v>
      </c>
      <c r="H115" s="65">
        <v>136</v>
      </c>
      <c r="I115" s="65">
        <v>135</v>
      </c>
      <c r="J115" s="65">
        <v>135</v>
      </c>
      <c r="K115" s="65">
        <v>129</v>
      </c>
      <c r="L115" s="65">
        <v>128.5</v>
      </c>
      <c r="M115" s="65">
        <v>128.5</v>
      </c>
      <c r="N115" s="65">
        <v>130.19999999999999</v>
      </c>
      <c r="O115" s="65">
        <v>134.9</v>
      </c>
      <c r="P115" s="65">
        <v>132.6</v>
      </c>
      <c r="Q115" s="65">
        <v>135</v>
      </c>
      <c r="R115" s="65">
        <v>132.5</v>
      </c>
      <c r="S115" s="65">
        <v>134.6</v>
      </c>
      <c r="T115" s="65">
        <v>134.6</v>
      </c>
      <c r="U115" s="65">
        <v>134.6</v>
      </c>
      <c r="V115" s="65">
        <v>134.6</v>
      </c>
      <c r="W115" s="65">
        <v>134.6</v>
      </c>
      <c r="X115" s="65">
        <v>136</v>
      </c>
      <c r="Y115" s="65">
        <v>134.19999999999999</v>
      </c>
      <c r="Z115" s="65">
        <v>123.7</v>
      </c>
      <c r="AA115" s="65">
        <v>131.6</v>
      </c>
      <c r="AB115" s="65">
        <v>134.1</v>
      </c>
      <c r="AC115" s="65">
        <v>130.4</v>
      </c>
      <c r="AD115" s="65">
        <v>135.69999999999999</v>
      </c>
      <c r="AE115" s="65">
        <v>135</v>
      </c>
      <c r="AF115" s="65">
        <v>132.19999999999999</v>
      </c>
      <c r="AG115" s="104"/>
      <c r="AH115" s="47">
        <f t="shared" si="42"/>
        <v>136</v>
      </c>
      <c r="AI115" s="48">
        <f t="shared" si="43"/>
        <v>123.7</v>
      </c>
    </row>
    <row r="116" spans="1:35" ht="15.75" thickBot="1" x14ac:dyDescent="0.3">
      <c r="A116" s="103" t="s">
        <v>115</v>
      </c>
      <c r="B116" s="92">
        <v>67.5</v>
      </c>
      <c r="C116" s="92">
        <v>67.3</v>
      </c>
      <c r="D116" s="92">
        <v>67.7</v>
      </c>
      <c r="E116" s="92">
        <v>67.7</v>
      </c>
      <c r="F116" s="92">
        <v>66</v>
      </c>
      <c r="G116" s="92">
        <v>66</v>
      </c>
      <c r="H116" s="92">
        <v>65.400000000000006</v>
      </c>
      <c r="I116" s="92">
        <v>66.8</v>
      </c>
      <c r="J116" s="92">
        <v>65.7</v>
      </c>
      <c r="K116" s="92">
        <v>66</v>
      </c>
      <c r="L116" s="92">
        <v>65.099999999999994</v>
      </c>
      <c r="M116" s="92">
        <v>64.099999999999994</v>
      </c>
      <c r="N116" s="92">
        <v>64.5</v>
      </c>
      <c r="O116" s="92">
        <v>64.599999999999994</v>
      </c>
      <c r="P116" s="92">
        <v>64.099999999999994</v>
      </c>
      <c r="Q116" s="92">
        <v>63.9</v>
      </c>
      <c r="R116" s="92">
        <v>64.2</v>
      </c>
      <c r="S116" s="92">
        <v>64.2</v>
      </c>
      <c r="T116" s="92">
        <v>65.2</v>
      </c>
      <c r="U116" s="92">
        <v>65.2</v>
      </c>
      <c r="V116" s="92">
        <v>66</v>
      </c>
      <c r="W116" s="92">
        <v>66</v>
      </c>
      <c r="X116" s="92">
        <v>65.2</v>
      </c>
      <c r="Y116" s="92">
        <v>65</v>
      </c>
      <c r="Z116" s="92">
        <v>64.7</v>
      </c>
      <c r="AA116" s="92">
        <v>64.8</v>
      </c>
      <c r="AB116" s="92">
        <v>66.5</v>
      </c>
      <c r="AC116" s="92">
        <v>66.3</v>
      </c>
      <c r="AD116" s="92">
        <v>66.8</v>
      </c>
      <c r="AE116" s="92">
        <v>67.7</v>
      </c>
      <c r="AF116" s="92">
        <v>67.599999999999994</v>
      </c>
      <c r="AG116" s="108"/>
      <c r="AH116" s="47">
        <f t="shared" si="42"/>
        <v>67.7</v>
      </c>
      <c r="AI116" s="48">
        <f t="shared" si="43"/>
        <v>63.9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2"/>
        <v>0</v>
      </c>
      <c r="AI117" s="48">
        <f t="shared" si="43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122.63999999999999</v>
      </c>
      <c r="C118" s="111">
        <f>SUM(C22,C28,C31:C32,C66,C68:C69,C71,C73,C119:C123,C155,C161,C167,C176,C178,C190,C197,C200:C201,C208,C210,C212,C216:C218,C220:C222,C227,C233:C234,C236:C238,C246,C251)</f>
        <v>115.24</v>
      </c>
      <c r="D118" s="111">
        <f t="shared" ref="D118:O118" si="68">SUM(D22,D28,D31:D32,D66,D68:D69,D71,D73,D119:D123,D155,D161,D167,D176,D178,D190,D197,D200:D201,D208,D210,D212,D216:D218,D220:D222,D227,D233:D234,D236:D238,D246,D251)</f>
        <v>131.74</v>
      </c>
      <c r="E118" s="111">
        <f t="shared" si="68"/>
        <v>112.33999999999999</v>
      </c>
      <c r="F118" s="111">
        <f t="shared" si="68"/>
        <v>104.84</v>
      </c>
      <c r="G118" s="111">
        <f t="shared" si="68"/>
        <v>140.74</v>
      </c>
      <c r="H118" s="111">
        <f t="shared" si="68"/>
        <v>166.44</v>
      </c>
      <c r="I118" s="111">
        <f t="shared" si="68"/>
        <v>205.14</v>
      </c>
      <c r="J118" s="111">
        <f t="shared" si="68"/>
        <v>250.94</v>
      </c>
      <c r="K118" s="111">
        <f t="shared" si="68"/>
        <v>273.04000000000002</v>
      </c>
      <c r="L118" s="111">
        <f t="shared" si="68"/>
        <v>280.53999999999996</v>
      </c>
      <c r="M118" s="111">
        <f t="shared" si="68"/>
        <v>305.52000000000004</v>
      </c>
      <c r="N118" s="111">
        <f t="shared" si="68"/>
        <v>314.63600000000002</v>
      </c>
      <c r="O118" s="111">
        <f t="shared" si="68"/>
        <v>301.95999999999998</v>
      </c>
      <c r="P118" s="111">
        <v>42</v>
      </c>
      <c r="Q118" s="111">
        <f t="shared" ref="Q118:AF118" si="69">SUM(Q22,Q28,Q31:Q32,Q66,Q68:Q69,Q71,Q73,Q119:Q123,Q155,Q161,Q167,Q176,Q178,Q190,Q197,Q200:Q201,Q208,Q210,Q212,Q216:Q218,Q220:Q222,Q227,Q233:Q234,Q236:Q238,Q246,Q251)</f>
        <v>116.74</v>
      </c>
      <c r="R118" s="111">
        <f t="shared" si="69"/>
        <v>244.24</v>
      </c>
      <c r="S118" s="111">
        <f t="shared" si="69"/>
        <v>231.87199999999996</v>
      </c>
      <c r="T118" s="111">
        <f t="shared" si="69"/>
        <v>231.59199999999998</v>
      </c>
      <c r="U118" s="111">
        <f t="shared" si="69"/>
        <v>232.14000000000001</v>
      </c>
      <c r="V118" s="111">
        <f t="shared" si="69"/>
        <v>254.94</v>
      </c>
      <c r="W118" s="111">
        <f t="shared" ref="W118:X118" si="70">SUM(W22,W28,W31:W32,W66,W68:W69,W71,W73,W119:W123,W155,W161,W167,W176,W178,W190,W197,W200:W201,W208,W210,W212,W216:W218,W220:W222,W227,W233:W234,W236:W238,W246,W251)</f>
        <v>253.54</v>
      </c>
      <c r="X118" s="111">
        <f t="shared" si="70"/>
        <v>281.04000000000002</v>
      </c>
      <c r="Y118" s="111">
        <f t="shared" ref="Y118:Z118" si="71">SUM(Y20,Y26,Y37:Y38,Y66,Y68:Y69,Y71,Y73,Y119:Y123,Y148,Y154,Y160,Y169,Y171,Y183,Y190,Y193:Y194,Y201,Y203,Y205,Y209:Y211,Y213:Y215,Y220,Y226:Y227,Y229:Y231,Y239,Y244)</f>
        <v>359.27800000000002</v>
      </c>
      <c r="Z118" s="111">
        <f t="shared" si="71"/>
        <v>350.59699999999998</v>
      </c>
      <c r="AA118" s="111">
        <f t="shared" si="69"/>
        <v>312.46899999999999</v>
      </c>
      <c r="AB118" s="111">
        <f t="shared" si="69"/>
        <v>309.79999999999995</v>
      </c>
      <c r="AC118" s="111">
        <f t="shared" si="69"/>
        <v>287.77199999999999</v>
      </c>
      <c r="AD118" s="111">
        <f t="shared" si="69"/>
        <v>260.71999999999997</v>
      </c>
      <c r="AE118" s="111">
        <f t="shared" si="69"/>
        <v>197.04</v>
      </c>
      <c r="AF118" s="111">
        <f t="shared" si="69"/>
        <v>162.78</v>
      </c>
      <c r="AG118" s="112"/>
      <c r="AH118" s="47">
        <f t="shared" si="42"/>
        <v>359.27800000000002</v>
      </c>
      <c r="AI118" s="48">
        <f t="shared" si="43"/>
        <v>42</v>
      </c>
    </row>
    <row r="119" spans="1:35" x14ac:dyDescent="0.25">
      <c r="A119" s="172" t="s">
        <v>118</v>
      </c>
      <c r="B119" s="113">
        <v>-13</v>
      </c>
      <c r="C119" s="113">
        <v>-33</v>
      </c>
      <c r="D119" s="113">
        <v>0</v>
      </c>
      <c r="E119" s="113">
        <v>-22.9</v>
      </c>
      <c r="F119" s="113">
        <v>-28.9</v>
      </c>
      <c r="G119" s="113">
        <v>-25.9</v>
      </c>
      <c r="H119" s="113">
        <v>-20.8</v>
      </c>
      <c r="I119" s="113">
        <v>-0.6</v>
      </c>
      <c r="J119" s="113">
        <v>11.2</v>
      </c>
      <c r="K119" s="113">
        <v>33.9</v>
      </c>
      <c r="L119" s="113">
        <v>29.8</v>
      </c>
      <c r="M119" s="113">
        <v>29.1</v>
      </c>
      <c r="N119" s="113">
        <v>33.6</v>
      </c>
      <c r="O119" s="113">
        <v>14.3</v>
      </c>
      <c r="P119" s="113">
        <v>7.1</v>
      </c>
      <c r="Q119" s="113">
        <v>3</v>
      </c>
      <c r="R119" s="113">
        <v>-0.1</v>
      </c>
      <c r="S119" s="113">
        <v>-1.7</v>
      </c>
      <c r="T119" s="113">
        <v>2.4</v>
      </c>
      <c r="U119" s="113">
        <v>-1.3</v>
      </c>
      <c r="V119" s="113">
        <v>17.7</v>
      </c>
      <c r="W119" s="113">
        <v>17.7</v>
      </c>
      <c r="X119" s="113">
        <v>21</v>
      </c>
      <c r="Y119" s="113">
        <v>39.200000000000003</v>
      </c>
      <c r="Z119" s="113">
        <v>34.1</v>
      </c>
      <c r="AA119" s="113">
        <v>35.4</v>
      </c>
      <c r="AB119" s="113">
        <v>34.1</v>
      </c>
      <c r="AC119" s="113">
        <v>39.4</v>
      </c>
      <c r="AD119" s="113">
        <v>41.9</v>
      </c>
      <c r="AE119" s="113">
        <v>9.1</v>
      </c>
      <c r="AF119" s="113">
        <v>-1.3</v>
      </c>
      <c r="AG119" s="114">
        <v>75</v>
      </c>
      <c r="AH119" s="47">
        <f t="shared" si="42"/>
        <v>41.9</v>
      </c>
      <c r="AI119" s="48">
        <f t="shared" si="43"/>
        <v>-33</v>
      </c>
    </row>
    <row r="120" spans="1:35" x14ac:dyDescent="0.25">
      <c r="A120" s="173" t="s">
        <v>119</v>
      </c>
      <c r="B120" s="115">
        <v>-24</v>
      </c>
      <c r="C120" s="115">
        <v>-20</v>
      </c>
      <c r="D120" s="115">
        <v>-34</v>
      </c>
      <c r="E120" s="115">
        <v>-35.200000000000003</v>
      </c>
      <c r="F120" s="115">
        <v>-45.8</v>
      </c>
      <c r="G120" s="115">
        <v>-40.4</v>
      </c>
      <c r="H120" s="115">
        <v>-32</v>
      </c>
      <c r="I120" s="115">
        <v>-6.6</v>
      </c>
      <c r="J120" s="115">
        <v>8.9</v>
      </c>
      <c r="K120" s="115">
        <v>47.7</v>
      </c>
      <c r="L120" s="115">
        <v>40.799999999999997</v>
      </c>
      <c r="M120" s="115">
        <v>40.200000000000003</v>
      </c>
      <c r="N120" s="115">
        <v>46.3</v>
      </c>
      <c r="O120" s="115">
        <v>18.8</v>
      </c>
      <c r="P120" s="115">
        <v>3.9</v>
      </c>
      <c r="Q120" s="115">
        <v>-3.1</v>
      </c>
      <c r="R120" s="115">
        <v>-7.5</v>
      </c>
      <c r="S120" s="115">
        <v>-9.4</v>
      </c>
      <c r="T120" s="115">
        <v>-3.7</v>
      </c>
      <c r="U120" s="115">
        <v>-6.1</v>
      </c>
      <c r="V120" s="115">
        <v>17.3</v>
      </c>
      <c r="W120" s="115">
        <v>17.3</v>
      </c>
      <c r="X120" s="115">
        <v>18</v>
      </c>
      <c r="Y120" s="115">
        <v>50.8</v>
      </c>
      <c r="Z120" s="115">
        <v>41.9</v>
      </c>
      <c r="AA120" s="115">
        <v>44</v>
      </c>
      <c r="AB120" s="115">
        <v>41</v>
      </c>
      <c r="AC120" s="115">
        <v>46.6</v>
      </c>
      <c r="AD120" s="115">
        <v>50.6</v>
      </c>
      <c r="AE120" s="115">
        <v>6.9</v>
      </c>
      <c r="AF120" s="115">
        <v>-7.6</v>
      </c>
      <c r="AG120" s="114">
        <v>240</v>
      </c>
      <c r="AH120" s="47">
        <f t="shared" si="42"/>
        <v>50.8</v>
      </c>
      <c r="AI120" s="48">
        <f t="shared" si="43"/>
        <v>-45.8</v>
      </c>
    </row>
    <row r="121" spans="1:35" x14ac:dyDescent="0.25">
      <c r="A121" s="173" t="s">
        <v>120</v>
      </c>
      <c r="B121" s="115">
        <v>-4</v>
      </c>
      <c r="C121" s="115">
        <v>-5</v>
      </c>
      <c r="D121" s="115">
        <v>-5</v>
      </c>
      <c r="E121" s="115">
        <v>-4.2</v>
      </c>
      <c r="F121" s="115">
        <v>-0.6</v>
      </c>
      <c r="G121" s="115">
        <v>3.5</v>
      </c>
      <c r="H121" s="115">
        <v>5.5</v>
      </c>
      <c r="I121" s="115">
        <v>3</v>
      </c>
      <c r="J121" s="115">
        <v>14</v>
      </c>
      <c r="K121" s="115">
        <v>5</v>
      </c>
      <c r="L121" s="115">
        <v>12</v>
      </c>
      <c r="M121" s="115">
        <f>9.8+9.7</f>
        <v>19.5</v>
      </c>
      <c r="N121" s="115">
        <f>13.3+14.5</f>
        <v>27.8</v>
      </c>
      <c r="O121" s="115">
        <f>16+18</f>
        <v>34</v>
      </c>
      <c r="P121" s="115">
        <f>12.4+13.3</f>
        <v>25.700000000000003</v>
      </c>
      <c r="Q121" s="115">
        <v>20</v>
      </c>
      <c r="R121" s="115">
        <v>19</v>
      </c>
      <c r="S121" s="115">
        <v>15</v>
      </c>
      <c r="T121" s="115">
        <v>13.3</v>
      </c>
      <c r="U121" s="115">
        <v>14.7</v>
      </c>
      <c r="V121" s="115">
        <v>19.600000000000001</v>
      </c>
      <c r="W121" s="115">
        <v>19.600000000000001</v>
      </c>
      <c r="X121" s="115">
        <v>34</v>
      </c>
      <c r="Y121" s="115">
        <v>35</v>
      </c>
      <c r="Z121" s="115">
        <v>14.6</v>
      </c>
      <c r="AA121" s="115">
        <v>-15</v>
      </c>
      <c r="AB121" s="115">
        <f>15.7+10.8</f>
        <v>26.5</v>
      </c>
      <c r="AC121" s="115">
        <f>13.3+10</f>
        <v>23.3</v>
      </c>
      <c r="AD121" s="115">
        <f>3.3+3.7</f>
        <v>7</v>
      </c>
      <c r="AE121" s="115">
        <f>1.4+2</f>
        <v>3.4</v>
      </c>
      <c r="AF121" s="115">
        <f>-1.4-1.7</f>
        <v>-3.0999999999999996</v>
      </c>
      <c r="AG121" s="114">
        <v>240</v>
      </c>
      <c r="AH121" s="47">
        <f t="shared" si="42"/>
        <v>35</v>
      </c>
      <c r="AI121" s="48">
        <f t="shared" si="43"/>
        <v>-15</v>
      </c>
    </row>
    <row r="122" spans="1:35" ht="15.75" thickBot="1" x14ac:dyDescent="0.3">
      <c r="A122" s="173" t="s">
        <v>121</v>
      </c>
      <c r="B122" s="115">
        <v>-1.6</v>
      </c>
      <c r="C122" s="115">
        <v>-2</v>
      </c>
      <c r="D122" s="115">
        <v>0.5</v>
      </c>
      <c r="E122" s="115">
        <v>-3.1</v>
      </c>
      <c r="F122" s="115">
        <v>-7.6</v>
      </c>
      <c r="G122" s="115">
        <v>-4.2</v>
      </c>
      <c r="H122" s="115">
        <v>-3.8</v>
      </c>
      <c r="I122" s="115">
        <v>1.6</v>
      </c>
      <c r="J122" s="115">
        <v>4.3</v>
      </c>
      <c r="K122" s="115">
        <v>13</v>
      </c>
      <c r="L122" s="115">
        <v>16.100000000000001</v>
      </c>
      <c r="M122" s="115">
        <v>17.600000000000001</v>
      </c>
      <c r="N122" s="115">
        <v>19.8</v>
      </c>
      <c r="O122" s="115">
        <v>16.7</v>
      </c>
      <c r="P122" s="115">
        <v>1.5</v>
      </c>
      <c r="Q122" s="115">
        <v>-0.9</v>
      </c>
      <c r="R122" s="115">
        <v>0.7</v>
      </c>
      <c r="S122" s="115">
        <v>-3</v>
      </c>
      <c r="T122" s="115">
        <v>0.5</v>
      </c>
      <c r="U122" s="115">
        <v>2</v>
      </c>
      <c r="V122" s="115">
        <v>2.4</v>
      </c>
      <c r="W122" s="115">
        <v>2.4</v>
      </c>
      <c r="X122" s="115">
        <v>7</v>
      </c>
      <c r="Y122" s="115">
        <v>22.1</v>
      </c>
      <c r="Z122" s="115">
        <v>38</v>
      </c>
      <c r="AA122" s="115">
        <v>36.6</v>
      </c>
      <c r="AB122" s="115">
        <v>35.6</v>
      </c>
      <c r="AC122" s="115">
        <v>9.1</v>
      </c>
      <c r="AD122" s="115">
        <v>10.4</v>
      </c>
      <c r="AE122" s="115">
        <v>5.5</v>
      </c>
      <c r="AF122" s="115">
        <v>-2.1</v>
      </c>
      <c r="AG122" s="114">
        <v>60</v>
      </c>
      <c r="AH122" s="47">
        <f t="shared" si="42"/>
        <v>38</v>
      </c>
      <c r="AI122" s="48">
        <f t="shared" si="43"/>
        <v>-7.6</v>
      </c>
    </row>
    <row r="123" spans="1:35" x14ac:dyDescent="0.25">
      <c r="A123" s="172" t="s">
        <v>259</v>
      </c>
      <c r="B123" s="117">
        <v>85</v>
      </c>
      <c r="C123" s="117">
        <v>95</v>
      </c>
      <c r="D123" s="117">
        <v>90</v>
      </c>
      <c r="E123" s="117">
        <v>95</v>
      </c>
      <c r="F123" s="117">
        <v>105</v>
      </c>
      <c r="G123" s="117">
        <v>125</v>
      </c>
      <c r="H123" s="117">
        <v>135</v>
      </c>
      <c r="I123" s="117">
        <v>125</v>
      </c>
      <c r="J123" s="117">
        <v>130</v>
      </c>
      <c r="K123" s="117">
        <v>90</v>
      </c>
      <c r="L123" s="117">
        <f>60*1.64</f>
        <v>98.399999999999991</v>
      </c>
      <c r="M123" s="117">
        <f>67*1.64</f>
        <v>109.88</v>
      </c>
      <c r="N123" s="117">
        <f>56*1.641</f>
        <v>91.896000000000001</v>
      </c>
      <c r="O123" s="117">
        <f>73*1.64</f>
        <v>119.72</v>
      </c>
      <c r="P123" s="117">
        <f>80*1.641</f>
        <v>131.28</v>
      </c>
      <c r="Q123" s="117"/>
      <c r="R123" s="117">
        <f>82*1.6</f>
        <v>131.20000000000002</v>
      </c>
      <c r="S123" s="117">
        <f>1.64*81.3</f>
        <v>133.33199999999999</v>
      </c>
      <c r="T123" s="117">
        <f>1.64*76.8</f>
        <v>125.95199999999998</v>
      </c>
      <c r="U123" s="117">
        <v>135</v>
      </c>
      <c r="V123" s="117">
        <v>115</v>
      </c>
      <c r="W123" s="117">
        <v>115</v>
      </c>
      <c r="X123" s="117">
        <v>120</v>
      </c>
      <c r="Y123" s="117">
        <f>73.4*1.67</f>
        <v>122.578</v>
      </c>
      <c r="Z123" s="117">
        <f>79.1*1.67</f>
        <v>132.09699999999998</v>
      </c>
      <c r="AA123" s="117">
        <f>78.7*1.67</f>
        <v>131.429</v>
      </c>
      <c r="AB123" s="117">
        <f>54*1.64</f>
        <v>88.559999999999988</v>
      </c>
      <c r="AC123" s="117">
        <f>52*1.641</f>
        <v>85.331999999999994</v>
      </c>
      <c r="AD123" s="117">
        <f>42*1.64</f>
        <v>68.88</v>
      </c>
      <c r="AE123" s="117">
        <f>55*1.64</f>
        <v>90.199999999999989</v>
      </c>
      <c r="AF123" s="117">
        <f>56*1.64</f>
        <v>91.839999999999989</v>
      </c>
      <c r="AG123" s="118">
        <v>120</v>
      </c>
      <c r="AH123" s="47">
        <f t="shared" si="42"/>
        <v>135</v>
      </c>
      <c r="AI123" s="48">
        <f t="shared" si="43"/>
        <v>68.88</v>
      </c>
    </row>
    <row r="124" spans="1:35" x14ac:dyDescent="0.25">
      <c r="A124" s="173" t="s">
        <v>258</v>
      </c>
      <c r="B124" s="117">
        <v>71</v>
      </c>
      <c r="C124" s="117">
        <v>74</v>
      </c>
      <c r="D124" s="117">
        <v>72</v>
      </c>
      <c r="E124" s="117">
        <v>74.2</v>
      </c>
      <c r="F124" s="117">
        <v>83.8</v>
      </c>
      <c r="G124" s="117">
        <v>86</v>
      </c>
      <c r="H124" s="117">
        <v>86.2</v>
      </c>
      <c r="I124" s="117">
        <v>76.2</v>
      </c>
      <c r="J124" s="117">
        <v>76.2</v>
      </c>
      <c r="K124" s="117">
        <v>60.9</v>
      </c>
      <c r="L124" s="117">
        <v>71</v>
      </c>
      <c r="M124" s="117">
        <v>74.2</v>
      </c>
      <c r="N124" s="117">
        <v>64.400000000000006</v>
      </c>
      <c r="O124" s="117">
        <v>78.7</v>
      </c>
      <c r="P124" s="117">
        <v>84.1</v>
      </c>
      <c r="Q124" s="117">
        <v>86.1</v>
      </c>
      <c r="R124" s="117">
        <v>86</v>
      </c>
      <c r="S124" s="117">
        <v>85.4</v>
      </c>
      <c r="T124" s="117">
        <v>94.2</v>
      </c>
      <c r="U124" s="117">
        <v>88.3</v>
      </c>
      <c r="V124" s="117">
        <v>72.400000000000006</v>
      </c>
      <c r="W124" s="117">
        <v>72.400000000000006</v>
      </c>
      <c r="X124" s="117">
        <v>87</v>
      </c>
      <c r="Y124" s="117">
        <v>81.3</v>
      </c>
      <c r="Z124" s="117">
        <v>85.4</v>
      </c>
      <c r="AA124" s="117">
        <v>86.2</v>
      </c>
      <c r="AB124" s="117">
        <v>66.3</v>
      </c>
      <c r="AC124" s="117">
        <v>65.400000000000006</v>
      </c>
      <c r="AD124" s="117">
        <v>56.6</v>
      </c>
      <c r="AE124" s="117">
        <v>68.7</v>
      </c>
      <c r="AF124" s="117">
        <v>68.8</v>
      </c>
      <c r="AG124" s="118"/>
      <c r="AH124" s="47">
        <f t="shared" si="42"/>
        <v>94.2</v>
      </c>
      <c r="AI124" s="48">
        <f t="shared" si="43"/>
        <v>56.6</v>
      </c>
    </row>
    <row r="125" spans="1:35" x14ac:dyDescent="0.25">
      <c r="A125" s="173" t="s">
        <v>255</v>
      </c>
      <c r="B125" s="117">
        <v>60</v>
      </c>
      <c r="C125" s="117">
        <v>71</v>
      </c>
      <c r="D125" s="117">
        <v>72</v>
      </c>
      <c r="E125" s="117">
        <v>72.900000000000006</v>
      </c>
      <c r="F125" s="117">
        <v>80</v>
      </c>
      <c r="G125" s="117">
        <v>80</v>
      </c>
      <c r="H125" s="117">
        <v>70.2</v>
      </c>
      <c r="I125" s="117">
        <v>42</v>
      </c>
      <c r="J125" s="117">
        <v>20.2</v>
      </c>
      <c r="K125" s="117">
        <v>-22.4</v>
      </c>
      <c r="L125" s="117">
        <v>-15</v>
      </c>
      <c r="M125" s="117">
        <v>-17.399999999999999</v>
      </c>
      <c r="N125" s="117">
        <v>-33.200000000000003</v>
      </c>
      <c r="O125" s="117">
        <v>0.3</v>
      </c>
      <c r="P125" s="117">
        <v>24.9</v>
      </c>
      <c r="Q125" s="117">
        <v>11.2</v>
      </c>
      <c r="R125" s="117">
        <v>43.2</v>
      </c>
      <c r="S125" s="117">
        <v>-43.7</v>
      </c>
      <c r="T125" s="117">
        <v>43.6</v>
      </c>
      <c r="U125" s="117">
        <v>47.8</v>
      </c>
      <c r="V125" s="117">
        <v>10.1</v>
      </c>
      <c r="W125" s="117">
        <v>10.1</v>
      </c>
      <c r="X125" s="117">
        <v>7.6</v>
      </c>
      <c r="Y125" s="117">
        <v>-25.6</v>
      </c>
      <c r="Z125" s="117">
        <v>-19.3</v>
      </c>
      <c r="AA125" s="117">
        <v>-6.8</v>
      </c>
      <c r="AB125" s="117">
        <v>40.6</v>
      </c>
      <c r="AC125" s="117">
        <v>-23.3</v>
      </c>
      <c r="AD125" s="117">
        <v>-23.6</v>
      </c>
      <c r="AE125" s="117">
        <v>29</v>
      </c>
      <c r="AF125" s="117">
        <v>44.4</v>
      </c>
      <c r="AG125" s="118"/>
      <c r="AH125" s="47">
        <f t="shared" si="42"/>
        <v>80</v>
      </c>
      <c r="AI125" s="48">
        <f t="shared" si="43"/>
        <v>-43.7</v>
      </c>
    </row>
    <row r="126" spans="1:35" ht="15.75" thickBot="1" x14ac:dyDescent="0.3">
      <c r="A126" s="173" t="s">
        <v>254</v>
      </c>
      <c r="B126" s="117">
        <v>78</v>
      </c>
      <c r="C126" s="117">
        <v>81</v>
      </c>
      <c r="D126" s="117">
        <v>76</v>
      </c>
      <c r="E126" s="117">
        <v>80.8</v>
      </c>
      <c r="F126" s="117">
        <v>98.8</v>
      </c>
      <c r="G126" s="117">
        <v>97.9</v>
      </c>
      <c r="H126" s="117">
        <v>99.4</v>
      </c>
      <c r="I126" s="117">
        <v>84.6</v>
      </c>
      <c r="J126" s="117">
        <v>78.099999999999994</v>
      </c>
      <c r="K126" s="117">
        <v>42.6</v>
      </c>
      <c r="L126" s="117">
        <v>53</v>
      </c>
      <c r="M126" s="117">
        <v>55.8</v>
      </c>
      <c r="N126" s="117">
        <v>59.5</v>
      </c>
      <c r="O126" s="117">
        <v>83</v>
      </c>
      <c r="P126" s="117">
        <v>91.2</v>
      </c>
      <c r="Q126" s="117">
        <v>97.3</v>
      </c>
      <c r="R126" s="117">
        <v>102</v>
      </c>
      <c r="S126" s="117">
        <v>101.3</v>
      </c>
      <c r="T126" s="117">
        <v>98.3</v>
      </c>
      <c r="U126" s="117">
        <v>93.9</v>
      </c>
      <c r="V126" s="117">
        <v>71.400000000000006</v>
      </c>
      <c r="W126" s="117">
        <v>71.400000000000006</v>
      </c>
      <c r="X126" s="117">
        <v>71.400000000000006</v>
      </c>
      <c r="Y126" s="117">
        <v>70</v>
      </c>
      <c r="Z126" s="117">
        <v>66</v>
      </c>
      <c r="AA126" s="117">
        <v>81.900000000000006</v>
      </c>
      <c r="AB126" s="117">
        <v>40.299999999999997</v>
      </c>
      <c r="AC126" s="117">
        <v>57.9</v>
      </c>
      <c r="AD126" s="117">
        <v>43.6</v>
      </c>
      <c r="AE126" s="117">
        <v>66</v>
      </c>
      <c r="AF126" s="117">
        <v>70</v>
      </c>
      <c r="AG126" s="114"/>
      <c r="AH126" s="47">
        <f>MAX(B126:AF126)</f>
        <v>102</v>
      </c>
      <c r="AI126" s="48">
        <f>MIN(B126:AF126)</f>
        <v>40.299999999999997</v>
      </c>
    </row>
    <row r="127" spans="1:35" x14ac:dyDescent="0.25">
      <c r="A127" s="172" t="s">
        <v>587</v>
      </c>
      <c r="B127" s="117">
        <v>15</v>
      </c>
      <c r="C127" s="117">
        <v>25</v>
      </c>
      <c r="D127" s="117">
        <v>26</v>
      </c>
      <c r="E127" s="117">
        <v>27.2</v>
      </c>
      <c r="F127" s="117">
        <v>27.8</v>
      </c>
      <c r="G127" s="117">
        <v>23</v>
      </c>
      <c r="H127" s="117">
        <v>23</v>
      </c>
      <c r="I127" s="117">
        <v>18.8</v>
      </c>
      <c r="J127" s="117">
        <v>6.2</v>
      </c>
      <c r="K127" s="117">
        <v>-4.7</v>
      </c>
      <c r="L127" s="117">
        <v>-3.1</v>
      </c>
      <c r="M127" s="117">
        <v>-2.5</v>
      </c>
      <c r="N127" s="117">
        <v>-5.9</v>
      </c>
      <c r="O127" s="117">
        <v>3.7</v>
      </c>
      <c r="P127" s="117">
        <v>7.1</v>
      </c>
      <c r="Q127" s="117">
        <v>12.4</v>
      </c>
      <c r="R127" s="117">
        <v>13.1</v>
      </c>
      <c r="S127" s="117">
        <v>11.2</v>
      </c>
      <c r="T127" s="117">
        <v>11.8</v>
      </c>
      <c r="U127" s="117">
        <v>11.8</v>
      </c>
      <c r="V127" s="117">
        <v>2</v>
      </c>
      <c r="W127" s="117">
        <v>2</v>
      </c>
      <c r="X127" s="117">
        <v>2</v>
      </c>
      <c r="Y127" s="117">
        <v>-14.6</v>
      </c>
      <c r="Z127" s="117">
        <v>0</v>
      </c>
      <c r="AA127" s="117">
        <v>-6.2</v>
      </c>
      <c r="AB127" s="117">
        <v>-2.1</v>
      </c>
      <c r="AC127" s="117">
        <v>-9.1999999999999993</v>
      </c>
      <c r="AD127" s="117">
        <v>-13.3</v>
      </c>
      <c r="AE127" s="117">
        <v>2.2999999999999998</v>
      </c>
      <c r="AF127" s="117">
        <v>6.9</v>
      </c>
      <c r="AG127" s="114"/>
      <c r="AH127" s="47">
        <f>MAX(B127:AF127)</f>
        <v>27.8</v>
      </c>
      <c r="AI127" s="48">
        <f>MIN(B127:AF127)</f>
        <v>-14.6</v>
      </c>
    </row>
    <row r="128" spans="1:35" x14ac:dyDescent="0.25">
      <c r="A128" s="173" t="s">
        <v>123</v>
      </c>
      <c r="B128" s="106">
        <v>-12.5</v>
      </c>
      <c r="C128" s="106">
        <v>-10</v>
      </c>
      <c r="D128" s="106">
        <v>-8.8000000000000007</v>
      </c>
      <c r="E128" s="106">
        <v>-10.199999999999999</v>
      </c>
      <c r="F128" s="106">
        <v>-10</v>
      </c>
      <c r="G128" s="106">
        <v>-15</v>
      </c>
      <c r="H128" s="106">
        <v>-20.7</v>
      </c>
      <c r="I128" s="106">
        <v>-28.2</v>
      </c>
      <c r="J128" s="106">
        <v>-38</v>
      </c>
      <c r="K128" s="106">
        <v>-46.4</v>
      </c>
      <c r="L128" s="106">
        <v>-49</v>
      </c>
      <c r="M128" s="106">
        <v>-42</v>
      </c>
      <c r="N128" s="106">
        <v>-34.700000000000003</v>
      </c>
      <c r="O128" s="106">
        <v>-34.200000000000003</v>
      </c>
      <c r="P128" s="106">
        <v>-34</v>
      </c>
      <c r="Q128" s="106">
        <v>-31</v>
      </c>
      <c r="R128" s="106">
        <v>-23.6</v>
      </c>
      <c r="S128" s="106">
        <v>-25.8</v>
      </c>
      <c r="T128" s="106">
        <v>-28.3</v>
      </c>
      <c r="U128" s="106">
        <v>-35</v>
      </c>
      <c r="V128" s="106">
        <v>-38.1</v>
      </c>
      <c r="W128" s="106">
        <v>-38.1</v>
      </c>
      <c r="X128" s="106">
        <v>-38.1</v>
      </c>
      <c r="Y128" s="106">
        <v>-63.5</v>
      </c>
      <c r="Z128" s="106">
        <v>-53.4</v>
      </c>
      <c r="AA128" s="106">
        <v>-47.2</v>
      </c>
      <c r="AB128" s="106">
        <v>-39.299999999999997</v>
      </c>
      <c r="AC128" s="106">
        <v>-36.299999999999997</v>
      </c>
      <c r="AD128" s="106">
        <v>-28.4</v>
      </c>
      <c r="AE128" s="106">
        <v>-23.4</v>
      </c>
      <c r="AF128" s="106">
        <v>-15.1</v>
      </c>
      <c r="AG128" s="114"/>
      <c r="AH128" s="47">
        <f>MAX(B128:AF128)</f>
        <v>-8.8000000000000007</v>
      </c>
      <c r="AI128" s="48">
        <f>MIN(B128:AF128)</f>
        <v>-63.5</v>
      </c>
    </row>
    <row r="129" spans="1:37" x14ac:dyDescent="0.25">
      <c r="A129" s="173" t="s">
        <v>260</v>
      </c>
      <c r="B129" s="106">
        <v>-23</v>
      </c>
      <c r="C129" s="106">
        <v>-27.5</v>
      </c>
      <c r="D129" s="106">
        <v>-24</v>
      </c>
      <c r="E129" s="106">
        <v>-32.200000000000003</v>
      </c>
      <c r="F129" s="106">
        <v>-43.9</v>
      </c>
      <c r="G129" s="106">
        <v>-45.9</v>
      </c>
      <c r="H129" s="106">
        <v>-38.700000000000003</v>
      </c>
      <c r="I129" s="106">
        <v>-27.4</v>
      </c>
      <c r="J129" s="106">
        <v>-25.2</v>
      </c>
      <c r="K129" s="106">
        <v>3.2</v>
      </c>
      <c r="L129" s="106">
        <v>-3</v>
      </c>
      <c r="M129" s="106">
        <v>-6.9</v>
      </c>
      <c r="N129" s="106">
        <v>-11.8</v>
      </c>
      <c r="O129" s="106">
        <v>-31.2</v>
      </c>
      <c r="P129" s="106">
        <v>-42.4</v>
      </c>
      <c r="Q129" s="106">
        <v>-41</v>
      </c>
      <c r="R129" s="106">
        <v>-39.4</v>
      </c>
      <c r="S129" s="106">
        <v>-34.200000000000003</v>
      </c>
      <c r="T129" s="106">
        <v>-34.799999999999997</v>
      </c>
      <c r="U129" s="106">
        <v>-33.9</v>
      </c>
      <c r="V129" s="106">
        <v>-27.3</v>
      </c>
      <c r="W129" s="106">
        <v>-27.3</v>
      </c>
      <c r="X129" s="106">
        <v>-27.3</v>
      </c>
      <c r="Y129" s="106">
        <v>-17.7</v>
      </c>
      <c r="Z129" s="106">
        <v>-8.6</v>
      </c>
      <c r="AA129" s="106">
        <v>14.1</v>
      </c>
      <c r="AB129" s="106">
        <v>6.8</v>
      </c>
      <c r="AC129" s="106">
        <v>-4</v>
      </c>
      <c r="AD129" s="106">
        <v>7.8</v>
      </c>
      <c r="AE129" s="106">
        <v>-16.5</v>
      </c>
      <c r="AF129" s="106">
        <v>-18.2</v>
      </c>
      <c r="AG129" s="114"/>
      <c r="AH129" s="47">
        <f>MAX(B129:AF129)</f>
        <v>14.1</v>
      </c>
      <c r="AI129" s="48">
        <f>MIN(B129:AF129)</f>
        <v>-45.9</v>
      </c>
    </row>
    <row r="130" spans="1:37" ht="15.75" thickBot="1" x14ac:dyDescent="0.3">
      <c r="A130" s="173" t="s">
        <v>257</v>
      </c>
      <c r="B130" s="106">
        <v>92</v>
      </c>
      <c r="C130" s="106">
        <v>86</v>
      </c>
      <c r="D130" s="106">
        <v>86</v>
      </c>
      <c r="E130" s="106">
        <v>86.9</v>
      </c>
      <c r="F130" s="106">
        <v>83</v>
      </c>
      <c r="G130" s="106">
        <v>90.6</v>
      </c>
      <c r="H130" s="106">
        <v>93.3</v>
      </c>
      <c r="I130" s="106">
        <v>97.2</v>
      </c>
      <c r="J130" s="106">
        <v>103</v>
      </c>
      <c r="K130" s="106">
        <v>90.7</v>
      </c>
      <c r="L130" s="106">
        <v>70</v>
      </c>
      <c r="M130" s="106">
        <v>68.400000000000006</v>
      </c>
      <c r="N130" s="106">
        <v>67.7</v>
      </c>
      <c r="O130" s="106">
        <v>62.5</v>
      </c>
      <c r="P130" s="106">
        <v>52.6</v>
      </c>
      <c r="Q130" s="106">
        <v>56.4</v>
      </c>
      <c r="R130" s="106">
        <v>62.4</v>
      </c>
      <c r="S130" s="106">
        <v>74.900000000000006</v>
      </c>
      <c r="T130" s="106">
        <v>88.6</v>
      </c>
      <c r="U130" s="106">
        <v>96.2</v>
      </c>
      <c r="V130" s="106">
        <v>99.1</v>
      </c>
      <c r="W130" s="106">
        <v>99.1</v>
      </c>
      <c r="X130" s="106">
        <v>99.1</v>
      </c>
      <c r="Y130" s="106">
        <v>118.5</v>
      </c>
      <c r="Z130" s="106">
        <v>112.2</v>
      </c>
      <c r="AA130" s="106">
        <v>103.6</v>
      </c>
      <c r="AB130" s="106">
        <v>110.8</v>
      </c>
      <c r="AC130" s="106">
        <v>111.3</v>
      </c>
      <c r="AD130" s="106">
        <v>104.9</v>
      </c>
      <c r="AE130" s="106">
        <v>92</v>
      </c>
      <c r="AF130" s="106">
        <v>82.1</v>
      </c>
      <c r="AG130" s="114"/>
      <c r="AH130" s="47">
        <f>MAX(B130:AF130)</f>
        <v>118.5</v>
      </c>
      <c r="AI130" s="48">
        <f>MIN(B130:AF130)</f>
        <v>52.6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17"/>
      <c r="N131" s="117"/>
      <c r="O131" s="117"/>
      <c r="P131" s="117"/>
      <c r="Q131" s="117"/>
      <c r="R131" s="117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17"/>
      <c r="AC131" s="117"/>
      <c r="AD131" s="117"/>
      <c r="AE131" s="117"/>
      <c r="AF131" s="117"/>
      <c r="AG131" s="43"/>
      <c r="AH131" s="47"/>
      <c r="AI131" s="48"/>
    </row>
    <row r="132" spans="1:37" x14ac:dyDescent="0.25">
      <c r="A132" s="185" t="s">
        <v>367</v>
      </c>
      <c r="B132" s="147">
        <v>1983.4</v>
      </c>
      <c r="C132" s="147">
        <v>1983.65</v>
      </c>
      <c r="D132" s="147">
        <v>1983.9</v>
      </c>
      <c r="E132" s="147">
        <v>1984.15</v>
      </c>
      <c r="F132" s="147">
        <v>1984.35</v>
      </c>
      <c r="G132" s="147">
        <v>1984.55</v>
      </c>
      <c r="H132" s="147"/>
      <c r="I132" s="147">
        <v>1984.8</v>
      </c>
      <c r="J132" s="147"/>
      <c r="K132" s="147">
        <v>1984.9</v>
      </c>
      <c r="L132" s="147"/>
      <c r="M132" s="117">
        <v>1984.22</v>
      </c>
      <c r="N132" s="117">
        <v>1983.35</v>
      </c>
      <c r="O132" s="117">
        <v>1983.42</v>
      </c>
      <c r="P132" s="117">
        <v>1983.63</v>
      </c>
      <c r="Q132" s="117">
        <v>1983.85</v>
      </c>
      <c r="R132" s="117">
        <v>1984.09</v>
      </c>
      <c r="S132" s="186">
        <v>1984.28</v>
      </c>
      <c r="T132" s="186">
        <v>1984.42</v>
      </c>
      <c r="U132" s="186">
        <v>1984.45</v>
      </c>
      <c r="V132" s="186"/>
      <c r="W132" s="186"/>
      <c r="X132" s="186">
        <v>1984.5</v>
      </c>
      <c r="Y132" s="186"/>
      <c r="Z132" s="186">
        <v>1984.3</v>
      </c>
      <c r="AA132" s="186"/>
      <c r="AB132" s="117">
        <v>1983.3</v>
      </c>
      <c r="AC132" s="117"/>
      <c r="AD132" s="117">
        <v>1982.92</v>
      </c>
      <c r="AE132" s="117">
        <v>1983.12</v>
      </c>
      <c r="AF132" s="117">
        <v>1983.3</v>
      </c>
      <c r="AG132" s="149"/>
      <c r="AH132" s="47"/>
      <c r="AI132" s="48"/>
    </row>
    <row r="133" spans="1:37" x14ac:dyDescent="0.25">
      <c r="A133" s="185" t="s">
        <v>238</v>
      </c>
      <c r="B133" s="150">
        <v>519.62</v>
      </c>
      <c r="C133" s="150">
        <v>520</v>
      </c>
      <c r="D133" s="150">
        <v>520.35</v>
      </c>
      <c r="E133" s="150">
        <v>520.70000000000005</v>
      </c>
      <c r="F133" s="150">
        <v>521.02</v>
      </c>
      <c r="G133" s="150">
        <v>521.33000000000004</v>
      </c>
      <c r="H133" s="150"/>
      <c r="I133" s="150">
        <v>521.55999999999995</v>
      </c>
      <c r="J133" s="150"/>
      <c r="K133" s="150">
        <v>521.5</v>
      </c>
      <c r="L133" s="150"/>
      <c r="M133" s="117">
        <v>521.21</v>
      </c>
      <c r="N133" s="117">
        <v>520.95000000000005</v>
      </c>
      <c r="O133" s="117">
        <v>520.79999999999995</v>
      </c>
      <c r="P133" s="117">
        <v>520.91999999999996</v>
      </c>
      <c r="Q133" s="117">
        <v>520.95000000000005</v>
      </c>
      <c r="R133" s="117">
        <v>521.04999999999995</v>
      </c>
      <c r="S133" s="187">
        <v>521.16</v>
      </c>
      <c r="T133" s="187">
        <v>521.26</v>
      </c>
      <c r="U133" s="187">
        <v>521.26</v>
      </c>
      <c r="V133" s="187">
        <v>521.28</v>
      </c>
      <c r="W133" s="187"/>
      <c r="X133" s="187">
        <v>521.36</v>
      </c>
      <c r="Y133" s="187"/>
      <c r="Z133" s="187">
        <v>521.05999999999995</v>
      </c>
      <c r="AA133" s="187"/>
      <c r="AB133" s="117">
        <v>520.44000000000005</v>
      </c>
      <c r="AC133" s="117"/>
      <c r="AD133" s="117">
        <v>520.05999999999995</v>
      </c>
      <c r="AE133" s="117">
        <v>520</v>
      </c>
      <c r="AF133" s="117">
        <v>520.34</v>
      </c>
      <c r="AG133" s="149"/>
      <c r="AH133" s="47"/>
      <c r="AI133" s="48"/>
    </row>
    <row r="134" spans="1:37" x14ac:dyDescent="0.25">
      <c r="A134" s="185" t="s">
        <v>239</v>
      </c>
      <c r="B134" s="150">
        <v>622.79</v>
      </c>
      <c r="C134" s="150">
        <v>623.16999999999996</v>
      </c>
      <c r="D134" s="150">
        <v>623.64</v>
      </c>
      <c r="E134" s="150">
        <v>624.04999999999995</v>
      </c>
      <c r="F134" s="150">
        <v>624.28</v>
      </c>
      <c r="G134" s="150">
        <v>624.6</v>
      </c>
      <c r="H134" s="150"/>
      <c r="I134" s="150">
        <v>624.77</v>
      </c>
      <c r="J134" s="150"/>
      <c r="K134" s="150">
        <v>624.66999999999996</v>
      </c>
      <c r="L134" s="150"/>
      <c r="M134" s="117">
        <v>624.45000000000005</v>
      </c>
      <c r="N134" s="117">
        <v>623.92999999999995</v>
      </c>
      <c r="O134" s="117">
        <v>623.72</v>
      </c>
      <c r="P134" s="117">
        <v>623.79</v>
      </c>
      <c r="Q134" s="117">
        <v>623.79</v>
      </c>
      <c r="R134" s="117">
        <v>623.74</v>
      </c>
      <c r="S134" s="187">
        <v>623.78</v>
      </c>
      <c r="T134" s="187">
        <v>623.6</v>
      </c>
      <c r="U134" s="187">
        <v>623.29</v>
      </c>
      <c r="V134" s="187">
        <v>623.1</v>
      </c>
      <c r="W134" s="187"/>
      <c r="X134" s="187">
        <v>622.86</v>
      </c>
      <c r="Y134" s="187"/>
      <c r="Z134" s="187">
        <v>622.16</v>
      </c>
      <c r="AA134" s="187"/>
      <c r="AB134" s="117">
        <v>621.99</v>
      </c>
      <c r="AC134" s="117"/>
      <c r="AD134" s="117">
        <v>622.17999999999995</v>
      </c>
      <c r="AE134" s="117">
        <v>622.01</v>
      </c>
      <c r="AF134" s="117">
        <v>622.26</v>
      </c>
      <c r="AG134" s="149"/>
      <c r="AH134" s="47"/>
      <c r="AI134" s="48"/>
    </row>
    <row r="135" spans="1:37" x14ac:dyDescent="0.25">
      <c r="A135" s="185" t="s">
        <v>240</v>
      </c>
      <c r="B135" s="150">
        <v>334.93</v>
      </c>
      <c r="C135" s="150">
        <v>335.54</v>
      </c>
      <c r="D135" s="150">
        <v>336</v>
      </c>
      <c r="E135" s="150">
        <v>336.34</v>
      </c>
      <c r="F135" s="150">
        <v>336.6</v>
      </c>
      <c r="G135" s="150">
        <v>336.78</v>
      </c>
      <c r="H135" s="150"/>
      <c r="I135" s="150">
        <v>336.66</v>
      </c>
      <c r="J135" s="150"/>
      <c r="K135" s="150">
        <v>336.52</v>
      </c>
      <c r="L135" s="150"/>
      <c r="M135" s="117">
        <v>336.07</v>
      </c>
      <c r="N135" s="117">
        <v>335.69</v>
      </c>
      <c r="O135" s="117">
        <v>335.24</v>
      </c>
      <c r="P135" s="117">
        <v>335.05</v>
      </c>
      <c r="Q135" s="117">
        <v>334.77</v>
      </c>
      <c r="R135" s="117">
        <v>335.52</v>
      </c>
      <c r="S135" s="187">
        <v>334.73</v>
      </c>
      <c r="T135" s="187">
        <v>334.98</v>
      </c>
      <c r="U135" s="187">
        <v>335.19</v>
      </c>
      <c r="V135" s="187">
        <v>335.31</v>
      </c>
      <c r="W135" s="187"/>
      <c r="X135" s="187">
        <v>335.57</v>
      </c>
      <c r="Y135" s="187">
        <v>335.64</v>
      </c>
      <c r="Z135" s="187">
        <v>335.58</v>
      </c>
      <c r="AA135" s="187"/>
      <c r="AB135" s="117">
        <v>335.17</v>
      </c>
      <c r="AC135" s="117"/>
      <c r="AD135" s="117">
        <v>334.7</v>
      </c>
      <c r="AE135" s="117">
        <v>334.53</v>
      </c>
      <c r="AF135" s="117">
        <v>334.83</v>
      </c>
      <c r="AG135" s="149"/>
      <c r="AH135" s="47"/>
      <c r="AI135" s="48"/>
    </row>
    <row r="136" spans="1:37" x14ac:dyDescent="0.25">
      <c r="A136" s="185" t="s">
        <v>384</v>
      </c>
      <c r="B136" s="150">
        <v>883.2</v>
      </c>
      <c r="C136" s="150">
        <v>884</v>
      </c>
      <c r="D136" s="150">
        <v>884.7</v>
      </c>
      <c r="E136" s="150">
        <v>885.2</v>
      </c>
      <c r="F136" s="150">
        <v>885.9</v>
      </c>
      <c r="G136" s="150">
        <v>8886.7999999999993</v>
      </c>
      <c r="H136" s="150"/>
      <c r="I136" s="150">
        <v>887.1</v>
      </c>
      <c r="J136" s="150"/>
      <c r="K136" s="150">
        <v>887.1</v>
      </c>
      <c r="L136" s="150"/>
      <c r="M136" s="117">
        <v>887.1</v>
      </c>
      <c r="N136" s="117">
        <v>887</v>
      </c>
      <c r="O136" s="117">
        <v>886.9</v>
      </c>
      <c r="P136" s="117">
        <v>886.9</v>
      </c>
      <c r="Q136" s="117">
        <v>886.8</v>
      </c>
      <c r="R136" s="117">
        <v>886.8</v>
      </c>
      <c r="S136" s="187">
        <v>887.1</v>
      </c>
      <c r="T136" s="187"/>
      <c r="U136" s="187">
        <v>887.4</v>
      </c>
      <c r="V136" s="187">
        <v>887.2</v>
      </c>
      <c r="W136" s="187"/>
      <c r="X136" s="187">
        <v>886.8</v>
      </c>
      <c r="Y136" s="187"/>
      <c r="Z136" s="187">
        <v>885.7</v>
      </c>
      <c r="AA136" s="187"/>
      <c r="AB136" s="117">
        <v>884.1</v>
      </c>
      <c r="AC136" s="117"/>
      <c r="AD136" s="117">
        <v>882.6</v>
      </c>
      <c r="AE136" s="117">
        <v>882.5</v>
      </c>
      <c r="AF136" s="117"/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1519.71</v>
      </c>
      <c r="C137" s="152"/>
      <c r="D137" s="152"/>
      <c r="E137" s="152">
        <v>1519.72</v>
      </c>
      <c r="F137" s="152"/>
      <c r="G137" s="152"/>
      <c r="H137" s="152"/>
      <c r="I137" s="152"/>
      <c r="J137" s="152"/>
      <c r="K137" s="152">
        <v>1519.73</v>
      </c>
      <c r="L137" s="152"/>
      <c r="M137" s="117">
        <v>1519.73</v>
      </c>
      <c r="N137" s="117"/>
      <c r="O137" s="117"/>
      <c r="P137" s="117"/>
      <c r="Q137" s="117"/>
      <c r="R137" s="117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17"/>
      <c r="AC137" s="117"/>
      <c r="AD137" s="117"/>
      <c r="AE137" s="117"/>
      <c r="AF137" s="117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72">SUM(B139:B243)</f>
        <v>0</v>
      </c>
      <c r="C244" s="134">
        <f t="shared" si="72"/>
        <v>0</v>
      </c>
      <c r="D244" s="134">
        <f t="shared" si="72"/>
        <v>0</v>
      </c>
      <c r="E244" s="134">
        <f t="shared" si="72"/>
        <v>0</v>
      </c>
      <c r="F244" s="134">
        <f t="shared" si="72"/>
        <v>0</v>
      </c>
      <c r="G244" s="134">
        <f t="shared" si="72"/>
        <v>0</v>
      </c>
      <c r="H244" s="134">
        <f t="shared" si="72"/>
        <v>0</v>
      </c>
      <c r="I244" s="134">
        <f t="shared" si="72"/>
        <v>0</v>
      </c>
      <c r="J244" s="134">
        <f t="shared" si="72"/>
        <v>0</v>
      </c>
      <c r="K244" s="134">
        <f t="shared" si="72"/>
        <v>0</v>
      </c>
      <c r="L244" s="134">
        <f t="shared" si="72"/>
        <v>0</v>
      </c>
      <c r="M244" s="134">
        <f t="shared" si="72"/>
        <v>0</v>
      </c>
      <c r="N244" s="134">
        <f t="shared" si="72"/>
        <v>0</v>
      </c>
      <c r="O244" s="134">
        <f t="shared" si="72"/>
        <v>0</v>
      </c>
      <c r="P244" s="134">
        <f t="shared" si="72"/>
        <v>0</v>
      </c>
      <c r="Q244" s="134">
        <f t="shared" si="72"/>
        <v>0</v>
      </c>
      <c r="R244" s="134">
        <f t="shared" si="72"/>
        <v>0</v>
      </c>
      <c r="S244" s="134">
        <f t="shared" si="72"/>
        <v>0</v>
      </c>
      <c r="T244" s="134">
        <f t="shared" si="72"/>
        <v>0</v>
      </c>
      <c r="U244" s="134">
        <f t="shared" si="72"/>
        <v>0</v>
      </c>
      <c r="V244" s="134">
        <f t="shared" si="72"/>
        <v>0</v>
      </c>
      <c r="W244" s="134">
        <f t="shared" si="72"/>
        <v>0</v>
      </c>
      <c r="X244" s="134">
        <f t="shared" si="72"/>
        <v>0</v>
      </c>
      <c r="Y244" s="134">
        <f t="shared" si="72"/>
        <v>0</v>
      </c>
      <c r="Z244" s="134">
        <f t="shared" si="72"/>
        <v>0</v>
      </c>
      <c r="AA244" s="134">
        <f t="shared" si="72"/>
        <v>0</v>
      </c>
      <c r="AB244" s="134">
        <f t="shared" si="72"/>
        <v>0</v>
      </c>
      <c r="AC244" s="134">
        <f t="shared" si="72"/>
        <v>0</v>
      </c>
      <c r="AD244" s="134">
        <f t="shared" si="72"/>
        <v>0</v>
      </c>
      <c r="AE244" s="134">
        <f t="shared" si="72"/>
        <v>0</v>
      </c>
      <c r="AF244" s="135">
        <f t="shared" si="72"/>
        <v>0</v>
      </c>
      <c r="AG244" s="136">
        <f t="shared" si="72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73">AF246</f>
        <v>0.3</v>
      </c>
      <c r="C246" s="138">
        <v>0.3</v>
      </c>
      <c r="D246" s="138">
        <f t="shared" ref="D246:S251" si="74">C246</f>
        <v>0.3</v>
      </c>
      <c r="E246" s="138">
        <f t="shared" si="74"/>
        <v>0.3</v>
      </c>
      <c r="F246" s="138">
        <f t="shared" si="74"/>
        <v>0.3</v>
      </c>
      <c r="G246" s="138">
        <f t="shared" si="74"/>
        <v>0.3</v>
      </c>
      <c r="H246" s="138">
        <f t="shared" si="74"/>
        <v>0.3</v>
      </c>
      <c r="I246" s="138">
        <f t="shared" si="74"/>
        <v>0.3</v>
      </c>
      <c r="J246" s="138">
        <f t="shared" si="74"/>
        <v>0.3</v>
      </c>
      <c r="K246" s="138">
        <f t="shared" si="74"/>
        <v>0.3</v>
      </c>
      <c r="L246" s="138">
        <f t="shared" si="74"/>
        <v>0.3</v>
      </c>
      <c r="M246" s="138">
        <f t="shared" si="74"/>
        <v>0.3</v>
      </c>
      <c r="N246" s="138">
        <f t="shared" si="74"/>
        <v>0.3</v>
      </c>
      <c r="O246" s="138">
        <f t="shared" si="74"/>
        <v>0.3</v>
      </c>
      <c r="P246" s="138">
        <f t="shared" si="74"/>
        <v>0.3</v>
      </c>
      <c r="Q246" s="138">
        <f t="shared" si="74"/>
        <v>0.3</v>
      </c>
      <c r="R246" s="138">
        <f t="shared" si="74"/>
        <v>0.3</v>
      </c>
      <c r="S246" s="138">
        <f t="shared" si="74"/>
        <v>0.3</v>
      </c>
      <c r="T246" s="138">
        <f t="shared" ref="T246:AF251" si="75">S246</f>
        <v>0.3</v>
      </c>
      <c r="U246" s="138">
        <f t="shared" si="75"/>
        <v>0.3</v>
      </c>
      <c r="V246" s="138">
        <f t="shared" si="75"/>
        <v>0.3</v>
      </c>
      <c r="W246" s="138">
        <f t="shared" si="75"/>
        <v>0.3</v>
      </c>
      <c r="X246" s="138">
        <f t="shared" si="75"/>
        <v>0.3</v>
      </c>
      <c r="Y246" s="138">
        <f t="shared" si="75"/>
        <v>0.3</v>
      </c>
      <c r="Z246" s="138">
        <f t="shared" si="75"/>
        <v>0.3</v>
      </c>
      <c r="AA246" s="138">
        <f t="shared" si="75"/>
        <v>0.3</v>
      </c>
      <c r="AB246" s="138">
        <f t="shared" si="75"/>
        <v>0.3</v>
      </c>
      <c r="AC246" s="138">
        <f t="shared" si="75"/>
        <v>0.3</v>
      </c>
      <c r="AD246" s="138">
        <f t="shared" si="75"/>
        <v>0.3</v>
      </c>
      <c r="AE246" s="138">
        <f t="shared" si="75"/>
        <v>0.3</v>
      </c>
      <c r="AF246" s="138">
        <f t="shared" si="75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73"/>
        <v>0.4</v>
      </c>
      <c r="C247" s="126">
        <v>0.4</v>
      </c>
      <c r="D247" s="126">
        <f t="shared" si="74"/>
        <v>0.4</v>
      </c>
      <c r="E247" s="126">
        <f t="shared" si="74"/>
        <v>0.4</v>
      </c>
      <c r="F247" s="126">
        <f t="shared" si="74"/>
        <v>0.4</v>
      </c>
      <c r="G247" s="126">
        <f t="shared" si="74"/>
        <v>0.4</v>
      </c>
      <c r="H247" s="126">
        <f t="shared" si="74"/>
        <v>0.4</v>
      </c>
      <c r="I247" s="126">
        <f t="shared" si="74"/>
        <v>0.4</v>
      </c>
      <c r="J247" s="126">
        <f t="shared" si="74"/>
        <v>0.4</v>
      </c>
      <c r="K247" s="126">
        <f t="shared" si="74"/>
        <v>0.4</v>
      </c>
      <c r="L247" s="126">
        <f t="shared" si="74"/>
        <v>0.4</v>
      </c>
      <c r="M247" s="126">
        <f t="shared" si="74"/>
        <v>0.4</v>
      </c>
      <c r="N247" s="126">
        <f t="shared" si="74"/>
        <v>0.4</v>
      </c>
      <c r="O247" s="126">
        <f t="shared" si="74"/>
        <v>0.4</v>
      </c>
      <c r="P247" s="126">
        <f t="shared" si="74"/>
        <v>0.4</v>
      </c>
      <c r="Q247" s="126">
        <f t="shared" si="74"/>
        <v>0.4</v>
      </c>
      <c r="R247" s="126">
        <f t="shared" si="74"/>
        <v>0.4</v>
      </c>
      <c r="S247" s="126">
        <f t="shared" si="74"/>
        <v>0.4</v>
      </c>
      <c r="T247" s="126">
        <f t="shared" si="75"/>
        <v>0.4</v>
      </c>
      <c r="U247" s="126">
        <f t="shared" si="75"/>
        <v>0.4</v>
      </c>
      <c r="V247" s="126">
        <f t="shared" si="75"/>
        <v>0.4</v>
      </c>
      <c r="W247" s="126">
        <f t="shared" si="75"/>
        <v>0.4</v>
      </c>
      <c r="X247" s="126">
        <f t="shared" si="75"/>
        <v>0.4</v>
      </c>
      <c r="Y247" s="126">
        <f t="shared" si="75"/>
        <v>0.4</v>
      </c>
      <c r="Z247" s="126">
        <f t="shared" si="75"/>
        <v>0.4</v>
      </c>
      <c r="AA247" s="126">
        <f t="shared" si="75"/>
        <v>0.4</v>
      </c>
      <c r="AB247" s="126">
        <f t="shared" si="75"/>
        <v>0.4</v>
      </c>
      <c r="AC247" s="126">
        <f t="shared" si="75"/>
        <v>0.4</v>
      </c>
      <c r="AD247" s="126">
        <f t="shared" si="75"/>
        <v>0.4</v>
      </c>
      <c r="AE247" s="126">
        <f t="shared" si="75"/>
        <v>0.4</v>
      </c>
      <c r="AF247" s="126">
        <f t="shared" si="75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73"/>
        <v>1.5</v>
      </c>
      <c r="C248" s="126">
        <v>1.5</v>
      </c>
      <c r="D248" s="126">
        <f t="shared" si="74"/>
        <v>1.5</v>
      </c>
      <c r="E248" s="126">
        <f t="shared" si="74"/>
        <v>1.5</v>
      </c>
      <c r="F248" s="126">
        <f t="shared" si="74"/>
        <v>1.5</v>
      </c>
      <c r="G248" s="126">
        <f t="shared" si="74"/>
        <v>1.5</v>
      </c>
      <c r="H248" s="126">
        <f t="shared" si="74"/>
        <v>1.5</v>
      </c>
      <c r="I248" s="126">
        <f t="shared" si="74"/>
        <v>1.5</v>
      </c>
      <c r="J248" s="126">
        <f t="shared" si="74"/>
        <v>1.5</v>
      </c>
      <c r="K248" s="126">
        <f t="shared" si="74"/>
        <v>1.5</v>
      </c>
      <c r="L248" s="126">
        <f t="shared" si="74"/>
        <v>1.5</v>
      </c>
      <c r="M248" s="126">
        <f t="shared" si="74"/>
        <v>1.5</v>
      </c>
      <c r="N248" s="126">
        <f t="shared" si="74"/>
        <v>1.5</v>
      </c>
      <c r="O248" s="126">
        <f t="shared" si="74"/>
        <v>1.5</v>
      </c>
      <c r="P248" s="126">
        <f t="shared" si="74"/>
        <v>1.5</v>
      </c>
      <c r="Q248" s="126">
        <f t="shared" si="74"/>
        <v>1.5</v>
      </c>
      <c r="R248" s="126">
        <f t="shared" si="74"/>
        <v>1.5</v>
      </c>
      <c r="S248" s="126">
        <f t="shared" si="74"/>
        <v>1.5</v>
      </c>
      <c r="T248" s="126">
        <f t="shared" si="75"/>
        <v>1.5</v>
      </c>
      <c r="U248" s="126">
        <f t="shared" si="75"/>
        <v>1.5</v>
      </c>
      <c r="V248" s="126">
        <f t="shared" si="75"/>
        <v>1.5</v>
      </c>
      <c r="W248" s="126">
        <f t="shared" si="75"/>
        <v>1.5</v>
      </c>
      <c r="X248" s="126">
        <f t="shared" si="75"/>
        <v>1.5</v>
      </c>
      <c r="Y248" s="126">
        <f t="shared" si="75"/>
        <v>1.5</v>
      </c>
      <c r="Z248" s="126">
        <f t="shared" si="75"/>
        <v>1.5</v>
      </c>
      <c r="AA248" s="126">
        <f t="shared" si="75"/>
        <v>1.5</v>
      </c>
      <c r="AB248" s="126">
        <f t="shared" si="75"/>
        <v>1.5</v>
      </c>
      <c r="AC248" s="126">
        <f t="shared" si="75"/>
        <v>1.5</v>
      </c>
      <c r="AD248" s="126">
        <f t="shared" si="75"/>
        <v>1.5</v>
      </c>
      <c r="AE248" s="126">
        <f t="shared" si="75"/>
        <v>1.5</v>
      </c>
      <c r="AF248" s="126">
        <f t="shared" si="75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73"/>
        <v>0.3</v>
      </c>
      <c r="C249" s="126">
        <v>0.3</v>
      </c>
      <c r="D249" s="126">
        <f t="shared" si="74"/>
        <v>0.3</v>
      </c>
      <c r="E249" s="126">
        <f t="shared" si="74"/>
        <v>0.3</v>
      </c>
      <c r="F249" s="126">
        <f t="shared" si="74"/>
        <v>0.3</v>
      </c>
      <c r="G249" s="126">
        <f t="shared" si="74"/>
        <v>0.3</v>
      </c>
      <c r="H249" s="126">
        <f t="shared" si="74"/>
        <v>0.3</v>
      </c>
      <c r="I249" s="126">
        <f t="shared" si="74"/>
        <v>0.3</v>
      </c>
      <c r="J249" s="126">
        <f t="shared" si="74"/>
        <v>0.3</v>
      </c>
      <c r="K249" s="126">
        <f t="shared" si="74"/>
        <v>0.3</v>
      </c>
      <c r="L249" s="126">
        <f t="shared" si="74"/>
        <v>0.3</v>
      </c>
      <c r="M249" s="126">
        <f t="shared" si="74"/>
        <v>0.3</v>
      </c>
      <c r="N249" s="126">
        <f t="shared" si="74"/>
        <v>0.3</v>
      </c>
      <c r="O249" s="126">
        <f t="shared" si="74"/>
        <v>0.3</v>
      </c>
      <c r="P249" s="126">
        <f t="shared" si="74"/>
        <v>0.3</v>
      </c>
      <c r="Q249" s="126">
        <f t="shared" si="74"/>
        <v>0.3</v>
      </c>
      <c r="R249" s="126">
        <f t="shared" si="74"/>
        <v>0.3</v>
      </c>
      <c r="S249" s="126">
        <f t="shared" si="74"/>
        <v>0.3</v>
      </c>
      <c r="T249" s="126">
        <f t="shared" si="75"/>
        <v>0.3</v>
      </c>
      <c r="U249" s="126">
        <f t="shared" si="75"/>
        <v>0.3</v>
      </c>
      <c r="V249" s="126">
        <f t="shared" si="75"/>
        <v>0.3</v>
      </c>
      <c r="W249" s="126">
        <f t="shared" si="75"/>
        <v>0.3</v>
      </c>
      <c r="X249" s="126">
        <f t="shared" si="75"/>
        <v>0.3</v>
      </c>
      <c r="Y249" s="126">
        <f t="shared" si="75"/>
        <v>0.3</v>
      </c>
      <c r="Z249" s="126">
        <f t="shared" si="75"/>
        <v>0.3</v>
      </c>
      <c r="AA249" s="126">
        <f t="shared" si="75"/>
        <v>0.3</v>
      </c>
      <c r="AB249" s="126">
        <f t="shared" si="75"/>
        <v>0.3</v>
      </c>
      <c r="AC249" s="126">
        <f t="shared" si="75"/>
        <v>0.3</v>
      </c>
      <c r="AD249" s="126">
        <f t="shared" si="75"/>
        <v>0.3</v>
      </c>
      <c r="AE249" s="126">
        <f t="shared" si="75"/>
        <v>0.3</v>
      </c>
      <c r="AF249" s="126">
        <f t="shared" si="75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73"/>
        <v>0.4</v>
      </c>
      <c r="C250" s="126">
        <v>0.4</v>
      </c>
      <c r="D250" s="126">
        <f t="shared" si="74"/>
        <v>0.4</v>
      </c>
      <c r="E250" s="126">
        <f t="shared" si="74"/>
        <v>0.4</v>
      </c>
      <c r="F250" s="126">
        <f t="shared" si="74"/>
        <v>0.4</v>
      </c>
      <c r="G250" s="126">
        <f t="shared" si="74"/>
        <v>0.4</v>
      </c>
      <c r="H250" s="126">
        <f t="shared" si="74"/>
        <v>0.4</v>
      </c>
      <c r="I250" s="126">
        <f t="shared" si="74"/>
        <v>0.4</v>
      </c>
      <c r="J250" s="126">
        <f t="shared" si="74"/>
        <v>0.4</v>
      </c>
      <c r="K250" s="126">
        <f t="shared" si="74"/>
        <v>0.4</v>
      </c>
      <c r="L250" s="126">
        <f t="shared" si="74"/>
        <v>0.4</v>
      </c>
      <c r="M250" s="126">
        <f t="shared" si="74"/>
        <v>0.4</v>
      </c>
      <c r="N250" s="126">
        <f t="shared" si="74"/>
        <v>0.4</v>
      </c>
      <c r="O250" s="126">
        <f t="shared" si="74"/>
        <v>0.4</v>
      </c>
      <c r="P250" s="126">
        <f t="shared" si="74"/>
        <v>0.4</v>
      </c>
      <c r="Q250" s="126">
        <f t="shared" si="74"/>
        <v>0.4</v>
      </c>
      <c r="R250" s="126">
        <f t="shared" si="74"/>
        <v>0.4</v>
      </c>
      <c r="S250" s="126">
        <f t="shared" si="74"/>
        <v>0.4</v>
      </c>
      <c r="T250" s="126">
        <f t="shared" si="75"/>
        <v>0.4</v>
      </c>
      <c r="U250" s="126">
        <f t="shared" si="75"/>
        <v>0.4</v>
      </c>
      <c r="V250" s="126">
        <f t="shared" si="75"/>
        <v>0.4</v>
      </c>
      <c r="W250" s="126">
        <f t="shared" si="75"/>
        <v>0.4</v>
      </c>
      <c r="X250" s="126">
        <f t="shared" si="75"/>
        <v>0.4</v>
      </c>
      <c r="Y250" s="126">
        <f t="shared" si="75"/>
        <v>0.4</v>
      </c>
      <c r="Z250" s="126">
        <f t="shared" si="75"/>
        <v>0.4</v>
      </c>
      <c r="AA250" s="126">
        <f t="shared" si="75"/>
        <v>0.4</v>
      </c>
      <c r="AB250" s="126">
        <f t="shared" si="75"/>
        <v>0.4</v>
      </c>
      <c r="AC250" s="126">
        <f t="shared" si="75"/>
        <v>0.4</v>
      </c>
      <c r="AD250" s="126">
        <f t="shared" si="75"/>
        <v>0.4</v>
      </c>
      <c r="AE250" s="126">
        <f t="shared" si="75"/>
        <v>0.4</v>
      </c>
      <c r="AF250" s="126">
        <f t="shared" si="75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73"/>
        <v>0.64</v>
      </c>
      <c r="C251" s="130">
        <v>0.64</v>
      </c>
      <c r="D251" s="130">
        <f t="shared" si="74"/>
        <v>0.64</v>
      </c>
      <c r="E251" s="130">
        <f t="shared" si="74"/>
        <v>0.64</v>
      </c>
      <c r="F251" s="130">
        <f t="shared" si="74"/>
        <v>0.64</v>
      </c>
      <c r="G251" s="130">
        <f t="shared" si="74"/>
        <v>0.64</v>
      </c>
      <c r="H251" s="130">
        <f t="shared" si="74"/>
        <v>0.64</v>
      </c>
      <c r="I251" s="130">
        <f t="shared" si="74"/>
        <v>0.64</v>
      </c>
      <c r="J251" s="130">
        <f t="shared" si="74"/>
        <v>0.64</v>
      </c>
      <c r="K251" s="130">
        <f t="shared" si="74"/>
        <v>0.64</v>
      </c>
      <c r="L251" s="130">
        <f t="shared" si="74"/>
        <v>0.64</v>
      </c>
      <c r="M251" s="130">
        <f t="shared" si="74"/>
        <v>0.64</v>
      </c>
      <c r="N251" s="130">
        <f t="shared" si="74"/>
        <v>0.64</v>
      </c>
      <c r="O251" s="130">
        <f t="shared" si="74"/>
        <v>0.64</v>
      </c>
      <c r="P251" s="130">
        <f t="shared" si="74"/>
        <v>0.64</v>
      </c>
      <c r="Q251" s="130">
        <f t="shared" si="74"/>
        <v>0.64</v>
      </c>
      <c r="R251" s="130">
        <f t="shared" si="74"/>
        <v>0.64</v>
      </c>
      <c r="S251" s="130">
        <f t="shared" si="74"/>
        <v>0.64</v>
      </c>
      <c r="T251" s="130">
        <f t="shared" si="75"/>
        <v>0.64</v>
      </c>
      <c r="U251" s="130">
        <f t="shared" si="75"/>
        <v>0.64</v>
      </c>
      <c r="V251" s="130">
        <f t="shared" si="75"/>
        <v>0.64</v>
      </c>
      <c r="W251" s="130">
        <f t="shared" si="75"/>
        <v>0.64</v>
      </c>
      <c r="X251" s="130">
        <f t="shared" si="75"/>
        <v>0.64</v>
      </c>
      <c r="Y251" s="130">
        <f t="shared" si="75"/>
        <v>0.64</v>
      </c>
      <c r="Z251" s="130">
        <f t="shared" si="75"/>
        <v>0.64</v>
      </c>
      <c r="AA251" s="130">
        <f t="shared" si="75"/>
        <v>0.64</v>
      </c>
      <c r="AB251" s="130">
        <f t="shared" si="75"/>
        <v>0.64</v>
      </c>
      <c r="AC251" s="130">
        <f t="shared" si="75"/>
        <v>0.64</v>
      </c>
      <c r="AD251" s="130">
        <f t="shared" si="75"/>
        <v>0.64</v>
      </c>
      <c r="AE251" s="130">
        <f t="shared" si="75"/>
        <v>0.64</v>
      </c>
      <c r="AF251" s="130">
        <f t="shared" si="75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76">SUM(B246:B251)</f>
        <v>3.54</v>
      </c>
      <c r="C252" s="134">
        <f t="shared" si="76"/>
        <v>3.54</v>
      </c>
      <c r="D252" s="134">
        <f t="shared" si="76"/>
        <v>3.54</v>
      </c>
      <c r="E252" s="134">
        <f t="shared" si="76"/>
        <v>3.54</v>
      </c>
      <c r="F252" s="134">
        <f t="shared" si="76"/>
        <v>3.54</v>
      </c>
      <c r="G252" s="134">
        <f t="shared" si="76"/>
        <v>3.54</v>
      </c>
      <c r="H252" s="134">
        <f t="shared" si="76"/>
        <v>3.54</v>
      </c>
      <c r="I252" s="134">
        <f t="shared" si="76"/>
        <v>3.54</v>
      </c>
      <c r="J252" s="134">
        <f t="shared" si="76"/>
        <v>3.54</v>
      </c>
      <c r="K252" s="134">
        <f t="shared" si="76"/>
        <v>3.54</v>
      </c>
      <c r="L252" s="134">
        <f t="shared" si="76"/>
        <v>3.54</v>
      </c>
      <c r="M252" s="134">
        <f t="shared" si="76"/>
        <v>3.54</v>
      </c>
      <c r="N252" s="134">
        <f t="shared" si="76"/>
        <v>3.54</v>
      </c>
      <c r="O252" s="134">
        <f t="shared" si="76"/>
        <v>3.54</v>
      </c>
      <c r="P252" s="134">
        <f t="shared" si="76"/>
        <v>3.54</v>
      </c>
      <c r="Q252" s="134">
        <f t="shared" si="76"/>
        <v>3.54</v>
      </c>
      <c r="R252" s="134">
        <f t="shared" si="76"/>
        <v>3.54</v>
      </c>
      <c r="S252" s="134">
        <f t="shared" si="76"/>
        <v>3.54</v>
      </c>
      <c r="T252" s="134">
        <f t="shared" si="76"/>
        <v>3.54</v>
      </c>
      <c r="U252" s="134">
        <f t="shared" si="76"/>
        <v>3.54</v>
      </c>
      <c r="V252" s="134">
        <f t="shared" si="76"/>
        <v>3.54</v>
      </c>
      <c r="W252" s="134">
        <f t="shared" si="76"/>
        <v>3.54</v>
      </c>
      <c r="X252" s="134">
        <f t="shared" si="76"/>
        <v>3.54</v>
      </c>
      <c r="Y252" s="134">
        <f t="shared" si="76"/>
        <v>3.54</v>
      </c>
      <c r="Z252" s="134">
        <f t="shared" si="76"/>
        <v>3.54</v>
      </c>
      <c r="AA252" s="134">
        <f t="shared" si="76"/>
        <v>3.54</v>
      </c>
      <c r="AB252" s="134">
        <f t="shared" si="76"/>
        <v>3.54</v>
      </c>
      <c r="AC252" s="134">
        <f t="shared" si="76"/>
        <v>3.54</v>
      </c>
      <c r="AD252" s="134">
        <f t="shared" si="76"/>
        <v>3.54</v>
      </c>
      <c r="AE252" s="134">
        <f t="shared" si="76"/>
        <v>3.54</v>
      </c>
      <c r="AF252" s="134">
        <f t="shared" si="76"/>
        <v>3.54</v>
      </c>
      <c r="AG252" s="143">
        <f t="shared" si="76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1501.89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2080/10/26)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940" priority="90">
      <formula>$AH11=0</formula>
    </cfRule>
  </conditionalFormatting>
  <conditionalFormatting sqref="A132:A253">
    <cfRule type="expression" dxfId="939" priority="91">
      <formula>$AH132=0</formula>
    </cfRule>
  </conditionalFormatting>
  <conditionalFormatting sqref="B8">
    <cfRule type="expression" dxfId="938" priority="149">
      <formula>AND(C$9&gt;=14/24,C$9&lt;20/24)</formula>
    </cfRule>
    <cfRule type="expression" dxfId="937" priority="152">
      <formula>C$9&gt;=20/24</formula>
    </cfRule>
    <cfRule type="expression" dxfId="936" priority="151">
      <formula>C$9&lt;8/24</formula>
    </cfRule>
    <cfRule type="expression" dxfId="935" priority="150">
      <formula>AND(C$9&gt;=8/24,C$9&lt;14/24)</formula>
    </cfRule>
  </conditionalFormatting>
  <conditionalFormatting sqref="B11:L52 M12:R52 S13:AF52 E59:J61 B59:D68 K60:L61 H63:H64 E63:G65 C63:D74 E67:I74 B69:AF74 B77:AF99 B9:AF10 B101:AF117 B119:AF137 B244:AF244 B246:B252">
    <cfRule type="expression" dxfId="934" priority="41">
      <formula>B$9&gt;=20/24</formula>
    </cfRule>
  </conditionalFormatting>
  <conditionalFormatting sqref="B9:AF10 B11:L52 M12:R52 S13:AF52 E59:J61 B59:D68 K60:L61 H63:H64 E63:G65 C63:D74 E67:I74 B69:AF74 B77:AF99 B101:AF117 B119:AF137 B244:AF244 B246:B252">
    <cfRule type="expression" dxfId="933" priority="42">
      <formula>AND(B$9&gt;=14/24,B$9&lt;20/24)</formula>
    </cfRule>
    <cfRule type="expression" dxfId="932" priority="43">
      <formula>AND(B$9&gt;=8/24,B$9&lt;14/24)</formula>
    </cfRule>
  </conditionalFormatting>
  <conditionalFormatting sqref="B9:AF10 B11:L57 M12:R52 S13:AF52 E59:J61 B59:D68 K60:L61 H63:H64 E63:G65 C63:D74 E67:I74 B69:AF74 B77:AF99 B101:AF117 B119:AF137 B244:AF244 B246:B252">
    <cfRule type="expression" dxfId="931" priority="44">
      <formula>B$9&lt;8/24</formula>
    </cfRule>
  </conditionalFormatting>
  <conditionalFormatting sqref="D246:AF252">
    <cfRule type="expression" dxfId="930" priority="134">
      <formula>D$9&gt;=20/24</formula>
    </cfRule>
    <cfRule type="expression" dxfId="929" priority="135">
      <formula>AND(D$9&gt;=14/24,D$9&lt;20/24)</formula>
    </cfRule>
    <cfRule type="expression" dxfId="928" priority="137">
      <formula>D$9&lt;8/24</formula>
    </cfRule>
    <cfRule type="expression" dxfId="927" priority="136">
      <formula>AND(D$9&gt;=8/24,D$9&lt;14/24)</formula>
    </cfRule>
  </conditionalFormatting>
  <conditionalFormatting sqref="E63:I67 J64:J67 K67:L67">
    <cfRule type="expression" dxfId="926" priority="57">
      <formula>E$9&lt;8/24</formula>
    </cfRule>
    <cfRule type="expression" dxfId="925" priority="54">
      <formula>E$9&gt;=20/24</formula>
    </cfRule>
    <cfRule type="expression" dxfId="924" priority="55">
      <formula>AND(E$9&gt;=14/24,E$9&lt;20/24)</formula>
    </cfRule>
    <cfRule type="expression" dxfId="923" priority="56">
      <formula>AND(E$9&gt;=8/24,E$9&lt;14/24)</formula>
    </cfRule>
  </conditionalFormatting>
  <conditionalFormatting sqref="E11:L57 B11:D61 O12:R55 M12:N57 S13:AF55 O56:AF56 O57:V57 Y57:AF61 W57:X80 E58:V61 Y62:AG62 B62:V80 Y63:AF80 AG80">
    <cfRule type="expression" dxfId="922" priority="40">
      <formula>B11&gt;$AG11</formula>
    </cfRule>
  </conditionalFormatting>
  <conditionalFormatting sqref="E68:L68">
    <cfRule type="expression" dxfId="921" priority="52">
      <formula>E$9&lt;8/24</formula>
    </cfRule>
    <cfRule type="expression" dxfId="920" priority="51">
      <formula>AND(E$9&gt;=8/24,E$9&lt;14/24)</formula>
    </cfRule>
    <cfRule type="expression" dxfId="919" priority="50">
      <formula>AND(E$9&gt;=14/24,E$9&lt;20/24)</formula>
    </cfRule>
    <cfRule type="expression" dxfId="918" priority="49">
      <formula>E$9&gt;=20/24</formula>
    </cfRule>
  </conditionalFormatting>
  <conditionalFormatting sqref="E59:AF62">
    <cfRule type="expression" dxfId="917" priority="68">
      <formula>E$9&gt;=20/24</formula>
    </cfRule>
    <cfRule type="expression" dxfId="916" priority="69">
      <formula>AND(E$9&gt;=14/24,E$9&lt;20/24)</formula>
    </cfRule>
    <cfRule type="expression" dxfId="915" priority="70">
      <formula>AND(E$9&gt;=8/24,E$9&lt;14/24)</formula>
    </cfRule>
    <cfRule type="expression" dxfId="914" priority="71">
      <formula>E$9&lt;8/24</formula>
    </cfRule>
  </conditionalFormatting>
  <conditionalFormatting sqref="F63:L65">
    <cfRule type="expression" dxfId="913" priority="85">
      <formula>F$9&lt;8/24</formula>
    </cfRule>
    <cfRule type="expression" dxfId="912" priority="84">
      <formula>AND(F$9&gt;=8/24,F$9&lt;14/24)</formula>
    </cfRule>
    <cfRule type="expression" dxfId="911" priority="83">
      <formula>AND(F$9&gt;=14/24,F$9&lt;20/24)</formula>
    </cfRule>
    <cfRule type="expression" dxfId="910" priority="82">
      <formula>F$9&gt;=20/24</formula>
    </cfRule>
  </conditionalFormatting>
  <conditionalFormatting sqref="L68:X68">
    <cfRule type="expression" dxfId="909" priority="81">
      <formula>L$9&lt;8/24</formula>
    </cfRule>
    <cfRule type="expression" dxfId="908" priority="80">
      <formula>AND(L$9&gt;=8/24,L$9&lt;14/24)</formula>
    </cfRule>
    <cfRule type="expression" dxfId="907" priority="79">
      <formula>AND(L$9&gt;=14/24,L$9&lt;20/24)</formula>
    </cfRule>
    <cfRule type="expression" dxfId="906" priority="78">
      <formula>L$9&gt;=20/24</formula>
    </cfRule>
  </conditionalFormatting>
  <conditionalFormatting sqref="M8 S8 AB8">
    <cfRule type="expression" dxfId="905" priority="142">
      <formula>AND(N$9&gt;=8/24,N$9&lt;14/24)</formula>
    </cfRule>
    <cfRule type="expression" dxfId="904" priority="143">
      <formula>N$9&lt;8/24</formula>
    </cfRule>
    <cfRule type="expression" dxfId="903" priority="141">
      <formula>AND(N$9&gt;=14/24,N$9&lt;20/24)</formula>
    </cfRule>
  </conditionalFormatting>
  <conditionalFormatting sqref="M11:T11 U11:AF12 S12:T12">
    <cfRule type="expression" dxfId="902" priority="62">
      <formula>M$9&lt;8/24</formula>
    </cfRule>
    <cfRule type="expression" dxfId="901" priority="59">
      <formula>M$9&gt;=20/24</formula>
    </cfRule>
    <cfRule type="expression" dxfId="900" priority="58">
      <formula>M11&gt;$AG11</formula>
    </cfRule>
    <cfRule type="expression" dxfId="899" priority="60">
      <formula>AND(M$9&gt;=14/24,M$9&lt;20/24)</formula>
    </cfRule>
    <cfRule type="expression" dxfId="898" priority="61">
      <formula>AND(M$9&gt;=8/24,M$9&lt;14/24)</formula>
    </cfRule>
  </conditionalFormatting>
  <conditionalFormatting sqref="M63:X67">
    <cfRule type="expression" dxfId="897" priority="87">
      <formula>AND(M$9&gt;=14/24,M$9&lt;20/24)</formula>
    </cfRule>
    <cfRule type="expression" dxfId="896" priority="86">
      <formula>M$9&gt;=20/24</formula>
    </cfRule>
    <cfRule type="expression" dxfId="895" priority="89">
      <formula>M$9&lt;8/24</formula>
    </cfRule>
    <cfRule type="expression" dxfId="894" priority="88">
      <formula>AND(M$9&gt;=8/24,M$9&lt;14/24)</formula>
    </cfRule>
  </conditionalFormatting>
  <conditionalFormatting sqref="M53:AF56">
    <cfRule type="expression" dxfId="893" priority="53">
      <formula>M$9&lt;8/24</formula>
    </cfRule>
  </conditionalFormatting>
  <conditionalFormatting sqref="M57:AF57">
    <cfRule type="expression" dxfId="892" priority="67">
      <formula>M$9&lt;8/24</formula>
    </cfRule>
    <cfRule type="expression" dxfId="891" priority="64">
      <formula>M$9&gt;=20/24</formula>
    </cfRule>
    <cfRule type="expression" dxfId="890" priority="65">
      <formula>AND(M$9&gt;=14/24,M$9&lt;20/24)</formula>
    </cfRule>
    <cfRule type="expression" dxfId="889" priority="66">
      <formula>AND(M$9&gt;=8/24,M$9&lt;14/24)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O53:AF55 M53:N56 B53:L57">
    <cfRule type="expression" dxfId="888" priority="37">
      <formula>B$9&gt;=20/24</formula>
    </cfRule>
    <cfRule type="expression" dxfId="887" priority="39">
      <formula>AND(B$9&gt;=8/24,B$9&lt;14/24)</formula>
    </cfRule>
    <cfRule type="expression" dxfId="886" priority="38">
      <formula>AND(B$9&gt;=14/24,B$9&lt;20/24)</formula>
    </cfRule>
  </conditionalFormatting>
  <conditionalFormatting sqref="O56:AF56">
    <cfRule type="expression" dxfId="885" priority="46">
      <formula>O$9&gt;=20/24</formula>
    </cfRule>
    <cfRule type="expression" dxfId="884" priority="47">
      <formula>AND(O$9&gt;=14/24,O$9&lt;20/24)</formula>
    </cfRule>
    <cfRule type="expression" dxfId="883" priority="48">
      <formula>AND(O$9&gt;=8/24,O$9&lt;14/24)</formula>
    </cfRule>
  </conditionalFormatting>
  <conditionalFormatting sqref="S8 AB8 M8">
    <cfRule type="expression" dxfId="882" priority="140">
      <formula>N$9&gt;=20/24</formula>
    </cfRule>
  </conditionalFormatting>
  <conditionalFormatting sqref="S8">
    <cfRule type="expression" dxfId="881" priority="130">
      <formula>U$9&lt;8/24</formula>
    </cfRule>
    <cfRule type="expression" dxfId="880" priority="127">
      <formula>U$9&gt;=20/24</formula>
    </cfRule>
    <cfRule type="expression" dxfId="879" priority="128">
      <formula>AND(U$9&gt;=14/24,U$9&lt;20/24)</formula>
    </cfRule>
    <cfRule type="expression" dxfId="878" priority="129">
      <formula>AND(U$9&gt;=8/24,U$9&lt;14/24)</formula>
    </cfRule>
  </conditionalFormatting>
  <conditionalFormatting sqref="T63:AF68">
    <cfRule type="expression" dxfId="877" priority="75">
      <formula>T$9&lt;8/24</formula>
    </cfRule>
    <cfRule type="expression" dxfId="876" priority="72">
      <formula>T$9&gt;=20/24</formula>
    </cfRule>
    <cfRule type="expression" dxfId="875" priority="73">
      <formula>AND(T$9&gt;=14/24,T$9&lt;20/24)</formula>
    </cfRule>
    <cfRule type="expression" dxfId="874" priority="74">
      <formula>AND(T$9&gt;=8/24,T$9&lt;14/24)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873" priority="125">
      <formula>AND(AD$9&gt;=8/24,AD$9&lt;14/24)</formula>
    </cfRule>
    <cfRule type="expression" dxfId="872" priority="124">
      <formula>AND(AD$9&gt;=14/24,AD$9&lt;20/24)</formula>
    </cfRule>
    <cfRule type="expression" dxfId="871" priority="126">
      <formula>AD$9&lt;8/24</formula>
    </cfRule>
    <cfRule type="expression" dxfId="870" priority="123">
      <formula>AD$9&gt;=20/24</formula>
    </cfRule>
  </conditionalFormatting>
  <conditionalFormatting sqref="AG58">
    <cfRule type="expression" dxfId="869" priority="118">
      <formula>AG58&gt;$AG58</formula>
    </cfRule>
  </conditionalFormatting>
  <conditionalFormatting sqref="AG62">
    <cfRule type="expression" dxfId="868" priority="104">
      <formula>AG$9&lt;8/24</formula>
    </cfRule>
    <cfRule type="expression" dxfId="867" priority="103">
      <formula>AND(AG$9&gt;=8/24,AG$9&lt;14/24)</formula>
    </cfRule>
    <cfRule type="expression" dxfId="866" priority="102">
      <formula>AND(AG$9&gt;=14/24,AG$9&lt;20/24)</formula>
    </cfRule>
    <cfRule type="expression" dxfId="865" priority="101">
      <formula>AG$9&gt;=20/24</formula>
    </cfRule>
  </conditionalFormatting>
  <conditionalFormatting sqref="AG75:AG76">
    <cfRule type="expression" dxfId="864" priority="96">
      <formula>AG75&gt;$AG75</formula>
    </cfRule>
  </conditionalFormatting>
  <conditionalFormatting sqref="AG80">
    <cfRule type="expression" dxfId="863" priority="97">
      <formula>AG$9&gt;=20/24</formula>
    </cfRule>
    <cfRule type="expression" dxfId="862" priority="98">
      <formula>AND(AG$9&gt;=14/24,AG$9&lt;20/24)</formula>
    </cfRule>
    <cfRule type="expression" dxfId="861" priority="99">
      <formula>AND(AG$9&gt;=8/24,AG$9&lt;14/24)</formula>
    </cfRule>
    <cfRule type="expression" dxfId="860" priority="100">
      <formula>AG$9&lt;8/24</formula>
    </cfRule>
  </conditionalFormatting>
  <conditionalFormatting sqref="AG97">
    <cfRule type="expression" dxfId="859" priority="122">
      <formula>AG$9&lt;8/24</formula>
    </cfRule>
    <cfRule type="expression" dxfId="858" priority="121">
      <formula>AND(AG$9&gt;=8/24,AG$9&lt;14/24)</formula>
    </cfRule>
    <cfRule type="expression" dxfId="857" priority="120">
      <formula>AND(AG$9&gt;=14/24,AG$9&lt;20/24)</formula>
    </cfRule>
    <cfRule type="expression" dxfId="856" priority="119">
      <formula>AG$9&gt;=20/24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855" priority="144">
      <formula>AJ$9&gt;=20/24</formula>
    </cfRule>
    <cfRule type="expression" dxfId="854" priority="145">
      <formula>AND(AJ$9&gt;=14/24,AJ$9&lt;20/24)</formula>
    </cfRule>
    <cfRule type="expression" dxfId="853" priority="146">
      <formula>AND(AJ$9&gt;=8/24,AJ$9&lt;14/24)</formula>
    </cfRule>
    <cfRule type="expression" dxfId="852" priority="147">
      <formula>AJ$9&lt;8/24</formula>
    </cfRule>
  </conditionalFormatting>
  <conditionalFormatting sqref="AL88:AN88 AL94:AN94">
    <cfRule type="expression" dxfId="851" priority="113">
      <formula>AND(AL$9&gt;=8/24,AL$9&lt;14/24)</formula>
    </cfRule>
    <cfRule type="expression" dxfId="850" priority="114">
      <formula>AL$9&lt;8/24</formula>
    </cfRule>
    <cfRule type="expression" dxfId="849" priority="112">
      <formula>AND(AL$9&gt;=14/24,AL$9&lt;20/24)</formula>
    </cfRule>
    <cfRule type="expression" dxfId="848" priority="111">
      <formula>AL$9&gt;=20/24</formula>
    </cfRule>
  </conditionalFormatting>
  <conditionalFormatting sqref="AM15:AM21 AN16:AR21">
    <cfRule type="expression" dxfId="847" priority="16">
      <formula>AX$9&lt;8/24</formula>
    </cfRule>
    <cfRule type="expression" dxfId="846" priority="15">
      <formula>AND(AX$9&gt;=8/24,AX$9&lt;14/24)</formula>
    </cfRule>
    <cfRule type="expression" dxfId="845" priority="14">
      <formula>AND(AX$9&gt;=14/24,AX$9&lt;20/24)</formula>
    </cfRule>
    <cfRule type="expression" dxfId="844" priority="13">
      <formula>AX$9&gt;=20/24</formula>
    </cfRule>
  </conditionalFormatting>
  <conditionalFormatting sqref="AN89:AN92">
    <cfRule type="expression" dxfId="843" priority="107">
      <formula>AN$9&gt;=20/24</formula>
    </cfRule>
    <cfRule type="expression" dxfId="842" priority="108">
      <formula>AND(AN$9&gt;=14/24,AN$9&lt;20/24)</formula>
    </cfRule>
    <cfRule type="expression" dxfId="841" priority="109">
      <formula>AND(AN$9&gt;=8/24,AN$9&lt;14/24)</formula>
    </cfRule>
    <cfRule type="expression" dxfId="840" priority="110">
      <formula>AN$9&lt;8/24</formula>
    </cfRule>
  </conditionalFormatting>
  <conditionalFormatting sqref="AN15:AR15">
    <cfRule type="expression" dxfId="839" priority="3">
      <formula>AND(U$9&gt;=8/24,U$9&lt;14/24)</formula>
    </cfRule>
    <cfRule type="expression" dxfId="838" priority="4">
      <formula>U$9&lt;8/24</formula>
    </cfRule>
    <cfRule type="expression" dxfId="837" priority="1">
      <formula>U$9&gt;=20/24</formula>
    </cfRule>
    <cfRule type="expression" dxfId="836" priority="2">
      <formula>AND(U$9&gt;=14/24,U$9&lt;20/24)</formula>
    </cfRule>
  </conditionalFormatting>
  <conditionalFormatting sqref="AS15">
    <cfRule type="expression" dxfId="835" priority="12">
      <formula>AA$9&lt;8/24</formula>
    </cfRule>
    <cfRule type="expression" dxfId="834" priority="11">
      <formula>AND(AA$9&gt;=8/24,AA$9&lt;14/24)</formula>
    </cfRule>
    <cfRule type="expression" dxfId="833" priority="9">
      <formula>AA$9&gt;=20/24</formula>
    </cfRule>
    <cfRule type="expression" dxfId="832" priority="10">
      <formula>AND(AA$9&gt;=14/24,AA$9&lt;20/24)</formula>
    </cfRule>
  </conditionalFormatting>
  <conditionalFormatting sqref="AS16:AS21">
    <cfRule type="expression" dxfId="831" priority="20">
      <formula>BE$9&lt;8/24</formula>
    </cfRule>
    <cfRule type="expression" dxfId="830" priority="18">
      <formula>AND(BE$9&gt;=14/24,BE$9&lt;20/24)</formula>
    </cfRule>
    <cfRule type="expression" dxfId="829" priority="19">
      <formula>AND(BE$9&gt;=8/24,BE$9&lt;14/24)</formula>
    </cfRule>
    <cfRule type="expression" dxfId="828" priority="17">
      <formula>BE$9&gt;=20/24</formula>
    </cfRule>
  </conditionalFormatting>
  <conditionalFormatting sqref="AT15 AX15">
    <cfRule type="expression" dxfId="827" priority="22">
      <formula>AND(AC$9&gt;=14/24,AC$9&lt;20/24)</formula>
    </cfRule>
    <cfRule type="expression" dxfId="826" priority="21">
      <formula>AC$9&gt;=20/24</formula>
    </cfRule>
    <cfRule type="expression" dxfId="825" priority="23">
      <formula>AND(AC$9&gt;=8/24,AC$9&lt;14/24)</formula>
    </cfRule>
    <cfRule type="expression" dxfId="824" priority="24">
      <formula>AC$9&lt;8/24</formula>
    </cfRule>
  </conditionalFormatting>
  <conditionalFormatting sqref="AT16:AT21">
    <cfRule type="expression" dxfId="823" priority="25">
      <formula>BG$9&gt;=20/24</formula>
    </cfRule>
    <cfRule type="expression" dxfId="822" priority="26">
      <formula>AND(BG$9&gt;=14/24,BG$9&lt;20/24)</formula>
    </cfRule>
    <cfRule type="expression" dxfId="821" priority="27">
      <formula>AND(BG$9&gt;=8/24,BG$9&lt;14/24)</formula>
    </cfRule>
    <cfRule type="expression" dxfId="820" priority="28">
      <formula>BG$9&lt;8/24</formula>
    </cfRule>
  </conditionalFormatting>
  <conditionalFormatting sqref="AU15:AV15">
    <cfRule type="expression" dxfId="819" priority="32">
      <formula>AE$9&lt;8/24</formula>
    </cfRule>
    <cfRule type="expression" dxfId="818" priority="29">
      <formula>AE$9&gt;=20/24</formula>
    </cfRule>
    <cfRule type="expression" dxfId="817" priority="30">
      <formula>AND(AE$9&gt;=14/24,AE$9&lt;20/24)</formula>
    </cfRule>
    <cfRule type="expression" dxfId="816" priority="31">
      <formula>AND(AE$9&gt;=8/24,AE$9&lt;14/24)</formula>
    </cfRule>
  </conditionalFormatting>
  <conditionalFormatting sqref="AU16:AX21">
    <cfRule type="expression" dxfId="815" priority="34">
      <formula>AND(BI$9&gt;=14/24,BI$9&lt;20/24)</formula>
    </cfRule>
    <cfRule type="expression" dxfId="814" priority="35">
      <formula>AND(BI$9&gt;=8/24,BI$9&lt;14/24)</formula>
    </cfRule>
    <cfRule type="expression" dxfId="813" priority="36">
      <formula>BI$9&lt;8/24</formula>
    </cfRule>
    <cfRule type="expression" dxfId="812" priority="33">
      <formula>BI$9&gt;=20/24</formula>
    </cfRule>
  </conditionalFormatting>
  <conditionalFormatting sqref="AW15">
    <cfRule type="expression" dxfId="811" priority="6">
      <formula>AND(B$9&gt;=14/24,B$9&lt;20/24)</formula>
    </cfRule>
    <cfRule type="expression" dxfId="810" priority="5">
      <formula>B$9&gt;=20/24</formula>
    </cfRule>
    <cfRule type="expression" dxfId="809" priority="8">
      <formula>B$9&lt;8/24</formula>
    </cfRule>
    <cfRule type="expression" dxfId="808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9A70-5DA9-4477-BF29-FE8889EB6250}">
  <dimension ref="A1:CJ294"/>
  <sheetViews>
    <sheetView zoomScale="25" zoomScaleNormal="25" workbookViewId="0">
      <pane xSplit="1" ySplit="10" topLeftCell="J11" activePane="bottomRight" state="frozen"/>
      <selection activeCell="Z63" sqref="Z63"/>
      <selection pane="topRight" activeCell="Z63" sqref="Z63"/>
      <selection pane="bottomLeft" activeCell="Z63" sqref="Z63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4" width="6.28515625" style="1" bestFit="1" customWidth="1"/>
    <col min="15" max="15" width="7.140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2080/10/27</v>
      </c>
      <c r="C4" s="272"/>
      <c r="D4" s="272"/>
      <c r="E4" s="273" t="str">
        <f ca="1">"2080/"&amp;"10/"&amp;INT(MID(CELL("filename",G6),FIND("]",CELL("filename",G6))+1,200))</f>
        <v>2080/10/27</v>
      </c>
      <c r="F4" s="273"/>
      <c r="G4" s="273"/>
      <c r="H4" s="273" t="str">
        <f ca="1">TEXT(E4,"dddd")</f>
        <v>Sunday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606.5</v>
      </c>
      <c r="C5" s="30">
        <f t="shared" ref="C5:AE5" si="0">D92</f>
        <v>578.70000000000005</v>
      </c>
      <c r="D5" s="30">
        <f t="shared" si="0"/>
        <v>564.20000000000005</v>
      </c>
      <c r="E5" s="30">
        <f t="shared" si="0"/>
        <v>579.6</v>
      </c>
      <c r="F5" s="30">
        <f t="shared" si="0"/>
        <v>615.4</v>
      </c>
      <c r="G5" s="30">
        <f t="shared" si="0"/>
        <v>641.6</v>
      </c>
      <c r="H5" s="30">
        <f t="shared" si="0"/>
        <v>649.4</v>
      </c>
      <c r="I5" s="30">
        <f t="shared" si="0"/>
        <v>641.70000000000005</v>
      </c>
      <c r="J5" s="30">
        <f t="shared" si="0"/>
        <v>512.1</v>
      </c>
      <c r="K5" s="30">
        <f t="shared" si="0"/>
        <v>401.50000000000006</v>
      </c>
      <c r="L5" s="30">
        <f t="shared" si="0"/>
        <v>428.70000000000005</v>
      </c>
      <c r="M5" s="30">
        <f t="shared" si="0"/>
        <v>417.8</v>
      </c>
      <c r="N5" s="30">
        <f t="shared" si="0"/>
        <v>471.4</v>
      </c>
      <c r="O5" s="30">
        <f t="shared" si="0"/>
        <v>646.9</v>
      </c>
      <c r="P5" s="30">
        <f t="shared" si="0"/>
        <v>618.9</v>
      </c>
      <c r="Q5" s="30">
        <f t="shared" si="0"/>
        <v>679.6</v>
      </c>
      <c r="R5" s="30">
        <f t="shared" si="0"/>
        <v>675.30000000000007</v>
      </c>
      <c r="S5" s="30">
        <f t="shared" si="0"/>
        <v>800.1</v>
      </c>
      <c r="T5" s="30">
        <f t="shared" si="0"/>
        <v>822</v>
      </c>
      <c r="U5" s="30">
        <f t="shared" si="0"/>
        <v>757.8</v>
      </c>
      <c r="V5" s="30">
        <f t="shared" si="0"/>
        <v>746.2</v>
      </c>
      <c r="W5" s="30">
        <f t="shared" si="0"/>
        <v>763</v>
      </c>
      <c r="X5" s="30">
        <f t="shared" si="0"/>
        <v>739.9</v>
      </c>
      <c r="Y5" s="30">
        <f t="shared" si="0"/>
        <v>644.4</v>
      </c>
      <c r="Z5" s="30">
        <f t="shared" si="0"/>
        <v>644.59999999999991</v>
      </c>
      <c r="AA5" s="30">
        <f t="shared" si="0"/>
        <v>611.90000000000009</v>
      </c>
      <c r="AB5" s="30">
        <f t="shared" si="0"/>
        <v>643.29999999999995</v>
      </c>
      <c r="AC5" s="30">
        <f t="shared" si="0"/>
        <v>671.40000000000009</v>
      </c>
      <c r="AD5" s="30">
        <f t="shared" si="0"/>
        <v>623.4</v>
      </c>
      <c r="AE5" s="30">
        <f t="shared" si="0"/>
        <v>674.90000000000009</v>
      </c>
      <c r="AF5" s="30">
        <f>B92</f>
        <v>617.6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1676MW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Load=1139</v>
      </c>
      <c r="B7" s="35">
        <f>B100</f>
        <v>1207.79</v>
      </c>
      <c r="C7" s="35">
        <f t="shared" ref="C7:AF7" si="1">C100</f>
        <v>1182.0900000000001</v>
      </c>
      <c r="D7" s="35">
        <f t="shared" si="1"/>
        <v>1154.29</v>
      </c>
      <c r="E7" s="35">
        <f t="shared" si="1"/>
        <v>1139.49</v>
      </c>
      <c r="F7" s="35">
        <f t="shared" si="1"/>
        <v>1155.19</v>
      </c>
      <c r="G7" s="35">
        <f t="shared" si="1"/>
        <v>1186.79</v>
      </c>
      <c r="H7" s="35">
        <f t="shared" si="1"/>
        <v>1254.19</v>
      </c>
      <c r="I7" s="35">
        <f t="shared" si="1"/>
        <v>1372.3899999999999</v>
      </c>
      <c r="J7" s="35">
        <f t="shared" si="1"/>
        <v>1461.49</v>
      </c>
      <c r="K7" s="35">
        <f t="shared" si="1"/>
        <v>1500.5900000000001</v>
      </c>
      <c r="L7" s="35">
        <f t="shared" si="1"/>
        <v>1646.99</v>
      </c>
      <c r="M7" s="35">
        <f t="shared" si="1"/>
        <v>1675.99</v>
      </c>
      <c r="N7" s="35">
        <f t="shared" si="1"/>
        <v>1597.09</v>
      </c>
      <c r="O7" s="35">
        <f t="shared" si="1"/>
        <v>1554.79</v>
      </c>
      <c r="P7" s="35">
        <f t="shared" si="1"/>
        <v>1500.5900000000001</v>
      </c>
      <c r="Q7" s="35">
        <f t="shared" si="1"/>
        <v>1426.5900000000001</v>
      </c>
      <c r="R7" s="35">
        <f t="shared" si="1"/>
        <v>1472.5900000000001</v>
      </c>
      <c r="S7" s="35">
        <f t="shared" si="1"/>
        <v>1459.29</v>
      </c>
      <c r="T7" s="35">
        <f t="shared" si="1"/>
        <v>1523.23</v>
      </c>
      <c r="U7" s="35">
        <f t="shared" si="1"/>
        <v>1570.03</v>
      </c>
      <c r="V7" s="35">
        <f t="shared" si="1"/>
        <v>1483.19</v>
      </c>
      <c r="W7" s="35">
        <f t="shared" si="1"/>
        <v>1570.29</v>
      </c>
      <c r="X7" s="35">
        <f t="shared" si="1"/>
        <v>1625.49</v>
      </c>
      <c r="Y7" s="35">
        <f t="shared" si="1"/>
        <v>1788.0500000000002</v>
      </c>
      <c r="Z7" s="35">
        <f t="shared" si="1"/>
        <v>1787.25</v>
      </c>
      <c r="AA7" s="35">
        <f t="shared" si="1"/>
        <v>1723.8899999999999</v>
      </c>
      <c r="AB7" s="35">
        <f t="shared" si="1"/>
        <v>1596.89</v>
      </c>
      <c r="AC7" s="35">
        <f t="shared" si="1"/>
        <v>1512.8899999999999</v>
      </c>
      <c r="AD7" s="35">
        <f t="shared" si="1"/>
        <v>1502.69</v>
      </c>
      <c r="AE7" s="35">
        <f t="shared" si="1"/>
        <v>1363.29</v>
      </c>
      <c r="AF7" s="35">
        <f t="shared" si="1"/>
        <v>1279.8900000000001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1675.99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1675.99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26.1</v>
      </c>
      <c r="C11" s="45">
        <v>26.1</v>
      </c>
      <c r="D11" s="45">
        <v>26.1</v>
      </c>
      <c r="E11" s="45">
        <v>26.1</v>
      </c>
      <c r="F11" s="45">
        <v>26.1</v>
      </c>
      <c r="G11" s="45">
        <v>26.1</v>
      </c>
      <c r="H11" s="45">
        <v>26.1</v>
      </c>
      <c r="I11" s="45">
        <v>26.1</v>
      </c>
      <c r="J11" s="45">
        <v>26.1</v>
      </c>
      <c r="K11" s="45">
        <v>26.1</v>
      </c>
      <c r="L11" s="45">
        <v>26.1</v>
      </c>
      <c r="M11" s="45">
        <v>25</v>
      </c>
      <c r="N11" s="45">
        <v>24</v>
      </c>
      <c r="O11" s="45">
        <v>21.8</v>
      </c>
      <c r="P11" s="45">
        <v>21.8</v>
      </c>
      <c r="Q11" s="45">
        <v>21.8</v>
      </c>
      <c r="R11" s="45">
        <v>21.8</v>
      </c>
      <c r="S11" s="45">
        <v>21.8</v>
      </c>
      <c r="T11" s="45">
        <v>21.8</v>
      </c>
      <c r="U11" s="45">
        <v>21.8</v>
      </c>
      <c r="V11" s="45">
        <v>21.8</v>
      </c>
      <c r="W11" s="45">
        <v>24.7</v>
      </c>
      <c r="X11" s="45">
        <v>24.7</v>
      </c>
      <c r="Y11" s="45">
        <v>25.4</v>
      </c>
      <c r="Z11" s="45">
        <v>25.4</v>
      </c>
      <c r="AA11" s="45">
        <v>25.4</v>
      </c>
      <c r="AB11" s="45">
        <v>25.4</v>
      </c>
      <c r="AC11" s="45">
        <v>25.4</v>
      </c>
      <c r="AD11" s="45">
        <v>25.4</v>
      </c>
      <c r="AE11" s="45">
        <v>25.4</v>
      </c>
      <c r="AF11" s="45">
        <v>25.4</v>
      </c>
      <c r="AG11" s="46">
        <v>86</v>
      </c>
      <c r="AH11" s="47">
        <f t="shared" ref="AH11:AH16" si="2">MAX(B11:AF11)</f>
        <v>26.1</v>
      </c>
      <c r="AI11" s="48">
        <f t="shared" ref="AI11:AI16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27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11</v>
      </c>
      <c r="C13" s="45">
        <v>11</v>
      </c>
      <c r="D13" s="45">
        <v>11</v>
      </c>
      <c r="E13" s="45">
        <v>11</v>
      </c>
      <c r="F13" s="45">
        <v>11</v>
      </c>
      <c r="G13" s="45">
        <v>11</v>
      </c>
      <c r="H13" s="45">
        <v>11</v>
      </c>
      <c r="I13" s="45">
        <v>11</v>
      </c>
      <c r="J13" s="45">
        <v>11</v>
      </c>
      <c r="K13" s="45">
        <v>11</v>
      </c>
      <c r="L13" s="45">
        <v>11</v>
      </c>
      <c r="M13" s="45">
        <v>11</v>
      </c>
      <c r="N13" s="45">
        <v>11</v>
      </c>
      <c r="O13" s="45">
        <v>11</v>
      </c>
      <c r="P13" s="45">
        <v>11</v>
      </c>
      <c r="Q13" s="45">
        <v>11</v>
      </c>
      <c r="R13" s="45">
        <v>11</v>
      </c>
      <c r="S13" s="45">
        <v>11</v>
      </c>
      <c r="T13" s="45">
        <v>11</v>
      </c>
      <c r="U13" s="45">
        <v>11</v>
      </c>
      <c r="V13" s="45">
        <v>11</v>
      </c>
      <c r="W13" s="45">
        <v>9.5</v>
      </c>
      <c r="X13" s="45">
        <v>9.5</v>
      </c>
      <c r="Y13" s="45">
        <v>9.9</v>
      </c>
      <c r="Z13" s="45">
        <v>9.9</v>
      </c>
      <c r="AA13" s="45">
        <v>9.9</v>
      </c>
      <c r="AB13" s="45">
        <v>9.9</v>
      </c>
      <c r="AC13" s="45">
        <v>9.9</v>
      </c>
      <c r="AD13" s="45">
        <v>9.9</v>
      </c>
      <c r="AE13" s="45">
        <v>9.9</v>
      </c>
      <c r="AF13" s="45">
        <v>9.9</v>
      </c>
      <c r="AG13" s="49">
        <v>54</v>
      </c>
      <c r="AH13" s="47">
        <f t="shared" si="2"/>
        <v>11</v>
      </c>
      <c r="AI13" s="48">
        <f t="shared" si="3"/>
        <v>9.5</v>
      </c>
      <c r="AK13" s="50"/>
      <c r="AL13" s="157" t="str">
        <f ca="1">"Daily Load Curve(Excluding of Export) of Nepal ("&amp;A4&amp;" "&amp;B4&amp;")"</f>
        <v>Daily Load Curve(Excluding of Export) of Nepal (Nepali Date: 2080/10/27)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13.2</v>
      </c>
      <c r="C14" s="45">
        <v>13.2</v>
      </c>
      <c r="D14" s="45">
        <v>13.2</v>
      </c>
      <c r="E14" s="45">
        <v>13.2</v>
      </c>
      <c r="F14" s="45">
        <v>13.2</v>
      </c>
      <c r="G14" s="45">
        <v>13.2</v>
      </c>
      <c r="H14" s="45">
        <v>13.2</v>
      </c>
      <c r="I14" s="45">
        <v>13.2</v>
      </c>
      <c r="J14" s="45">
        <v>13.2</v>
      </c>
      <c r="K14" s="45">
        <v>13.2</v>
      </c>
      <c r="L14" s="45">
        <v>13.2</v>
      </c>
      <c r="M14" s="45">
        <v>13.2</v>
      </c>
      <c r="N14" s="45">
        <v>13.2</v>
      </c>
      <c r="O14" s="45">
        <v>13.2</v>
      </c>
      <c r="P14" s="45">
        <v>13.2</v>
      </c>
      <c r="Q14" s="45">
        <v>13.2</v>
      </c>
      <c r="R14" s="45">
        <v>13.2</v>
      </c>
      <c r="S14" s="45">
        <v>13.2</v>
      </c>
      <c r="T14" s="45">
        <v>13.2</v>
      </c>
      <c r="U14" s="45">
        <v>13.2</v>
      </c>
      <c r="V14" s="45">
        <v>13.2</v>
      </c>
      <c r="W14" s="45">
        <v>12.9</v>
      </c>
      <c r="X14" s="45">
        <v>12.9</v>
      </c>
      <c r="Y14" s="45">
        <v>13.5</v>
      </c>
      <c r="Z14" s="45">
        <v>13.5</v>
      </c>
      <c r="AA14" s="45">
        <v>13.5</v>
      </c>
      <c r="AB14" s="45">
        <v>13.5</v>
      </c>
      <c r="AC14" s="45">
        <v>13.5</v>
      </c>
      <c r="AD14" s="45">
        <v>13.5</v>
      </c>
      <c r="AE14" s="45">
        <v>13.5</v>
      </c>
      <c r="AF14" s="45">
        <v>13.5</v>
      </c>
      <c r="AG14" s="46">
        <v>52.4</v>
      </c>
      <c r="AH14" s="47">
        <f t="shared" si="2"/>
        <v>13.5</v>
      </c>
      <c r="AI14" s="48">
        <f t="shared" si="3"/>
        <v>12.9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</v>
      </c>
      <c r="C15" s="45">
        <v>25</v>
      </c>
      <c r="D15" s="45">
        <v>25</v>
      </c>
      <c r="E15" s="45">
        <v>25</v>
      </c>
      <c r="F15" s="45">
        <v>25</v>
      </c>
      <c r="G15" s="45">
        <v>25</v>
      </c>
      <c r="H15" s="45">
        <v>25</v>
      </c>
      <c r="I15" s="45">
        <v>25</v>
      </c>
      <c r="J15" s="45">
        <v>25</v>
      </c>
      <c r="K15" s="45">
        <v>25</v>
      </c>
      <c r="L15" s="45">
        <v>25</v>
      </c>
      <c r="M15" s="45">
        <v>25</v>
      </c>
      <c r="N15" s="45">
        <v>25</v>
      </c>
      <c r="O15" s="45">
        <v>25</v>
      </c>
      <c r="P15" s="45">
        <v>25</v>
      </c>
      <c r="Q15" s="45">
        <v>25</v>
      </c>
      <c r="R15" s="45">
        <v>25</v>
      </c>
      <c r="S15" s="45">
        <v>25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51">
        <v>25</v>
      </c>
      <c r="Z15" s="51">
        <v>25</v>
      </c>
      <c r="AA15" s="51">
        <v>25</v>
      </c>
      <c r="AB15" s="51">
        <v>25</v>
      </c>
      <c r="AC15" s="51">
        <v>25</v>
      </c>
      <c r="AD15" s="51">
        <v>25</v>
      </c>
      <c r="AE15" s="51">
        <v>25</v>
      </c>
      <c r="AF15" s="51">
        <v>25</v>
      </c>
      <c r="AG15" s="49">
        <v>50</v>
      </c>
      <c r="AH15" s="47">
        <f t="shared" si="2"/>
        <v>25</v>
      </c>
      <c r="AI15" s="48">
        <f t="shared" si="3"/>
        <v>25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12.9</v>
      </c>
      <c r="C16" s="45">
        <v>12.9</v>
      </c>
      <c r="D16" s="45">
        <v>12.9</v>
      </c>
      <c r="E16" s="45">
        <v>12.9</v>
      </c>
      <c r="F16" s="45">
        <v>12.9</v>
      </c>
      <c r="G16" s="45">
        <v>12.9</v>
      </c>
      <c r="H16" s="45">
        <v>12.9</v>
      </c>
      <c r="I16" s="45">
        <v>12.9</v>
      </c>
      <c r="J16" s="45">
        <v>12.9</v>
      </c>
      <c r="K16" s="45">
        <v>12.9</v>
      </c>
      <c r="L16" s="45">
        <v>12.9</v>
      </c>
      <c r="M16" s="45">
        <v>12.9</v>
      </c>
      <c r="N16" s="45">
        <v>12.9</v>
      </c>
      <c r="O16" s="45">
        <v>12.9</v>
      </c>
      <c r="P16" s="45">
        <v>12.9</v>
      </c>
      <c r="Q16" s="45">
        <v>12.9</v>
      </c>
      <c r="R16" s="45">
        <v>12.9</v>
      </c>
      <c r="S16" s="45">
        <v>12.9</v>
      </c>
      <c r="T16" s="45">
        <v>12.9</v>
      </c>
      <c r="U16" s="45">
        <v>12.9</v>
      </c>
      <c r="V16" s="45">
        <v>12.9</v>
      </c>
      <c r="W16" s="45">
        <v>15.5</v>
      </c>
      <c r="X16" s="45">
        <v>15.5</v>
      </c>
      <c r="Y16" s="45">
        <v>16.899999999999999</v>
      </c>
      <c r="Z16" s="45">
        <v>16.899999999999999</v>
      </c>
      <c r="AA16" s="45">
        <v>16.899999999999999</v>
      </c>
      <c r="AB16" s="45">
        <v>16.899999999999999</v>
      </c>
      <c r="AC16" s="45">
        <v>16.899999999999999</v>
      </c>
      <c r="AD16" s="45">
        <v>16.899999999999999</v>
      </c>
      <c r="AE16" s="45">
        <v>16.899999999999999</v>
      </c>
      <c r="AF16" s="45">
        <v>16.899999999999999</v>
      </c>
      <c r="AG16" s="49">
        <v>45</v>
      </c>
      <c r="AH16" s="47">
        <f t="shared" si="2"/>
        <v>16.899999999999999</v>
      </c>
      <c r="AI16" s="48">
        <f t="shared" si="3"/>
        <v>12.9</v>
      </c>
      <c r="AK16" s="50"/>
      <c r="AL16" s="160" t="s">
        <v>7</v>
      </c>
      <c r="AM16" s="227">
        <f>B58</f>
        <v>467.35</v>
      </c>
      <c r="AN16" s="227">
        <f t="shared" ref="AN16:AR16" si="4">C58</f>
        <v>467.75</v>
      </c>
      <c r="AO16" s="227">
        <f t="shared" si="4"/>
        <v>467.75</v>
      </c>
      <c r="AP16" s="227">
        <f t="shared" si="4"/>
        <v>467.75</v>
      </c>
      <c r="AQ16" s="227">
        <f t="shared" si="4"/>
        <v>467.75</v>
      </c>
      <c r="AR16" s="227">
        <f t="shared" si="4"/>
        <v>467.75</v>
      </c>
      <c r="AS16" s="227">
        <f>I58</f>
        <v>467.75</v>
      </c>
      <c r="AT16" s="227">
        <f>K58</f>
        <v>467.75</v>
      </c>
      <c r="AU16" s="227">
        <f t="shared" ref="AU16:AX16" si="5">M58</f>
        <v>466.65000000000003</v>
      </c>
      <c r="AV16" s="227">
        <f t="shared" si="5"/>
        <v>465.65000000000003</v>
      </c>
      <c r="AW16" s="227">
        <f t="shared" si="5"/>
        <v>463.45</v>
      </c>
      <c r="AX16" s="227">
        <f t="shared" si="5"/>
        <v>463.45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52.5</v>
      </c>
      <c r="AN17" s="227">
        <f t="shared" ref="AN17:AR17" si="6">C62</f>
        <v>37.5</v>
      </c>
      <c r="AO17" s="227">
        <f t="shared" si="6"/>
        <v>37.5</v>
      </c>
      <c r="AP17" s="227">
        <f t="shared" si="6"/>
        <v>37.5</v>
      </c>
      <c r="AQ17" s="227">
        <f t="shared" si="6"/>
        <v>37.5</v>
      </c>
      <c r="AR17" s="227">
        <f t="shared" si="6"/>
        <v>33.6</v>
      </c>
      <c r="AS17" s="227">
        <f>I62</f>
        <v>33.6</v>
      </c>
      <c r="AT17" s="227">
        <f>K62</f>
        <v>95.6</v>
      </c>
      <c r="AU17" s="227">
        <f t="shared" ref="AU17:AX17" si="7">M62</f>
        <v>277.2</v>
      </c>
      <c r="AV17" s="227">
        <f t="shared" si="7"/>
        <v>236.2</v>
      </c>
      <c r="AW17" s="227">
        <f t="shared" si="7"/>
        <v>166.2</v>
      </c>
      <c r="AX17" s="227">
        <f t="shared" si="7"/>
        <v>86.3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</v>
      </c>
      <c r="C18" s="45">
        <v>6</v>
      </c>
      <c r="D18" s="45">
        <v>6</v>
      </c>
      <c r="E18" s="45">
        <v>6</v>
      </c>
      <c r="F18" s="45">
        <v>6</v>
      </c>
      <c r="G18" s="45">
        <v>6</v>
      </c>
      <c r="H18" s="45">
        <v>6</v>
      </c>
      <c r="I18" s="45">
        <v>6</v>
      </c>
      <c r="J18" s="45">
        <v>6</v>
      </c>
      <c r="K18" s="45">
        <v>6</v>
      </c>
      <c r="L18" s="45">
        <v>6</v>
      </c>
      <c r="M18" s="45">
        <v>6</v>
      </c>
      <c r="N18" s="45">
        <v>6</v>
      </c>
      <c r="O18" s="45">
        <v>6</v>
      </c>
      <c r="P18" s="45">
        <v>6</v>
      </c>
      <c r="Q18" s="45">
        <v>6</v>
      </c>
      <c r="R18" s="45">
        <v>6</v>
      </c>
      <c r="S18" s="45">
        <v>6</v>
      </c>
      <c r="T18" s="45">
        <v>6</v>
      </c>
      <c r="U18" s="45">
        <v>6</v>
      </c>
      <c r="V18" s="45">
        <v>6</v>
      </c>
      <c r="W18" s="45">
        <v>6.5</v>
      </c>
      <c r="X18" s="45">
        <v>6.5</v>
      </c>
      <c r="Y18" s="45">
        <v>6.5</v>
      </c>
      <c r="Z18" s="45">
        <v>6.5</v>
      </c>
      <c r="AA18" s="45">
        <v>6.5</v>
      </c>
      <c r="AB18" s="45">
        <v>6.5</v>
      </c>
      <c r="AC18" s="45">
        <v>6.5</v>
      </c>
      <c r="AD18" s="45">
        <v>6.5</v>
      </c>
      <c r="AE18" s="45">
        <v>6.5</v>
      </c>
      <c r="AF18" s="45">
        <v>6.5</v>
      </c>
      <c r="AG18" s="49">
        <v>42</v>
      </c>
      <c r="AH18" s="47">
        <f t="shared" ref="AH18:AH81" si="8">MAX(B18:AF18)</f>
        <v>6.5</v>
      </c>
      <c r="AI18" s="48">
        <f t="shared" ref="AI18:AI81" si="9">MIN(B18:AF18)</f>
        <v>6</v>
      </c>
      <c r="AK18" s="50"/>
      <c r="AL18" s="160" t="s">
        <v>593</v>
      </c>
      <c r="AM18" s="227">
        <f>B76</f>
        <v>70.34</v>
      </c>
      <c r="AN18" s="227">
        <f t="shared" ref="AN18:AR18" si="10">C76</f>
        <v>70.34</v>
      </c>
      <c r="AO18" s="227">
        <f t="shared" si="10"/>
        <v>70.34</v>
      </c>
      <c r="AP18" s="227">
        <f t="shared" si="10"/>
        <v>70.04000000000002</v>
      </c>
      <c r="AQ18" s="227">
        <f t="shared" si="10"/>
        <v>70.34</v>
      </c>
      <c r="AR18" s="227">
        <f t="shared" si="10"/>
        <v>70.04000000000002</v>
      </c>
      <c r="AS18" s="227">
        <f>I76</f>
        <v>186.64</v>
      </c>
      <c r="AT18" s="227">
        <f>K76</f>
        <v>245.13999999999996</v>
      </c>
      <c r="AU18" s="227">
        <f t="shared" ref="AU18:AX18" si="11">M76</f>
        <v>263.44</v>
      </c>
      <c r="AV18" s="227">
        <f t="shared" si="11"/>
        <v>247.44</v>
      </c>
      <c r="AW18" s="227">
        <f t="shared" si="11"/>
        <v>253.73999999999998</v>
      </c>
      <c r="AX18" s="227">
        <f t="shared" si="11"/>
        <v>303.94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617.6</v>
      </c>
      <c r="AN19" s="227">
        <f t="shared" ref="AN19:AR19" si="12">C92</f>
        <v>606.5</v>
      </c>
      <c r="AO19" s="227">
        <f t="shared" si="12"/>
        <v>578.70000000000005</v>
      </c>
      <c r="AP19" s="227">
        <f t="shared" si="12"/>
        <v>564.20000000000005</v>
      </c>
      <c r="AQ19" s="227">
        <f t="shared" si="12"/>
        <v>579.6</v>
      </c>
      <c r="AR19" s="227">
        <f t="shared" si="12"/>
        <v>615.4</v>
      </c>
      <c r="AS19" s="227">
        <f>I92</f>
        <v>649.4</v>
      </c>
      <c r="AT19" s="227">
        <f>K92</f>
        <v>512.1</v>
      </c>
      <c r="AU19" s="227">
        <f t="shared" ref="AU19:AX19" si="13">M92</f>
        <v>428.70000000000005</v>
      </c>
      <c r="AV19" s="227">
        <f t="shared" si="13"/>
        <v>417.8</v>
      </c>
      <c r="AW19" s="227">
        <f t="shared" si="13"/>
        <v>471.4</v>
      </c>
      <c r="AX19" s="227">
        <f t="shared" si="13"/>
        <v>646.9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35</v>
      </c>
      <c r="AT21" s="227">
        <f>K98</f>
        <v>180</v>
      </c>
      <c r="AU21" s="227">
        <f t="shared" ref="AU21:AX21" si="17">M98</f>
        <v>240</v>
      </c>
      <c r="AV21" s="227">
        <f t="shared" si="17"/>
        <v>230</v>
      </c>
      <c r="AW21" s="227">
        <f t="shared" si="17"/>
        <v>200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6.7</v>
      </c>
      <c r="C22" s="45">
        <v>6.7</v>
      </c>
      <c r="D22" s="45">
        <v>6.7</v>
      </c>
      <c r="E22" s="45">
        <v>6.7</v>
      </c>
      <c r="F22" s="45">
        <v>6.7</v>
      </c>
      <c r="G22" s="45">
        <v>6.7</v>
      </c>
      <c r="H22" s="45">
        <v>6.7</v>
      </c>
      <c r="I22" s="45">
        <v>6.7</v>
      </c>
      <c r="J22" s="45">
        <v>6.7</v>
      </c>
      <c r="K22" s="45">
        <v>6.7</v>
      </c>
      <c r="L22" s="45">
        <v>6.7</v>
      </c>
      <c r="M22" s="45">
        <v>6.7</v>
      </c>
      <c r="N22" s="45">
        <v>6.7</v>
      </c>
      <c r="O22" s="45">
        <v>6.7</v>
      </c>
      <c r="P22" s="45">
        <v>6.7</v>
      </c>
      <c r="Q22" s="45">
        <v>6.7</v>
      </c>
      <c r="R22" s="45">
        <v>6.7</v>
      </c>
      <c r="S22" s="45">
        <v>6.7</v>
      </c>
      <c r="T22" s="45">
        <v>6.7</v>
      </c>
      <c r="U22" s="45">
        <v>6.7</v>
      </c>
      <c r="V22" s="45">
        <v>6.7</v>
      </c>
      <c r="W22" s="45">
        <v>6.6</v>
      </c>
      <c r="X22" s="45">
        <v>6.6</v>
      </c>
      <c r="Y22" s="45">
        <v>7.6</v>
      </c>
      <c r="Z22" s="45">
        <v>7.6</v>
      </c>
      <c r="AA22" s="45">
        <v>7.6</v>
      </c>
      <c r="AB22" s="45">
        <v>7.6</v>
      </c>
      <c r="AC22" s="45">
        <v>7.6</v>
      </c>
      <c r="AD22" s="45">
        <v>7.6</v>
      </c>
      <c r="AE22" s="45">
        <v>7.6</v>
      </c>
      <c r="AF22" s="45">
        <v>7.6</v>
      </c>
      <c r="AG22" s="52">
        <v>30</v>
      </c>
      <c r="AH22" s="47">
        <f t="shared" si="8"/>
        <v>7.6</v>
      </c>
      <c r="AI22" s="48">
        <f t="shared" si="9"/>
        <v>6.6</v>
      </c>
      <c r="AK22" s="50"/>
      <c r="AL22" s="229" t="s">
        <v>597</v>
      </c>
      <c r="AM22" s="228">
        <f>SUM(AM16:AM21)</f>
        <v>1207.79</v>
      </c>
      <c r="AN22" s="228">
        <f t="shared" ref="AN22:AX22" si="18">SUM(AN16:AN21)</f>
        <v>1182.0900000000001</v>
      </c>
      <c r="AO22" s="228">
        <f t="shared" si="18"/>
        <v>1154.29</v>
      </c>
      <c r="AP22" s="228">
        <f t="shared" si="18"/>
        <v>1139.49</v>
      </c>
      <c r="AQ22" s="228">
        <f t="shared" si="18"/>
        <v>1155.19</v>
      </c>
      <c r="AR22" s="228">
        <f t="shared" si="18"/>
        <v>1186.79</v>
      </c>
      <c r="AS22" s="228">
        <f t="shared" si="18"/>
        <v>1372.3899999999999</v>
      </c>
      <c r="AT22" s="228">
        <f t="shared" si="18"/>
        <v>1500.5900000000001</v>
      </c>
      <c r="AU22" s="228">
        <f t="shared" si="18"/>
        <v>1675.99</v>
      </c>
      <c r="AV22" s="228">
        <f t="shared" si="18"/>
        <v>1597.09</v>
      </c>
      <c r="AW22" s="228">
        <f t="shared" si="18"/>
        <v>1554.79</v>
      </c>
      <c r="AX22" s="228">
        <f t="shared" si="18"/>
        <v>1500.5900000000001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6.7</v>
      </c>
      <c r="C24" s="45">
        <v>6.7</v>
      </c>
      <c r="D24" s="45">
        <v>6.7</v>
      </c>
      <c r="E24" s="45">
        <v>6.7</v>
      </c>
      <c r="F24" s="45">
        <v>6.7</v>
      </c>
      <c r="G24" s="45">
        <v>6.7</v>
      </c>
      <c r="H24" s="45">
        <v>6.7</v>
      </c>
      <c r="I24" s="45">
        <v>6.7</v>
      </c>
      <c r="J24" s="45">
        <v>6.7</v>
      </c>
      <c r="K24" s="45">
        <v>6.7</v>
      </c>
      <c r="L24" s="45">
        <v>6.7</v>
      </c>
      <c r="M24" s="45">
        <v>6.7</v>
      </c>
      <c r="N24" s="45">
        <v>6.7</v>
      </c>
      <c r="O24" s="45">
        <v>6.7</v>
      </c>
      <c r="P24" s="45">
        <v>6.7</v>
      </c>
      <c r="Q24" s="45">
        <v>6.7</v>
      </c>
      <c r="R24" s="45">
        <v>6.7</v>
      </c>
      <c r="S24" s="45">
        <v>6.7</v>
      </c>
      <c r="T24" s="45">
        <v>6.7</v>
      </c>
      <c r="U24" s="45">
        <v>6.7</v>
      </c>
      <c r="V24" s="45">
        <v>6.7</v>
      </c>
      <c r="W24" s="45">
        <v>5.4</v>
      </c>
      <c r="X24" s="45">
        <v>5.4</v>
      </c>
      <c r="Y24" s="45">
        <v>6.3</v>
      </c>
      <c r="Z24" s="45">
        <v>6.3</v>
      </c>
      <c r="AA24" s="45">
        <v>6.3</v>
      </c>
      <c r="AB24" s="45">
        <v>6.3</v>
      </c>
      <c r="AC24" s="45">
        <v>6.3</v>
      </c>
      <c r="AD24" s="45">
        <v>6.3</v>
      </c>
      <c r="AE24" s="45">
        <v>6.3</v>
      </c>
      <c r="AF24" s="45">
        <v>6.3</v>
      </c>
      <c r="AG24" s="49">
        <v>28</v>
      </c>
      <c r="AH24" s="47">
        <f t="shared" si="8"/>
        <v>6.7</v>
      </c>
      <c r="AI24" s="48">
        <f t="shared" si="9"/>
        <v>5.4</v>
      </c>
      <c r="AK24" s="50"/>
      <c r="AL24" s="229" t="s">
        <v>598</v>
      </c>
      <c r="AM24" s="228">
        <f>AM22+AM23</f>
        <v>1207.79</v>
      </c>
      <c r="AN24" s="228">
        <f t="shared" ref="AN24:AX24" si="21">AN22+AN23</f>
        <v>1182.0900000000001</v>
      </c>
      <c r="AO24" s="228">
        <f t="shared" si="21"/>
        <v>1154.29</v>
      </c>
      <c r="AP24" s="228">
        <f t="shared" si="21"/>
        <v>1139.49</v>
      </c>
      <c r="AQ24" s="228">
        <f t="shared" si="21"/>
        <v>1155.19</v>
      </c>
      <c r="AR24" s="228">
        <f t="shared" si="21"/>
        <v>1186.79</v>
      </c>
      <c r="AS24" s="228">
        <f t="shared" si="21"/>
        <v>1372.3899999999999</v>
      </c>
      <c r="AT24" s="228">
        <f t="shared" si="21"/>
        <v>1500.5900000000001</v>
      </c>
      <c r="AU24" s="228">
        <f t="shared" si="21"/>
        <v>1675.99</v>
      </c>
      <c r="AV24" s="228">
        <f t="shared" si="21"/>
        <v>1597.09</v>
      </c>
      <c r="AW24" s="228">
        <f t="shared" si="21"/>
        <v>1554.79</v>
      </c>
      <c r="AX24" s="228">
        <f t="shared" si="21"/>
        <v>1500.5900000000001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5.2</v>
      </c>
      <c r="C25" s="45">
        <v>5.2</v>
      </c>
      <c r="D25" s="45">
        <v>5.2</v>
      </c>
      <c r="E25" s="45">
        <v>5.2</v>
      </c>
      <c r="F25" s="45">
        <v>5.2</v>
      </c>
      <c r="G25" s="45">
        <v>5.2</v>
      </c>
      <c r="H25" s="45">
        <v>5.2</v>
      </c>
      <c r="I25" s="45">
        <v>5.2</v>
      </c>
      <c r="J25" s="45">
        <v>5.2</v>
      </c>
      <c r="K25" s="45">
        <v>5.2</v>
      </c>
      <c r="L25" s="45">
        <v>5.2</v>
      </c>
      <c r="M25" s="45">
        <v>5.2</v>
      </c>
      <c r="N25" s="45">
        <v>5.2</v>
      </c>
      <c r="O25" s="45">
        <v>5.2</v>
      </c>
      <c r="P25" s="45">
        <v>5.2</v>
      </c>
      <c r="Q25" s="45">
        <v>5.2</v>
      </c>
      <c r="R25" s="45">
        <v>5.2</v>
      </c>
      <c r="S25" s="45">
        <v>5.2</v>
      </c>
      <c r="T25" s="45">
        <v>5.2</v>
      </c>
      <c r="U25" s="45">
        <v>5.2</v>
      </c>
      <c r="V25" s="45">
        <v>5.2</v>
      </c>
      <c r="W25" s="45">
        <v>0</v>
      </c>
      <c r="X25" s="45">
        <v>0</v>
      </c>
      <c r="Y25" s="45">
        <v>9.3000000000000007</v>
      </c>
      <c r="Z25" s="45">
        <v>9.3000000000000007</v>
      </c>
      <c r="AA25" s="45">
        <v>9.3000000000000007</v>
      </c>
      <c r="AB25" s="45">
        <v>9.3000000000000007</v>
      </c>
      <c r="AC25" s="45">
        <v>9.3000000000000007</v>
      </c>
      <c r="AD25" s="45">
        <v>9.3000000000000007</v>
      </c>
      <c r="AE25" s="45">
        <v>9.3000000000000007</v>
      </c>
      <c r="AF25" s="45">
        <v>9.3000000000000007</v>
      </c>
      <c r="AG25" s="52">
        <v>30</v>
      </c>
      <c r="AH25" s="47">
        <f t="shared" si="8"/>
        <v>9.3000000000000007</v>
      </c>
      <c r="AI25" s="48">
        <f t="shared" si="9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8.3000000000000007</v>
      </c>
      <c r="C26" s="45">
        <v>8.3000000000000007</v>
      </c>
      <c r="D26" s="45">
        <v>8.3000000000000007</v>
      </c>
      <c r="E26" s="45">
        <v>8.3000000000000007</v>
      </c>
      <c r="F26" s="45">
        <v>8.3000000000000007</v>
      </c>
      <c r="G26" s="45">
        <v>8.3000000000000007</v>
      </c>
      <c r="H26" s="45">
        <v>8.3000000000000007</v>
      </c>
      <c r="I26" s="45">
        <v>8.3000000000000007</v>
      </c>
      <c r="J26" s="45">
        <v>8.3000000000000007</v>
      </c>
      <c r="K26" s="45">
        <v>8.3000000000000007</v>
      </c>
      <c r="L26" s="45">
        <v>8.3000000000000007</v>
      </c>
      <c r="M26" s="45">
        <v>8.3000000000000007</v>
      </c>
      <c r="N26" s="45">
        <v>8.3000000000000007</v>
      </c>
      <c r="O26" s="45">
        <v>8.3000000000000007</v>
      </c>
      <c r="P26" s="45">
        <v>8.3000000000000007</v>
      </c>
      <c r="Q26" s="45">
        <v>8.3000000000000007</v>
      </c>
      <c r="R26" s="45">
        <v>8.3000000000000007</v>
      </c>
      <c r="S26" s="45">
        <v>8.3000000000000007</v>
      </c>
      <c r="T26" s="45">
        <v>8.3000000000000007</v>
      </c>
      <c r="U26" s="45">
        <v>8.3000000000000007</v>
      </c>
      <c r="V26" s="45">
        <v>8.3000000000000007</v>
      </c>
      <c r="W26" s="45">
        <v>6.3</v>
      </c>
      <c r="X26" s="45">
        <v>6.3</v>
      </c>
      <c r="Y26" s="45">
        <v>8.6999999999999993</v>
      </c>
      <c r="Z26" s="45">
        <v>8.6999999999999993</v>
      </c>
      <c r="AA26" s="45">
        <v>8.6999999999999993</v>
      </c>
      <c r="AB26" s="45">
        <v>8.6999999999999993</v>
      </c>
      <c r="AC26" s="45">
        <v>8.6999999999999993</v>
      </c>
      <c r="AD26" s="45">
        <v>8.6999999999999993</v>
      </c>
      <c r="AE26" s="45">
        <v>8.6999999999999993</v>
      </c>
      <c r="AF26" s="45">
        <v>8.6999999999999993</v>
      </c>
      <c r="AG26" s="49">
        <v>25</v>
      </c>
      <c r="AH26" s="47">
        <f t="shared" si="8"/>
        <v>8.6999999999999993</v>
      </c>
      <c r="AI26" s="48">
        <f t="shared" si="9"/>
        <v>6.3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12.4</v>
      </c>
      <c r="C29" s="45">
        <v>12.4</v>
      </c>
      <c r="D29" s="45">
        <v>12.4</v>
      </c>
      <c r="E29" s="45">
        <v>12.4</v>
      </c>
      <c r="F29" s="45">
        <v>12.4</v>
      </c>
      <c r="G29" s="45">
        <v>12.4</v>
      </c>
      <c r="H29" s="45">
        <v>12.4</v>
      </c>
      <c r="I29" s="45">
        <v>12.4</v>
      </c>
      <c r="J29" s="45">
        <v>12.4</v>
      </c>
      <c r="K29" s="45">
        <v>12.4</v>
      </c>
      <c r="L29" s="45">
        <v>12.4</v>
      </c>
      <c r="M29" s="45">
        <v>12.4</v>
      </c>
      <c r="N29" s="45">
        <v>12.4</v>
      </c>
      <c r="O29" s="45">
        <v>12.4</v>
      </c>
      <c r="P29" s="45">
        <v>12.4</v>
      </c>
      <c r="Q29" s="45">
        <v>12.4</v>
      </c>
      <c r="R29" s="45">
        <v>12.4</v>
      </c>
      <c r="S29" s="45">
        <v>6.4</v>
      </c>
      <c r="T29" s="45">
        <v>6.4</v>
      </c>
      <c r="U29" s="45">
        <v>6.4</v>
      </c>
      <c r="V29" s="45">
        <v>6.4</v>
      </c>
      <c r="W29" s="45">
        <v>6.4</v>
      </c>
      <c r="X29" s="45">
        <v>6.4</v>
      </c>
      <c r="Y29" s="45">
        <v>6.4</v>
      </c>
      <c r="Z29" s="45">
        <v>6.4</v>
      </c>
      <c r="AA29" s="45">
        <v>6.4</v>
      </c>
      <c r="AB29" s="45">
        <v>6.4</v>
      </c>
      <c r="AC29" s="45">
        <v>6.4</v>
      </c>
      <c r="AD29" s="45">
        <v>6.4</v>
      </c>
      <c r="AE29" s="45">
        <v>6.4</v>
      </c>
      <c r="AF29" s="45">
        <v>6.4</v>
      </c>
      <c r="AG29" s="49">
        <v>25</v>
      </c>
      <c r="AH29" s="47">
        <f t="shared" si="8"/>
        <v>12.4</v>
      </c>
      <c r="AI29" s="48">
        <f t="shared" si="9"/>
        <v>6.4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6.9</v>
      </c>
      <c r="C30" s="45">
        <v>6.9</v>
      </c>
      <c r="D30" s="45">
        <v>6.9</v>
      </c>
      <c r="E30" s="45">
        <v>6.9</v>
      </c>
      <c r="F30" s="45">
        <v>6.9</v>
      </c>
      <c r="G30" s="45">
        <v>6.9</v>
      </c>
      <c r="H30" s="45">
        <v>6.9</v>
      </c>
      <c r="I30" s="45">
        <v>6.9</v>
      </c>
      <c r="J30" s="45">
        <v>6.9</v>
      </c>
      <c r="K30" s="45">
        <v>6.9</v>
      </c>
      <c r="L30" s="45">
        <v>6.9</v>
      </c>
      <c r="M30" s="45">
        <v>6.9</v>
      </c>
      <c r="N30" s="45">
        <v>6.9</v>
      </c>
      <c r="O30" s="45">
        <v>6.9</v>
      </c>
      <c r="P30" s="45">
        <v>6.9</v>
      </c>
      <c r="Q30" s="45">
        <v>6.9</v>
      </c>
      <c r="R30" s="45">
        <v>6.9</v>
      </c>
      <c r="S30" s="45">
        <v>6.9</v>
      </c>
      <c r="T30" s="45">
        <v>6.9</v>
      </c>
      <c r="U30" s="45">
        <v>6.9</v>
      </c>
      <c r="V30" s="45">
        <v>6.9</v>
      </c>
      <c r="W30" s="45">
        <v>6</v>
      </c>
      <c r="X30" s="45">
        <v>6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8"/>
        <v>6.9</v>
      </c>
      <c r="AI30" s="48">
        <f t="shared" si="9"/>
        <v>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0</v>
      </c>
      <c r="T31" s="45">
        <v>0</v>
      </c>
      <c r="U31" s="45">
        <v>0</v>
      </c>
      <c r="V31" s="45">
        <v>0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9.3000000000000007</v>
      </c>
      <c r="C34" s="45">
        <v>9.3000000000000007</v>
      </c>
      <c r="D34" s="45">
        <v>9.3000000000000007</v>
      </c>
      <c r="E34" s="45">
        <v>9.3000000000000007</v>
      </c>
      <c r="F34" s="45">
        <v>9.3000000000000007</v>
      </c>
      <c r="G34" s="45">
        <v>9.3000000000000007</v>
      </c>
      <c r="H34" s="45">
        <v>9.3000000000000007</v>
      </c>
      <c r="I34" s="45">
        <v>9.3000000000000007</v>
      </c>
      <c r="J34" s="45">
        <v>9.3000000000000007</v>
      </c>
      <c r="K34" s="45">
        <v>9.3000000000000007</v>
      </c>
      <c r="L34" s="45">
        <v>9.3000000000000007</v>
      </c>
      <c r="M34" s="45">
        <v>9.3000000000000007</v>
      </c>
      <c r="N34" s="45">
        <v>9.3000000000000007</v>
      </c>
      <c r="O34" s="45">
        <v>9.3000000000000007</v>
      </c>
      <c r="P34" s="45">
        <v>9.3000000000000007</v>
      </c>
      <c r="Q34" s="45">
        <v>9.3000000000000007</v>
      </c>
      <c r="R34" s="45">
        <v>9.3000000000000007</v>
      </c>
      <c r="S34" s="45">
        <v>9.3000000000000007</v>
      </c>
      <c r="T34" s="45">
        <v>9.3000000000000007</v>
      </c>
      <c r="U34" s="45">
        <v>9.3000000000000007</v>
      </c>
      <c r="V34" s="45">
        <v>9.3000000000000007</v>
      </c>
      <c r="W34" s="45">
        <v>5.0999999999999996</v>
      </c>
      <c r="X34" s="45">
        <v>5.0999999999999996</v>
      </c>
      <c r="Y34" s="45">
        <v>6.1</v>
      </c>
      <c r="Z34" s="45">
        <v>6.1</v>
      </c>
      <c r="AA34" s="45">
        <v>6.1</v>
      </c>
      <c r="AB34" s="45">
        <v>6.1</v>
      </c>
      <c r="AC34" s="45">
        <v>6.1</v>
      </c>
      <c r="AD34" s="45">
        <v>6.1</v>
      </c>
      <c r="AE34" s="45">
        <v>6.1</v>
      </c>
      <c r="AF34" s="45">
        <v>6.1</v>
      </c>
      <c r="AG34" s="49">
        <v>22</v>
      </c>
      <c r="AH34" s="47">
        <f t="shared" si="8"/>
        <v>9.3000000000000007</v>
      </c>
      <c r="AI34" s="48">
        <f t="shared" si="9"/>
        <v>5.0999999999999996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7.5</v>
      </c>
      <c r="C44" s="45">
        <v>7.5</v>
      </c>
      <c r="D44" s="45">
        <v>7.5</v>
      </c>
      <c r="E44" s="45">
        <v>7.5</v>
      </c>
      <c r="F44" s="45">
        <v>7.5</v>
      </c>
      <c r="G44" s="45">
        <v>7.5</v>
      </c>
      <c r="H44" s="45">
        <v>7.5</v>
      </c>
      <c r="I44" s="45">
        <v>7.5</v>
      </c>
      <c r="J44" s="45">
        <v>7.5</v>
      </c>
      <c r="K44" s="45">
        <v>7.5</v>
      </c>
      <c r="L44" s="45">
        <v>7.5</v>
      </c>
      <c r="M44" s="45">
        <v>7.5</v>
      </c>
      <c r="N44" s="45">
        <v>7.5</v>
      </c>
      <c r="O44" s="45">
        <v>7.5</v>
      </c>
      <c r="P44" s="45">
        <v>7.5</v>
      </c>
      <c r="Q44" s="45">
        <v>7.5</v>
      </c>
      <c r="R44" s="45">
        <v>7.5</v>
      </c>
      <c r="S44" s="45">
        <v>7.5</v>
      </c>
      <c r="T44" s="45">
        <v>7.5</v>
      </c>
      <c r="U44" s="45">
        <v>7.5</v>
      </c>
      <c r="V44" s="45">
        <v>7.5</v>
      </c>
      <c r="W44" s="45">
        <v>7.5</v>
      </c>
      <c r="X44" s="45">
        <v>7.5</v>
      </c>
      <c r="Y44" s="45">
        <v>7.5</v>
      </c>
      <c r="Z44" s="45">
        <v>7.5</v>
      </c>
      <c r="AA44" s="45">
        <v>7.5</v>
      </c>
      <c r="AB44" s="45">
        <v>7.5</v>
      </c>
      <c r="AC44" s="45">
        <v>7.5</v>
      </c>
      <c r="AD44" s="45">
        <v>7.5</v>
      </c>
      <c r="AE44" s="45">
        <v>7.5</v>
      </c>
      <c r="AF44" s="45">
        <v>7.5</v>
      </c>
      <c r="AG44" s="49">
        <v>12</v>
      </c>
      <c r="AH44" s="47">
        <f t="shared" si="8"/>
        <v>7.5</v>
      </c>
      <c r="AI44" s="48">
        <f t="shared" si="9"/>
        <v>7.5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f>13.6+5.8</f>
        <v>19.399999999999999</v>
      </c>
      <c r="C57" s="57">
        <f>13.7+5.8</f>
        <v>19.5</v>
      </c>
      <c r="D57" s="57">
        <f>13.5+5.8</f>
        <v>19.3</v>
      </c>
      <c r="E57" s="57">
        <f>6.2+14.7</f>
        <v>20.9</v>
      </c>
      <c r="F57" s="57">
        <f>6.1+14.2</f>
        <v>20.299999999999997</v>
      </c>
      <c r="G57" s="57">
        <f>6.1+14.4</f>
        <v>20.5</v>
      </c>
      <c r="H57" s="57">
        <f>6.1+14.4</f>
        <v>20.5</v>
      </c>
      <c r="I57" s="57">
        <f>5.8+13.5</f>
        <v>19.3</v>
      </c>
      <c r="J57" s="57">
        <f>5.6+13</f>
        <v>18.600000000000001</v>
      </c>
      <c r="K57" s="51">
        <f>5.7+13.7</f>
        <v>19.399999999999999</v>
      </c>
      <c r="L57" s="51">
        <f t="shared" ref="L57:U57" si="22">5.1+12.4</f>
        <v>17.5</v>
      </c>
      <c r="M57" s="51">
        <f t="shared" si="22"/>
        <v>17.5</v>
      </c>
      <c r="N57" s="51">
        <f t="shared" si="22"/>
        <v>17.5</v>
      </c>
      <c r="O57" s="51">
        <f t="shared" si="22"/>
        <v>17.5</v>
      </c>
      <c r="P57" s="51">
        <f t="shared" si="22"/>
        <v>17.5</v>
      </c>
      <c r="Q57" s="51">
        <f t="shared" si="22"/>
        <v>17.5</v>
      </c>
      <c r="R57" s="51">
        <f t="shared" si="22"/>
        <v>17.5</v>
      </c>
      <c r="S57" s="51">
        <f t="shared" si="22"/>
        <v>17.5</v>
      </c>
      <c r="T57" s="51">
        <f t="shared" si="22"/>
        <v>17.5</v>
      </c>
      <c r="U57" s="51">
        <f t="shared" si="22"/>
        <v>17.5</v>
      </c>
      <c r="V57" s="51">
        <f t="shared" ref="V57" si="23">5.1+12.4</f>
        <v>17.5</v>
      </c>
      <c r="W57" s="51">
        <v>16</v>
      </c>
      <c r="X57" s="51">
        <v>14.5</v>
      </c>
      <c r="Y57" s="51">
        <v>14.5</v>
      </c>
      <c r="Z57" s="57">
        <v>14.5</v>
      </c>
      <c r="AA57" s="57">
        <v>18.399999999999999</v>
      </c>
      <c r="AB57" s="57">
        <v>18.399999999999999</v>
      </c>
      <c r="AC57" s="57">
        <v>18.399999999999999</v>
      </c>
      <c r="AD57" s="57">
        <v>18.399999999999999</v>
      </c>
      <c r="AE57" s="57">
        <v>18.399999999999999</v>
      </c>
      <c r="AF57" s="57">
        <v>18.399999999999999</v>
      </c>
      <c r="AG57" s="55">
        <v>240</v>
      </c>
      <c r="AH57" s="47">
        <f t="shared" si="8"/>
        <v>20.9</v>
      </c>
      <c r="AI57" s="48">
        <f t="shared" si="9"/>
        <v>14.5</v>
      </c>
      <c r="AK57" s="50"/>
    </row>
    <row r="58" spans="1:88" ht="15.75" thickBot="1" x14ac:dyDescent="0.3">
      <c r="A58" s="59" t="s">
        <v>58</v>
      </c>
      <c r="B58" s="60">
        <v>467.35</v>
      </c>
      <c r="C58" s="60">
        <f t="shared" ref="C58:AA58" si="24">SUM(C11:C56)</f>
        <v>467.75</v>
      </c>
      <c r="D58" s="60">
        <f t="shared" si="24"/>
        <v>467.75</v>
      </c>
      <c r="E58" s="60">
        <f t="shared" si="24"/>
        <v>467.75</v>
      </c>
      <c r="F58" s="60">
        <f t="shared" si="24"/>
        <v>467.75</v>
      </c>
      <c r="G58" s="60">
        <f t="shared" si="24"/>
        <v>467.75</v>
      </c>
      <c r="H58" s="60">
        <f t="shared" si="24"/>
        <v>467.75</v>
      </c>
      <c r="I58" s="60">
        <f t="shared" si="24"/>
        <v>467.75</v>
      </c>
      <c r="J58" s="60">
        <f t="shared" si="24"/>
        <v>467.75</v>
      </c>
      <c r="K58" s="60">
        <f t="shared" si="24"/>
        <v>467.75</v>
      </c>
      <c r="L58" s="60">
        <f t="shared" si="24"/>
        <v>467.75</v>
      </c>
      <c r="M58" s="60">
        <f t="shared" si="24"/>
        <v>466.65000000000003</v>
      </c>
      <c r="N58" s="60">
        <f t="shared" si="24"/>
        <v>465.65000000000003</v>
      </c>
      <c r="O58" s="60">
        <f t="shared" si="24"/>
        <v>463.45</v>
      </c>
      <c r="P58" s="60">
        <f t="shared" si="24"/>
        <v>463.45</v>
      </c>
      <c r="Q58" s="60">
        <f t="shared" si="24"/>
        <v>463.45</v>
      </c>
      <c r="R58" s="60">
        <f t="shared" si="24"/>
        <v>463.45</v>
      </c>
      <c r="S58" s="60">
        <f t="shared" ref="S58" si="25">SUM(S11:S56)</f>
        <v>454.45</v>
      </c>
      <c r="T58" s="60">
        <f t="shared" si="24"/>
        <v>454.45</v>
      </c>
      <c r="U58" s="60">
        <f t="shared" si="24"/>
        <v>454.45</v>
      </c>
      <c r="V58" s="60">
        <f t="shared" si="24"/>
        <v>454.45</v>
      </c>
      <c r="W58" s="60">
        <f t="shared" si="24"/>
        <v>447.95</v>
      </c>
      <c r="X58" s="60">
        <f t="shared" si="24"/>
        <v>447.95</v>
      </c>
      <c r="Y58" s="60">
        <f t="shared" si="24"/>
        <v>466.15000000000003</v>
      </c>
      <c r="Z58" s="60">
        <f t="shared" si="24"/>
        <v>466.15000000000003</v>
      </c>
      <c r="AA58" s="60">
        <f t="shared" si="24"/>
        <v>466.15000000000003</v>
      </c>
      <c r="AB58" s="60">
        <f t="shared" ref="AB58:AC58" si="26">SUM(AB11:AB56)</f>
        <v>466.15000000000003</v>
      </c>
      <c r="AC58" s="60">
        <f t="shared" si="26"/>
        <v>466.15000000000003</v>
      </c>
      <c r="AD58" s="60">
        <f t="shared" ref="AD58:AE58" si="27">SUM(AD11:AD56)</f>
        <v>466.15000000000003</v>
      </c>
      <c r="AE58" s="60">
        <f t="shared" si="27"/>
        <v>466.15000000000003</v>
      </c>
      <c r="AF58" s="60">
        <f t="shared" ref="AF58" si="28">SUM(AF11:AF56)</f>
        <v>466.15000000000003</v>
      </c>
      <c r="AG58" s="61">
        <f>SUM(AG14:AG56)</f>
        <v>1042.4000000000001</v>
      </c>
      <c r="AH58" s="47">
        <f t="shared" si="8"/>
        <v>467.75</v>
      </c>
      <c r="AI58" s="48">
        <f t="shared" si="9"/>
        <v>447.95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35</v>
      </c>
      <c r="K59" s="45">
        <v>60</v>
      </c>
      <c r="L59" s="45">
        <v>230</v>
      </c>
      <c r="M59" s="45">
        <v>241</v>
      </c>
      <c r="N59" s="63">
        <v>200</v>
      </c>
      <c r="O59" s="63">
        <v>130</v>
      </c>
      <c r="P59" s="63">
        <v>50</v>
      </c>
      <c r="Q59" s="63">
        <v>30</v>
      </c>
      <c r="R59" s="63">
        <v>35</v>
      </c>
      <c r="S59" s="63">
        <v>35</v>
      </c>
      <c r="T59" s="63">
        <v>30</v>
      </c>
      <c r="U59" s="63">
        <v>30</v>
      </c>
      <c r="V59" s="63">
        <v>30</v>
      </c>
      <c r="W59" s="45">
        <v>50</v>
      </c>
      <c r="X59" s="45">
        <v>50</v>
      </c>
      <c r="Y59" s="45">
        <v>120</v>
      </c>
      <c r="Z59" s="45">
        <v>160</v>
      </c>
      <c r="AA59" s="45">
        <v>140</v>
      </c>
      <c r="AB59" s="45">
        <v>120</v>
      </c>
      <c r="AC59" s="45">
        <v>55</v>
      </c>
      <c r="AD59" s="45">
        <v>25</v>
      </c>
      <c r="AE59" s="45">
        <v>25</v>
      </c>
      <c r="AF59" s="45">
        <v>0</v>
      </c>
      <c r="AG59" s="52">
        <v>456</v>
      </c>
      <c r="AH59" s="47">
        <f t="shared" si="8"/>
        <v>241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10.5</v>
      </c>
      <c r="C61" s="67">
        <v>10.5</v>
      </c>
      <c r="D61" s="67">
        <v>10.5</v>
      </c>
      <c r="E61" s="67">
        <v>10.5</v>
      </c>
      <c r="F61" s="67">
        <v>10.5</v>
      </c>
      <c r="G61" s="67">
        <v>6.6</v>
      </c>
      <c r="H61" s="67">
        <v>6.6</v>
      </c>
      <c r="I61" s="67">
        <v>6.6</v>
      </c>
      <c r="J61" s="67">
        <v>8.5</v>
      </c>
      <c r="K61" s="67">
        <v>8.6</v>
      </c>
      <c r="L61" s="67">
        <v>8.5</v>
      </c>
      <c r="M61" s="67">
        <v>9.1999999999999993</v>
      </c>
      <c r="N61" s="67">
        <v>9.1999999999999993</v>
      </c>
      <c r="O61" s="67">
        <v>9.1999999999999993</v>
      </c>
      <c r="P61" s="67">
        <v>9.3000000000000007</v>
      </c>
      <c r="Q61" s="67">
        <v>9.3000000000000007</v>
      </c>
      <c r="R61" s="67">
        <v>9.3000000000000007</v>
      </c>
      <c r="S61" s="67">
        <v>9.3000000000000007</v>
      </c>
      <c r="T61" s="67">
        <v>9.1999999999999993</v>
      </c>
      <c r="U61" s="67">
        <v>9.1999999999999993</v>
      </c>
      <c r="V61" s="67">
        <v>9.1999999999999993</v>
      </c>
      <c r="W61" s="67">
        <v>9.1999999999999993</v>
      </c>
      <c r="X61" s="67">
        <v>9.1999999999999993</v>
      </c>
      <c r="Y61" s="67">
        <v>10.5</v>
      </c>
      <c r="Z61" s="67">
        <v>11.2</v>
      </c>
      <c r="AA61" s="67">
        <v>11.2</v>
      </c>
      <c r="AB61" s="67">
        <v>11.2</v>
      </c>
      <c r="AC61" s="67">
        <v>11.2</v>
      </c>
      <c r="AD61" s="67">
        <v>11.2</v>
      </c>
      <c r="AE61" s="67">
        <v>11.2</v>
      </c>
      <c r="AF61" s="67">
        <v>11.2</v>
      </c>
      <c r="AG61" s="68">
        <v>22.1</v>
      </c>
      <c r="AH61" s="47">
        <f t="shared" si="8"/>
        <v>11.2</v>
      </c>
      <c r="AI61" s="48">
        <f t="shared" si="9"/>
        <v>6.6</v>
      </c>
      <c r="AK61" s="50"/>
    </row>
    <row r="62" spans="1:88" ht="15.75" thickBot="1" x14ac:dyDescent="0.3">
      <c r="A62" s="69" t="s">
        <v>62</v>
      </c>
      <c r="B62" s="60">
        <v>52.5</v>
      </c>
      <c r="C62" s="60">
        <f t="shared" ref="C62:AG62" si="29">SUM(C59:C61)</f>
        <v>37.5</v>
      </c>
      <c r="D62" s="60">
        <f t="shared" si="29"/>
        <v>37.5</v>
      </c>
      <c r="E62" s="60">
        <f t="shared" si="29"/>
        <v>37.5</v>
      </c>
      <c r="F62" s="60">
        <f t="shared" si="29"/>
        <v>37.5</v>
      </c>
      <c r="G62" s="60">
        <f t="shared" si="29"/>
        <v>33.6</v>
      </c>
      <c r="H62" s="60">
        <f t="shared" si="29"/>
        <v>33.6</v>
      </c>
      <c r="I62" s="60">
        <f t="shared" si="29"/>
        <v>33.6</v>
      </c>
      <c r="J62" s="60">
        <f t="shared" si="29"/>
        <v>70.5</v>
      </c>
      <c r="K62" s="60">
        <f t="shared" si="29"/>
        <v>95.6</v>
      </c>
      <c r="L62" s="60">
        <f t="shared" si="29"/>
        <v>265.5</v>
      </c>
      <c r="M62" s="60">
        <f t="shared" si="29"/>
        <v>277.2</v>
      </c>
      <c r="N62" s="60">
        <f t="shared" si="29"/>
        <v>236.2</v>
      </c>
      <c r="O62" s="60">
        <f t="shared" si="29"/>
        <v>166.2</v>
      </c>
      <c r="P62" s="60">
        <f t="shared" si="29"/>
        <v>86.3</v>
      </c>
      <c r="Q62" s="60">
        <f t="shared" si="29"/>
        <v>66.3</v>
      </c>
      <c r="R62" s="60">
        <f t="shared" si="29"/>
        <v>71.3</v>
      </c>
      <c r="S62" s="60">
        <f t="shared" ref="S62" si="30">SUM(S59:S61)</f>
        <v>71.3</v>
      </c>
      <c r="T62" s="60">
        <f t="shared" si="29"/>
        <v>66.2</v>
      </c>
      <c r="U62" s="60">
        <f t="shared" si="29"/>
        <v>66.2</v>
      </c>
      <c r="V62" s="60">
        <f t="shared" si="29"/>
        <v>66.2</v>
      </c>
      <c r="W62" s="60">
        <f t="shared" si="29"/>
        <v>86.2</v>
      </c>
      <c r="X62" s="60">
        <f t="shared" si="29"/>
        <v>86.2</v>
      </c>
      <c r="Y62" s="60">
        <f t="shared" si="29"/>
        <v>157.5</v>
      </c>
      <c r="Z62" s="60">
        <f t="shared" si="29"/>
        <v>198.2</v>
      </c>
      <c r="AA62" s="60">
        <f t="shared" si="29"/>
        <v>178.2</v>
      </c>
      <c r="AB62" s="60">
        <f t="shared" ref="AB62:AC62" si="31">SUM(AB59:AB61)</f>
        <v>158.19999999999999</v>
      </c>
      <c r="AC62" s="60">
        <f t="shared" si="31"/>
        <v>93.2</v>
      </c>
      <c r="AD62" s="60">
        <f t="shared" ref="AD62:AE62" si="32">SUM(AD59:AD61)</f>
        <v>63.2</v>
      </c>
      <c r="AE62" s="60">
        <f t="shared" si="32"/>
        <v>63.2</v>
      </c>
      <c r="AF62" s="60">
        <f t="shared" ref="AF62" si="33">SUM(AF59:AF61)</f>
        <v>38.200000000000003</v>
      </c>
      <c r="AG62" s="61">
        <f t="shared" si="29"/>
        <v>538.1</v>
      </c>
      <c r="AH62" s="47">
        <f t="shared" si="8"/>
        <v>277.2</v>
      </c>
      <c r="AI62" s="48">
        <f t="shared" si="9"/>
        <v>33.6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42.1</v>
      </c>
      <c r="J63" s="45">
        <v>61.2</v>
      </c>
      <c r="K63" s="45">
        <v>61.2</v>
      </c>
      <c r="L63" s="45">
        <v>71.099999999999994</v>
      </c>
      <c r="M63" s="45">
        <v>81.2</v>
      </c>
      <c r="N63" s="45">
        <v>61.8</v>
      </c>
      <c r="O63" s="45">
        <v>48.7</v>
      </c>
      <c r="P63" s="45">
        <v>81.5</v>
      </c>
      <c r="Q63" s="45">
        <v>61</v>
      </c>
      <c r="R63" s="45">
        <v>61</v>
      </c>
      <c r="S63" s="45">
        <v>61</v>
      </c>
      <c r="T63" s="45">
        <v>48.7</v>
      </c>
      <c r="U63" s="45">
        <v>87</v>
      </c>
      <c r="V63" s="45">
        <v>80</v>
      </c>
      <c r="W63" s="45">
        <v>71.599999999999994</v>
      </c>
      <c r="X63" s="45">
        <v>80</v>
      </c>
      <c r="Y63" s="45">
        <v>110</v>
      </c>
      <c r="Z63" s="45">
        <v>133</v>
      </c>
      <c r="AA63" s="45">
        <v>106.9</v>
      </c>
      <c r="AB63" s="45">
        <v>91.4</v>
      </c>
      <c r="AC63" s="45">
        <v>90.9</v>
      </c>
      <c r="AD63" s="45">
        <v>90.9</v>
      </c>
      <c r="AE63" s="45">
        <v>60.9</v>
      </c>
      <c r="AF63" s="45">
        <v>0</v>
      </c>
      <c r="AG63" s="52">
        <v>144</v>
      </c>
      <c r="AH63" s="47">
        <f t="shared" si="8"/>
        <v>133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25.2</v>
      </c>
      <c r="I64" s="65">
        <v>35.6</v>
      </c>
      <c r="J64" s="65">
        <v>51.6</v>
      </c>
      <c r="K64" s="65">
        <v>46.3</v>
      </c>
      <c r="L64" s="65">
        <v>45.5</v>
      </c>
      <c r="M64" s="65">
        <v>46.3</v>
      </c>
      <c r="N64" s="65">
        <v>46.3</v>
      </c>
      <c r="O64" s="65">
        <v>46.2</v>
      </c>
      <c r="P64" s="65">
        <v>47.5</v>
      </c>
      <c r="Q64" s="65">
        <v>47.5</v>
      </c>
      <c r="R64" s="65">
        <v>47.5</v>
      </c>
      <c r="S64" s="65">
        <v>47.5</v>
      </c>
      <c r="T64" s="65">
        <v>34.9</v>
      </c>
      <c r="U64" s="65">
        <v>24.9</v>
      </c>
      <c r="V64" s="65">
        <v>24.9</v>
      </c>
      <c r="W64" s="65">
        <v>0</v>
      </c>
      <c r="X64" s="45">
        <v>30</v>
      </c>
      <c r="Y64" s="45">
        <v>49.4</v>
      </c>
      <c r="Z64" s="45">
        <v>53</v>
      </c>
      <c r="AA64" s="45">
        <v>48.5</v>
      </c>
      <c r="AB64" s="45">
        <v>23.8</v>
      </c>
      <c r="AC64" s="45">
        <v>23.8</v>
      </c>
      <c r="AD64" s="45">
        <v>24</v>
      </c>
      <c r="AE64" s="45">
        <v>24</v>
      </c>
      <c r="AF64" s="45">
        <v>24</v>
      </c>
      <c r="AG64" s="55">
        <v>70</v>
      </c>
      <c r="AH64" s="47">
        <f t="shared" si="8"/>
        <v>53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16</v>
      </c>
      <c r="I65" s="65">
        <v>38.6</v>
      </c>
      <c r="J65" s="65">
        <v>51.4</v>
      </c>
      <c r="K65" s="65">
        <v>50.4</v>
      </c>
      <c r="L65" s="65">
        <v>62.8</v>
      </c>
      <c r="M65" s="65">
        <v>50.2</v>
      </c>
      <c r="N65" s="65">
        <v>49.7</v>
      </c>
      <c r="O65" s="65">
        <v>49.5</v>
      </c>
      <c r="P65" s="65">
        <v>56.4</v>
      </c>
      <c r="Q65" s="65">
        <v>56.4</v>
      </c>
      <c r="R65" s="65">
        <v>34.299999999999997</v>
      </c>
      <c r="S65" s="65">
        <v>34.299999999999997</v>
      </c>
      <c r="T65" s="65">
        <v>21.7</v>
      </c>
      <c r="U65" s="65">
        <v>22.3</v>
      </c>
      <c r="V65" s="65">
        <v>22.3</v>
      </c>
      <c r="W65" s="65">
        <v>22.3</v>
      </c>
      <c r="X65" s="45">
        <v>22.3</v>
      </c>
      <c r="Y65" s="45">
        <v>60</v>
      </c>
      <c r="Z65" s="45">
        <v>60.9</v>
      </c>
      <c r="AA65" s="45">
        <v>60.7</v>
      </c>
      <c r="AB65" s="45">
        <v>55.3</v>
      </c>
      <c r="AC65" s="45">
        <v>55.4</v>
      </c>
      <c r="AD65" s="45">
        <v>46.9</v>
      </c>
      <c r="AE65" s="45">
        <v>35.5</v>
      </c>
      <c r="AF65" s="45">
        <v>0</v>
      </c>
      <c r="AG65" s="55">
        <v>69</v>
      </c>
      <c r="AH65" s="47">
        <f t="shared" si="8"/>
        <v>62.8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35.299999999999997</v>
      </c>
      <c r="C66" s="65">
        <v>35.299999999999997</v>
      </c>
      <c r="D66" s="65">
        <v>35.299999999999997</v>
      </c>
      <c r="E66" s="65">
        <v>35</v>
      </c>
      <c r="F66" s="65">
        <v>35.299999999999997</v>
      </c>
      <c r="G66" s="65">
        <v>35</v>
      </c>
      <c r="H66" s="65">
        <v>35</v>
      </c>
      <c r="I66" s="65">
        <v>35.299999999999997</v>
      </c>
      <c r="J66" s="65">
        <v>37.299999999999997</v>
      </c>
      <c r="K66" s="57">
        <v>36.299999999999997</v>
      </c>
      <c r="L66" s="57">
        <v>35.299999999999997</v>
      </c>
      <c r="M66" s="65">
        <v>33.299999999999997</v>
      </c>
      <c r="N66" s="65">
        <v>33.299999999999997</v>
      </c>
      <c r="O66" s="65">
        <v>33.5</v>
      </c>
      <c r="P66" s="65">
        <v>34</v>
      </c>
      <c r="Q66" s="65">
        <v>34</v>
      </c>
      <c r="R66" s="65">
        <v>34</v>
      </c>
      <c r="S66" s="65">
        <v>34</v>
      </c>
      <c r="T66" s="65">
        <v>34.5</v>
      </c>
      <c r="U66" s="65">
        <v>35.5</v>
      </c>
      <c r="V66" s="65">
        <v>35.5</v>
      </c>
      <c r="W66" s="65">
        <v>34.299999999999997</v>
      </c>
      <c r="X66" s="65">
        <v>34.299999999999997</v>
      </c>
      <c r="Y66" s="45">
        <v>34</v>
      </c>
      <c r="Z66" s="45">
        <v>33</v>
      </c>
      <c r="AA66" s="45">
        <v>34.299999999999997</v>
      </c>
      <c r="AB66" s="45">
        <v>34.5</v>
      </c>
      <c r="AC66" s="45">
        <v>34.5</v>
      </c>
      <c r="AD66" s="45">
        <v>34.5</v>
      </c>
      <c r="AE66" s="45">
        <v>34.5</v>
      </c>
      <c r="AF66" s="45">
        <v>34.5</v>
      </c>
      <c r="AG66" s="55">
        <v>60</v>
      </c>
      <c r="AH66" s="47">
        <f t="shared" si="8"/>
        <v>37.299999999999997</v>
      </c>
      <c r="AI66" s="48">
        <f t="shared" si="9"/>
        <v>33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10</v>
      </c>
      <c r="K67" s="65">
        <v>14.9</v>
      </c>
      <c r="L67" s="57">
        <v>9.6</v>
      </c>
      <c r="M67" s="65">
        <v>9.9</v>
      </c>
      <c r="N67" s="65">
        <v>10.3</v>
      </c>
      <c r="O67" s="65">
        <v>22.6</v>
      </c>
      <c r="P67" s="65">
        <v>28.5</v>
      </c>
      <c r="Q67" s="65">
        <v>23</v>
      </c>
      <c r="R67" s="65">
        <v>28</v>
      </c>
      <c r="S67" s="65">
        <v>28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45">
        <v>10</v>
      </c>
      <c r="Z67" s="45">
        <v>22.6</v>
      </c>
      <c r="AA67" s="45">
        <v>23.4</v>
      </c>
      <c r="AB67" s="45">
        <v>14.5</v>
      </c>
      <c r="AC67" s="45">
        <v>14.5</v>
      </c>
      <c r="AD67" s="45">
        <v>14.5</v>
      </c>
      <c r="AE67" s="45">
        <v>14.5</v>
      </c>
      <c r="AF67" s="45">
        <v>0</v>
      </c>
      <c r="AG67" s="55">
        <v>30</v>
      </c>
      <c r="AH67" s="47">
        <f t="shared" si="8"/>
        <v>28.5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1</v>
      </c>
      <c r="L68" s="65">
        <v>2.9</v>
      </c>
      <c r="M68" s="65">
        <v>7.5</v>
      </c>
      <c r="N68" s="65">
        <v>11</v>
      </c>
      <c r="O68" s="65">
        <v>14.9</v>
      </c>
      <c r="P68" s="65">
        <v>17.7</v>
      </c>
      <c r="Q68" s="65">
        <v>17.7</v>
      </c>
      <c r="R68" s="65">
        <v>17.3</v>
      </c>
      <c r="S68" s="65">
        <v>17.3</v>
      </c>
      <c r="T68" s="65">
        <v>11.54</v>
      </c>
      <c r="U68" s="65">
        <v>11.54</v>
      </c>
      <c r="V68" s="65">
        <v>0.9</v>
      </c>
      <c r="W68" s="65">
        <v>0.6</v>
      </c>
      <c r="X68" s="65">
        <v>0.6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17.7</v>
      </c>
      <c r="AI68" s="48">
        <f t="shared" si="9"/>
        <v>0</v>
      </c>
      <c r="AK68" s="50"/>
      <c r="AY68" s="1" t="s">
        <v>377</v>
      </c>
      <c r="AZ68" s="233">
        <f>ROUND(C81,0)</f>
        <v>54</v>
      </c>
      <c r="BA68" s="232">
        <f t="shared" ref="BA68:BD72" si="34">D81</f>
        <v>40</v>
      </c>
      <c r="BB68" s="232">
        <f t="shared" si="34"/>
        <v>52.8</v>
      </c>
      <c r="BC68" s="232">
        <f t="shared" si="34"/>
        <v>61.7</v>
      </c>
      <c r="BD68" s="232">
        <f t="shared" si="34"/>
        <v>42.2</v>
      </c>
      <c r="BE68" s="233">
        <f>I81</f>
        <v>44.7</v>
      </c>
      <c r="BF68" s="233">
        <f>K81</f>
        <v>44.4</v>
      </c>
      <c r="BG68" s="233">
        <f t="shared" ref="BG68:BP72" si="35">M81</f>
        <v>64.3</v>
      </c>
      <c r="BH68" s="233">
        <f t="shared" si="35"/>
        <v>53.6</v>
      </c>
      <c r="BI68" s="233">
        <f t="shared" si="35"/>
        <v>48.5</v>
      </c>
      <c r="BJ68" s="233">
        <f t="shared" si="35"/>
        <v>45</v>
      </c>
      <c r="BK68" s="233">
        <f t="shared" si="35"/>
        <v>54</v>
      </c>
      <c r="BL68" s="233">
        <f t="shared" si="35"/>
        <v>49.3</v>
      </c>
      <c r="BM68" s="233">
        <f t="shared" si="35"/>
        <v>56</v>
      </c>
      <c r="BN68" s="233">
        <f t="shared" si="35"/>
        <v>52.4</v>
      </c>
      <c r="BO68" s="233">
        <f t="shared" si="35"/>
        <v>64</v>
      </c>
      <c r="BP68" s="233">
        <f t="shared" si="35"/>
        <v>65.8</v>
      </c>
      <c r="BQ68" s="233">
        <f>X81</f>
        <v>63</v>
      </c>
      <c r="BR68" s="233">
        <f>Z81</f>
        <v>56.5</v>
      </c>
      <c r="BS68" s="232">
        <f>AB81</f>
        <v>64.400000000000006</v>
      </c>
      <c r="BT68" s="232">
        <f>AD81</f>
        <v>60.1</v>
      </c>
      <c r="BU68" s="232">
        <f>AE81</f>
        <v>49.1</v>
      </c>
      <c r="BV68" s="232">
        <f>AF81</f>
        <v>55.8</v>
      </c>
      <c r="BW68" s="232">
        <f>B81</f>
        <v>65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34"/>
        <v>0</v>
      </c>
      <c r="BB69" s="232">
        <f t="shared" si="34"/>
        <v>0</v>
      </c>
      <c r="BC69" s="232">
        <f t="shared" si="34"/>
        <v>0</v>
      </c>
      <c r="BD69" s="232">
        <f t="shared" si="34"/>
        <v>0</v>
      </c>
      <c r="BE69" s="233">
        <f t="shared" ref="BE69:BE72" si="36">I82</f>
        <v>0</v>
      </c>
      <c r="BF69" s="233">
        <f t="shared" ref="BF69:BF72" si="37">K82</f>
        <v>0</v>
      </c>
      <c r="BG69" s="233">
        <f t="shared" si="35"/>
        <v>0</v>
      </c>
      <c r="BH69" s="233">
        <f t="shared" si="35"/>
        <v>0</v>
      </c>
      <c r="BI69" s="233">
        <f t="shared" si="35"/>
        <v>0</v>
      </c>
      <c r="BJ69" s="233">
        <f t="shared" si="35"/>
        <v>0</v>
      </c>
      <c r="BK69" s="233">
        <f t="shared" si="35"/>
        <v>0</v>
      </c>
      <c r="BL69" s="233">
        <f t="shared" si="35"/>
        <v>0</v>
      </c>
      <c r="BM69" s="233">
        <f t="shared" si="35"/>
        <v>0</v>
      </c>
      <c r="BN69" s="233">
        <f t="shared" si="35"/>
        <v>0</v>
      </c>
      <c r="BO69" s="233">
        <f t="shared" si="35"/>
        <v>0</v>
      </c>
      <c r="BP69" s="233">
        <f t="shared" si="35"/>
        <v>0</v>
      </c>
      <c r="BQ69" s="233">
        <f t="shared" ref="BQ69:BQ72" si="38">X82</f>
        <v>0</v>
      </c>
      <c r="BR69" s="233">
        <f t="shared" ref="BR69:BR72" si="39">Z82</f>
        <v>0</v>
      </c>
      <c r="BS69" s="232">
        <f t="shared" ref="BS69:BS72" si="40">AB82</f>
        <v>0</v>
      </c>
      <c r="BT69" s="232">
        <f t="shared" ref="BT69:BV72" si="41">AD82</f>
        <v>0</v>
      </c>
      <c r="BU69" s="232">
        <f t="shared" si="41"/>
        <v>0</v>
      </c>
      <c r="BV69" s="232">
        <f t="shared" si="41"/>
        <v>0</v>
      </c>
      <c r="BW69" s="232">
        <f t="shared" ref="BW69:BW72" si="42">B82</f>
        <v>0</v>
      </c>
    </row>
    <row r="70" spans="1:75" x14ac:dyDescent="0.25">
      <c r="A70" s="54" t="s">
        <v>70</v>
      </c>
      <c r="B70" s="65">
        <v>2.2000000000000002</v>
      </c>
      <c r="C70" s="65">
        <v>2.2000000000000002</v>
      </c>
      <c r="D70" s="65">
        <v>2.2000000000000002</v>
      </c>
      <c r="E70" s="65">
        <v>2.2000000000000002</v>
      </c>
      <c r="F70" s="65">
        <v>2.2000000000000002</v>
      </c>
      <c r="G70" s="65">
        <v>2.2000000000000002</v>
      </c>
      <c r="H70" s="65">
        <v>2.2000000000000002</v>
      </c>
      <c r="I70" s="65">
        <v>2.2000000000000002</v>
      </c>
      <c r="J70" s="65">
        <v>2.2000000000000002</v>
      </c>
      <c r="K70" s="65">
        <v>2.2000000000000002</v>
      </c>
      <c r="L70" s="65">
        <v>2.2000000000000002</v>
      </c>
      <c r="M70" s="65">
        <v>2.2000000000000002</v>
      </c>
      <c r="N70" s="65">
        <v>2.2000000000000002</v>
      </c>
      <c r="O70" s="65">
        <v>2.2000000000000002</v>
      </c>
      <c r="P70" s="65">
        <v>2.2000000000000002</v>
      </c>
      <c r="Q70" s="65">
        <v>2.2000000000000002</v>
      </c>
      <c r="R70" s="65">
        <v>0</v>
      </c>
      <c r="S70" s="65">
        <v>0</v>
      </c>
      <c r="T70" s="65">
        <v>0</v>
      </c>
      <c r="U70" s="65">
        <v>0</v>
      </c>
      <c r="V70" s="65">
        <v>5</v>
      </c>
      <c r="W70" s="65">
        <v>5</v>
      </c>
      <c r="X70" s="65">
        <v>5</v>
      </c>
      <c r="Y70" s="65">
        <v>5</v>
      </c>
      <c r="Z70" s="65">
        <v>2.2000000000000002</v>
      </c>
      <c r="AA70" s="65">
        <v>5</v>
      </c>
      <c r="AB70" s="65">
        <v>5</v>
      </c>
      <c r="AC70" s="65">
        <v>5</v>
      </c>
      <c r="AD70" s="65">
        <v>5</v>
      </c>
      <c r="AE70" s="65">
        <v>5</v>
      </c>
      <c r="AF70" s="65">
        <v>5</v>
      </c>
      <c r="AG70" s="55">
        <v>15</v>
      </c>
      <c r="AH70" s="47">
        <f t="shared" si="8"/>
        <v>5</v>
      </c>
      <c r="AI70" s="48">
        <f t="shared" si="9"/>
        <v>0</v>
      </c>
      <c r="AK70" s="50"/>
      <c r="AL70" s="70"/>
      <c r="AO70" s="70"/>
      <c r="AY70" s="1" t="s">
        <v>605</v>
      </c>
      <c r="AZ70" s="233">
        <f>ROUND(C83,0)</f>
        <v>390</v>
      </c>
      <c r="BA70" s="232">
        <f t="shared" si="34"/>
        <v>380.7</v>
      </c>
      <c r="BB70" s="232">
        <f t="shared" si="34"/>
        <v>389.5</v>
      </c>
      <c r="BC70" s="232">
        <f t="shared" si="34"/>
        <v>397.7</v>
      </c>
      <c r="BD70" s="232">
        <f t="shared" si="34"/>
        <v>415.8</v>
      </c>
      <c r="BE70" s="233">
        <f t="shared" si="36"/>
        <v>419</v>
      </c>
      <c r="BF70" s="233">
        <f t="shared" si="37"/>
        <v>391</v>
      </c>
      <c r="BG70" s="233">
        <f t="shared" si="35"/>
        <v>294.7</v>
      </c>
      <c r="BH70" s="233">
        <f t="shared" si="35"/>
        <v>298.2</v>
      </c>
      <c r="BI70" s="233">
        <f t="shared" si="35"/>
        <v>355.6</v>
      </c>
      <c r="BJ70" s="233">
        <f t="shared" si="35"/>
        <v>430</v>
      </c>
      <c r="BK70" s="233">
        <f t="shared" si="35"/>
        <v>387</v>
      </c>
      <c r="BL70" s="233">
        <f t="shared" si="35"/>
        <v>450</v>
      </c>
      <c r="BM70" s="233">
        <f t="shared" si="35"/>
        <v>493</v>
      </c>
      <c r="BN70" s="233">
        <f t="shared" si="35"/>
        <v>508.5</v>
      </c>
      <c r="BO70" s="233">
        <f t="shared" si="35"/>
        <v>510</v>
      </c>
      <c r="BP70" s="233">
        <f t="shared" si="35"/>
        <v>484</v>
      </c>
      <c r="BQ70" s="233">
        <f t="shared" si="38"/>
        <v>480</v>
      </c>
      <c r="BR70" s="233">
        <f t="shared" si="39"/>
        <v>381</v>
      </c>
      <c r="BS70" s="232">
        <f t="shared" si="40"/>
        <v>353.7</v>
      </c>
      <c r="BT70" s="232">
        <f t="shared" si="41"/>
        <v>411.7</v>
      </c>
      <c r="BU70" s="232">
        <f t="shared" si="41"/>
        <v>351.2</v>
      </c>
      <c r="BV70" s="232">
        <f t="shared" si="41"/>
        <v>406.6</v>
      </c>
      <c r="BW70" s="232">
        <f t="shared" si="42"/>
        <v>354</v>
      </c>
    </row>
    <row r="71" spans="1:75" s="70" customFormat="1" x14ac:dyDescent="0.25">
      <c r="A71" s="54" t="s">
        <v>71</v>
      </c>
      <c r="B71" s="65">
        <v>8.1</v>
      </c>
      <c r="C71" s="65">
        <v>8.1</v>
      </c>
      <c r="D71" s="65">
        <v>8.1</v>
      </c>
      <c r="E71" s="65">
        <v>8.1</v>
      </c>
      <c r="F71" s="65">
        <v>8.1</v>
      </c>
      <c r="G71" s="65">
        <v>8.1</v>
      </c>
      <c r="H71" s="65">
        <v>8.1</v>
      </c>
      <c r="I71" s="65">
        <v>8.1</v>
      </c>
      <c r="J71" s="65">
        <v>8.1</v>
      </c>
      <c r="K71" s="65">
        <v>8.1</v>
      </c>
      <c r="L71" s="65">
        <v>8.1</v>
      </c>
      <c r="M71" s="65">
        <v>8.1</v>
      </c>
      <c r="N71" s="65">
        <v>8.1</v>
      </c>
      <c r="O71" s="65">
        <v>11.4</v>
      </c>
      <c r="P71" s="65">
        <v>11.4</v>
      </c>
      <c r="Q71" s="65">
        <v>11.4</v>
      </c>
      <c r="R71" s="65">
        <v>11.4</v>
      </c>
      <c r="S71" s="65">
        <v>11.4</v>
      </c>
      <c r="T71" s="65">
        <v>11.4</v>
      </c>
      <c r="U71" s="65">
        <v>11.4</v>
      </c>
      <c r="V71" s="65">
        <v>11.4</v>
      </c>
      <c r="W71" s="65">
        <v>11.4</v>
      </c>
      <c r="X71" s="65">
        <v>11.4</v>
      </c>
      <c r="Y71" s="65">
        <v>11.4</v>
      </c>
      <c r="Z71" s="65">
        <v>8.1</v>
      </c>
      <c r="AA71" s="65">
        <v>11.4</v>
      </c>
      <c r="AB71" s="65">
        <v>11.4</v>
      </c>
      <c r="AC71" s="65">
        <v>11.4</v>
      </c>
      <c r="AD71" s="65">
        <v>11.4</v>
      </c>
      <c r="AE71" s="65">
        <v>11.4</v>
      </c>
      <c r="AF71" s="65">
        <v>11.4</v>
      </c>
      <c r="AG71" s="55">
        <v>14.1</v>
      </c>
      <c r="AH71" s="47">
        <f t="shared" si="8"/>
        <v>11.4</v>
      </c>
      <c r="AI71" s="48">
        <f t="shared" si="9"/>
        <v>8.1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2</v>
      </c>
      <c r="BA71" s="232">
        <f t="shared" si="34"/>
        <v>0</v>
      </c>
      <c r="BB71" s="232">
        <f t="shared" si="34"/>
        <v>4.0999999999999996</v>
      </c>
      <c r="BC71" s="232">
        <f t="shared" si="34"/>
        <v>4</v>
      </c>
      <c r="BD71" s="232">
        <f t="shared" si="34"/>
        <v>4.3</v>
      </c>
      <c r="BE71" s="233">
        <f t="shared" si="36"/>
        <v>5.5</v>
      </c>
      <c r="BF71" s="233">
        <f t="shared" si="37"/>
        <v>4.5</v>
      </c>
      <c r="BG71" s="233">
        <f t="shared" si="35"/>
        <v>4.8</v>
      </c>
      <c r="BH71" s="233">
        <f t="shared" si="35"/>
        <v>4</v>
      </c>
      <c r="BI71" s="233">
        <f t="shared" si="35"/>
        <v>1.7</v>
      </c>
      <c r="BJ71" s="233">
        <f t="shared" si="35"/>
        <v>0.9</v>
      </c>
      <c r="BK71" s="233">
        <f t="shared" si="35"/>
        <v>0.9</v>
      </c>
      <c r="BL71" s="233">
        <f t="shared" si="35"/>
        <v>2.2999999999999998</v>
      </c>
      <c r="BM71" s="233">
        <f t="shared" si="35"/>
        <v>0.6</v>
      </c>
      <c r="BN71" s="233">
        <f t="shared" si="35"/>
        <v>59.2</v>
      </c>
      <c r="BO71" s="233">
        <f t="shared" si="35"/>
        <v>60</v>
      </c>
      <c r="BP71" s="233">
        <f t="shared" si="35"/>
        <v>50</v>
      </c>
      <c r="BQ71" s="233">
        <f t="shared" si="38"/>
        <v>52</v>
      </c>
      <c r="BR71" s="233">
        <f t="shared" si="39"/>
        <v>39.9</v>
      </c>
      <c r="BS71" s="232">
        <f t="shared" si="40"/>
        <v>39.799999999999997</v>
      </c>
      <c r="BT71" s="232">
        <f t="shared" si="41"/>
        <v>47.3</v>
      </c>
      <c r="BU71" s="232">
        <f t="shared" si="41"/>
        <v>46.8</v>
      </c>
      <c r="BV71" s="232">
        <f t="shared" si="41"/>
        <v>48.3</v>
      </c>
      <c r="BW71" s="232">
        <f t="shared" si="42"/>
        <v>50</v>
      </c>
    </row>
    <row r="72" spans="1:75" x14ac:dyDescent="0.25">
      <c r="A72" s="71" t="s">
        <v>72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55">
        <v>14</v>
      </c>
      <c r="AH72" s="47">
        <f t="shared" si="8"/>
        <v>0</v>
      </c>
      <c r="AI72" s="48">
        <f t="shared" si="9"/>
        <v>0</v>
      </c>
      <c r="AK72" s="50"/>
      <c r="AY72" s="1" t="s">
        <v>607</v>
      </c>
      <c r="AZ72" s="233">
        <f>ROUND(C85,0)</f>
        <v>110</v>
      </c>
      <c r="BA72" s="232">
        <f t="shared" si="34"/>
        <v>108</v>
      </c>
      <c r="BB72" s="232">
        <f t="shared" si="34"/>
        <v>117.8</v>
      </c>
      <c r="BC72" s="232">
        <f t="shared" si="34"/>
        <v>116.2</v>
      </c>
      <c r="BD72" s="232">
        <f t="shared" si="34"/>
        <v>107</v>
      </c>
      <c r="BE72" s="233">
        <f t="shared" si="36"/>
        <v>106.6</v>
      </c>
      <c r="BF72" s="233">
        <f t="shared" si="37"/>
        <v>0</v>
      </c>
      <c r="BG72" s="233">
        <f t="shared" si="35"/>
        <v>0</v>
      </c>
      <c r="BH72" s="233">
        <f t="shared" si="35"/>
        <v>0</v>
      </c>
      <c r="BI72" s="233">
        <f t="shared" si="35"/>
        <v>0</v>
      </c>
      <c r="BJ72" s="233">
        <f t="shared" si="35"/>
        <v>99</v>
      </c>
      <c r="BK72" s="233">
        <f t="shared" si="35"/>
        <v>105</v>
      </c>
      <c r="BL72" s="233">
        <f t="shared" si="35"/>
        <v>106</v>
      </c>
      <c r="BM72" s="233">
        <f t="shared" si="35"/>
        <v>53.7</v>
      </c>
      <c r="BN72" s="233">
        <f t="shared" si="35"/>
        <v>108</v>
      </c>
      <c r="BO72" s="233">
        <f t="shared" si="35"/>
        <v>116</v>
      </c>
      <c r="BP72" s="233">
        <f t="shared" si="35"/>
        <v>88</v>
      </c>
      <c r="BQ72" s="233">
        <f t="shared" si="38"/>
        <v>98</v>
      </c>
      <c r="BR72" s="233">
        <f t="shared" si="39"/>
        <v>96</v>
      </c>
      <c r="BS72" s="232">
        <f t="shared" si="40"/>
        <v>81.8</v>
      </c>
      <c r="BT72" s="232">
        <f t="shared" si="41"/>
        <v>81.2</v>
      </c>
      <c r="BU72" s="232">
        <f t="shared" si="41"/>
        <v>110.4</v>
      </c>
      <c r="BV72" s="232">
        <f t="shared" si="41"/>
        <v>120.2</v>
      </c>
      <c r="BW72" s="232">
        <f t="shared" si="42"/>
        <v>100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50</v>
      </c>
      <c r="BA73" s="233">
        <f>D91</f>
        <v>50</v>
      </c>
      <c r="BB73" s="233">
        <f>E91</f>
        <v>0</v>
      </c>
      <c r="BC73" s="233">
        <f>F91</f>
        <v>0</v>
      </c>
      <c r="BD73" s="233">
        <f>G91</f>
        <v>46.1</v>
      </c>
      <c r="BE73" s="233">
        <f>I91</f>
        <v>73.599999999999994</v>
      </c>
      <c r="BF73" s="233">
        <f>K91</f>
        <v>72.2</v>
      </c>
      <c r="BG73" s="233">
        <f t="shared" ref="BG73:BP73" si="43">M91</f>
        <v>64.900000000000006</v>
      </c>
      <c r="BH73" s="233">
        <f t="shared" si="43"/>
        <v>62</v>
      </c>
      <c r="BI73" s="233">
        <f t="shared" si="43"/>
        <v>65.599999999999994</v>
      </c>
      <c r="BJ73" s="233">
        <f t="shared" si="43"/>
        <v>72</v>
      </c>
      <c r="BK73" s="233">
        <f t="shared" si="43"/>
        <v>72</v>
      </c>
      <c r="BL73" s="233">
        <f t="shared" si="43"/>
        <v>72</v>
      </c>
      <c r="BM73" s="233">
        <f t="shared" si="43"/>
        <v>72</v>
      </c>
      <c r="BN73" s="233">
        <f t="shared" si="43"/>
        <v>72</v>
      </c>
      <c r="BO73" s="233">
        <f t="shared" si="43"/>
        <v>72</v>
      </c>
      <c r="BP73" s="233">
        <f t="shared" si="43"/>
        <v>70</v>
      </c>
      <c r="BQ73" s="233">
        <f>X91</f>
        <v>70</v>
      </c>
      <c r="BR73" s="233">
        <f>Z91</f>
        <v>71</v>
      </c>
      <c r="BS73" s="233">
        <f>AB91</f>
        <v>72.2</v>
      </c>
      <c r="BT73" s="233">
        <f>AD91</f>
        <v>71.099999999999994</v>
      </c>
      <c r="BU73" s="233">
        <f>AE91</f>
        <v>65.900000000000006</v>
      </c>
      <c r="BV73" s="233">
        <f>AF91</f>
        <v>44</v>
      </c>
      <c r="BW73" s="233">
        <f>B91</f>
        <v>48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3.5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</v>
      </c>
      <c r="AK75" s="50"/>
      <c r="AZ75" s="233">
        <f>VALUE(AZ68)</f>
        <v>54</v>
      </c>
      <c r="BA75" s="233">
        <f t="shared" ref="BA75:BW75" si="44">VALUE(BA68)</f>
        <v>40</v>
      </c>
      <c r="BB75" s="233">
        <f t="shared" si="44"/>
        <v>52.8</v>
      </c>
      <c r="BC75" s="233">
        <f t="shared" si="44"/>
        <v>61.7</v>
      </c>
      <c r="BD75" s="233">
        <f t="shared" si="44"/>
        <v>42.2</v>
      </c>
      <c r="BE75" s="233">
        <f t="shared" si="44"/>
        <v>44.7</v>
      </c>
      <c r="BF75" s="233">
        <f t="shared" si="44"/>
        <v>44.4</v>
      </c>
      <c r="BG75" s="233">
        <f t="shared" si="44"/>
        <v>64.3</v>
      </c>
      <c r="BH75" s="233">
        <f t="shared" si="44"/>
        <v>53.6</v>
      </c>
      <c r="BI75" s="233">
        <f t="shared" si="44"/>
        <v>48.5</v>
      </c>
      <c r="BJ75" s="233">
        <f t="shared" si="44"/>
        <v>45</v>
      </c>
      <c r="BK75" s="233">
        <f t="shared" si="44"/>
        <v>54</v>
      </c>
      <c r="BL75" s="233">
        <f t="shared" si="44"/>
        <v>49.3</v>
      </c>
      <c r="BM75" s="233">
        <f t="shared" si="44"/>
        <v>56</v>
      </c>
      <c r="BN75" s="233">
        <f t="shared" si="44"/>
        <v>52.4</v>
      </c>
      <c r="BO75" s="233">
        <f t="shared" si="44"/>
        <v>64</v>
      </c>
      <c r="BP75" s="233">
        <f t="shared" si="44"/>
        <v>65.8</v>
      </c>
      <c r="BQ75" s="233">
        <f t="shared" si="44"/>
        <v>63</v>
      </c>
      <c r="BR75" s="233">
        <f t="shared" si="44"/>
        <v>56.5</v>
      </c>
      <c r="BS75" s="233">
        <f t="shared" si="44"/>
        <v>64.400000000000006</v>
      </c>
      <c r="BT75" s="233">
        <f t="shared" si="44"/>
        <v>60.1</v>
      </c>
      <c r="BU75" s="233">
        <f t="shared" si="44"/>
        <v>49.1</v>
      </c>
      <c r="BV75" s="233">
        <f t="shared" si="44"/>
        <v>55.8</v>
      </c>
      <c r="BW75" s="233">
        <f t="shared" si="44"/>
        <v>65</v>
      </c>
    </row>
    <row r="76" spans="1:75" ht="15.75" thickBot="1" x14ac:dyDescent="0.3">
      <c r="A76" s="74" t="s">
        <v>76</v>
      </c>
      <c r="B76" s="60">
        <v>70.34</v>
      </c>
      <c r="C76" s="60">
        <f t="shared" ref="C76:AG76" si="45">SUM(C63:C75)</f>
        <v>70.34</v>
      </c>
      <c r="D76" s="60">
        <f t="shared" si="45"/>
        <v>70.34</v>
      </c>
      <c r="E76" s="60">
        <f t="shared" si="45"/>
        <v>70.04000000000002</v>
      </c>
      <c r="F76" s="60">
        <f t="shared" si="45"/>
        <v>70.34</v>
      </c>
      <c r="G76" s="60">
        <f t="shared" si="45"/>
        <v>70.04000000000002</v>
      </c>
      <c r="H76" s="60">
        <f t="shared" si="45"/>
        <v>111.24000000000001</v>
      </c>
      <c r="I76" s="60">
        <f t="shared" si="45"/>
        <v>186.64</v>
      </c>
      <c r="J76" s="60">
        <f t="shared" si="45"/>
        <v>246.53999999999996</v>
      </c>
      <c r="K76" s="60">
        <f t="shared" si="45"/>
        <v>245.13999999999996</v>
      </c>
      <c r="L76" s="60">
        <f t="shared" si="45"/>
        <v>262.24</v>
      </c>
      <c r="M76" s="60">
        <f t="shared" si="45"/>
        <v>263.44</v>
      </c>
      <c r="N76" s="60">
        <f t="shared" si="45"/>
        <v>247.44</v>
      </c>
      <c r="O76" s="60">
        <f t="shared" si="45"/>
        <v>253.73999999999998</v>
      </c>
      <c r="P76" s="60">
        <f t="shared" si="45"/>
        <v>303.94</v>
      </c>
      <c r="Q76" s="60">
        <f t="shared" si="45"/>
        <v>277.94</v>
      </c>
      <c r="R76" s="60">
        <f t="shared" si="45"/>
        <v>258.24</v>
      </c>
      <c r="S76" s="60">
        <f t="shared" si="45"/>
        <v>258.24</v>
      </c>
      <c r="T76" s="60">
        <f t="shared" si="45"/>
        <v>187.48</v>
      </c>
      <c r="U76" s="60">
        <f t="shared" si="45"/>
        <v>217.38</v>
      </c>
      <c r="V76" s="60">
        <f t="shared" si="45"/>
        <v>204.73999999999998</v>
      </c>
      <c r="W76" s="60">
        <f t="shared" si="45"/>
        <v>169.93999999999997</v>
      </c>
      <c r="X76" s="60">
        <f t="shared" si="45"/>
        <v>208.34</v>
      </c>
      <c r="Y76" s="60">
        <f>SUM(Y63:Y75)</f>
        <v>304.49999999999994</v>
      </c>
      <c r="Z76" s="60">
        <f>SUM(Z63:Z75)</f>
        <v>337.5</v>
      </c>
      <c r="AA76" s="60">
        <f t="shared" si="45"/>
        <v>314.94</v>
      </c>
      <c r="AB76" s="60">
        <f t="shared" ref="AB76:AC76" si="46">SUM(AB63:AB75)</f>
        <v>260.64000000000004</v>
      </c>
      <c r="AC76" s="60">
        <f t="shared" si="46"/>
        <v>260.24</v>
      </c>
      <c r="AD76" s="60">
        <f t="shared" ref="AD76:AE76" si="47">SUM(AD63:AD75)</f>
        <v>251.94</v>
      </c>
      <c r="AE76" s="60">
        <f t="shared" si="47"/>
        <v>210.54</v>
      </c>
      <c r="AF76" s="60">
        <f t="shared" ref="AF76" si="48">SUM(AF63:AF75)</f>
        <v>99.640000000000015</v>
      </c>
      <c r="AG76" s="61">
        <f t="shared" si="45"/>
        <v>489.91</v>
      </c>
      <c r="AH76" s="47">
        <f t="shared" si="8"/>
        <v>337.5</v>
      </c>
      <c r="AI76" s="48">
        <f t="shared" si="9"/>
        <v>70.04000000000002</v>
      </c>
      <c r="AK76" s="50"/>
      <c r="AZ76" s="233">
        <f t="shared" ref="AZ76:BW80" si="49">VALUE(AZ69)</f>
        <v>0</v>
      </c>
      <c r="BA76" s="233">
        <f t="shared" si="49"/>
        <v>0</v>
      </c>
      <c r="BB76" s="233">
        <f t="shared" si="49"/>
        <v>0</v>
      </c>
      <c r="BC76" s="233">
        <f t="shared" si="49"/>
        <v>0</v>
      </c>
      <c r="BD76" s="233">
        <f t="shared" si="49"/>
        <v>0</v>
      </c>
      <c r="BE76" s="233">
        <f t="shared" si="49"/>
        <v>0</v>
      </c>
      <c r="BF76" s="233">
        <f t="shared" si="49"/>
        <v>0</v>
      </c>
      <c r="BG76" s="233">
        <f t="shared" si="49"/>
        <v>0</v>
      </c>
      <c r="BH76" s="233">
        <f t="shared" si="49"/>
        <v>0</v>
      </c>
      <c r="BI76" s="233">
        <f t="shared" si="49"/>
        <v>0</v>
      </c>
      <c r="BJ76" s="233">
        <f t="shared" si="49"/>
        <v>0</v>
      </c>
      <c r="BK76" s="233">
        <f t="shared" si="49"/>
        <v>0</v>
      </c>
      <c r="BL76" s="233">
        <f t="shared" si="49"/>
        <v>0</v>
      </c>
      <c r="BM76" s="233">
        <f t="shared" si="49"/>
        <v>0</v>
      </c>
      <c r="BN76" s="233">
        <f t="shared" si="49"/>
        <v>0</v>
      </c>
      <c r="BO76" s="233">
        <f t="shared" si="49"/>
        <v>0</v>
      </c>
      <c r="BP76" s="233">
        <f t="shared" si="49"/>
        <v>0</v>
      </c>
      <c r="BQ76" s="233">
        <f t="shared" si="49"/>
        <v>0</v>
      </c>
      <c r="BR76" s="233">
        <f t="shared" si="49"/>
        <v>0</v>
      </c>
      <c r="BS76" s="233">
        <f t="shared" si="49"/>
        <v>0</v>
      </c>
      <c r="BT76" s="233">
        <f t="shared" si="49"/>
        <v>0</v>
      </c>
      <c r="BU76" s="233">
        <f t="shared" si="49"/>
        <v>0</v>
      </c>
      <c r="BV76" s="233">
        <f t="shared" si="49"/>
        <v>0</v>
      </c>
      <c r="BW76" s="233">
        <f t="shared" si="49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>
        <v>14</v>
      </c>
      <c r="AA77" s="45"/>
      <c r="AB77" s="45"/>
      <c r="AC77" s="45"/>
      <c r="AD77" s="45"/>
      <c r="AE77" s="45"/>
      <c r="AF77" s="45"/>
      <c r="AG77" s="52">
        <v>60</v>
      </c>
      <c r="AH77" s="47">
        <f t="shared" si="8"/>
        <v>14</v>
      </c>
      <c r="AI77" s="48">
        <f t="shared" si="9"/>
        <v>14</v>
      </c>
      <c r="AK77" s="50"/>
      <c r="AZ77" s="233">
        <f t="shared" si="49"/>
        <v>390</v>
      </c>
      <c r="BA77" s="233">
        <f t="shared" si="49"/>
        <v>380.7</v>
      </c>
      <c r="BB77" s="233">
        <f t="shared" si="49"/>
        <v>389.5</v>
      </c>
      <c r="BC77" s="233">
        <f t="shared" si="49"/>
        <v>397.7</v>
      </c>
      <c r="BD77" s="233">
        <f t="shared" si="49"/>
        <v>415.8</v>
      </c>
      <c r="BE77" s="233">
        <f t="shared" si="49"/>
        <v>419</v>
      </c>
      <c r="BF77" s="233">
        <f t="shared" si="49"/>
        <v>391</v>
      </c>
      <c r="BG77" s="233">
        <f t="shared" si="49"/>
        <v>294.7</v>
      </c>
      <c r="BH77" s="233">
        <f t="shared" si="49"/>
        <v>298.2</v>
      </c>
      <c r="BI77" s="233">
        <f t="shared" si="49"/>
        <v>355.6</v>
      </c>
      <c r="BJ77" s="233">
        <f t="shared" si="49"/>
        <v>430</v>
      </c>
      <c r="BK77" s="233">
        <f t="shared" si="49"/>
        <v>387</v>
      </c>
      <c r="BL77" s="233">
        <f t="shared" si="49"/>
        <v>450</v>
      </c>
      <c r="BM77" s="233">
        <f t="shared" si="49"/>
        <v>493</v>
      </c>
      <c r="BN77" s="233">
        <f t="shared" si="49"/>
        <v>508.5</v>
      </c>
      <c r="BO77" s="233">
        <f t="shared" si="49"/>
        <v>510</v>
      </c>
      <c r="BP77" s="233">
        <f t="shared" si="49"/>
        <v>484</v>
      </c>
      <c r="BQ77" s="233">
        <f t="shared" si="49"/>
        <v>480</v>
      </c>
      <c r="BR77" s="233">
        <f t="shared" si="49"/>
        <v>381</v>
      </c>
      <c r="BS77" s="233">
        <f t="shared" si="49"/>
        <v>353.7</v>
      </c>
      <c r="BT77" s="233">
        <f t="shared" si="49"/>
        <v>411.7</v>
      </c>
      <c r="BU77" s="233">
        <f t="shared" si="49"/>
        <v>351.2</v>
      </c>
      <c r="BV77" s="233">
        <f t="shared" si="49"/>
        <v>406.6</v>
      </c>
      <c r="BW77" s="233">
        <f t="shared" si="49"/>
        <v>354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>
        <v>5.0999999999999996</v>
      </c>
      <c r="AA78" s="65"/>
      <c r="AB78" s="65"/>
      <c r="AC78" s="65"/>
      <c r="AD78" s="65"/>
      <c r="AE78" s="65"/>
      <c r="AF78" s="65"/>
      <c r="AG78" s="55">
        <v>32</v>
      </c>
      <c r="AH78" s="47">
        <f t="shared" si="8"/>
        <v>5.0999999999999996</v>
      </c>
      <c r="AI78" s="48">
        <f t="shared" si="9"/>
        <v>5.0999999999999996</v>
      </c>
      <c r="AK78" s="50"/>
      <c r="AZ78" s="233">
        <f t="shared" si="49"/>
        <v>2</v>
      </c>
      <c r="BA78" s="233">
        <f t="shared" si="49"/>
        <v>0</v>
      </c>
      <c r="BB78" s="233">
        <f t="shared" si="49"/>
        <v>4.0999999999999996</v>
      </c>
      <c r="BC78" s="233">
        <f t="shared" si="49"/>
        <v>4</v>
      </c>
      <c r="BD78" s="233">
        <f t="shared" si="49"/>
        <v>4.3</v>
      </c>
      <c r="BE78" s="233">
        <f t="shared" si="49"/>
        <v>5.5</v>
      </c>
      <c r="BF78" s="233">
        <f t="shared" si="49"/>
        <v>4.5</v>
      </c>
      <c r="BG78" s="233">
        <f t="shared" si="49"/>
        <v>4.8</v>
      </c>
      <c r="BH78" s="233">
        <f t="shared" si="49"/>
        <v>4</v>
      </c>
      <c r="BI78" s="233">
        <f t="shared" si="49"/>
        <v>1.7</v>
      </c>
      <c r="BJ78" s="233">
        <f t="shared" si="49"/>
        <v>0.9</v>
      </c>
      <c r="BK78" s="233">
        <f t="shared" si="49"/>
        <v>0.9</v>
      </c>
      <c r="BL78" s="233">
        <f t="shared" si="49"/>
        <v>2.2999999999999998</v>
      </c>
      <c r="BM78" s="233">
        <f t="shared" si="49"/>
        <v>0.6</v>
      </c>
      <c r="BN78" s="233">
        <f t="shared" si="49"/>
        <v>59.2</v>
      </c>
      <c r="BO78" s="233">
        <f t="shared" si="49"/>
        <v>60</v>
      </c>
      <c r="BP78" s="233">
        <f t="shared" si="49"/>
        <v>50</v>
      </c>
      <c r="BQ78" s="233">
        <f t="shared" si="49"/>
        <v>52</v>
      </c>
      <c r="BR78" s="233">
        <f t="shared" si="49"/>
        <v>39.9</v>
      </c>
      <c r="BS78" s="233">
        <f t="shared" si="49"/>
        <v>39.799999999999997</v>
      </c>
      <c r="BT78" s="233">
        <f t="shared" si="49"/>
        <v>47.3</v>
      </c>
      <c r="BU78" s="233">
        <f t="shared" si="49"/>
        <v>46.8</v>
      </c>
      <c r="BV78" s="233">
        <f t="shared" si="49"/>
        <v>48.3</v>
      </c>
      <c r="BW78" s="233">
        <f t="shared" si="49"/>
        <v>50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>
        <v>1.9</v>
      </c>
      <c r="AA79" s="67"/>
      <c r="AB79" s="67"/>
      <c r="AC79" s="67"/>
      <c r="AD79" s="67"/>
      <c r="AE79" s="67"/>
      <c r="AF79" s="67"/>
      <c r="AG79" s="68">
        <v>14</v>
      </c>
      <c r="AH79" s="47">
        <f t="shared" si="8"/>
        <v>1.9</v>
      </c>
      <c r="AI79" s="48">
        <f t="shared" si="9"/>
        <v>1.9</v>
      </c>
      <c r="AK79" s="50"/>
      <c r="AZ79" s="233">
        <f t="shared" si="49"/>
        <v>110</v>
      </c>
      <c r="BA79" s="233">
        <f t="shared" si="49"/>
        <v>108</v>
      </c>
      <c r="BB79" s="233">
        <f t="shared" si="49"/>
        <v>117.8</v>
      </c>
      <c r="BC79" s="233">
        <f t="shared" si="49"/>
        <v>116.2</v>
      </c>
      <c r="BD79" s="233">
        <f t="shared" si="49"/>
        <v>107</v>
      </c>
      <c r="BE79" s="233">
        <f t="shared" si="49"/>
        <v>106.6</v>
      </c>
      <c r="BF79" s="233">
        <f t="shared" si="49"/>
        <v>0</v>
      </c>
      <c r="BG79" s="233">
        <f t="shared" si="49"/>
        <v>0</v>
      </c>
      <c r="BH79" s="233">
        <f t="shared" si="49"/>
        <v>0</v>
      </c>
      <c r="BI79" s="233">
        <f t="shared" si="49"/>
        <v>0</v>
      </c>
      <c r="BJ79" s="233">
        <f t="shared" si="49"/>
        <v>99</v>
      </c>
      <c r="BK79" s="233">
        <f t="shared" si="49"/>
        <v>105</v>
      </c>
      <c r="BL79" s="233">
        <f t="shared" si="49"/>
        <v>106</v>
      </c>
      <c r="BM79" s="233">
        <f t="shared" si="49"/>
        <v>53.7</v>
      </c>
      <c r="BN79" s="233">
        <f t="shared" si="49"/>
        <v>108</v>
      </c>
      <c r="BO79" s="233">
        <f t="shared" si="49"/>
        <v>116</v>
      </c>
      <c r="BP79" s="233">
        <f t="shared" si="49"/>
        <v>88</v>
      </c>
      <c r="BQ79" s="233">
        <f t="shared" si="49"/>
        <v>98</v>
      </c>
      <c r="BR79" s="233">
        <f t="shared" si="49"/>
        <v>96</v>
      </c>
      <c r="BS79" s="233">
        <f t="shared" si="49"/>
        <v>81.8</v>
      </c>
      <c r="BT79" s="233">
        <f t="shared" si="49"/>
        <v>81.2</v>
      </c>
      <c r="BU79" s="233">
        <f t="shared" si="49"/>
        <v>110.4</v>
      </c>
      <c r="BV79" s="233">
        <f t="shared" si="49"/>
        <v>120.2</v>
      </c>
      <c r="BW79" s="233">
        <f t="shared" si="49"/>
        <v>100</v>
      </c>
    </row>
    <row r="80" spans="1:75" ht="15.75" thickBot="1" x14ac:dyDescent="0.3">
      <c r="A80" s="74" t="s">
        <v>80</v>
      </c>
      <c r="B80" s="60">
        <v>0</v>
      </c>
      <c r="C80" s="60">
        <f t="shared" ref="C80:AA80" si="50">C77+C78+C79</f>
        <v>0</v>
      </c>
      <c r="D80" s="60">
        <f t="shared" si="50"/>
        <v>0</v>
      </c>
      <c r="E80" s="60">
        <f t="shared" si="50"/>
        <v>0</v>
      </c>
      <c r="F80" s="60">
        <f t="shared" si="50"/>
        <v>0</v>
      </c>
      <c r="G80" s="60">
        <f t="shared" si="50"/>
        <v>0</v>
      </c>
      <c r="H80" s="60">
        <f t="shared" si="50"/>
        <v>0</v>
      </c>
      <c r="I80" s="60">
        <f t="shared" si="50"/>
        <v>0</v>
      </c>
      <c r="J80" s="60">
        <f t="shared" si="50"/>
        <v>0</v>
      </c>
      <c r="K80" s="60">
        <f t="shared" si="50"/>
        <v>0</v>
      </c>
      <c r="L80" s="60">
        <f t="shared" si="50"/>
        <v>0</v>
      </c>
      <c r="M80" s="60">
        <f t="shared" si="50"/>
        <v>0</v>
      </c>
      <c r="N80" s="60">
        <f t="shared" si="50"/>
        <v>0</v>
      </c>
      <c r="O80" s="60">
        <f t="shared" si="50"/>
        <v>0</v>
      </c>
      <c r="P80" s="60">
        <f t="shared" si="50"/>
        <v>0</v>
      </c>
      <c r="Q80" s="60">
        <f t="shared" si="50"/>
        <v>0</v>
      </c>
      <c r="R80" s="60">
        <f t="shared" si="50"/>
        <v>0</v>
      </c>
      <c r="S80" s="60">
        <f t="shared" si="50"/>
        <v>0</v>
      </c>
      <c r="T80" s="60">
        <f t="shared" si="50"/>
        <v>0</v>
      </c>
      <c r="U80" s="60">
        <f t="shared" si="50"/>
        <v>0</v>
      </c>
      <c r="V80" s="60">
        <f t="shared" si="50"/>
        <v>0</v>
      </c>
      <c r="W80" s="60">
        <f t="shared" si="50"/>
        <v>0</v>
      </c>
      <c r="X80" s="60">
        <f t="shared" si="50"/>
        <v>0</v>
      </c>
      <c r="Y80" s="60">
        <f>Y77+Y78+Y79</f>
        <v>0</v>
      </c>
      <c r="Z80" s="60">
        <f>Z77+Z78+Z79</f>
        <v>21</v>
      </c>
      <c r="AA80" s="60">
        <f t="shared" si="50"/>
        <v>0</v>
      </c>
      <c r="AB80" s="60">
        <f t="shared" ref="AB80:AC80" si="51">AB77+AB78+AB79</f>
        <v>0</v>
      </c>
      <c r="AC80" s="60">
        <f t="shared" si="51"/>
        <v>0</v>
      </c>
      <c r="AD80" s="60">
        <f t="shared" ref="AD80:AE80" si="52">AD77+AD78+AD79</f>
        <v>0</v>
      </c>
      <c r="AE80" s="60">
        <f t="shared" si="52"/>
        <v>0</v>
      </c>
      <c r="AF80" s="60">
        <f t="shared" ref="AF80" si="53">AF77+AF78+AF79</f>
        <v>0</v>
      </c>
      <c r="AG80" s="61">
        <f>SUM(AG77:AG79)</f>
        <v>106</v>
      </c>
      <c r="AH80" s="47">
        <f t="shared" si="8"/>
        <v>21</v>
      </c>
      <c r="AI80" s="48">
        <f t="shared" si="9"/>
        <v>0</v>
      </c>
      <c r="AK80" s="50"/>
      <c r="AZ80" s="233">
        <f t="shared" si="49"/>
        <v>50</v>
      </c>
      <c r="BA80" s="233">
        <f t="shared" si="49"/>
        <v>50</v>
      </c>
      <c r="BB80" s="233">
        <f t="shared" si="49"/>
        <v>0</v>
      </c>
      <c r="BC80" s="233">
        <f t="shared" si="49"/>
        <v>0</v>
      </c>
      <c r="BD80" s="233">
        <f t="shared" si="49"/>
        <v>46.1</v>
      </c>
      <c r="BE80" s="233">
        <f t="shared" si="49"/>
        <v>73.599999999999994</v>
      </c>
      <c r="BF80" s="233">
        <f t="shared" si="49"/>
        <v>72.2</v>
      </c>
      <c r="BG80" s="233">
        <f t="shared" si="49"/>
        <v>64.900000000000006</v>
      </c>
      <c r="BH80" s="233">
        <f t="shared" si="49"/>
        <v>62</v>
      </c>
      <c r="BI80" s="233">
        <f t="shared" si="49"/>
        <v>65.599999999999994</v>
      </c>
      <c r="BJ80" s="233">
        <f t="shared" si="49"/>
        <v>72</v>
      </c>
      <c r="BK80" s="233">
        <f t="shared" si="49"/>
        <v>72</v>
      </c>
      <c r="BL80" s="233">
        <f t="shared" si="49"/>
        <v>72</v>
      </c>
      <c r="BM80" s="233">
        <f t="shared" si="49"/>
        <v>72</v>
      </c>
      <c r="BN80" s="233">
        <f t="shared" si="49"/>
        <v>72</v>
      </c>
      <c r="BO80" s="233">
        <f t="shared" si="49"/>
        <v>72</v>
      </c>
      <c r="BP80" s="233">
        <f t="shared" si="49"/>
        <v>70</v>
      </c>
      <c r="BQ80" s="233">
        <f t="shared" si="49"/>
        <v>70</v>
      </c>
      <c r="BR80" s="233">
        <f t="shared" si="49"/>
        <v>71</v>
      </c>
      <c r="BS80" s="233">
        <f t="shared" si="49"/>
        <v>72.2</v>
      </c>
      <c r="BT80" s="233">
        <f t="shared" si="49"/>
        <v>71.099999999999994</v>
      </c>
      <c r="BU80" s="233">
        <f t="shared" si="49"/>
        <v>65.900000000000006</v>
      </c>
      <c r="BV80" s="233">
        <f t="shared" si="49"/>
        <v>44</v>
      </c>
      <c r="BW80" s="233">
        <f t="shared" si="49"/>
        <v>48</v>
      </c>
    </row>
    <row r="81" spans="1:64" x14ac:dyDescent="0.25">
      <c r="A81" s="44" t="s">
        <v>81</v>
      </c>
      <c r="B81" s="45">
        <v>65</v>
      </c>
      <c r="C81" s="45">
        <v>54</v>
      </c>
      <c r="D81" s="45">
        <v>40</v>
      </c>
      <c r="E81" s="45">
        <v>52.8</v>
      </c>
      <c r="F81" s="45">
        <v>61.7</v>
      </c>
      <c r="G81" s="45">
        <v>42.2</v>
      </c>
      <c r="H81" s="45">
        <v>40</v>
      </c>
      <c r="I81" s="45">
        <v>44.7</v>
      </c>
      <c r="J81" s="45">
        <v>40</v>
      </c>
      <c r="K81" s="45">
        <v>44.4</v>
      </c>
      <c r="L81" s="45">
        <v>47.1</v>
      </c>
      <c r="M81" s="45">
        <v>64.3</v>
      </c>
      <c r="N81" s="45">
        <v>53.6</v>
      </c>
      <c r="O81" s="45">
        <v>48.5</v>
      </c>
      <c r="P81" s="45">
        <v>45</v>
      </c>
      <c r="Q81" s="45">
        <v>54</v>
      </c>
      <c r="R81" s="45">
        <v>49.3</v>
      </c>
      <c r="S81" s="45">
        <v>56</v>
      </c>
      <c r="T81" s="45">
        <v>52.4</v>
      </c>
      <c r="U81" s="45">
        <v>64</v>
      </c>
      <c r="V81" s="45">
        <v>65.8</v>
      </c>
      <c r="W81" s="45">
        <v>61.6</v>
      </c>
      <c r="X81" s="45">
        <v>63</v>
      </c>
      <c r="Y81" s="45">
        <v>53</v>
      </c>
      <c r="Z81" s="45">
        <v>56.5</v>
      </c>
      <c r="AA81" s="45">
        <v>49.7</v>
      </c>
      <c r="AB81" s="45">
        <v>64.400000000000006</v>
      </c>
      <c r="AC81" s="45">
        <v>62.7</v>
      </c>
      <c r="AD81" s="45">
        <v>60.1</v>
      </c>
      <c r="AE81" s="45">
        <v>49.1</v>
      </c>
      <c r="AF81" s="45">
        <v>55.8</v>
      </c>
      <c r="AG81" s="52"/>
      <c r="AH81" s="47">
        <f t="shared" si="8"/>
        <v>65.8</v>
      </c>
      <c r="AI81" s="48">
        <f t="shared" si="9"/>
        <v>40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54">MAX(B82:AF82)</f>
        <v>0</v>
      </c>
      <c r="AI82" s="48">
        <f t="shared" ref="AI82:AI123" si="55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354</v>
      </c>
      <c r="C83" s="65">
        <v>390.4</v>
      </c>
      <c r="D83" s="65">
        <v>380.7</v>
      </c>
      <c r="E83" s="65">
        <v>389.5</v>
      </c>
      <c r="F83" s="65">
        <v>397.7</v>
      </c>
      <c r="G83" s="65">
        <v>415.8</v>
      </c>
      <c r="H83" s="65">
        <v>445</v>
      </c>
      <c r="I83" s="65">
        <v>419</v>
      </c>
      <c r="J83" s="65">
        <v>420</v>
      </c>
      <c r="K83" s="65">
        <v>391</v>
      </c>
      <c r="L83" s="65">
        <v>280</v>
      </c>
      <c r="M83" s="65">
        <v>294.7</v>
      </c>
      <c r="N83" s="65">
        <v>298.2</v>
      </c>
      <c r="O83" s="65">
        <v>355.6</v>
      </c>
      <c r="P83" s="65">
        <v>430</v>
      </c>
      <c r="Q83" s="65">
        <v>387</v>
      </c>
      <c r="R83" s="65">
        <v>450</v>
      </c>
      <c r="S83" s="65">
        <v>493</v>
      </c>
      <c r="T83" s="65">
        <v>508.5</v>
      </c>
      <c r="U83" s="65">
        <v>510</v>
      </c>
      <c r="V83" s="65">
        <v>484</v>
      </c>
      <c r="W83" s="65">
        <v>469</v>
      </c>
      <c r="X83" s="65">
        <v>480</v>
      </c>
      <c r="Y83" s="65">
        <v>472</v>
      </c>
      <c r="Z83" s="65">
        <v>381</v>
      </c>
      <c r="AA83" s="65">
        <v>385</v>
      </c>
      <c r="AB83" s="65">
        <v>353.7</v>
      </c>
      <c r="AC83" s="65">
        <v>398.4</v>
      </c>
      <c r="AD83" s="65">
        <v>411.7</v>
      </c>
      <c r="AE83" s="65">
        <v>351.2</v>
      </c>
      <c r="AF83" s="65">
        <v>406.6</v>
      </c>
      <c r="AG83" s="75"/>
      <c r="AH83" s="47">
        <f t="shared" si="54"/>
        <v>510</v>
      </c>
      <c r="AI83" s="48">
        <f t="shared" si="55"/>
        <v>280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50</v>
      </c>
      <c r="C84" s="65">
        <v>2</v>
      </c>
      <c r="D84" s="65">
        <v>0</v>
      </c>
      <c r="E84" s="76">
        <v>4.0999999999999996</v>
      </c>
      <c r="F84" s="76">
        <v>4</v>
      </c>
      <c r="G84" s="76">
        <v>4.3</v>
      </c>
      <c r="H84" s="76">
        <v>4.5999999999999996</v>
      </c>
      <c r="I84" s="76">
        <v>5.5</v>
      </c>
      <c r="J84" s="76">
        <v>6.5</v>
      </c>
      <c r="K84" s="76">
        <v>4.5</v>
      </c>
      <c r="L84" s="76">
        <v>5.6</v>
      </c>
      <c r="M84" s="76">
        <v>4.8</v>
      </c>
      <c r="N84" s="76">
        <v>4</v>
      </c>
      <c r="O84" s="76">
        <v>1.7</v>
      </c>
      <c r="P84" s="76">
        <v>0.9</v>
      </c>
      <c r="Q84" s="76">
        <v>0.9</v>
      </c>
      <c r="R84" s="76">
        <v>2.2999999999999998</v>
      </c>
      <c r="S84" s="76">
        <v>0.6</v>
      </c>
      <c r="T84" s="76">
        <v>59.2</v>
      </c>
      <c r="U84" s="76">
        <v>60</v>
      </c>
      <c r="V84" s="76">
        <v>50</v>
      </c>
      <c r="W84" s="76">
        <v>54.6</v>
      </c>
      <c r="X84" s="76">
        <v>52</v>
      </c>
      <c r="Y84" s="76">
        <v>38.9</v>
      </c>
      <c r="Z84" s="76">
        <v>39.9</v>
      </c>
      <c r="AA84" s="76">
        <v>39.9</v>
      </c>
      <c r="AB84" s="76">
        <v>39.799999999999997</v>
      </c>
      <c r="AC84" s="76">
        <v>35.4</v>
      </c>
      <c r="AD84" s="76">
        <v>47.3</v>
      </c>
      <c r="AE84" s="76">
        <v>46.8</v>
      </c>
      <c r="AF84" s="76">
        <v>48.3</v>
      </c>
      <c r="AG84" s="75"/>
      <c r="AH84" s="47">
        <f t="shared" si="54"/>
        <v>60</v>
      </c>
      <c r="AI84" s="48">
        <f t="shared" si="55"/>
        <v>0</v>
      </c>
      <c r="AK84" s="50"/>
      <c r="AY84" s="233"/>
      <c r="BF84" s="232"/>
      <c r="BG84" s="233">
        <f t="array" ref="BG84:BL107">TRANSPOSE(AZ68:BW73)</f>
        <v>54</v>
      </c>
      <c r="BH84" s="233">
        <v>0</v>
      </c>
      <c r="BI84" s="233">
        <v>390</v>
      </c>
      <c r="BJ84" s="233">
        <v>2</v>
      </c>
      <c r="BK84" s="233">
        <v>110</v>
      </c>
      <c r="BL84" s="233">
        <v>50</v>
      </c>
    </row>
    <row r="85" spans="1:64" x14ac:dyDescent="0.25">
      <c r="A85" s="54" t="s">
        <v>85</v>
      </c>
      <c r="B85" s="45">
        <v>100</v>
      </c>
      <c r="C85" s="45">
        <v>110</v>
      </c>
      <c r="D85" s="45">
        <v>108</v>
      </c>
      <c r="E85" s="45">
        <v>117.8</v>
      </c>
      <c r="F85" s="45">
        <v>116.2</v>
      </c>
      <c r="G85" s="45">
        <v>107</v>
      </c>
      <c r="H85" s="45">
        <v>103</v>
      </c>
      <c r="I85" s="45">
        <v>106.6</v>
      </c>
      <c r="J85" s="45">
        <v>100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99</v>
      </c>
      <c r="Q85" s="45">
        <v>105</v>
      </c>
      <c r="R85" s="45">
        <v>106</v>
      </c>
      <c r="S85" s="45">
        <v>53.7</v>
      </c>
      <c r="T85" s="45">
        <v>108</v>
      </c>
      <c r="U85" s="45">
        <v>116</v>
      </c>
      <c r="V85" s="45">
        <v>88</v>
      </c>
      <c r="W85" s="45">
        <v>91</v>
      </c>
      <c r="X85" s="45">
        <v>98</v>
      </c>
      <c r="Y85" s="45">
        <v>106</v>
      </c>
      <c r="Z85" s="45">
        <v>96</v>
      </c>
      <c r="AA85" s="45">
        <v>100</v>
      </c>
      <c r="AB85" s="45">
        <v>81.8</v>
      </c>
      <c r="AC85" s="45">
        <v>74.599999999999994</v>
      </c>
      <c r="AD85" s="45">
        <v>81.2</v>
      </c>
      <c r="AE85" s="45">
        <v>110.4</v>
      </c>
      <c r="AF85" s="45">
        <v>120.2</v>
      </c>
      <c r="AG85" s="75"/>
      <c r="AH85" s="47">
        <f t="shared" si="54"/>
        <v>120.2</v>
      </c>
      <c r="AI85" s="48">
        <f t="shared" si="55"/>
        <v>0</v>
      </c>
      <c r="AK85" s="50"/>
      <c r="AY85" s="233"/>
      <c r="BF85" s="232"/>
      <c r="BG85" s="233">
        <v>40</v>
      </c>
      <c r="BH85" s="233">
        <v>0</v>
      </c>
      <c r="BI85" s="233">
        <v>380.7</v>
      </c>
      <c r="BJ85" s="233">
        <v>0</v>
      </c>
      <c r="BK85" s="233">
        <v>108</v>
      </c>
      <c r="BL85" s="233">
        <v>50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54"/>
        <v>0</v>
      </c>
      <c r="AI86" s="48">
        <f t="shared" si="55"/>
        <v>0</v>
      </c>
      <c r="AK86" s="50"/>
      <c r="AY86" s="233"/>
      <c r="BF86" s="232"/>
      <c r="BG86" s="233">
        <v>52.8</v>
      </c>
      <c r="BH86" s="233">
        <v>0</v>
      </c>
      <c r="BI86" s="233">
        <v>389.5</v>
      </c>
      <c r="BJ86" s="233">
        <v>4.0999999999999996</v>
      </c>
      <c r="BK86" s="233">
        <v>117.8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54"/>
        <v>0</v>
      </c>
      <c r="AI87" s="48">
        <f t="shared" si="55"/>
        <v>0</v>
      </c>
      <c r="AK87" s="50"/>
      <c r="AL87" s="78" t="s">
        <v>88</v>
      </c>
      <c r="AM87" s="78"/>
      <c r="AY87" s="233"/>
      <c r="BF87" s="233"/>
      <c r="BG87" s="233">
        <v>61.7</v>
      </c>
      <c r="BH87" s="233">
        <v>0</v>
      </c>
      <c r="BI87" s="233">
        <v>397.7</v>
      </c>
      <c r="BJ87" s="233">
        <v>4</v>
      </c>
      <c r="BK87" s="233">
        <v>116.2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54"/>
        <v>0</v>
      </c>
      <c r="AI88" s="48">
        <f t="shared" si="55"/>
        <v>0</v>
      </c>
      <c r="AK88" s="79"/>
      <c r="AL88" s="80"/>
      <c r="AM88" s="80"/>
      <c r="AN88" s="81"/>
      <c r="AY88" s="233"/>
      <c r="BF88" s="233"/>
      <c r="BG88" s="233">
        <v>42.2</v>
      </c>
      <c r="BH88" s="233">
        <v>0</v>
      </c>
      <c r="BI88" s="233">
        <v>415.8</v>
      </c>
      <c r="BJ88" s="233">
        <v>4.3</v>
      </c>
      <c r="BK88" s="233">
        <v>107</v>
      </c>
      <c r="BL88" s="233">
        <v>46.1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54"/>
        <v>0</v>
      </c>
      <c r="AI89" s="48">
        <f t="shared" si="55"/>
        <v>0</v>
      </c>
      <c r="AK89" s="82" t="s">
        <v>91</v>
      </c>
      <c r="AL89" s="65"/>
      <c r="AM89" s="76"/>
      <c r="AN89" s="83"/>
      <c r="AY89" s="233"/>
      <c r="BF89" s="233"/>
      <c r="BG89" s="233">
        <v>44.7</v>
      </c>
      <c r="BH89" s="233">
        <v>0</v>
      </c>
      <c r="BI89" s="233">
        <v>419</v>
      </c>
      <c r="BJ89" s="233">
        <v>5.5</v>
      </c>
      <c r="BK89" s="233">
        <v>106.6</v>
      </c>
      <c r="BL89" s="233">
        <v>73.599999999999994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54"/>
        <v>0</v>
      </c>
      <c r="AI90" s="48">
        <f t="shared" si="55"/>
        <v>0</v>
      </c>
      <c r="AK90" s="82" t="s">
        <v>93</v>
      </c>
      <c r="AL90" s="76"/>
      <c r="AM90" s="76"/>
      <c r="AN90" s="83"/>
      <c r="AY90" s="233"/>
      <c r="BF90" s="233"/>
      <c r="BG90" s="233">
        <v>44.4</v>
      </c>
      <c r="BH90" s="233">
        <v>0</v>
      </c>
      <c r="BI90" s="233">
        <v>391</v>
      </c>
      <c r="BJ90" s="233">
        <v>4.5</v>
      </c>
      <c r="BK90" s="233">
        <v>0</v>
      </c>
      <c r="BL90" s="233">
        <v>72.2</v>
      </c>
    </row>
    <row r="91" spans="1:64" ht="15.75" thickBot="1" x14ac:dyDescent="0.3">
      <c r="A91" s="84" t="s">
        <v>394</v>
      </c>
      <c r="B91" s="77">
        <v>48</v>
      </c>
      <c r="C91" s="77">
        <v>50.1</v>
      </c>
      <c r="D91" s="77">
        <v>50</v>
      </c>
      <c r="E91" s="77">
        <v>0</v>
      </c>
      <c r="F91" s="77">
        <v>0</v>
      </c>
      <c r="G91" s="77">
        <v>46.1</v>
      </c>
      <c r="H91" s="77">
        <v>49</v>
      </c>
      <c r="I91" s="77">
        <v>73.599999999999994</v>
      </c>
      <c r="J91" s="77">
        <v>75.2</v>
      </c>
      <c r="K91" s="77">
        <v>72.2</v>
      </c>
      <c r="L91" s="77">
        <v>68.8</v>
      </c>
      <c r="M91" s="77">
        <v>64.900000000000006</v>
      </c>
      <c r="N91" s="77">
        <v>62</v>
      </c>
      <c r="O91" s="77">
        <v>65.599999999999994</v>
      </c>
      <c r="P91" s="77">
        <v>72</v>
      </c>
      <c r="Q91" s="77">
        <v>72</v>
      </c>
      <c r="R91" s="77">
        <v>72</v>
      </c>
      <c r="S91" s="77">
        <v>72</v>
      </c>
      <c r="T91" s="77">
        <v>72</v>
      </c>
      <c r="U91" s="77">
        <v>72</v>
      </c>
      <c r="V91" s="77">
        <v>70</v>
      </c>
      <c r="W91" s="77">
        <v>70</v>
      </c>
      <c r="X91" s="77">
        <v>70</v>
      </c>
      <c r="Y91" s="77">
        <v>70</v>
      </c>
      <c r="Z91" s="77">
        <v>71</v>
      </c>
      <c r="AA91" s="77">
        <v>70</v>
      </c>
      <c r="AB91" s="77">
        <v>72.2</v>
      </c>
      <c r="AC91" s="77">
        <v>72.2</v>
      </c>
      <c r="AD91" s="77">
        <v>71.099999999999994</v>
      </c>
      <c r="AE91" s="77">
        <v>65.900000000000006</v>
      </c>
      <c r="AF91" s="77">
        <v>44</v>
      </c>
      <c r="AG91" s="85"/>
      <c r="AH91" s="47">
        <f t="shared" si="54"/>
        <v>75.2</v>
      </c>
      <c r="AI91" s="48">
        <f t="shared" si="55"/>
        <v>0</v>
      </c>
      <c r="AK91" s="86"/>
      <c r="AL91" s="45"/>
      <c r="AM91" s="45"/>
      <c r="AN91" s="87"/>
      <c r="AY91" s="233"/>
      <c r="BF91" s="233"/>
      <c r="BG91" s="233">
        <v>64.3</v>
      </c>
      <c r="BH91" s="233">
        <v>0</v>
      </c>
      <c r="BI91" s="233">
        <v>294.7</v>
      </c>
      <c r="BJ91" s="233">
        <v>4.8</v>
      </c>
      <c r="BK91" s="233">
        <v>0</v>
      </c>
      <c r="BL91" s="233">
        <v>64.900000000000006</v>
      </c>
    </row>
    <row r="92" spans="1:64" ht="15.75" thickBot="1" x14ac:dyDescent="0.3">
      <c r="A92" s="74" t="s">
        <v>94</v>
      </c>
      <c r="B92" s="60">
        <v>617.6</v>
      </c>
      <c r="C92" s="60">
        <f t="shared" ref="C92:AA92" si="56">SUMIF(C81:C91,"&gt;0")</f>
        <v>606.5</v>
      </c>
      <c r="D92" s="60">
        <f t="shared" si="56"/>
        <v>578.70000000000005</v>
      </c>
      <c r="E92" s="60">
        <f t="shared" si="56"/>
        <v>564.20000000000005</v>
      </c>
      <c r="F92" s="60">
        <f t="shared" si="56"/>
        <v>579.6</v>
      </c>
      <c r="G92" s="60">
        <f t="shared" si="56"/>
        <v>615.4</v>
      </c>
      <c r="H92" s="60">
        <f t="shared" si="56"/>
        <v>641.6</v>
      </c>
      <c r="I92" s="60">
        <f t="shared" si="56"/>
        <v>649.4</v>
      </c>
      <c r="J92" s="60">
        <f t="shared" si="56"/>
        <v>641.70000000000005</v>
      </c>
      <c r="K92" s="60">
        <f t="shared" si="56"/>
        <v>512.1</v>
      </c>
      <c r="L92" s="60">
        <f t="shared" si="56"/>
        <v>401.50000000000006</v>
      </c>
      <c r="M92" s="60">
        <f t="shared" si="56"/>
        <v>428.70000000000005</v>
      </c>
      <c r="N92" s="60">
        <f t="shared" si="56"/>
        <v>417.8</v>
      </c>
      <c r="O92" s="60">
        <f t="shared" si="56"/>
        <v>471.4</v>
      </c>
      <c r="P92" s="60">
        <f t="shared" si="56"/>
        <v>646.9</v>
      </c>
      <c r="Q92" s="60">
        <f t="shared" si="56"/>
        <v>618.9</v>
      </c>
      <c r="R92" s="60">
        <f t="shared" si="56"/>
        <v>679.6</v>
      </c>
      <c r="S92" s="60">
        <f t="shared" si="56"/>
        <v>675.30000000000007</v>
      </c>
      <c r="T92" s="60">
        <f t="shared" si="56"/>
        <v>800.1</v>
      </c>
      <c r="U92" s="60">
        <f t="shared" si="56"/>
        <v>822</v>
      </c>
      <c r="V92" s="60">
        <f t="shared" si="56"/>
        <v>757.8</v>
      </c>
      <c r="W92" s="60">
        <f t="shared" si="56"/>
        <v>746.2</v>
      </c>
      <c r="X92" s="60">
        <f t="shared" si="56"/>
        <v>763</v>
      </c>
      <c r="Y92" s="60">
        <f>SUMIF(Y81:Y91,"&gt;0")</f>
        <v>739.9</v>
      </c>
      <c r="Z92" s="60">
        <f>SUMIF(Z81:Z91,"&gt;0")</f>
        <v>644.4</v>
      </c>
      <c r="AA92" s="60">
        <f t="shared" si="56"/>
        <v>644.59999999999991</v>
      </c>
      <c r="AB92" s="60">
        <f t="shared" ref="AB92:AC92" si="57">SUMIF(AB81:AB91,"&gt;0")</f>
        <v>611.90000000000009</v>
      </c>
      <c r="AC92" s="60">
        <f t="shared" si="57"/>
        <v>643.29999999999995</v>
      </c>
      <c r="AD92" s="60">
        <f t="shared" ref="AD92:AE92" si="58">SUMIF(AD81:AD91,"&gt;0")</f>
        <v>671.40000000000009</v>
      </c>
      <c r="AE92" s="60">
        <f t="shared" si="58"/>
        <v>623.4</v>
      </c>
      <c r="AF92" s="60">
        <f t="shared" ref="AF92" si="59">SUMIF(AF81:AF91,"&gt;0")</f>
        <v>674.90000000000009</v>
      </c>
      <c r="AG92" s="88">
        <f>SUM(AG81:AG91)</f>
        <v>0</v>
      </c>
      <c r="AH92" s="47">
        <f t="shared" si="54"/>
        <v>822</v>
      </c>
      <c r="AI92" s="48">
        <f t="shared" si="55"/>
        <v>401.50000000000006</v>
      </c>
      <c r="AK92" s="86"/>
      <c r="AL92" s="77"/>
      <c r="AM92" s="89"/>
      <c r="AN92" s="257"/>
      <c r="AY92" s="233"/>
      <c r="BF92" s="233"/>
      <c r="BG92" s="233">
        <v>53.6</v>
      </c>
      <c r="BH92" s="233">
        <v>0</v>
      </c>
      <c r="BI92" s="233">
        <v>298.2</v>
      </c>
      <c r="BJ92" s="233">
        <v>4</v>
      </c>
      <c r="BK92" s="233">
        <v>0</v>
      </c>
      <c r="BL92" s="233">
        <v>62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54"/>
        <v>0</v>
      </c>
      <c r="AI93" s="48">
        <f t="shared" si="55"/>
        <v>0</v>
      </c>
      <c r="AK93" s="86"/>
      <c r="AL93" s="77"/>
      <c r="AM93" s="77"/>
      <c r="AN93" s="258"/>
      <c r="BF93" s="233"/>
      <c r="BG93" s="233">
        <v>48.5</v>
      </c>
      <c r="BH93" s="233">
        <v>0</v>
      </c>
      <c r="BI93" s="233">
        <v>355.6</v>
      </c>
      <c r="BJ93" s="233">
        <v>1.7</v>
      </c>
      <c r="BK93" s="233">
        <v>0</v>
      </c>
      <c r="BL93" s="233">
        <v>65.599999999999994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54"/>
        <v>0</v>
      </c>
      <c r="AI94" s="48">
        <f t="shared" si="55"/>
        <v>0</v>
      </c>
      <c r="AK94" s="91"/>
      <c r="AL94" s="92"/>
      <c r="AM94" s="92"/>
      <c r="AN94" s="93"/>
      <c r="BF94" s="233"/>
      <c r="BG94" s="233">
        <v>45</v>
      </c>
      <c r="BH94" s="233">
        <v>0</v>
      </c>
      <c r="BI94" s="233">
        <v>430</v>
      </c>
      <c r="BJ94" s="233">
        <v>0.9</v>
      </c>
      <c r="BK94" s="233">
        <v>99</v>
      </c>
      <c r="BL94" s="233">
        <v>72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54"/>
        <v>0</v>
      </c>
      <c r="AI95" s="48">
        <f t="shared" si="55"/>
        <v>0</v>
      </c>
      <c r="BF95" s="233"/>
      <c r="BG95" s="233">
        <v>54</v>
      </c>
      <c r="BH95" s="233">
        <v>0</v>
      </c>
      <c r="BI95" s="233">
        <v>387</v>
      </c>
      <c r="BJ95" s="233">
        <v>0.9</v>
      </c>
      <c r="BK95" s="233">
        <v>105</v>
      </c>
      <c r="BL95" s="233">
        <v>72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54"/>
        <v>0</v>
      </c>
      <c r="AI96" s="48">
        <f t="shared" si="55"/>
        <v>0</v>
      </c>
      <c r="BF96" s="233"/>
      <c r="BG96" s="233">
        <v>49.3</v>
      </c>
      <c r="BH96" s="233">
        <v>0</v>
      </c>
      <c r="BI96" s="233">
        <v>450</v>
      </c>
      <c r="BJ96" s="233">
        <v>2.2999999999999998</v>
      </c>
      <c r="BK96" s="233">
        <v>106</v>
      </c>
      <c r="BL96" s="233">
        <v>72</v>
      </c>
    </row>
    <row r="97" spans="1:64" ht="15.75" thickBot="1" x14ac:dyDescent="0.3">
      <c r="A97" s="74" t="s">
        <v>99</v>
      </c>
      <c r="B97" s="95">
        <v>1207.79</v>
      </c>
      <c r="C97" s="95">
        <f t="shared" ref="C97:AG97" si="60">C58+C62+C80+C76+C92+C96</f>
        <v>1182.0900000000001</v>
      </c>
      <c r="D97" s="95">
        <f t="shared" si="60"/>
        <v>1154.29</v>
      </c>
      <c r="E97" s="95">
        <f t="shared" si="60"/>
        <v>1139.49</v>
      </c>
      <c r="F97" s="95">
        <f t="shared" si="60"/>
        <v>1155.19</v>
      </c>
      <c r="G97" s="95">
        <f t="shared" si="60"/>
        <v>1186.79</v>
      </c>
      <c r="H97" s="95">
        <f t="shared" si="60"/>
        <v>1254.19</v>
      </c>
      <c r="I97" s="95">
        <f t="shared" si="60"/>
        <v>1337.3899999999999</v>
      </c>
      <c r="J97" s="95">
        <f t="shared" si="60"/>
        <v>1426.49</v>
      </c>
      <c r="K97" s="95">
        <f t="shared" si="60"/>
        <v>1320.5900000000001</v>
      </c>
      <c r="L97" s="95">
        <f t="shared" si="60"/>
        <v>1396.99</v>
      </c>
      <c r="M97" s="95">
        <f t="shared" si="60"/>
        <v>1435.99</v>
      </c>
      <c r="N97" s="95">
        <f t="shared" si="60"/>
        <v>1367.09</v>
      </c>
      <c r="O97" s="95">
        <f t="shared" si="60"/>
        <v>1354.79</v>
      </c>
      <c r="P97" s="95">
        <f t="shared" si="60"/>
        <v>1500.5900000000001</v>
      </c>
      <c r="Q97" s="95">
        <f t="shared" si="60"/>
        <v>1426.5900000000001</v>
      </c>
      <c r="R97" s="95">
        <f t="shared" si="60"/>
        <v>1472.5900000000001</v>
      </c>
      <c r="S97" s="95">
        <f t="shared" si="60"/>
        <v>1459.29</v>
      </c>
      <c r="T97" s="95">
        <f t="shared" si="60"/>
        <v>1508.23</v>
      </c>
      <c r="U97" s="95">
        <f t="shared" si="60"/>
        <v>1560.03</v>
      </c>
      <c r="V97" s="95">
        <f t="shared" si="60"/>
        <v>1483.19</v>
      </c>
      <c r="W97" s="95">
        <f t="shared" si="60"/>
        <v>1450.29</v>
      </c>
      <c r="X97" s="95">
        <f t="shared" si="60"/>
        <v>1505.49</v>
      </c>
      <c r="Y97" s="95">
        <f>Y58+Y62+Y80+Y76+Y92+Y96</f>
        <v>1668.0500000000002</v>
      </c>
      <c r="Z97" s="95">
        <f>Z58+Z62+Z80+Z76+Z92+Z96</f>
        <v>1667.25</v>
      </c>
      <c r="AA97" s="95">
        <f t="shared" si="60"/>
        <v>1603.8899999999999</v>
      </c>
      <c r="AB97" s="95">
        <f t="shared" ref="AB97:AC97" si="61">AB58+AB62+AB80+AB76+AB92+AB96</f>
        <v>1496.89</v>
      </c>
      <c r="AC97" s="95">
        <f t="shared" si="61"/>
        <v>1462.8899999999999</v>
      </c>
      <c r="AD97" s="95">
        <f t="shared" ref="AD97:AE97" si="62">AD58+AD62+AD80+AD76+AD92+AD96</f>
        <v>1452.69</v>
      </c>
      <c r="AE97" s="95">
        <f t="shared" si="62"/>
        <v>1363.29</v>
      </c>
      <c r="AF97" s="95">
        <f t="shared" ref="AF97" si="63">AF58+AF62+AF80+AF76+AF92+AF96</f>
        <v>1278.8900000000001</v>
      </c>
      <c r="AG97" s="61">
        <f t="shared" si="60"/>
        <v>2231.81</v>
      </c>
      <c r="AH97" s="47">
        <f t="shared" si="54"/>
        <v>1668.0500000000002</v>
      </c>
      <c r="AI97" s="48">
        <f t="shared" si="55"/>
        <v>1139.49</v>
      </c>
      <c r="BF97" s="233"/>
      <c r="BG97" s="233">
        <v>56</v>
      </c>
      <c r="BH97" s="233">
        <v>0</v>
      </c>
      <c r="BI97" s="233">
        <v>493</v>
      </c>
      <c r="BJ97" s="233">
        <v>0.6</v>
      </c>
      <c r="BK97" s="233">
        <v>53.7</v>
      </c>
      <c r="BL97" s="233">
        <v>72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>
        <v>35</v>
      </c>
      <c r="J98" s="97">
        <v>35</v>
      </c>
      <c r="K98" s="97">
        <v>180</v>
      </c>
      <c r="L98" s="97">
        <v>250</v>
      </c>
      <c r="M98" s="97">
        <v>240</v>
      </c>
      <c r="N98" s="97">
        <v>230</v>
      </c>
      <c r="O98" s="97">
        <v>200</v>
      </c>
      <c r="P98" s="97"/>
      <c r="Q98" s="97"/>
      <c r="R98" s="97"/>
      <c r="S98" s="97"/>
      <c r="T98" s="97">
        <v>15</v>
      </c>
      <c r="U98" s="97">
        <v>10</v>
      </c>
      <c r="V98" s="97"/>
      <c r="W98" s="97">
        <v>120</v>
      </c>
      <c r="X98" s="97">
        <v>120</v>
      </c>
      <c r="Y98" s="97">
        <v>120</v>
      </c>
      <c r="Z98" s="97">
        <v>120</v>
      </c>
      <c r="AA98" s="97">
        <v>120</v>
      </c>
      <c r="AB98" s="97">
        <v>100</v>
      </c>
      <c r="AC98" s="97">
        <v>50</v>
      </c>
      <c r="AD98" s="97">
        <v>50</v>
      </c>
      <c r="AE98" s="97">
        <v>0</v>
      </c>
      <c r="AF98" s="97">
        <v>1</v>
      </c>
      <c r="AG98" s="88"/>
      <c r="AH98" s="47">
        <f t="shared" si="54"/>
        <v>250</v>
      </c>
      <c r="AI98" s="48">
        <f t="shared" si="55"/>
        <v>0</v>
      </c>
      <c r="BF98" s="233"/>
      <c r="BG98" s="233">
        <v>52.4</v>
      </c>
      <c r="BH98" s="233">
        <v>0</v>
      </c>
      <c r="BI98" s="233">
        <v>508.5</v>
      </c>
      <c r="BJ98" s="233">
        <v>59.2</v>
      </c>
      <c r="BK98" s="233">
        <v>108</v>
      </c>
      <c r="BL98" s="233">
        <v>72</v>
      </c>
    </row>
    <row r="99" spans="1:64" ht="15.75" thickBot="1" x14ac:dyDescent="0.3">
      <c r="A99" s="74" t="s">
        <v>101</v>
      </c>
      <c r="B99" s="95">
        <v>1207.79</v>
      </c>
      <c r="C99" s="95">
        <f t="shared" ref="C99:AA99" si="64">C97+C98</f>
        <v>1182.0900000000001</v>
      </c>
      <c r="D99" s="95">
        <f t="shared" si="64"/>
        <v>1154.29</v>
      </c>
      <c r="E99" s="95">
        <f t="shared" si="64"/>
        <v>1139.49</v>
      </c>
      <c r="F99" s="95">
        <f t="shared" si="64"/>
        <v>1155.19</v>
      </c>
      <c r="G99" s="95">
        <f t="shared" si="64"/>
        <v>1186.79</v>
      </c>
      <c r="H99" s="95">
        <f t="shared" si="64"/>
        <v>1254.19</v>
      </c>
      <c r="I99" s="95">
        <f t="shared" si="64"/>
        <v>1372.3899999999999</v>
      </c>
      <c r="J99" s="95">
        <f t="shared" si="64"/>
        <v>1461.49</v>
      </c>
      <c r="K99" s="95">
        <f t="shared" si="64"/>
        <v>1500.5900000000001</v>
      </c>
      <c r="L99" s="95">
        <f t="shared" si="64"/>
        <v>1646.99</v>
      </c>
      <c r="M99" s="95">
        <f t="shared" si="64"/>
        <v>1675.99</v>
      </c>
      <c r="N99" s="95">
        <f t="shared" si="64"/>
        <v>1597.09</v>
      </c>
      <c r="O99" s="95">
        <f t="shared" si="64"/>
        <v>1554.79</v>
      </c>
      <c r="P99" s="95">
        <f t="shared" si="64"/>
        <v>1500.5900000000001</v>
      </c>
      <c r="Q99" s="95">
        <f t="shared" si="64"/>
        <v>1426.5900000000001</v>
      </c>
      <c r="R99" s="95">
        <f t="shared" si="64"/>
        <v>1472.5900000000001</v>
      </c>
      <c r="S99" s="95">
        <f t="shared" si="64"/>
        <v>1459.29</v>
      </c>
      <c r="T99" s="95">
        <f t="shared" si="64"/>
        <v>1523.23</v>
      </c>
      <c r="U99" s="95">
        <f t="shared" si="64"/>
        <v>1570.03</v>
      </c>
      <c r="V99" s="95">
        <f t="shared" si="64"/>
        <v>1483.19</v>
      </c>
      <c r="W99" s="95">
        <f t="shared" si="64"/>
        <v>1570.29</v>
      </c>
      <c r="X99" s="95">
        <f t="shared" si="64"/>
        <v>1625.49</v>
      </c>
      <c r="Y99" s="95">
        <f>Y97+Y98</f>
        <v>1788.0500000000002</v>
      </c>
      <c r="Z99" s="95">
        <f>Z97+Z98</f>
        <v>1787.25</v>
      </c>
      <c r="AA99" s="95">
        <f t="shared" si="64"/>
        <v>1723.8899999999999</v>
      </c>
      <c r="AB99" s="95">
        <f t="shared" ref="AB99:AC99" si="65">AB97+AB98</f>
        <v>1596.89</v>
      </c>
      <c r="AC99" s="95">
        <f t="shared" si="65"/>
        <v>1512.8899999999999</v>
      </c>
      <c r="AD99" s="95">
        <f t="shared" ref="AD99:AE99" si="66">AD97+AD98</f>
        <v>1502.69</v>
      </c>
      <c r="AE99" s="95">
        <f t="shared" si="66"/>
        <v>1363.29</v>
      </c>
      <c r="AF99" s="95">
        <f t="shared" ref="AF99" si="67">AF97+AF98</f>
        <v>1279.8900000000001</v>
      </c>
      <c r="AG99" s="88">
        <f>AG96+AG92+AG80+AG76+AG58+AG98</f>
        <v>1693.71</v>
      </c>
      <c r="AH99" s="47">
        <f t="shared" si="54"/>
        <v>1788.0500000000002</v>
      </c>
      <c r="AI99" s="48">
        <f t="shared" si="55"/>
        <v>1139.49</v>
      </c>
      <c r="BF99" s="233"/>
      <c r="BG99" s="233">
        <v>64</v>
      </c>
      <c r="BH99" s="233">
        <v>0</v>
      </c>
      <c r="BI99" s="233">
        <v>510</v>
      </c>
      <c r="BJ99" s="233">
        <v>60</v>
      </c>
      <c r="BK99" s="233">
        <v>116</v>
      </c>
      <c r="BL99" s="233">
        <v>72</v>
      </c>
    </row>
    <row r="100" spans="1:64" ht="15.75" thickBot="1" x14ac:dyDescent="0.3">
      <c r="A100" s="74" t="s">
        <v>102</v>
      </c>
      <c r="B100" s="95">
        <v>1207.79</v>
      </c>
      <c r="C100" s="95">
        <f t="shared" ref="C100:M100" si="68">C99-(C107)</f>
        <v>1182.0900000000001</v>
      </c>
      <c r="D100" s="95">
        <f t="shared" si="68"/>
        <v>1154.29</v>
      </c>
      <c r="E100" s="95">
        <f t="shared" si="68"/>
        <v>1139.49</v>
      </c>
      <c r="F100" s="95">
        <f t="shared" si="68"/>
        <v>1155.19</v>
      </c>
      <c r="G100" s="95">
        <f t="shared" si="68"/>
        <v>1186.79</v>
      </c>
      <c r="H100" s="95">
        <f t="shared" si="68"/>
        <v>1254.19</v>
      </c>
      <c r="I100" s="95">
        <f t="shared" si="68"/>
        <v>1372.3899999999999</v>
      </c>
      <c r="J100" s="95">
        <f t="shared" si="68"/>
        <v>1461.49</v>
      </c>
      <c r="K100" s="95">
        <f t="shared" si="68"/>
        <v>1500.5900000000001</v>
      </c>
      <c r="L100" s="95">
        <f t="shared" si="68"/>
        <v>1646.99</v>
      </c>
      <c r="M100" s="95">
        <f t="shared" si="68"/>
        <v>1675.99</v>
      </c>
      <c r="N100" s="95">
        <f>N99-(N107)</f>
        <v>1597.09</v>
      </c>
      <c r="O100" s="95">
        <f t="shared" ref="O100:AA100" si="69">O99-(O107)</f>
        <v>1554.79</v>
      </c>
      <c r="P100" s="95">
        <f t="shared" si="69"/>
        <v>1500.5900000000001</v>
      </c>
      <c r="Q100" s="95">
        <f t="shared" si="69"/>
        <v>1426.5900000000001</v>
      </c>
      <c r="R100" s="95">
        <f t="shared" si="69"/>
        <v>1472.5900000000001</v>
      </c>
      <c r="S100" s="95">
        <f t="shared" si="69"/>
        <v>1459.29</v>
      </c>
      <c r="T100" s="95">
        <f t="shared" si="69"/>
        <v>1523.23</v>
      </c>
      <c r="U100" s="95">
        <f t="shared" si="69"/>
        <v>1570.03</v>
      </c>
      <c r="V100" s="95">
        <f t="shared" si="69"/>
        <v>1483.19</v>
      </c>
      <c r="W100" s="95">
        <f t="shared" si="69"/>
        <v>1570.29</v>
      </c>
      <c r="X100" s="95">
        <f t="shared" si="69"/>
        <v>1625.49</v>
      </c>
      <c r="Y100" s="95">
        <f t="shared" si="69"/>
        <v>1788.0500000000002</v>
      </c>
      <c r="Z100" s="95">
        <f t="shared" si="69"/>
        <v>1787.25</v>
      </c>
      <c r="AA100" s="95">
        <f t="shared" si="69"/>
        <v>1723.8899999999999</v>
      </c>
      <c r="AB100" s="95">
        <f t="shared" ref="AB100:AC100" si="70">AB99-(AB107)</f>
        <v>1596.89</v>
      </c>
      <c r="AC100" s="95">
        <f t="shared" si="70"/>
        <v>1512.8899999999999</v>
      </c>
      <c r="AD100" s="95">
        <f t="shared" ref="AD100:AE100" si="71">AD99-(AD107)</f>
        <v>1502.69</v>
      </c>
      <c r="AE100" s="95">
        <f t="shared" si="71"/>
        <v>1363.29</v>
      </c>
      <c r="AF100" s="95">
        <f t="shared" ref="AF100" si="72">AF99-(AF107)</f>
        <v>1279.8900000000001</v>
      </c>
      <c r="AG100" s="88"/>
      <c r="AH100" s="47">
        <f t="shared" si="54"/>
        <v>1788.0500000000002</v>
      </c>
      <c r="AI100" s="48">
        <f t="shared" si="55"/>
        <v>1139.49</v>
      </c>
      <c r="BF100" s="233"/>
      <c r="BG100" s="233">
        <v>65.8</v>
      </c>
      <c r="BH100" s="233">
        <v>0</v>
      </c>
      <c r="BI100" s="233">
        <v>484</v>
      </c>
      <c r="BJ100" s="233">
        <v>50</v>
      </c>
      <c r="BK100" s="233">
        <v>88</v>
      </c>
      <c r="BL100" s="233">
        <v>70</v>
      </c>
    </row>
    <row r="101" spans="1:64" x14ac:dyDescent="0.25">
      <c r="A101" s="44" t="s">
        <v>84</v>
      </c>
      <c r="B101" s="76">
        <v>0</v>
      </c>
      <c r="C101" s="76">
        <f t="shared" ref="C101:AA101" si="73">IF(C84&lt;0,C84*-1,0)</f>
        <v>0</v>
      </c>
      <c r="D101" s="76">
        <f t="shared" si="73"/>
        <v>0</v>
      </c>
      <c r="E101" s="76">
        <f t="shared" si="73"/>
        <v>0</v>
      </c>
      <c r="F101" s="76">
        <f t="shared" si="73"/>
        <v>0</v>
      </c>
      <c r="G101" s="76">
        <f t="shared" si="73"/>
        <v>0</v>
      </c>
      <c r="H101" s="76">
        <f t="shared" si="73"/>
        <v>0</v>
      </c>
      <c r="I101" s="76">
        <f t="shared" si="73"/>
        <v>0</v>
      </c>
      <c r="J101" s="76">
        <f t="shared" si="73"/>
        <v>0</v>
      </c>
      <c r="K101" s="76">
        <f t="shared" si="73"/>
        <v>0</v>
      </c>
      <c r="L101" s="76">
        <f t="shared" si="73"/>
        <v>0</v>
      </c>
      <c r="M101" s="76">
        <f t="shared" si="73"/>
        <v>0</v>
      </c>
      <c r="N101" s="76">
        <f t="shared" si="73"/>
        <v>0</v>
      </c>
      <c r="O101" s="76">
        <f t="shared" si="73"/>
        <v>0</v>
      </c>
      <c r="P101" s="76">
        <f t="shared" si="73"/>
        <v>0</v>
      </c>
      <c r="Q101" s="76">
        <f t="shared" si="73"/>
        <v>0</v>
      </c>
      <c r="R101" s="76">
        <f t="shared" si="73"/>
        <v>0</v>
      </c>
      <c r="S101" s="76">
        <f t="shared" si="73"/>
        <v>0</v>
      </c>
      <c r="T101" s="76">
        <f t="shared" si="73"/>
        <v>0</v>
      </c>
      <c r="U101" s="76">
        <f t="shared" si="73"/>
        <v>0</v>
      </c>
      <c r="V101" s="76">
        <f t="shared" si="73"/>
        <v>0</v>
      </c>
      <c r="W101" s="76">
        <f t="shared" si="73"/>
        <v>0</v>
      </c>
      <c r="X101" s="76">
        <f t="shared" si="73"/>
        <v>0</v>
      </c>
      <c r="Y101" s="76">
        <f t="shared" si="73"/>
        <v>0</v>
      </c>
      <c r="Z101" s="76">
        <f t="shared" si="73"/>
        <v>0</v>
      </c>
      <c r="AA101" s="76">
        <f t="shared" si="73"/>
        <v>0</v>
      </c>
      <c r="AB101" s="76">
        <f t="shared" ref="AB101:AC101" si="74">IF(AB84&lt;0,AB84*-1,0)</f>
        <v>0</v>
      </c>
      <c r="AC101" s="76">
        <f t="shared" si="74"/>
        <v>0</v>
      </c>
      <c r="AD101" s="76">
        <f t="shared" ref="AD101:AE101" si="75">IF(AD84&lt;0,AD84*-1,0)</f>
        <v>0</v>
      </c>
      <c r="AE101" s="76">
        <f t="shared" si="75"/>
        <v>0</v>
      </c>
      <c r="AF101" s="76">
        <f t="shared" ref="AF101" si="76">IF(AF84&lt;0,AF84*-1,0)</f>
        <v>0</v>
      </c>
      <c r="AG101" s="52"/>
      <c r="AH101" s="47">
        <f t="shared" si="54"/>
        <v>0</v>
      </c>
      <c r="AI101" s="48">
        <f t="shared" si="55"/>
        <v>0</v>
      </c>
      <c r="BF101" s="232"/>
      <c r="BG101" s="233">
        <v>63</v>
      </c>
      <c r="BH101" s="233">
        <v>0</v>
      </c>
      <c r="BI101" s="233">
        <v>480</v>
      </c>
      <c r="BJ101" s="233">
        <v>52</v>
      </c>
      <c r="BK101" s="233">
        <v>98</v>
      </c>
      <c r="BL101" s="233">
        <v>70</v>
      </c>
    </row>
    <row r="102" spans="1:64" x14ac:dyDescent="0.25">
      <c r="A102" s="54" t="s">
        <v>82</v>
      </c>
      <c r="B102" s="76">
        <v>0</v>
      </c>
      <c r="C102" s="76">
        <f t="shared" ref="C102:AA102" si="77">IF(C82&lt;0,C82*-1,0)</f>
        <v>0</v>
      </c>
      <c r="D102" s="76">
        <f t="shared" si="77"/>
        <v>0</v>
      </c>
      <c r="E102" s="76">
        <f t="shared" si="77"/>
        <v>0</v>
      </c>
      <c r="F102" s="76">
        <f t="shared" si="77"/>
        <v>0</v>
      </c>
      <c r="G102" s="76">
        <f t="shared" si="77"/>
        <v>0</v>
      </c>
      <c r="H102" s="76">
        <f t="shared" si="77"/>
        <v>0</v>
      </c>
      <c r="I102" s="76">
        <f t="shared" si="77"/>
        <v>0</v>
      </c>
      <c r="J102" s="76">
        <f t="shared" si="77"/>
        <v>0</v>
      </c>
      <c r="K102" s="76">
        <f t="shared" si="77"/>
        <v>0</v>
      </c>
      <c r="L102" s="76">
        <f t="shared" si="77"/>
        <v>0</v>
      </c>
      <c r="M102" s="76">
        <f t="shared" si="77"/>
        <v>0</v>
      </c>
      <c r="N102" s="76">
        <f t="shared" si="77"/>
        <v>0</v>
      </c>
      <c r="O102" s="76">
        <f t="shared" si="77"/>
        <v>0</v>
      </c>
      <c r="P102" s="76">
        <f t="shared" si="77"/>
        <v>0</v>
      </c>
      <c r="Q102" s="76">
        <f t="shared" si="77"/>
        <v>0</v>
      </c>
      <c r="R102" s="76">
        <f t="shared" si="77"/>
        <v>0</v>
      </c>
      <c r="S102" s="76">
        <f t="shared" si="77"/>
        <v>0</v>
      </c>
      <c r="T102" s="76">
        <f t="shared" si="77"/>
        <v>0</v>
      </c>
      <c r="U102" s="76">
        <f t="shared" si="77"/>
        <v>0</v>
      </c>
      <c r="V102" s="76">
        <f t="shared" si="77"/>
        <v>0</v>
      </c>
      <c r="W102" s="76">
        <f t="shared" si="77"/>
        <v>0</v>
      </c>
      <c r="X102" s="76">
        <f t="shared" si="77"/>
        <v>0</v>
      </c>
      <c r="Y102" s="76">
        <f t="shared" si="77"/>
        <v>0</v>
      </c>
      <c r="Z102" s="76">
        <f t="shared" si="77"/>
        <v>0</v>
      </c>
      <c r="AA102" s="76">
        <f t="shared" si="77"/>
        <v>0</v>
      </c>
      <c r="AB102" s="76">
        <f t="shared" ref="AB102:AC102" si="78">IF(AB82&lt;0,AB82*-1,0)</f>
        <v>0</v>
      </c>
      <c r="AC102" s="76">
        <f t="shared" si="78"/>
        <v>0</v>
      </c>
      <c r="AD102" s="76">
        <f t="shared" ref="AD102:AE102" si="79">IF(AD82&lt;0,AD82*-1,0)</f>
        <v>0</v>
      </c>
      <c r="AE102" s="76">
        <f t="shared" si="79"/>
        <v>0</v>
      </c>
      <c r="AF102" s="76">
        <f t="shared" ref="AF102" si="80">IF(AF82&lt;0,AF82*-1,0)</f>
        <v>0</v>
      </c>
      <c r="AG102" s="55"/>
      <c r="AH102" s="47">
        <f t="shared" si="54"/>
        <v>0</v>
      </c>
      <c r="AI102" s="48">
        <f t="shared" si="55"/>
        <v>0</v>
      </c>
      <c r="BF102" s="232"/>
      <c r="BG102" s="233">
        <v>56.5</v>
      </c>
      <c r="BH102" s="233">
        <v>0</v>
      </c>
      <c r="BI102" s="233">
        <v>381</v>
      </c>
      <c r="BJ102" s="233">
        <v>39.9</v>
      </c>
      <c r="BK102" s="233">
        <v>96</v>
      </c>
      <c r="BL102" s="233">
        <v>71</v>
      </c>
    </row>
    <row r="103" spans="1:64" x14ac:dyDescent="0.25">
      <c r="A103" s="84" t="s">
        <v>103</v>
      </c>
      <c r="B103" s="76">
        <v>0</v>
      </c>
      <c r="C103" s="76">
        <f t="shared" ref="C103:AA103" si="81">IF(C85&lt;0,C85*-1,0)</f>
        <v>0</v>
      </c>
      <c r="D103" s="76">
        <f t="shared" si="81"/>
        <v>0</v>
      </c>
      <c r="E103" s="76">
        <f t="shared" si="81"/>
        <v>0</v>
      </c>
      <c r="F103" s="76">
        <f t="shared" si="81"/>
        <v>0</v>
      </c>
      <c r="G103" s="76">
        <f t="shared" si="81"/>
        <v>0</v>
      </c>
      <c r="H103" s="76">
        <f t="shared" si="81"/>
        <v>0</v>
      </c>
      <c r="I103" s="76">
        <f t="shared" si="81"/>
        <v>0</v>
      </c>
      <c r="J103" s="76">
        <f t="shared" si="81"/>
        <v>0</v>
      </c>
      <c r="K103" s="76">
        <f t="shared" si="81"/>
        <v>0</v>
      </c>
      <c r="L103" s="76">
        <f t="shared" si="81"/>
        <v>0</v>
      </c>
      <c r="M103" s="76">
        <f t="shared" si="81"/>
        <v>0</v>
      </c>
      <c r="N103" s="76">
        <f t="shared" si="81"/>
        <v>0</v>
      </c>
      <c r="O103" s="76">
        <f t="shared" si="81"/>
        <v>0</v>
      </c>
      <c r="P103" s="76">
        <f t="shared" si="81"/>
        <v>0</v>
      </c>
      <c r="Q103" s="76">
        <f t="shared" si="81"/>
        <v>0</v>
      </c>
      <c r="R103" s="76">
        <f t="shared" si="81"/>
        <v>0</v>
      </c>
      <c r="S103" s="76">
        <f t="shared" si="81"/>
        <v>0</v>
      </c>
      <c r="T103" s="76">
        <f t="shared" si="81"/>
        <v>0</v>
      </c>
      <c r="U103" s="76">
        <f t="shared" si="81"/>
        <v>0</v>
      </c>
      <c r="V103" s="76">
        <f t="shared" si="81"/>
        <v>0</v>
      </c>
      <c r="W103" s="76">
        <f t="shared" si="81"/>
        <v>0</v>
      </c>
      <c r="X103" s="76">
        <f t="shared" si="81"/>
        <v>0</v>
      </c>
      <c r="Y103" s="76">
        <f t="shared" si="81"/>
        <v>0</v>
      </c>
      <c r="Z103" s="76">
        <f t="shared" si="81"/>
        <v>0</v>
      </c>
      <c r="AA103" s="76">
        <f t="shared" si="81"/>
        <v>0</v>
      </c>
      <c r="AB103" s="76">
        <f t="shared" ref="AB103:AC103" si="82">IF(AB85&lt;0,AB85*-1,0)</f>
        <v>0</v>
      </c>
      <c r="AC103" s="76">
        <f t="shared" si="82"/>
        <v>0</v>
      </c>
      <c r="AD103" s="76">
        <f t="shared" ref="AD103:AE103" si="83">IF(AD85&lt;0,AD85*-1,0)</f>
        <v>0</v>
      </c>
      <c r="AE103" s="76">
        <f t="shared" si="83"/>
        <v>0</v>
      </c>
      <c r="AF103" s="76">
        <f t="shared" ref="AF103" si="84">IF(AF85&lt;0,AF85*-1,0)</f>
        <v>0</v>
      </c>
      <c r="AG103" s="98"/>
      <c r="AH103" s="47">
        <f t="shared" si="54"/>
        <v>0</v>
      </c>
      <c r="AI103" s="48">
        <f t="shared" si="55"/>
        <v>0</v>
      </c>
      <c r="BF103" s="232"/>
      <c r="BG103" s="233">
        <v>64.400000000000006</v>
      </c>
      <c r="BH103" s="233">
        <v>0</v>
      </c>
      <c r="BI103" s="233">
        <v>353.7</v>
      </c>
      <c r="BJ103" s="233">
        <v>39.799999999999997</v>
      </c>
      <c r="BK103" s="233">
        <v>81.8</v>
      </c>
      <c r="BL103" s="233">
        <v>72.2</v>
      </c>
    </row>
    <row r="104" spans="1:64" x14ac:dyDescent="0.25">
      <c r="A104" s="84" t="s">
        <v>104</v>
      </c>
      <c r="B104" s="76">
        <v>0</v>
      </c>
      <c r="C104" s="76">
        <f t="shared" ref="C104:AA104" si="85">IF(C83&lt;0,C83*-1,0)</f>
        <v>0</v>
      </c>
      <c r="D104" s="76">
        <f t="shared" si="85"/>
        <v>0</v>
      </c>
      <c r="E104" s="76">
        <f t="shared" si="85"/>
        <v>0</v>
      </c>
      <c r="F104" s="76">
        <f t="shared" si="85"/>
        <v>0</v>
      </c>
      <c r="G104" s="76">
        <f t="shared" si="85"/>
        <v>0</v>
      </c>
      <c r="H104" s="76">
        <f t="shared" si="85"/>
        <v>0</v>
      </c>
      <c r="I104" s="76">
        <f t="shared" si="85"/>
        <v>0</v>
      </c>
      <c r="J104" s="76">
        <f t="shared" si="85"/>
        <v>0</v>
      </c>
      <c r="K104" s="76">
        <f t="shared" si="85"/>
        <v>0</v>
      </c>
      <c r="L104" s="76">
        <f t="shared" si="85"/>
        <v>0</v>
      </c>
      <c r="M104" s="76">
        <f t="shared" si="85"/>
        <v>0</v>
      </c>
      <c r="N104" s="76">
        <f t="shared" si="85"/>
        <v>0</v>
      </c>
      <c r="O104" s="76">
        <f t="shared" si="85"/>
        <v>0</v>
      </c>
      <c r="P104" s="76">
        <f t="shared" si="85"/>
        <v>0</v>
      </c>
      <c r="Q104" s="76">
        <f t="shared" si="85"/>
        <v>0</v>
      </c>
      <c r="R104" s="76">
        <f t="shared" si="85"/>
        <v>0</v>
      </c>
      <c r="S104" s="76">
        <f t="shared" si="85"/>
        <v>0</v>
      </c>
      <c r="T104" s="76">
        <f t="shared" si="85"/>
        <v>0</v>
      </c>
      <c r="U104" s="76">
        <f t="shared" si="85"/>
        <v>0</v>
      </c>
      <c r="V104" s="76">
        <f t="shared" si="85"/>
        <v>0</v>
      </c>
      <c r="W104" s="76">
        <f t="shared" si="85"/>
        <v>0</v>
      </c>
      <c r="X104" s="76">
        <f t="shared" si="85"/>
        <v>0</v>
      </c>
      <c r="Y104" s="76">
        <f t="shared" si="85"/>
        <v>0</v>
      </c>
      <c r="Z104" s="76">
        <f t="shared" si="85"/>
        <v>0</v>
      </c>
      <c r="AA104" s="76">
        <f t="shared" si="85"/>
        <v>0</v>
      </c>
      <c r="AB104" s="76">
        <f t="shared" ref="AB104:AC104" si="86">IF(AB83&lt;0,AB83*-1,0)</f>
        <v>0</v>
      </c>
      <c r="AC104" s="76">
        <f t="shared" si="86"/>
        <v>0</v>
      </c>
      <c r="AD104" s="76">
        <f t="shared" ref="AD104:AE104" si="87">IF(AD83&lt;0,AD83*-1,0)</f>
        <v>0</v>
      </c>
      <c r="AE104" s="76">
        <f t="shared" si="87"/>
        <v>0</v>
      </c>
      <c r="AF104" s="76">
        <f t="shared" ref="AF104" si="88">IF(AF83&lt;0,AF83*-1,0)</f>
        <v>0</v>
      </c>
      <c r="AG104" s="98"/>
      <c r="AH104" s="47">
        <f t="shared" si="54"/>
        <v>0</v>
      </c>
      <c r="AI104" s="48">
        <f t="shared" si="55"/>
        <v>0</v>
      </c>
      <c r="BF104" s="232"/>
      <c r="BG104" s="233">
        <v>60.1</v>
      </c>
      <c r="BH104" s="233">
        <v>0</v>
      </c>
      <c r="BI104" s="233">
        <v>411.7</v>
      </c>
      <c r="BJ104" s="233">
        <v>47.3</v>
      </c>
      <c r="BK104" s="233">
        <v>81.2</v>
      </c>
      <c r="BL104" s="233">
        <v>71.099999999999994</v>
      </c>
    </row>
    <row r="105" spans="1:64" x14ac:dyDescent="0.25">
      <c r="A105" s="84" t="s">
        <v>81</v>
      </c>
      <c r="B105" s="76">
        <v>0</v>
      </c>
      <c r="C105" s="76">
        <f t="shared" ref="C105:AA105" si="89">IF(C81&lt;0,C81*-1,0)</f>
        <v>0</v>
      </c>
      <c r="D105" s="76">
        <f t="shared" si="89"/>
        <v>0</v>
      </c>
      <c r="E105" s="76">
        <f t="shared" si="89"/>
        <v>0</v>
      </c>
      <c r="F105" s="76">
        <f t="shared" si="89"/>
        <v>0</v>
      </c>
      <c r="G105" s="76">
        <f t="shared" si="89"/>
        <v>0</v>
      </c>
      <c r="H105" s="76">
        <f t="shared" si="89"/>
        <v>0</v>
      </c>
      <c r="I105" s="76">
        <f t="shared" si="89"/>
        <v>0</v>
      </c>
      <c r="J105" s="76">
        <f t="shared" si="89"/>
        <v>0</v>
      </c>
      <c r="K105" s="76">
        <f t="shared" si="89"/>
        <v>0</v>
      </c>
      <c r="L105" s="76">
        <f t="shared" si="89"/>
        <v>0</v>
      </c>
      <c r="M105" s="76">
        <f t="shared" si="89"/>
        <v>0</v>
      </c>
      <c r="N105" s="76">
        <f t="shared" si="89"/>
        <v>0</v>
      </c>
      <c r="O105" s="76">
        <f t="shared" si="89"/>
        <v>0</v>
      </c>
      <c r="P105" s="76">
        <f t="shared" si="89"/>
        <v>0</v>
      </c>
      <c r="Q105" s="76">
        <f t="shared" si="89"/>
        <v>0</v>
      </c>
      <c r="R105" s="76">
        <f t="shared" si="89"/>
        <v>0</v>
      </c>
      <c r="S105" s="76">
        <f t="shared" si="89"/>
        <v>0</v>
      </c>
      <c r="T105" s="76">
        <f t="shared" si="89"/>
        <v>0</v>
      </c>
      <c r="U105" s="76">
        <f t="shared" si="89"/>
        <v>0</v>
      </c>
      <c r="V105" s="76">
        <f t="shared" si="89"/>
        <v>0</v>
      </c>
      <c r="W105" s="76">
        <f t="shared" si="89"/>
        <v>0</v>
      </c>
      <c r="X105" s="76">
        <f t="shared" si="89"/>
        <v>0</v>
      </c>
      <c r="Y105" s="76">
        <f t="shared" si="89"/>
        <v>0</v>
      </c>
      <c r="Z105" s="76">
        <f t="shared" si="89"/>
        <v>0</v>
      </c>
      <c r="AA105" s="76">
        <f t="shared" si="89"/>
        <v>0</v>
      </c>
      <c r="AB105" s="76">
        <f t="shared" ref="AB105:AC105" si="90">IF(AB81&lt;0,AB81*-1,0)</f>
        <v>0</v>
      </c>
      <c r="AC105" s="76">
        <f t="shared" si="90"/>
        <v>0</v>
      </c>
      <c r="AD105" s="76">
        <f t="shared" ref="AD105:AE105" si="91">IF(AD81&lt;0,AD81*-1,0)</f>
        <v>0</v>
      </c>
      <c r="AE105" s="76">
        <f t="shared" si="91"/>
        <v>0</v>
      </c>
      <c r="AF105" s="76">
        <f t="shared" ref="AF105" si="92">IF(AF81&lt;0,AF81*-1,0)</f>
        <v>0</v>
      </c>
      <c r="AG105" s="98"/>
      <c r="AH105" s="47">
        <f t="shared" si="54"/>
        <v>0</v>
      </c>
      <c r="AI105" s="48">
        <f t="shared" si="55"/>
        <v>0</v>
      </c>
      <c r="BF105" s="232"/>
      <c r="BG105" s="233">
        <v>49.1</v>
      </c>
      <c r="BH105" s="233">
        <v>0</v>
      </c>
      <c r="BI105" s="233">
        <v>351.2</v>
      </c>
      <c r="BJ105" s="233">
        <v>46.8</v>
      </c>
      <c r="BK105" s="233">
        <v>110.4</v>
      </c>
      <c r="BL105" s="233">
        <v>65.900000000000006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54"/>
        <v>0</v>
      </c>
      <c r="AI106" s="48">
        <f t="shared" si="55"/>
        <v>0</v>
      </c>
      <c r="BG106" s="233">
        <v>55.8</v>
      </c>
      <c r="BH106" s="233">
        <v>0</v>
      </c>
      <c r="BI106" s="233">
        <v>406.6</v>
      </c>
      <c r="BJ106" s="233">
        <v>48.3</v>
      </c>
      <c r="BK106" s="233">
        <v>120.2</v>
      </c>
      <c r="BL106" s="233">
        <v>44</v>
      </c>
    </row>
    <row r="107" spans="1:64" ht="15.75" thickBot="1" x14ac:dyDescent="0.3">
      <c r="A107" s="99" t="s">
        <v>106</v>
      </c>
      <c r="B107" s="60">
        <v>0</v>
      </c>
      <c r="C107" s="60">
        <f t="shared" ref="C107" si="93">SUM(C101:C106)</f>
        <v>0</v>
      </c>
      <c r="D107" s="60">
        <f t="shared" ref="D107:AA107" si="94">SUM(D101:D106)</f>
        <v>0</v>
      </c>
      <c r="E107" s="60">
        <f t="shared" si="94"/>
        <v>0</v>
      </c>
      <c r="F107" s="60">
        <f t="shared" si="94"/>
        <v>0</v>
      </c>
      <c r="G107" s="60">
        <f t="shared" si="94"/>
        <v>0</v>
      </c>
      <c r="H107" s="60">
        <f t="shared" si="94"/>
        <v>0</v>
      </c>
      <c r="I107" s="60">
        <f t="shared" si="94"/>
        <v>0</v>
      </c>
      <c r="J107" s="60">
        <f t="shared" si="94"/>
        <v>0</v>
      </c>
      <c r="K107" s="60">
        <f t="shared" si="94"/>
        <v>0</v>
      </c>
      <c r="L107" s="60">
        <f t="shared" si="94"/>
        <v>0</v>
      </c>
      <c r="M107" s="60">
        <f t="shared" si="94"/>
        <v>0</v>
      </c>
      <c r="N107" s="60">
        <f t="shared" si="94"/>
        <v>0</v>
      </c>
      <c r="O107" s="60">
        <f t="shared" si="94"/>
        <v>0</v>
      </c>
      <c r="P107" s="60">
        <f t="shared" si="94"/>
        <v>0</v>
      </c>
      <c r="Q107" s="60">
        <f t="shared" si="94"/>
        <v>0</v>
      </c>
      <c r="R107" s="60">
        <f t="shared" si="94"/>
        <v>0</v>
      </c>
      <c r="S107" s="60">
        <f t="shared" si="94"/>
        <v>0</v>
      </c>
      <c r="T107" s="60">
        <f t="shared" si="94"/>
        <v>0</v>
      </c>
      <c r="U107" s="60">
        <f t="shared" si="94"/>
        <v>0</v>
      </c>
      <c r="V107" s="60">
        <f t="shared" si="94"/>
        <v>0</v>
      </c>
      <c r="W107" s="60">
        <f t="shared" si="94"/>
        <v>0</v>
      </c>
      <c r="X107" s="60">
        <f t="shared" si="94"/>
        <v>0</v>
      </c>
      <c r="Y107" s="60">
        <f t="shared" si="94"/>
        <v>0</v>
      </c>
      <c r="Z107" s="60">
        <f t="shared" si="94"/>
        <v>0</v>
      </c>
      <c r="AA107" s="60">
        <f t="shared" si="94"/>
        <v>0</v>
      </c>
      <c r="AB107" s="60">
        <f t="shared" ref="AB107:AC107" si="95">SUM(AB101:AB106)</f>
        <v>0</v>
      </c>
      <c r="AC107" s="60">
        <f t="shared" si="95"/>
        <v>0</v>
      </c>
      <c r="AD107" s="60">
        <f t="shared" ref="AD107:AE107" si="96">SUM(AD101:AD106)</f>
        <v>0</v>
      </c>
      <c r="AE107" s="60">
        <f t="shared" si="96"/>
        <v>0</v>
      </c>
      <c r="AF107" s="60">
        <f t="shared" ref="AF107" si="97">SUM(AF101:AF106)</f>
        <v>0</v>
      </c>
      <c r="AG107" s="88"/>
      <c r="AH107" s="47">
        <f t="shared" si="54"/>
        <v>0</v>
      </c>
      <c r="AI107" s="48">
        <f t="shared" si="55"/>
        <v>0</v>
      </c>
      <c r="AK107" s="50"/>
      <c r="BG107" s="233">
        <v>65</v>
      </c>
      <c r="BH107" s="233">
        <v>0</v>
      </c>
      <c r="BI107" s="233">
        <v>354</v>
      </c>
      <c r="BJ107" s="233">
        <v>50</v>
      </c>
      <c r="BK107" s="233">
        <v>100</v>
      </c>
      <c r="BL107" s="233">
        <v>48</v>
      </c>
    </row>
    <row r="108" spans="1:64" ht="15.75" thickBot="1" x14ac:dyDescent="0.3">
      <c r="A108" s="74" t="s">
        <v>107</v>
      </c>
      <c r="B108" s="60">
        <v>617.6</v>
      </c>
      <c r="C108" s="60">
        <f t="shared" ref="C108:AA108" si="98">C92-C107</f>
        <v>606.5</v>
      </c>
      <c r="D108" s="60">
        <f t="shared" si="98"/>
        <v>578.70000000000005</v>
      </c>
      <c r="E108" s="60">
        <f t="shared" si="98"/>
        <v>564.20000000000005</v>
      </c>
      <c r="F108" s="60">
        <f t="shared" si="98"/>
        <v>579.6</v>
      </c>
      <c r="G108" s="60">
        <f t="shared" si="98"/>
        <v>615.4</v>
      </c>
      <c r="H108" s="60">
        <f t="shared" si="98"/>
        <v>641.6</v>
      </c>
      <c r="I108" s="60">
        <f t="shared" si="98"/>
        <v>649.4</v>
      </c>
      <c r="J108" s="60">
        <f t="shared" si="98"/>
        <v>641.70000000000005</v>
      </c>
      <c r="K108" s="60">
        <f t="shared" si="98"/>
        <v>512.1</v>
      </c>
      <c r="L108" s="60">
        <f t="shared" si="98"/>
        <v>401.50000000000006</v>
      </c>
      <c r="M108" s="60">
        <f t="shared" si="98"/>
        <v>428.70000000000005</v>
      </c>
      <c r="N108" s="60">
        <f t="shared" si="98"/>
        <v>417.8</v>
      </c>
      <c r="O108" s="60">
        <f t="shared" si="98"/>
        <v>471.4</v>
      </c>
      <c r="P108" s="60">
        <f t="shared" si="98"/>
        <v>646.9</v>
      </c>
      <c r="Q108" s="60">
        <f t="shared" si="98"/>
        <v>618.9</v>
      </c>
      <c r="R108" s="60">
        <f t="shared" si="98"/>
        <v>679.6</v>
      </c>
      <c r="S108" s="60">
        <f t="shared" si="98"/>
        <v>675.30000000000007</v>
      </c>
      <c r="T108" s="60">
        <f t="shared" si="98"/>
        <v>800.1</v>
      </c>
      <c r="U108" s="60">
        <f t="shared" si="98"/>
        <v>822</v>
      </c>
      <c r="V108" s="60">
        <f t="shared" si="98"/>
        <v>757.8</v>
      </c>
      <c r="W108" s="60">
        <f t="shared" si="98"/>
        <v>746.2</v>
      </c>
      <c r="X108" s="60">
        <f t="shared" si="98"/>
        <v>763</v>
      </c>
      <c r="Y108" s="60">
        <f>Y92-Y107</f>
        <v>739.9</v>
      </c>
      <c r="Z108" s="60">
        <f>Z92-Z107</f>
        <v>644.4</v>
      </c>
      <c r="AA108" s="60">
        <f t="shared" si="98"/>
        <v>644.59999999999991</v>
      </c>
      <c r="AB108" s="60">
        <f t="shared" ref="AB108:AC108" si="99">AB92-AB107</f>
        <v>611.90000000000009</v>
      </c>
      <c r="AC108" s="60">
        <f t="shared" si="99"/>
        <v>643.29999999999995</v>
      </c>
      <c r="AD108" s="60">
        <f t="shared" ref="AD108:AE108" si="100">AD92-AD107</f>
        <v>671.40000000000009</v>
      </c>
      <c r="AE108" s="60">
        <f t="shared" si="100"/>
        <v>623.4</v>
      </c>
      <c r="AF108" s="60">
        <f t="shared" ref="AF108" si="101">AF92-AF107</f>
        <v>674.90000000000009</v>
      </c>
      <c r="AG108" s="88"/>
      <c r="AH108" s="47">
        <f t="shared" si="54"/>
        <v>822</v>
      </c>
      <c r="AI108" s="48">
        <f t="shared" si="55"/>
        <v>401.50000000000006</v>
      </c>
    </row>
    <row r="109" spans="1:64" x14ac:dyDescent="0.25">
      <c r="A109" s="100" t="s">
        <v>108</v>
      </c>
      <c r="B109" s="101">
        <v>50.026000000000003</v>
      </c>
      <c r="C109" s="101">
        <v>49.962000000000003</v>
      </c>
      <c r="D109" s="101">
        <v>49.978999999999999</v>
      </c>
      <c r="E109" s="101">
        <v>49.975999999999999</v>
      </c>
      <c r="F109" s="101">
        <v>49.994</v>
      </c>
      <c r="G109" s="101">
        <v>50.030999999999999</v>
      </c>
      <c r="H109" s="101">
        <v>49.942999999999998</v>
      </c>
      <c r="I109" s="101">
        <v>49.985999999999997</v>
      </c>
      <c r="J109" s="101">
        <v>50.145000000000003</v>
      </c>
      <c r="K109" s="101">
        <v>50.034999999999997</v>
      </c>
      <c r="L109" s="101">
        <v>50.034999999999997</v>
      </c>
      <c r="M109" s="101">
        <v>49.984999999999999</v>
      </c>
      <c r="N109" s="101">
        <v>49.988</v>
      </c>
      <c r="O109" s="101">
        <v>50.04</v>
      </c>
      <c r="P109" s="101">
        <v>50.033999999999999</v>
      </c>
      <c r="Q109" s="101">
        <v>50.006999999999998</v>
      </c>
      <c r="R109" s="101">
        <v>49.933999999999997</v>
      </c>
      <c r="S109" s="101">
        <v>50.1</v>
      </c>
      <c r="T109" s="101">
        <v>50.034999999999997</v>
      </c>
      <c r="U109" s="101">
        <v>49.82</v>
      </c>
      <c r="V109" s="101">
        <v>50.031999999999996</v>
      </c>
      <c r="W109" s="101">
        <v>49.994</v>
      </c>
      <c r="X109" s="101">
        <v>50.015000000000001</v>
      </c>
      <c r="Y109" s="101">
        <v>49.99</v>
      </c>
      <c r="Z109" s="101">
        <v>50</v>
      </c>
      <c r="AA109" s="101">
        <v>49.973999999999997</v>
      </c>
      <c r="AB109" s="101">
        <v>50.06</v>
      </c>
      <c r="AC109" s="101">
        <v>50.04</v>
      </c>
      <c r="AD109" s="101">
        <v>50.04</v>
      </c>
      <c r="AE109" s="101">
        <v>50.01</v>
      </c>
      <c r="AF109" s="101">
        <v>49.98</v>
      </c>
      <c r="AG109" s="102"/>
      <c r="AH109" s="47">
        <f t="shared" si="54"/>
        <v>50.145000000000003</v>
      </c>
      <c r="AI109" s="48">
        <f t="shared" si="55"/>
        <v>49.82</v>
      </c>
    </row>
    <row r="110" spans="1:64" x14ac:dyDescent="0.25">
      <c r="A110" s="103" t="s">
        <v>109</v>
      </c>
      <c r="B110" s="65">
        <v>131.9</v>
      </c>
      <c r="C110" s="65">
        <v>127.3</v>
      </c>
      <c r="D110" s="65">
        <v>128.5</v>
      </c>
      <c r="E110" s="65">
        <v>127</v>
      </c>
      <c r="F110" s="65">
        <v>128.69999999999999</v>
      </c>
      <c r="G110" s="65">
        <v>128</v>
      </c>
      <c r="H110" s="65">
        <v>128.69999999999999</v>
      </c>
      <c r="I110" s="65">
        <v>128.69999999999999</v>
      </c>
      <c r="J110" s="65">
        <v>127.2</v>
      </c>
      <c r="K110" s="65">
        <v>127.7</v>
      </c>
      <c r="L110" s="65">
        <v>124.6</v>
      </c>
      <c r="M110" s="65">
        <v>123.1</v>
      </c>
      <c r="N110" s="65">
        <v>124.2</v>
      </c>
      <c r="O110" s="65">
        <v>123.4</v>
      </c>
      <c r="P110" s="65">
        <v>124</v>
      </c>
      <c r="Q110" s="65">
        <v>125.3</v>
      </c>
      <c r="R110" s="65">
        <v>126.1</v>
      </c>
      <c r="S110" s="65">
        <v>124</v>
      </c>
      <c r="T110" s="65">
        <v>124</v>
      </c>
      <c r="U110" s="65">
        <v>123</v>
      </c>
      <c r="V110" s="65">
        <v>126</v>
      </c>
      <c r="W110" s="65">
        <v>126</v>
      </c>
      <c r="X110" s="65">
        <v>126</v>
      </c>
      <c r="Y110" s="65">
        <v>126</v>
      </c>
      <c r="Z110" s="65">
        <v>126</v>
      </c>
      <c r="AA110" s="65">
        <v>126</v>
      </c>
      <c r="AB110" s="65">
        <v>128.5</v>
      </c>
      <c r="AC110" s="65">
        <v>128.30000000000001</v>
      </c>
      <c r="AD110" s="65">
        <v>128.4</v>
      </c>
      <c r="AE110" s="65">
        <v>128.4</v>
      </c>
      <c r="AF110" s="65">
        <v>128.4</v>
      </c>
      <c r="AG110" s="104"/>
      <c r="AH110" s="47">
        <f t="shared" si="54"/>
        <v>131.9</v>
      </c>
      <c r="AI110" s="48">
        <f t="shared" si="55"/>
        <v>123</v>
      </c>
    </row>
    <row r="111" spans="1:64" x14ac:dyDescent="0.25">
      <c r="A111" s="103" t="s">
        <v>110</v>
      </c>
      <c r="B111" s="65">
        <v>135</v>
      </c>
      <c r="C111" s="65">
        <v>131.69999999999999</v>
      </c>
      <c r="D111" s="65">
        <v>133.30000000000001</v>
      </c>
      <c r="E111" s="65">
        <v>131.69999999999999</v>
      </c>
      <c r="F111" s="65">
        <v>133.1</v>
      </c>
      <c r="G111" s="65">
        <v>132.4</v>
      </c>
      <c r="H111" s="65">
        <v>132.80000000000001</v>
      </c>
      <c r="I111" s="65">
        <v>132.5</v>
      </c>
      <c r="J111" s="65">
        <v>130.69999999999999</v>
      </c>
      <c r="K111" s="65">
        <v>130.19999999999999</v>
      </c>
      <c r="L111" s="65">
        <v>127.6</v>
      </c>
      <c r="M111" s="65">
        <v>126.3</v>
      </c>
      <c r="N111" s="65">
        <v>127.7</v>
      </c>
      <c r="O111" s="65">
        <v>127.2</v>
      </c>
      <c r="P111" s="65">
        <v>128</v>
      </c>
      <c r="Q111" s="65">
        <v>128.80000000000001</v>
      </c>
      <c r="R111" s="65">
        <v>128.9</v>
      </c>
      <c r="S111" s="65">
        <v>127.7</v>
      </c>
      <c r="T111" s="65">
        <v>128</v>
      </c>
      <c r="U111" s="65">
        <v>127</v>
      </c>
      <c r="V111" s="65">
        <v>129</v>
      </c>
      <c r="W111" s="65">
        <v>129</v>
      </c>
      <c r="X111" s="65">
        <v>129</v>
      </c>
      <c r="Y111" s="65">
        <v>129</v>
      </c>
      <c r="Z111" s="65">
        <v>129</v>
      </c>
      <c r="AA111" s="65">
        <v>129</v>
      </c>
      <c r="AB111" s="65">
        <v>131.5</v>
      </c>
      <c r="AC111" s="65">
        <v>131.69999999999999</v>
      </c>
      <c r="AD111" s="65">
        <v>131.9</v>
      </c>
      <c r="AE111" s="65">
        <v>131.9</v>
      </c>
      <c r="AF111" s="65">
        <v>131.9</v>
      </c>
      <c r="AG111" s="104"/>
      <c r="AH111" s="47">
        <f t="shared" si="54"/>
        <v>135</v>
      </c>
      <c r="AI111" s="48">
        <f t="shared" si="55"/>
        <v>126.3</v>
      </c>
    </row>
    <row r="112" spans="1:64" x14ac:dyDescent="0.25">
      <c r="A112" s="103" t="s">
        <v>111</v>
      </c>
      <c r="B112" s="65">
        <v>132.69999999999999</v>
      </c>
      <c r="C112" s="65">
        <v>130.69999999999999</v>
      </c>
      <c r="D112" s="65">
        <v>131.30000000000001</v>
      </c>
      <c r="E112" s="65">
        <v>130.9</v>
      </c>
      <c r="F112" s="65">
        <v>130.6</v>
      </c>
      <c r="G112" s="65">
        <v>130.30000000000001</v>
      </c>
      <c r="H112" s="65">
        <v>126.3</v>
      </c>
      <c r="I112" s="65">
        <v>128</v>
      </c>
      <c r="J112" s="65">
        <v>123.8</v>
      </c>
      <c r="K112" s="65">
        <v>128</v>
      </c>
      <c r="L112" s="65">
        <v>125.8</v>
      </c>
      <c r="M112" s="65">
        <v>125.4</v>
      </c>
      <c r="N112" s="65">
        <v>125.8</v>
      </c>
      <c r="O112" s="65">
        <v>126.5</v>
      </c>
      <c r="P112" s="65">
        <v>123</v>
      </c>
      <c r="Q112" s="65"/>
      <c r="R112" s="65"/>
      <c r="S112" s="65"/>
      <c r="T112" s="65"/>
      <c r="U112" s="65">
        <v>122.6</v>
      </c>
      <c r="V112" s="65">
        <v>128</v>
      </c>
      <c r="W112" s="65">
        <v>128</v>
      </c>
      <c r="X112" s="65">
        <v>128</v>
      </c>
      <c r="Y112" s="65">
        <v>128</v>
      </c>
      <c r="Z112" s="65">
        <v>128</v>
      </c>
      <c r="AA112" s="65">
        <v>128</v>
      </c>
      <c r="AB112" s="65">
        <v>130.9</v>
      </c>
      <c r="AC112" s="65">
        <v>128.4</v>
      </c>
      <c r="AD112" s="65">
        <v>128</v>
      </c>
      <c r="AE112" s="65">
        <v>128</v>
      </c>
      <c r="AF112" s="65">
        <v>128</v>
      </c>
      <c r="AG112" s="104"/>
      <c r="AH112" s="47">
        <f t="shared" si="54"/>
        <v>132.69999999999999</v>
      </c>
      <c r="AI112" s="48">
        <f t="shared" si="55"/>
        <v>122.6</v>
      </c>
    </row>
    <row r="113" spans="1:35" x14ac:dyDescent="0.25">
      <c r="A113" s="105" t="s">
        <v>112</v>
      </c>
      <c r="B113" s="65">
        <v>133.30000000000001</v>
      </c>
      <c r="C113" s="65">
        <v>131.80000000000001</v>
      </c>
      <c r="D113" s="65">
        <v>132</v>
      </c>
      <c r="E113" s="65">
        <v>132.30000000000001</v>
      </c>
      <c r="F113" s="65">
        <v>131.80000000000001</v>
      </c>
      <c r="G113" s="65">
        <v>131.69999999999999</v>
      </c>
      <c r="H113" s="65">
        <v>130.19999999999999</v>
      </c>
      <c r="I113" s="65">
        <v>129.19999999999999</v>
      </c>
      <c r="J113" s="65">
        <v>124.2</v>
      </c>
      <c r="K113" s="65">
        <v>127.8</v>
      </c>
      <c r="L113" s="65">
        <v>123.7</v>
      </c>
      <c r="M113" s="65">
        <v>121.8</v>
      </c>
      <c r="N113" s="65">
        <v>122.9</v>
      </c>
      <c r="O113" s="65">
        <v>124.2</v>
      </c>
      <c r="P113" s="65">
        <v>122.5</v>
      </c>
      <c r="Q113" s="65">
        <v>125.7</v>
      </c>
      <c r="R113" s="65">
        <v>127.1</v>
      </c>
      <c r="S113" s="65">
        <v>128</v>
      </c>
      <c r="T113" s="65">
        <v>124.6</v>
      </c>
      <c r="U113" s="65">
        <v>122</v>
      </c>
      <c r="V113" s="65">
        <v>127</v>
      </c>
      <c r="W113" s="65">
        <v>127</v>
      </c>
      <c r="X113" s="65">
        <v>126</v>
      </c>
      <c r="Y113" s="65">
        <v>126</v>
      </c>
      <c r="Z113" s="65">
        <v>126</v>
      </c>
      <c r="AA113" s="65">
        <v>126</v>
      </c>
      <c r="AB113" s="65">
        <v>130.80000000000001</v>
      </c>
      <c r="AC113" s="65">
        <v>129.30000000000001</v>
      </c>
      <c r="AD113" s="65">
        <v>129.5</v>
      </c>
      <c r="AE113" s="65">
        <v>129.5</v>
      </c>
      <c r="AF113" s="65">
        <v>129.5</v>
      </c>
      <c r="AG113" s="104"/>
      <c r="AH113" s="47">
        <f t="shared" si="54"/>
        <v>133.30000000000001</v>
      </c>
      <c r="AI113" s="48">
        <f t="shared" si="55"/>
        <v>121.8</v>
      </c>
    </row>
    <row r="114" spans="1:35" x14ac:dyDescent="0.25">
      <c r="A114" s="105" t="s">
        <v>113</v>
      </c>
      <c r="B114" s="106">
        <v>135.5</v>
      </c>
      <c r="C114" s="106">
        <v>129.4</v>
      </c>
      <c r="D114" s="106">
        <v>133.4</v>
      </c>
      <c r="E114" s="106">
        <v>127.6</v>
      </c>
      <c r="F114" s="106">
        <v>135</v>
      </c>
      <c r="G114" s="106">
        <v>132.1</v>
      </c>
      <c r="H114" s="106">
        <v>132.4</v>
      </c>
      <c r="I114" s="106">
        <v>135.19999999999999</v>
      </c>
      <c r="J114" s="106">
        <v>134.30000000000001</v>
      </c>
      <c r="K114" s="106">
        <v>135.30000000000001</v>
      </c>
      <c r="L114" s="106">
        <v>132.9</v>
      </c>
      <c r="M114" s="106">
        <v>131.30000000000001</v>
      </c>
      <c r="N114" s="106">
        <v>133.1</v>
      </c>
      <c r="O114" s="106">
        <v>132.4</v>
      </c>
      <c r="P114" s="106">
        <v>131.6</v>
      </c>
      <c r="Q114" s="106">
        <v>132.6</v>
      </c>
      <c r="R114" s="106">
        <v>133.1</v>
      </c>
      <c r="S114" s="106">
        <v>131.5</v>
      </c>
      <c r="T114" s="106">
        <v>136.5</v>
      </c>
      <c r="U114" s="106">
        <v>133</v>
      </c>
      <c r="V114" s="106">
        <v>135</v>
      </c>
      <c r="W114" s="106">
        <v>135</v>
      </c>
      <c r="X114" s="106">
        <v>135.5</v>
      </c>
      <c r="Y114" s="106">
        <v>135.5</v>
      </c>
      <c r="Z114" s="106">
        <v>135.5</v>
      </c>
      <c r="AA114" s="106">
        <v>135.5</v>
      </c>
      <c r="AB114" s="106">
        <v>136.5</v>
      </c>
      <c r="AC114" s="106">
        <v>137.1</v>
      </c>
      <c r="AD114" s="106">
        <v>133.9</v>
      </c>
      <c r="AE114" s="106">
        <v>133.9</v>
      </c>
      <c r="AF114" s="106">
        <v>133.9</v>
      </c>
      <c r="AG114" s="107"/>
      <c r="AH114" s="47">
        <f t="shared" si="54"/>
        <v>137.1</v>
      </c>
      <c r="AI114" s="48">
        <f t="shared" si="55"/>
        <v>127.6</v>
      </c>
    </row>
    <row r="115" spans="1:35" x14ac:dyDescent="0.25">
      <c r="A115" s="103" t="s">
        <v>114</v>
      </c>
      <c r="B115" s="65">
        <v>130.6</v>
      </c>
      <c r="C115" s="65">
        <v>132.6</v>
      </c>
      <c r="D115" s="65">
        <v>134</v>
      </c>
      <c r="E115" s="65">
        <v>134.1</v>
      </c>
      <c r="F115" s="65">
        <v>129.69999999999999</v>
      </c>
      <c r="G115" s="65">
        <v>133.80000000000001</v>
      </c>
      <c r="H115" s="65">
        <v>136.5</v>
      </c>
      <c r="I115" s="65">
        <v>135.6</v>
      </c>
      <c r="J115" s="65">
        <v>132.9</v>
      </c>
      <c r="K115" s="65">
        <v>127.7</v>
      </c>
      <c r="L115" s="65">
        <v>127.7</v>
      </c>
      <c r="M115" s="65">
        <v>130.4</v>
      </c>
      <c r="N115" s="65">
        <v>126.9</v>
      </c>
      <c r="O115" s="65">
        <v>131.4</v>
      </c>
      <c r="P115" s="65">
        <v>135.19999999999999</v>
      </c>
      <c r="Q115" s="65">
        <v>130</v>
      </c>
      <c r="R115" s="65">
        <v>129.69999999999999</v>
      </c>
      <c r="S115" s="65">
        <v>125</v>
      </c>
      <c r="T115" s="65">
        <v>134</v>
      </c>
      <c r="U115" s="65">
        <v>125</v>
      </c>
      <c r="V115" s="65">
        <v>136</v>
      </c>
      <c r="W115" s="65">
        <v>136</v>
      </c>
      <c r="X115" s="65">
        <v>131</v>
      </c>
      <c r="Y115" s="65">
        <v>131</v>
      </c>
      <c r="Z115" s="65">
        <v>131</v>
      </c>
      <c r="AA115" s="65">
        <v>131</v>
      </c>
      <c r="AB115" s="65">
        <v>131.6</v>
      </c>
      <c r="AC115" s="65">
        <v>132.4</v>
      </c>
      <c r="AD115" s="65">
        <v>132.4</v>
      </c>
      <c r="AE115" s="65">
        <v>132.4</v>
      </c>
      <c r="AF115" s="65">
        <v>132.4</v>
      </c>
      <c r="AG115" s="104"/>
      <c r="AH115" s="47">
        <f t="shared" si="54"/>
        <v>136.5</v>
      </c>
      <c r="AI115" s="48">
        <f t="shared" si="55"/>
        <v>125</v>
      </c>
    </row>
    <row r="116" spans="1:35" ht="15.75" thickBot="1" x14ac:dyDescent="0.3">
      <c r="A116" s="103" t="s">
        <v>115</v>
      </c>
      <c r="B116" s="92">
        <v>68.2</v>
      </c>
      <c r="C116" s="92">
        <v>66.3</v>
      </c>
      <c r="D116" s="92">
        <v>67</v>
      </c>
      <c r="E116" s="92">
        <v>66.2</v>
      </c>
      <c r="F116" s="92">
        <v>67</v>
      </c>
      <c r="G116" s="92">
        <v>66.7</v>
      </c>
      <c r="H116" s="92">
        <v>66.7</v>
      </c>
      <c r="I116" s="92">
        <v>66.5</v>
      </c>
      <c r="J116" s="92">
        <v>65.400000000000006</v>
      </c>
      <c r="K116" s="92">
        <v>65.099999999999994</v>
      </c>
      <c r="L116" s="92">
        <v>63.9</v>
      </c>
      <c r="M116" s="92">
        <v>63.4</v>
      </c>
      <c r="N116" s="92">
        <v>64.099999999999994</v>
      </c>
      <c r="O116" s="92">
        <v>63.8</v>
      </c>
      <c r="P116" s="92">
        <v>64.3</v>
      </c>
      <c r="Q116" s="92">
        <v>64.599999999999994</v>
      </c>
      <c r="R116" s="92">
        <v>64.599999999999994</v>
      </c>
      <c r="S116" s="92">
        <v>64</v>
      </c>
      <c r="T116" s="92">
        <v>63.9</v>
      </c>
      <c r="U116" s="92">
        <v>63.9</v>
      </c>
      <c r="V116" s="92">
        <v>65</v>
      </c>
      <c r="W116" s="92">
        <v>65</v>
      </c>
      <c r="X116" s="92">
        <v>65</v>
      </c>
      <c r="Y116" s="92">
        <v>65</v>
      </c>
      <c r="Z116" s="92">
        <v>65</v>
      </c>
      <c r="AA116" s="92">
        <v>65</v>
      </c>
      <c r="AB116" s="92">
        <v>65</v>
      </c>
      <c r="AC116" s="92">
        <v>66.2</v>
      </c>
      <c r="AD116" s="92">
        <v>66.400000000000006</v>
      </c>
      <c r="AE116" s="92">
        <v>66.400000000000006</v>
      </c>
      <c r="AF116" s="92">
        <v>66.400000000000006</v>
      </c>
      <c r="AG116" s="108"/>
      <c r="AH116" s="47">
        <f t="shared" si="54"/>
        <v>68.2</v>
      </c>
      <c r="AI116" s="48">
        <f t="shared" si="55"/>
        <v>63.4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4"/>
        <v>0</v>
      </c>
      <c r="AI117" s="48">
        <f t="shared" si="55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140.26</v>
      </c>
      <c r="C118" s="111">
        <f>SUM(C22,C28,C31:C32,C66,C68:C69,C71,C73,C119:C123,C155,C161,C167,C176,C178,C190,C197,C200:C201,C208,C210,C212,C216:C218,C220:C222,C227,C233:C234,C236:C238,C246,C251)</f>
        <v>135.61999999999998</v>
      </c>
      <c r="D118" s="111">
        <f t="shared" ref="D118:O118" si="102">SUM(D22,D28,D31:D32,D66,D68:D69,D71,D73,D119:D123,D155,D161,D167,D176,D178,D190,D197,D200:D201,D208,D210,D212,D216:D218,D220:D222,D227,D233:D234,D236:D238,D246,D251)</f>
        <v>130.77999999999997</v>
      </c>
      <c r="E118" s="111">
        <f t="shared" si="102"/>
        <v>126.13999999999999</v>
      </c>
      <c r="F118" s="111">
        <f t="shared" si="102"/>
        <v>125.76799999999997</v>
      </c>
      <c r="G118" s="111">
        <f t="shared" si="102"/>
        <v>150.72199999999998</v>
      </c>
      <c r="H118" s="111">
        <f t="shared" si="102"/>
        <v>184.24599999999998</v>
      </c>
      <c r="I118" s="111">
        <f t="shared" si="102"/>
        <v>219.97800000000001</v>
      </c>
      <c r="J118" s="111">
        <f t="shared" si="102"/>
        <v>272.38999999999993</v>
      </c>
      <c r="K118" s="111">
        <f t="shared" si="102"/>
        <v>301.428</v>
      </c>
      <c r="L118" s="111">
        <f t="shared" si="102"/>
        <v>332.23999999999995</v>
      </c>
      <c r="M118" s="111">
        <f t="shared" si="102"/>
        <v>340.57499999999999</v>
      </c>
      <c r="N118" s="111">
        <f t="shared" si="102"/>
        <v>322.411</v>
      </c>
      <c r="O118" s="111">
        <f t="shared" si="102"/>
        <v>326.48700000000002</v>
      </c>
      <c r="P118" s="111">
        <v>42</v>
      </c>
      <c r="Q118" s="111">
        <f t="shared" ref="Q118:AA118" si="103">SUM(Q22,Q28,Q31:Q32,Q66,Q68:Q69,Q71,Q73,Q119:Q123,Q155,Q161,Q167,Q176,Q178,Q190,Q197,Q200:Q201,Q208,Q210,Q212,Q216:Q218,Q220:Q222,Q227,Q233:Q234,Q236:Q238,Q246,Q251)</f>
        <v>301.94</v>
      </c>
      <c r="R118" s="111">
        <f t="shared" si="103"/>
        <v>287.94</v>
      </c>
      <c r="S118" s="111">
        <f t="shared" si="103"/>
        <v>259.83999999999997</v>
      </c>
      <c r="T118" s="111">
        <f t="shared" si="103"/>
        <v>299.98</v>
      </c>
      <c r="U118" s="111">
        <f t="shared" si="103"/>
        <v>298.58</v>
      </c>
      <c r="V118" s="111">
        <f t="shared" si="103"/>
        <v>300.74</v>
      </c>
      <c r="W118" s="111">
        <f t="shared" si="103"/>
        <v>306.14000000000004</v>
      </c>
      <c r="X118" s="111">
        <f t="shared" si="103"/>
        <v>332.24</v>
      </c>
      <c r="Y118" s="111">
        <f t="shared" ref="Y118:Z118" si="104">SUM(Y20,Y26,Y37:Y38,Y66,Y68:Y69,Y71,Y73,Y119:Y123,Y148,Y154,Y160,Y169,Y171,Y183,Y190,Y193:Y194,Y201,Y203,Y205,Y209:Y211,Y213:Y215,Y220,Y226:Y227,Y229:Y231,Y239,Y244)</f>
        <v>399.4</v>
      </c>
      <c r="Z118" s="111">
        <f t="shared" si="104"/>
        <v>389.1</v>
      </c>
      <c r="AA118" s="111">
        <f t="shared" si="103"/>
        <v>369.54</v>
      </c>
      <c r="AB118" s="111">
        <f t="shared" ref="AB118:AC118" si="105">SUM(AB22,AB28,AB31:AB32,AB66,AB68:AB69,AB71,AB73,AB119:AB123,AB155,AB161,AB167,AB176,AB178,AB190,AB197,AB200:AB201,AB208,AB210,AB212,AB216:AB218,AB220:AB222,AB227,AB233:AB234,AB236:AB238,AB246,AB251)</f>
        <v>331.04</v>
      </c>
      <c r="AC118" s="111">
        <f t="shared" si="105"/>
        <v>310.48</v>
      </c>
      <c r="AD118" s="111">
        <f t="shared" ref="AD118:AE118" si="106">SUM(AD22,AD28,AD31:AD32,AD66,AD68:AD69,AD71,AD73,AD119:AD123,AD155,AD161,AD167,AD176,AD178,AD190,AD197,AD200:AD201,AD208,AD210,AD212,AD216:AD218,AD220:AD222,AD227,AD233:AD234,AD236:AD238,AD246,AD251)</f>
        <v>279.04000000000002</v>
      </c>
      <c r="AE118" s="111">
        <f t="shared" si="106"/>
        <v>212.20000000000002</v>
      </c>
      <c r="AF118" s="111">
        <f t="shared" ref="AF118" si="107">SUM(AF22,AF28,AF31:AF32,AF66,AF68:AF69,AF71,AF73,AF119:AF123,AF155,AF161,AF167,AF176,AF178,AF190,AF197,AF200:AF201,AF208,AF210,AF212,AF216:AF218,AF220:AF222,AF227,AF233:AF234,AF236:AF238,AF246,AF251)</f>
        <v>155.30000000000001</v>
      </c>
      <c r="AG118" s="112"/>
      <c r="AH118" s="47">
        <f t="shared" si="54"/>
        <v>399.4</v>
      </c>
      <c r="AI118" s="48">
        <f t="shared" si="55"/>
        <v>42</v>
      </c>
    </row>
    <row r="119" spans="1:35" x14ac:dyDescent="0.25">
      <c r="A119" s="172" t="s">
        <v>118</v>
      </c>
      <c r="B119" s="113">
        <v>-4.4000000000000004</v>
      </c>
      <c r="C119" s="113">
        <v>-19.2</v>
      </c>
      <c r="D119" s="113">
        <v>-17.7</v>
      </c>
      <c r="E119" s="113">
        <v>-23.3</v>
      </c>
      <c r="F119" s="113">
        <v>-32.799999999999997</v>
      </c>
      <c r="G119" s="113">
        <v>-17.100000000000001</v>
      </c>
      <c r="H119" s="113">
        <v>-7.9</v>
      </c>
      <c r="I119" s="113">
        <v>8.9</v>
      </c>
      <c r="J119" s="113">
        <v>16.600000000000001</v>
      </c>
      <c r="K119" s="113">
        <v>20.399999999999999</v>
      </c>
      <c r="L119" s="113">
        <v>23</v>
      </c>
      <c r="M119" s="113">
        <v>28.3</v>
      </c>
      <c r="N119" s="113">
        <v>27.8</v>
      </c>
      <c r="O119" s="113">
        <v>26.3</v>
      </c>
      <c r="P119" s="113">
        <v>29</v>
      </c>
      <c r="Q119" s="113">
        <v>28</v>
      </c>
      <c r="R119" s="113">
        <v>20.399999999999999</v>
      </c>
      <c r="S119" s="113">
        <v>16</v>
      </c>
      <c r="T119" s="113">
        <v>19.7</v>
      </c>
      <c r="U119" s="113">
        <v>23.9</v>
      </c>
      <c r="V119" s="113">
        <v>12.9</v>
      </c>
      <c r="W119" s="113">
        <v>12.7</v>
      </c>
      <c r="X119" s="113">
        <v>18</v>
      </c>
      <c r="Y119" s="113">
        <v>36.6</v>
      </c>
      <c r="Z119" s="113">
        <v>38</v>
      </c>
      <c r="AA119" s="113">
        <v>37.1</v>
      </c>
      <c r="AB119" s="113">
        <v>32.700000000000003</v>
      </c>
      <c r="AC119" s="113">
        <v>35.4</v>
      </c>
      <c r="AD119" s="113">
        <v>33</v>
      </c>
      <c r="AE119" s="113">
        <v>20.3</v>
      </c>
      <c r="AF119" s="113">
        <v>-5.6</v>
      </c>
      <c r="AG119" s="114">
        <v>75</v>
      </c>
      <c r="AH119" s="47">
        <f t="shared" si="54"/>
        <v>38</v>
      </c>
      <c r="AI119" s="48">
        <f t="shared" si="55"/>
        <v>-32.799999999999997</v>
      </c>
    </row>
    <row r="120" spans="1:35" x14ac:dyDescent="0.25">
      <c r="A120" s="173" t="s">
        <v>119</v>
      </c>
      <c r="B120" s="115">
        <v>-10.1</v>
      </c>
      <c r="C120" s="115">
        <v>-29.7</v>
      </c>
      <c r="D120" s="115">
        <v>-28.6</v>
      </c>
      <c r="E120" s="115">
        <v>-35.4</v>
      </c>
      <c r="F120" s="115">
        <v>-20</v>
      </c>
      <c r="G120" s="115">
        <v>-27.2</v>
      </c>
      <c r="H120" s="115">
        <v>-14.4</v>
      </c>
      <c r="I120" s="115">
        <v>7.1</v>
      </c>
      <c r="J120" s="115">
        <v>15.6</v>
      </c>
      <c r="K120" s="115">
        <v>27.6</v>
      </c>
      <c r="L120" s="115">
        <v>31.6</v>
      </c>
      <c r="M120" s="115">
        <v>40</v>
      </c>
      <c r="N120" s="115">
        <v>39.9</v>
      </c>
      <c r="O120" s="115">
        <v>37.4</v>
      </c>
      <c r="P120" s="115">
        <v>35.4</v>
      </c>
      <c r="Q120" s="115">
        <v>34</v>
      </c>
      <c r="R120" s="115">
        <v>23.5</v>
      </c>
      <c r="S120" s="115">
        <v>16</v>
      </c>
      <c r="T120" s="115">
        <v>21.1</v>
      </c>
      <c r="U120" s="115">
        <v>26.6</v>
      </c>
      <c r="V120" s="115">
        <v>15</v>
      </c>
      <c r="W120" s="115">
        <v>13.2</v>
      </c>
      <c r="X120" s="115">
        <v>22</v>
      </c>
      <c r="Y120" s="115">
        <v>45.9</v>
      </c>
      <c r="Z120" s="115">
        <v>48.6</v>
      </c>
      <c r="AA120" s="115">
        <v>46.5</v>
      </c>
      <c r="AB120" s="115">
        <v>40</v>
      </c>
      <c r="AC120" s="115">
        <v>43.3</v>
      </c>
      <c r="AD120" s="115">
        <v>39.4</v>
      </c>
      <c r="AE120" s="115">
        <v>22.2</v>
      </c>
      <c r="AF120" s="115">
        <v>-6.6</v>
      </c>
      <c r="AG120" s="114">
        <v>240</v>
      </c>
      <c r="AH120" s="47">
        <f t="shared" si="54"/>
        <v>48.6</v>
      </c>
      <c r="AI120" s="48">
        <f t="shared" si="55"/>
        <v>-35.4</v>
      </c>
    </row>
    <row r="121" spans="1:35" x14ac:dyDescent="0.25">
      <c r="A121" s="173" t="s">
        <v>120</v>
      </c>
      <c r="B121" s="115">
        <f>-3.6-4.7</f>
        <v>-8.3000000000000007</v>
      </c>
      <c r="C121" s="115">
        <f>-1.4-2.1</f>
        <v>-3.5</v>
      </c>
      <c r="D121" s="115">
        <v>-6.2</v>
      </c>
      <c r="E121" s="115">
        <v>-5.8</v>
      </c>
      <c r="F121" s="115">
        <v>-6.2</v>
      </c>
      <c r="G121" s="115">
        <v>-2</v>
      </c>
      <c r="H121" s="115">
        <v>6.3</v>
      </c>
      <c r="I121" s="115">
        <v>7.4</v>
      </c>
      <c r="J121" s="115">
        <v>17.2</v>
      </c>
      <c r="K121" s="115">
        <v>23.1</v>
      </c>
      <c r="L121" s="115">
        <v>25</v>
      </c>
      <c r="M121" s="115">
        <v>19.399999999999999</v>
      </c>
      <c r="N121" s="115">
        <v>14</v>
      </c>
      <c r="O121" s="115">
        <v>11.4</v>
      </c>
      <c r="P121" s="115">
        <v>13</v>
      </c>
      <c r="Q121" s="115">
        <v>17</v>
      </c>
      <c r="R121" s="115">
        <v>15</v>
      </c>
      <c r="S121" s="115">
        <v>14</v>
      </c>
      <c r="T121" s="115">
        <v>22.6</v>
      </c>
      <c r="U121" s="115">
        <v>20</v>
      </c>
      <c r="V121" s="115">
        <v>35</v>
      </c>
      <c r="W121" s="115">
        <v>36</v>
      </c>
      <c r="X121" s="115">
        <v>42</v>
      </c>
      <c r="Y121" s="115">
        <v>41</v>
      </c>
      <c r="Z121" s="115">
        <v>40</v>
      </c>
      <c r="AA121" s="115">
        <v>34.5</v>
      </c>
      <c r="AB121" s="115">
        <v>30</v>
      </c>
      <c r="AC121" s="115">
        <v>25</v>
      </c>
      <c r="AD121" s="115">
        <v>15</v>
      </c>
      <c r="AE121" s="115">
        <v>-3</v>
      </c>
      <c r="AF121" s="115">
        <v>-8.6</v>
      </c>
      <c r="AG121" s="114">
        <v>240</v>
      </c>
      <c r="AH121" s="47">
        <f t="shared" si="54"/>
        <v>42</v>
      </c>
      <c r="AI121" s="48">
        <f t="shared" si="55"/>
        <v>-8.6</v>
      </c>
    </row>
    <row r="122" spans="1:35" ht="15.75" thickBot="1" x14ac:dyDescent="0.3">
      <c r="A122" s="173" t="s">
        <v>121</v>
      </c>
      <c r="B122" s="115">
        <v>-0.7</v>
      </c>
      <c r="C122" s="115">
        <v>-6.9</v>
      </c>
      <c r="D122" s="115">
        <v>-10</v>
      </c>
      <c r="E122" s="115">
        <v>-8.1999999999999993</v>
      </c>
      <c r="F122" s="115">
        <v>-7.2</v>
      </c>
      <c r="G122" s="115">
        <v>-4.0999999999999996</v>
      </c>
      <c r="H122" s="115">
        <v>7.6</v>
      </c>
      <c r="I122" s="115">
        <v>9.5</v>
      </c>
      <c r="J122" s="115">
        <v>13.7</v>
      </c>
      <c r="K122" s="115">
        <v>16.8</v>
      </c>
      <c r="L122" s="115">
        <v>18</v>
      </c>
      <c r="M122" s="115">
        <v>11.2</v>
      </c>
      <c r="N122" s="115">
        <v>10.9</v>
      </c>
      <c r="O122" s="115">
        <v>9.5</v>
      </c>
      <c r="P122" s="115">
        <v>1.1000000000000001</v>
      </c>
      <c r="Q122" s="115">
        <v>3</v>
      </c>
      <c r="R122" s="115">
        <v>6.3</v>
      </c>
      <c r="S122" s="115">
        <v>2.5</v>
      </c>
      <c r="T122" s="115">
        <v>-1.5</v>
      </c>
      <c r="U122" s="115">
        <v>1</v>
      </c>
      <c r="V122" s="115">
        <v>6.4</v>
      </c>
      <c r="W122" s="115">
        <v>6.4</v>
      </c>
      <c r="X122" s="115">
        <v>12.4</v>
      </c>
      <c r="Y122" s="115">
        <v>21.6</v>
      </c>
      <c r="Z122" s="115">
        <v>14.5</v>
      </c>
      <c r="AA122" s="115">
        <v>13.2</v>
      </c>
      <c r="AB122" s="115">
        <v>11.1</v>
      </c>
      <c r="AC122" s="115">
        <v>8.9</v>
      </c>
      <c r="AD122" s="115">
        <v>6.4</v>
      </c>
      <c r="AE122" s="115">
        <v>0.9</v>
      </c>
      <c r="AF122" s="115">
        <v>-6.1</v>
      </c>
      <c r="AG122" s="114">
        <v>60</v>
      </c>
      <c r="AH122" s="47">
        <f t="shared" si="54"/>
        <v>21.6</v>
      </c>
      <c r="AI122" s="48">
        <f t="shared" si="55"/>
        <v>-10</v>
      </c>
    </row>
    <row r="123" spans="1:35" x14ac:dyDescent="0.25">
      <c r="A123" s="172" t="s">
        <v>259</v>
      </c>
      <c r="B123" s="117">
        <f>48*1.64</f>
        <v>78.72</v>
      </c>
      <c r="C123" s="117">
        <f>67*1.64</f>
        <v>109.88</v>
      </c>
      <c r="D123" s="117">
        <f>66*1.64</f>
        <v>108.24</v>
      </c>
      <c r="E123" s="117">
        <f>70*1.63</f>
        <v>114.1</v>
      </c>
      <c r="F123" s="117">
        <f>65.6*1.63</f>
        <v>106.92799999999998</v>
      </c>
      <c r="G123" s="117">
        <f>71.4*1.63</f>
        <v>116.38200000000001</v>
      </c>
      <c r="H123" s="117">
        <f>66.2*1.63</f>
        <v>107.90599999999999</v>
      </c>
      <c r="I123" s="117">
        <f>62.6*1.63</f>
        <v>102.038</v>
      </c>
      <c r="J123" s="117">
        <f>75*1.63</f>
        <v>122.24999999999999</v>
      </c>
      <c r="K123" s="117">
        <f>77.6*1.63</f>
        <v>126.48799999999999</v>
      </c>
      <c r="L123" s="117">
        <f>90*1.63</f>
        <v>146.69999999999999</v>
      </c>
      <c r="M123" s="117">
        <f>90.5*1.67</f>
        <v>151.13499999999999</v>
      </c>
      <c r="N123" s="117">
        <f>81.3*1.67</f>
        <v>135.77099999999999</v>
      </c>
      <c r="O123" s="117">
        <f>84.1*1.67</f>
        <v>140.44699999999997</v>
      </c>
      <c r="P123" s="117">
        <f>71.4*1.67</f>
        <v>119.238</v>
      </c>
      <c r="Q123" s="117">
        <f>72*1.6</f>
        <v>115.2</v>
      </c>
      <c r="R123" s="117">
        <f>74*1.6</f>
        <v>118.4</v>
      </c>
      <c r="S123" s="117">
        <v>110</v>
      </c>
      <c r="T123" s="117">
        <v>142</v>
      </c>
      <c r="U123" s="117">
        <v>130</v>
      </c>
      <c r="V123" s="117">
        <v>145</v>
      </c>
      <c r="W123" s="117">
        <v>150</v>
      </c>
      <c r="X123" s="117">
        <v>150</v>
      </c>
      <c r="Y123" s="117">
        <v>160</v>
      </c>
      <c r="Z123" s="117">
        <v>158</v>
      </c>
      <c r="AA123" s="117">
        <v>150</v>
      </c>
      <c r="AB123" s="117">
        <f>80.5*1.6</f>
        <v>128.80000000000001</v>
      </c>
      <c r="AC123" s="117">
        <f>68.4*1.6</f>
        <v>109.44000000000001</v>
      </c>
      <c r="AD123" s="117">
        <f>60.5*1.6</f>
        <v>96.800000000000011</v>
      </c>
      <c r="AE123" s="117">
        <f>52.1*1.6</f>
        <v>83.360000000000014</v>
      </c>
      <c r="AF123" s="117">
        <f>58.6*1.6</f>
        <v>93.76</v>
      </c>
      <c r="AG123" s="118">
        <v>120</v>
      </c>
      <c r="AH123" s="47">
        <f t="shared" si="54"/>
        <v>160</v>
      </c>
      <c r="AI123" s="48">
        <f t="shared" si="55"/>
        <v>78.72</v>
      </c>
    </row>
    <row r="124" spans="1:35" x14ac:dyDescent="0.25">
      <c r="A124" s="173" t="s">
        <v>258</v>
      </c>
      <c r="B124" s="117">
        <v>63.1</v>
      </c>
      <c r="C124" s="117">
        <v>77</v>
      </c>
      <c r="D124" s="117">
        <v>76.400000000000006</v>
      </c>
      <c r="E124" s="117">
        <v>80.3</v>
      </c>
      <c r="F124" s="117">
        <v>78.099999999999994</v>
      </c>
      <c r="G124" s="117">
        <v>81.099999999999994</v>
      </c>
      <c r="H124" s="117">
        <v>77.099999999999994</v>
      </c>
      <c r="I124" s="117">
        <v>73</v>
      </c>
      <c r="J124" s="117">
        <v>81.5</v>
      </c>
      <c r="K124" s="117">
        <v>84.5</v>
      </c>
      <c r="L124" s="117">
        <v>94.1</v>
      </c>
      <c r="M124" s="117">
        <v>93.1</v>
      </c>
      <c r="N124" s="117">
        <v>86.4</v>
      </c>
      <c r="O124" s="117">
        <v>87.8</v>
      </c>
      <c r="P124" s="117">
        <v>78.099999999999994</v>
      </c>
      <c r="Q124" s="117">
        <v>78</v>
      </c>
      <c r="R124" s="117">
        <v>81.400000000000006</v>
      </c>
      <c r="S124" s="117">
        <v>86</v>
      </c>
      <c r="T124" s="117">
        <v>87.4</v>
      </c>
      <c r="U124" s="117">
        <v>86</v>
      </c>
      <c r="V124" s="117">
        <v>91.4</v>
      </c>
      <c r="W124" s="117">
        <v>95.4</v>
      </c>
      <c r="X124" s="117">
        <v>96</v>
      </c>
      <c r="Y124" s="117">
        <v>96.1</v>
      </c>
      <c r="Z124" s="117">
        <v>98</v>
      </c>
      <c r="AA124" s="117">
        <v>92.1</v>
      </c>
      <c r="AB124" s="117">
        <v>86.6</v>
      </c>
      <c r="AC124" s="117">
        <v>77.099999999999994</v>
      </c>
      <c r="AD124" s="117">
        <v>70.8</v>
      </c>
      <c r="AE124" s="117">
        <v>64.400000000000006</v>
      </c>
      <c r="AF124" s="117">
        <v>70.5</v>
      </c>
      <c r="AG124" s="118"/>
      <c r="AH124" s="47"/>
      <c r="AI124" s="48"/>
    </row>
    <row r="125" spans="1:35" x14ac:dyDescent="0.25">
      <c r="A125" s="173" t="s">
        <v>255</v>
      </c>
      <c r="B125" s="117">
        <v>45.4</v>
      </c>
      <c r="C125" s="117">
        <v>66</v>
      </c>
      <c r="D125" s="117">
        <v>66.8</v>
      </c>
      <c r="E125" s="117">
        <v>75.599999999999994</v>
      </c>
      <c r="F125" s="117">
        <v>69.400000000000006</v>
      </c>
      <c r="G125" s="117">
        <v>60.8</v>
      </c>
      <c r="H125" s="117">
        <v>50.6</v>
      </c>
      <c r="I125" s="117">
        <v>24.3</v>
      </c>
      <c r="J125" s="117">
        <v>15.8</v>
      </c>
      <c r="K125" s="117">
        <v>0.9</v>
      </c>
      <c r="L125" s="117">
        <v>0.8</v>
      </c>
      <c r="M125" s="117">
        <v>-0.9</v>
      </c>
      <c r="N125" s="117">
        <v>-1</v>
      </c>
      <c r="O125" s="117">
        <v>96.7</v>
      </c>
      <c r="P125" s="117">
        <v>3.4</v>
      </c>
      <c r="Q125" s="117">
        <v>6</v>
      </c>
      <c r="R125" s="117">
        <v>19</v>
      </c>
      <c r="S125" s="117">
        <v>27</v>
      </c>
      <c r="T125" s="117">
        <v>20.100000000000001</v>
      </c>
      <c r="U125" s="117">
        <v>13.6</v>
      </c>
      <c r="V125" s="117">
        <v>15.8</v>
      </c>
      <c r="W125" s="117">
        <v>18.3</v>
      </c>
      <c r="X125" s="117">
        <v>7</v>
      </c>
      <c r="Y125" s="117">
        <v>-19.100000000000001</v>
      </c>
      <c r="Z125" s="117">
        <v>-20</v>
      </c>
      <c r="AA125" s="117">
        <v>-17.2</v>
      </c>
      <c r="AB125" s="117">
        <v>-8.1999999999999993</v>
      </c>
      <c r="AC125" s="117">
        <v>-13.6</v>
      </c>
      <c r="AD125" s="117">
        <v>-7.4</v>
      </c>
      <c r="AE125" s="117">
        <v>14.9</v>
      </c>
      <c r="AF125" s="117">
        <v>48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62</v>
      </c>
      <c r="C126" s="117">
        <v>87</v>
      </c>
      <c r="D126" s="117">
        <v>84.9</v>
      </c>
      <c r="E126" s="117">
        <v>92.2</v>
      </c>
      <c r="F126" s="117">
        <v>87.4</v>
      </c>
      <c r="G126" s="117">
        <v>92.2</v>
      </c>
      <c r="H126" s="117">
        <v>86</v>
      </c>
      <c r="I126" s="117">
        <v>74.400000000000006</v>
      </c>
      <c r="J126" s="117">
        <v>79.900000000000006</v>
      </c>
      <c r="K126" s="117">
        <v>88.8</v>
      </c>
      <c r="L126" s="117">
        <v>92.4</v>
      </c>
      <c r="M126" s="117">
        <v>100.2</v>
      </c>
      <c r="N126" s="117">
        <v>85.8</v>
      </c>
      <c r="O126" s="117">
        <v>95.5</v>
      </c>
      <c r="P126" s="117">
        <v>77.5</v>
      </c>
      <c r="Q126" s="117">
        <v>83</v>
      </c>
      <c r="R126" s="117">
        <v>86</v>
      </c>
      <c r="S126" s="117">
        <v>94</v>
      </c>
      <c r="T126" s="117">
        <v>96.1</v>
      </c>
      <c r="U126" s="117">
        <v>91</v>
      </c>
      <c r="V126" s="117">
        <v>100</v>
      </c>
      <c r="W126" s="117">
        <v>104</v>
      </c>
      <c r="X126" s="117">
        <v>104</v>
      </c>
      <c r="Y126" s="117">
        <v>95.9</v>
      </c>
      <c r="Z126" s="117">
        <v>-50.4</v>
      </c>
      <c r="AA126" s="117">
        <v>89.4</v>
      </c>
      <c r="AB126" s="117">
        <v>81.099999999999994</v>
      </c>
      <c r="AC126" s="117">
        <v>72.599999999999994</v>
      </c>
      <c r="AD126" s="117">
        <v>65.2</v>
      </c>
      <c r="AE126" s="117">
        <v>57.4</v>
      </c>
      <c r="AF126" s="117">
        <v>74.900000000000006</v>
      </c>
      <c r="AG126" s="114"/>
      <c r="AH126" s="47">
        <f>MAX(B126:AF126)</f>
        <v>104</v>
      </c>
      <c r="AI126" s="48">
        <f>MIN(B126:AF126)</f>
        <v>-50.4</v>
      </c>
    </row>
    <row r="127" spans="1:35" x14ac:dyDescent="0.25">
      <c r="A127" s="172" t="s">
        <v>587</v>
      </c>
      <c r="B127" s="117">
        <v>9.9</v>
      </c>
      <c r="C127" s="117">
        <v>30.1</v>
      </c>
      <c r="D127" s="117">
        <v>-29.6</v>
      </c>
      <c r="E127" s="117">
        <v>26.3</v>
      </c>
      <c r="F127" s="117">
        <v>23.4</v>
      </c>
      <c r="G127" s="117">
        <v>18.899999999999999</v>
      </c>
      <c r="H127" s="117">
        <v>19.3</v>
      </c>
      <c r="I127" s="117">
        <v>8.6999999999999993</v>
      </c>
      <c r="J127" s="117">
        <v>6.9</v>
      </c>
      <c r="K127" s="117">
        <v>5.6</v>
      </c>
      <c r="L127" s="117">
        <v>3.4</v>
      </c>
      <c r="M127" s="117">
        <v>-4.7</v>
      </c>
      <c r="N127" s="117">
        <v>-3.6</v>
      </c>
      <c r="O127" s="117">
        <v>-1.5</v>
      </c>
      <c r="P127" s="117">
        <v>-3.4</v>
      </c>
      <c r="Q127" s="117">
        <v>2</v>
      </c>
      <c r="R127" s="117">
        <v>3.3</v>
      </c>
      <c r="S127" s="117">
        <v>5</v>
      </c>
      <c r="T127" s="117">
        <v>-4.2</v>
      </c>
      <c r="U127" s="117">
        <v>-10</v>
      </c>
      <c r="V127" s="117">
        <v>0</v>
      </c>
      <c r="W127" s="117">
        <v>0</v>
      </c>
      <c r="X127" s="117">
        <v>-2.4</v>
      </c>
      <c r="Y127" s="117">
        <v>-12.6</v>
      </c>
      <c r="Z127" s="117">
        <v>-13</v>
      </c>
      <c r="AA127" s="117">
        <v>-9.6</v>
      </c>
      <c r="AB127" s="117">
        <v>-9.1999999999999993</v>
      </c>
      <c r="AC127" s="117">
        <v>-10.9</v>
      </c>
      <c r="AD127" s="117">
        <v>-14.8</v>
      </c>
      <c r="AE127" s="117">
        <v>-2.1</v>
      </c>
      <c r="AF127" s="117">
        <v>14.9</v>
      </c>
      <c r="AG127" s="114"/>
      <c r="AH127" s="47">
        <f>MAX(B127:AF127)</f>
        <v>30.1</v>
      </c>
      <c r="AI127" s="48">
        <f>MIN(B127:AF127)</f>
        <v>-29.6</v>
      </c>
    </row>
    <row r="128" spans="1:35" x14ac:dyDescent="0.25">
      <c r="A128" s="173" t="s">
        <v>123</v>
      </c>
      <c r="B128" s="106">
        <v>-12.7</v>
      </c>
      <c r="C128" s="106">
        <v>-11.2</v>
      </c>
      <c r="D128" s="106">
        <v>-11.1</v>
      </c>
      <c r="E128" s="106">
        <v>-8.5</v>
      </c>
      <c r="F128" s="106">
        <v>-9.4</v>
      </c>
      <c r="G128" s="106">
        <v>-14.2</v>
      </c>
      <c r="H128" s="106">
        <v>-20.100000000000001</v>
      </c>
      <c r="I128" s="106">
        <v>-29.9</v>
      </c>
      <c r="J128" s="106">
        <v>-39.299999999999997</v>
      </c>
      <c r="K128" s="106">
        <v>-44.9</v>
      </c>
      <c r="L128" s="106">
        <v>-48</v>
      </c>
      <c r="M128" s="106">
        <v>-52.2</v>
      </c>
      <c r="N128" s="106">
        <v>-45.9</v>
      </c>
      <c r="O128" s="106">
        <v>-39.6</v>
      </c>
      <c r="P128" s="106">
        <v>-33.5</v>
      </c>
      <c r="Q128" s="106"/>
      <c r="R128" s="106"/>
      <c r="S128" s="106"/>
      <c r="T128" s="106"/>
      <c r="U128" s="106">
        <v>-42</v>
      </c>
      <c r="V128" s="106">
        <v>-47.2</v>
      </c>
      <c r="W128" s="106">
        <v>-50.1</v>
      </c>
      <c r="X128" s="106">
        <v>-57</v>
      </c>
      <c r="Y128" s="106">
        <v>-63.4</v>
      </c>
      <c r="Z128" s="106">
        <v>-50.4</v>
      </c>
      <c r="AA128" s="106">
        <v>-47.7</v>
      </c>
      <c r="AB128" s="106">
        <v>-40.799999999999997</v>
      </c>
      <c r="AC128" s="106">
        <v>-38.200000000000003</v>
      </c>
      <c r="AD128" s="106">
        <v>-31.1</v>
      </c>
      <c r="AE128" s="106">
        <v>-23.7</v>
      </c>
      <c r="AF128" s="106">
        <v>-18.2</v>
      </c>
      <c r="AG128" s="114"/>
      <c r="AH128" s="47">
        <f>MAX(B128:AF128)</f>
        <v>-8.5</v>
      </c>
      <c r="AI128" s="48">
        <f>MIN(B128:AF128)</f>
        <v>-63.4</v>
      </c>
    </row>
    <row r="129" spans="1:37" x14ac:dyDescent="0.25">
      <c r="A129" s="173" t="s">
        <v>260</v>
      </c>
      <c r="B129" s="106">
        <v>-12.3</v>
      </c>
      <c r="C129" s="106">
        <v>-32.5</v>
      </c>
      <c r="D129" s="106">
        <v>-32</v>
      </c>
      <c r="E129" s="106">
        <v>-35.9</v>
      </c>
      <c r="F129" s="106">
        <v>-31.5</v>
      </c>
      <c r="G129" s="106">
        <v>-33.5</v>
      </c>
      <c r="H129" s="106">
        <v>-26.4</v>
      </c>
      <c r="I129" s="106">
        <v>-15.7</v>
      </c>
      <c r="J129" s="106">
        <v>20.2</v>
      </c>
      <c r="K129" s="106">
        <v>-20.6</v>
      </c>
      <c r="L129" s="106">
        <v>-21.5</v>
      </c>
      <c r="M129" s="106">
        <v>-17.100000000000001</v>
      </c>
      <c r="N129" s="106">
        <v>-12.7</v>
      </c>
      <c r="O129" s="106">
        <v>-13.2</v>
      </c>
      <c r="P129" s="106">
        <v>-19.8</v>
      </c>
      <c r="Q129" s="106">
        <v>-24</v>
      </c>
      <c r="R129" s="106">
        <v>-21.7</v>
      </c>
      <c r="S129" s="106">
        <v>-26</v>
      </c>
      <c r="T129" s="106">
        <v>-27.5</v>
      </c>
      <c r="U129" s="106">
        <v>-22</v>
      </c>
      <c r="V129" s="106">
        <v>-38.5</v>
      </c>
      <c r="W129" s="106">
        <v>-41.8</v>
      </c>
      <c r="X129" s="106">
        <v>-41</v>
      </c>
      <c r="Y129" s="106">
        <v>-30.2</v>
      </c>
      <c r="Z129" s="106">
        <v>-32.6</v>
      </c>
      <c r="AA129" s="106">
        <v>-29.8</v>
      </c>
      <c r="AB129" s="106">
        <v>-26.6</v>
      </c>
      <c r="AC129" s="106">
        <v>-19.2</v>
      </c>
      <c r="AD129" s="106">
        <v>-11.4</v>
      </c>
      <c r="AE129" s="106">
        <v>-4</v>
      </c>
      <c r="AF129" s="106">
        <v>-18.2</v>
      </c>
      <c r="AG129" s="114"/>
      <c r="AH129" s="47">
        <f>MAX(B129:AF129)</f>
        <v>20.2</v>
      </c>
      <c r="AI129" s="48">
        <f>MIN(B129:AF129)</f>
        <v>-41.8</v>
      </c>
    </row>
    <row r="130" spans="1:37" ht="15.75" thickBot="1" x14ac:dyDescent="0.3">
      <c r="A130" s="173" t="s">
        <v>257</v>
      </c>
      <c r="B130" s="106">
        <v>83.2</v>
      </c>
      <c r="C130" s="106">
        <v>78.5</v>
      </c>
      <c r="D130" s="106">
        <v>77.5</v>
      </c>
      <c r="E130" s="106">
        <v>74.599999999999994</v>
      </c>
      <c r="F130" s="106">
        <v>80</v>
      </c>
      <c r="G130" s="106">
        <v>77.099999999999994</v>
      </c>
      <c r="H130" s="106">
        <v>91.3</v>
      </c>
      <c r="I130" s="106">
        <v>95.1</v>
      </c>
      <c r="J130" s="106">
        <v>108.2</v>
      </c>
      <c r="K130" s="106">
        <v>102.4</v>
      </c>
      <c r="L130" s="106">
        <v>108</v>
      </c>
      <c r="M130" s="106">
        <v>112.7</v>
      </c>
      <c r="N130" s="106">
        <v>107.5</v>
      </c>
      <c r="O130" s="106">
        <v>103</v>
      </c>
      <c r="P130" s="106">
        <v>125</v>
      </c>
      <c r="Q130" s="106">
        <v>76.2</v>
      </c>
      <c r="R130" s="106">
        <v>121</v>
      </c>
      <c r="S130" s="106">
        <v>116</v>
      </c>
      <c r="T130" s="106">
        <v>125.5</v>
      </c>
      <c r="U130" s="106">
        <v>128</v>
      </c>
      <c r="V130" s="106">
        <v>115</v>
      </c>
      <c r="W130" s="106">
        <v>104.8</v>
      </c>
      <c r="X130" s="106">
        <v>111</v>
      </c>
      <c r="Y130" s="106">
        <v>125.5</v>
      </c>
      <c r="Z130" s="106">
        <v>115.6</v>
      </c>
      <c r="AA130" s="106">
        <v>112.5</v>
      </c>
      <c r="AB130" s="106">
        <v>110.9</v>
      </c>
      <c r="AC130" s="106" t="s">
        <v>643</v>
      </c>
      <c r="AD130" s="106">
        <v>118.5</v>
      </c>
      <c r="AE130" s="106">
        <v>110.7</v>
      </c>
      <c r="AF130" s="106">
        <v>96.1</v>
      </c>
      <c r="AG130" s="114"/>
      <c r="AH130" s="47">
        <f>MAX(B130:AF130)</f>
        <v>128</v>
      </c>
      <c r="AI130" s="48">
        <f>MIN(B130:AF130)</f>
        <v>74.599999999999994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1983.58</v>
      </c>
      <c r="C132" s="147">
        <v>1983.82</v>
      </c>
      <c r="D132" s="147">
        <v>1984.08</v>
      </c>
      <c r="E132" s="147">
        <v>1984.3</v>
      </c>
      <c r="F132" s="147">
        <v>1984.5</v>
      </c>
      <c r="G132" s="147">
        <v>1984.7</v>
      </c>
      <c r="H132" s="147"/>
      <c r="I132" s="147">
        <v>1984.9</v>
      </c>
      <c r="J132" s="147"/>
      <c r="K132" s="147">
        <v>1984.98</v>
      </c>
      <c r="L132" s="147"/>
      <c r="M132" s="147">
        <v>1984.52</v>
      </c>
      <c r="N132" s="147">
        <v>1984</v>
      </c>
      <c r="O132" s="147">
        <v>1983.65</v>
      </c>
      <c r="P132" s="147">
        <v>1983.59</v>
      </c>
      <c r="Q132" s="147">
        <v>1983.61</v>
      </c>
      <c r="R132" s="147">
        <v>1983.78</v>
      </c>
      <c r="S132" s="186">
        <v>1983.84</v>
      </c>
      <c r="T132" s="186">
        <v>1983.9</v>
      </c>
      <c r="U132" s="186">
        <v>1984.02</v>
      </c>
      <c r="V132" s="186">
        <v>1984.11</v>
      </c>
      <c r="W132" s="186"/>
      <c r="X132" s="186">
        <v>1984.21</v>
      </c>
      <c r="Y132" s="186"/>
      <c r="Z132" s="186">
        <v>1984.1</v>
      </c>
      <c r="AA132" s="186"/>
      <c r="AB132" s="147">
        <v>1983.85</v>
      </c>
      <c r="AC132" s="147"/>
      <c r="AD132" s="147">
        <v>1983.9</v>
      </c>
      <c r="AE132" s="147">
        <v>1984</v>
      </c>
      <c r="AF132" s="148">
        <v>1984.22</v>
      </c>
      <c r="AG132" s="149"/>
      <c r="AH132" s="47"/>
      <c r="AI132" s="48"/>
    </row>
    <row r="133" spans="1:37" x14ac:dyDescent="0.25">
      <c r="A133" s="185" t="s">
        <v>238</v>
      </c>
      <c r="B133" s="150">
        <v>520.67999999999995</v>
      </c>
      <c r="C133" s="150">
        <v>521.02</v>
      </c>
      <c r="D133" s="150">
        <v>521.32000000000005</v>
      </c>
      <c r="E133" s="150">
        <v>521.62</v>
      </c>
      <c r="F133" s="150">
        <v>521.91999999999996</v>
      </c>
      <c r="G133" s="150">
        <v>522.21</v>
      </c>
      <c r="H133" s="150"/>
      <c r="I133" s="150">
        <v>522.42999999999995</v>
      </c>
      <c r="J133" s="150"/>
      <c r="K133" s="150">
        <v>522.4</v>
      </c>
      <c r="L133" s="150"/>
      <c r="M133" s="150">
        <v>522.28</v>
      </c>
      <c r="N133" s="150">
        <v>522.15</v>
      </c>
      <c r="O133" s="150">
        <v>522.12</v>
      </c>
      <c r="P133" s="150">
        <v>522.16999999999996</v>
      </c>
      <c r="Q133" s="150">
        <v>522.1</v>
      </c>
      <c r="R133" s="150">
        <v>522.04</v>
      </c>
      <c r="S133" s="187">
        <v>522.1</v>
      </c>
      <c r="T133" s="187">
        <v>522.07000000000005</v>
      </c>
      <c r="U133" s="187">
        <v>521.91</v>
      </c>
      <c r="V133" s="187">
        <v>521.74</v>
      </c>
      <c r="W133" s="187"/>
      <c r="X133" s="187">
        <v>521.64</v>
      </c>
      <c r="Y133" s="187"/>
      <c r="Z133" s="187">
        <v>521.26</v>
      </c>
      <c r="AA133" s="187"/>
      <c r="AB133" s="150">
        <v>520.86</v>
      </c>
      <c r="AC133" s="150"/>
      <c r="AD133" s="150">
        <v>520.58000000000004</v>
      </c>
      <c r="AE133" s="150">
        <v>520.35</v>
      </c>
      <c r="AF133" s="151">
        <v>520.45000000000005</v>
      </c>
      <c r="AG133" s="149"/>
      <c r="AH133" s="47"/>
      <c r="AI133" s="48"/>
    </row>
    <row r="134" spans="1:37" x14ac:dyDescent="0.25">
      <c r="A134" s="185" t="s">
        <v>239</v>
      </c>
      <c r="B134" s="150">
        <v>622.75</v>
      </c>
      <c r="C134" s="150">
        <v>623.14</v>
      </c>
      <c r="D134" s="150">
        <v>623.41999999999996</v>
      </c>
      <c r="E134" s="150">
        <v>623.78</v>
      </c>
      <c r="F134" s="150">
        <v>624.1</v>
      </c>
      <c r="G134" s="150">
        <v>624.5</v>
      </c>
      <c r="H134" s="150"/>
      <c r="I134" s="150">
        <v>624.49</v>
      </c>
      <c r="J134" s="150"/>
      <c r="K134" s="150">
        <v>624.35</v>
      </c>
      <c r="L134" s="150"/>
      <c r="M134" s="150">
        <v>624</v>
      </c>
      <c r="N134" s="150">
        <v>623.87</v>
      </c>
      <c r="O134" s="150">
        <v>623.57000000000005</v>
      </c>
      <c r="P134" s="150">
        <v>623.29999999999995</v>
      </c>
      <c r="Q134" s="150">
        <v>623.02</v>
      </c>
      <c r="R134" s="150">
        <v>622.6</v>
      </c>
      <c r="S134" s="187">
        <v>622.24</v>
      </c>
      <c r="T134" s="187">
        <v>622.07000000000005</v>
      </c>
      <c r="U134" s="187">
        <v>622.16</v>
      </c>
      <c r="V134" s="187">
        <v>622.52</v>
      </c>
      <c r="W134" s="187"/>
      <c r="X134" s="187">
        <v>622.74</v>
      </c>
      <c r="Y134" s="187"/>
      <c r="Z134" s="187">
        <v>622.26</v>
      </c>
      <c r="AA134" s="187"/>
      <c r="AB134" s="150">
        <v>622.11</v>
      </c>
      <c r="AC134" s="150"/>
      <c r="AD134" s="150">
        <v>622.21</v>
      </c>
      <c r="AE134" s="150">
        <v>622.24</v>
      </c>
      <c r="AF134" s="151">
        <v>622.30999999999995</v>
      </c>
      <c r="AG134" s="149"/>
      <c r="AH134" s="47"/>
      <c r="AI134" s="48"/>
    </row>
    <row r="135" spans="1:37" x14ac:dyDescent="0.25">
      <c r="A135" s="185" t="s">
        <v>240</v>
      </c>
      <c r="B135" s="150">
        <v>335.15</v>
      </c>
      <c r="C135" s="150">
        <v>335.72</v>
      </c>
      <c r="D135" s="150">
        <v>335.94</v>
      </c>
      <c r="E135" s="150">
        <v>336.23</v>
      </c>
      <c r="F135" s="150">
        <v>336.54</v>
      </c>
      <c r="G135" s="150">
        <v>336.8</v>
      </c>
      <c r="H135" s="150"/>
      <c r="I135" s="150">
        <v>336.85</v>
      </c>
      <c r="J135" s="150"/>
      <c r="K135" s="150">
        <v>336.63</v>
      </c>
      <c r="L135" s="150"/>
      <c r="M135" s="150">
        <v>336.25</v>
      </c>
      <c r="N135" s="150">
        <v>335.85</v>
      </c>
      <c r="O135" s="150">
        <v>335.49</v>
      </c>
      <c r="P135" s="150">
        <v>335.09</v>
      </c>
      <c r="Q135" s="150">
        <v>334.59</v>
      </c>
      <c r="R135" s="150"/>
      <c r="S135" s="187">
        <v>334.37</v>
      </c>
      <c r="T135" s="187">
        <v>334.5</v>
      </c>
      <c r="U135" s="187">
        <v>334.82</v>
      </c>
      <c r="V135" s="187">
        <v>335.1</v>
      </c>
      <c r="W135" s="187"/>
      <c r="X135" s="187">
        <v>335.39</v>
      </c>
      <c r="Y135" s="187"/>
      <c r="Z135" s="187">
        <v>335.42</v>
      </c>
      <c r="AA135" s="187"/>
      <c r="AB135" s="150">
        <v>335.2</v>
      </c>
      <c r="AC135" s="150"/>
      <c r="AD135" s="150">
        <v>334.99</v>
      </c>
      <c r="AE135" s="150">
        <v>334.82</v>
      </c>
      <c r="AF135" s="151">
        <v>334.97</v>
      </c>
      <c r="AG135" s="149"/>
      <c r="AH135" s="47"/>
      <c r="AI135" s="48"/>
    </row>
    <row r="136" spans="1:37" x14ac:dyDescent="0.25">
      <c r="A136" s="185" t="s">
        <v>384</v>
      </c>
      <c r="B136" s="150">
        <v>883.9</v>
      </c>
      <c r="C136" s="150">
        <v>884.6</v>
      </c>
      <c r="D136" s="150">
        <v>885.3</v>
      </c>
      <c r="E136" s="150">
        <v>885.9</v>
      </c>
      <c r="F136" s="150">
        <v>886.5</v>
      </c>
      <c r="G136" s="150">
        <v>886.9</v>
      </c>
      <c r="H136" s="150"/>
      <c r="I136" s="150">
        <v>887.2</v>
      </c>
      <c r="J136" s="150"/>
      <c r="K136" s="150">
        <v>887.4</v>
      </c>
      <c r="L136" s="150"/>
      <c r="M136" s="150">
        <v>887.3</v>
      </c>
      <c r="N136" s="150">
        <v>887.3</v>
      </c>
      <c r="O136" s="150">
        <v>887.1</v>
      </c>
      <c r="P136" s="150">
        <v>886.1</v>
      </c>
      <c r="Q136" s="150">
        <v>885.6</v>
      </c>
      <c r="R136" s="150">
        <v>884.4</v>
      </c>
      <c r="S136" s="187">
        <v>882.5</v>
      </c>
      <c r="T136" s="187">
        <v>883.3</v>
      </c>
      <c r="U136" s="187"/>
      <c r="V136" s="187">
        <v>884.5</v>
      </c>
      <c r="W136" s="187"/>
      <c r="X136" s="187">
        <v>885.1</v>
      </c>
      <c r="Y136" s="187"/>
      <c r="Z136" s="187">
        <v>884.7</v>
      </c>
      <c r="AA136" s="187"/>
      <c r="AB136" s="150">
        <v>883.9</v>
      </c>
      <c r="AC136" s="150"/>
      <c r="AD136" s="150">
        <v>883.6</v>
      </c>
      <c r="AE136" s="150">
        <v>883.1</v>
      </c>
      <c r="AF136" s="151">
        <v>883.5</v>
      </c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>
        <v>1519.72</v>
      </c>
      <c r="N137" s="152"/>
      <c r="O137" s="152">
        <v>1519.72</v>
      </c>
      <c r="P137" s="152"/>
      <c r="Q137" s="152"/>
      <c r="R137" s="152"/>
      <c r="S137" s="188"/>
      <c r="T137" s="188"/>
      <c r="U137" s="188"/>
      <c r="V137" s="188"/>
      <c r="W137" s="188"/>
      <c r="X137" s="188"/>
      <c r="Y137" s="188"/>
      <c r="Z137" s="188">
        <v>1519.73</v>
      </c>
      <c r="AA137" s="188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08">SUM(B139:B243)</f>
        <v>0</v>
      </c>
      <c r="C244" s="134">
        <f t="shared" si="108"/>
        <v>0</v>
      </c>
      <c r="D244" s="134">
        <f t="shared" si="108"/>
        <v>0</v>
      </c>
      <c r="E244" s="134">
        <f t="shared" si="108"/>
        <v>0</v>
      </c>
      <c r="F244" s="134">
        <f t="shared" si="108"/>
        <v>0</v>
      </c>
      <c r="G244" s="134">
        <f t="shared" si="108"/>
        <v>0</v>
      </c>
      <c r="H244" s="134">
        <f t="shared" si="108"/>
        <v>0</v>
      </c>
      <c r="I244" s="134">
        <f t="shared" si="108"/>
        <v>0</v>
      </c>
      <c r="J244" s="134">
        <f t="shared" si="108"/>
        <v>0</v>
      </c>
      <c r="K244" s="134">
        <f t="shared" si="108"/>
        <v>0</v>
      </c>
      <c r="L244" s="134">
        <f t="shared" si="108"/>
        <v>0</v>
      </c>
      <c r="M244" s="134">
        <f t="shared" si="108"/>
        <v>0</v>
      </c>
      <c r="N244" s="134">
        <f t="shared" si="108"/>
        <v>0</v>
      </c>
      <c r="O244" s="134">
        <f t="shared" si="108"/>
        <v>0</v>
      </c>
      <c r="P244" s="134">
        <f t="shared" si="108"/>
        <v>0</v>
      </c>
      <c r="Q244" s="134">
        <f t="shared" si="108"/>
        <v>0</v>
      </c>
      <c r="R244" s="134">
        <f t="shared" si="108"/>
        <v>0</v>
      </c>
      <c r="S244" s="134">
        <f t="shared" si="108"/>
        <v>0</v>
      </c>
      <c r="T244" s="134">
        <f t="shared" si="108"/>
        <v>0</v>
      </c>
      <c r="U244" s="134">
        <f t="shared" si="108"/>
        <v>0</v>
      </c>
      <c r="V244" s="134">
        <f t="shared" si="108"/>
        <v>0</v>
      </c>
      <c r="W244" s="134">
        <f t="shared" si="108"/>
        <v>0</v>
      </c>
      <c r="X244" s="134">
        <f t="shared" si="108"/>
        <v>0</v>
      </c>
      <c r="Y244" s="134">
        <f t="shared" si="108"/>
        <v>0</v>
      </c>
      <c r="Z244" s="134">
        <f t="shared" si="108"/>
        <v>0</v>
      </c>
      <c r="AA244" s="134">
        <f t="shared" si="108"/>
        <v>0</v>
      </c>
      <c r="AB244" s="134">
        <f t="shared" si="108"/>
        <v>0</v>
      </c>
      <c r="AC244" s="134">
        <f t="shared" si="108"/>
        <v>0</v>
      </c>
      <c r="AD244" s="134">
        <f t="shared" si="108"/>
        <v>0</v>
      </c>
      <c r="AE244" s="134">
        <f t="shared" si="108"/>
        <v>0</v>
      </c>
      <c r="AF244" s="135">
        <f t="shared" si="108"/>
        <v>0</v>
      </c>
      <c r="AG244" s="136">
        <f t="shared" si="108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09">AF246</f>
        <v>0.3</v>
      </c>
      <c r="C246" s="138">
        <v>0.3</v>
      </c>
      <c r="D246" s="138">
        <f t="shared" ref="D246:S251" si="110">C246</f>
        <v>0.3</v>
      </c>
      <c r="E246" s="138">
        <f t="shared" si="110"/>
        <v>0.3</v>
      </c>
      <c r="F246" s="138">
        <f t="shared" si="110"/>
        <v>0.3</v>
      </c>
      <c r="G246" s="138">
        <f t="shared" si="110"/>
        <v>0.3</v>
      </c>
      <c r="H246" s="138">
        <f t="shared" si="110"/>
        <v>0.3</v>
      </c>
      <c r="I246" s="138">
        <f t="shared" si="110"/>
        <v>0.3</v>
      </c>
      <c r="J246" s="138">
        <f t="shared" si="110"/>
        <v>0.3</v>
      </c>
      <c r="K246" s="138">
        <f t="shared" si="110"/>
        <v>0.3</v>
      </c>
      <c r="L246" s="138">
        <f t="shared" si="110"/>
        <v>0.3</v>
      </c>
      <c r="M246" s="138">
        <f t="shared" si="110"/>
        <v>0.3</v>
      </c>
      <c r="N246" s="138">
        <f t="shared" si="110"/>
        <v>0.3</v>
      </c>
      <c r="O246" s="138">
        <f t="shared" si="110"/>
        <v>0.3</v>
      </c>
      <c r="P246" s="138">
        <f t="shared" si="110"/>
        <v>0.3</v>
      </c>
      <c r="Q246" s="138">
        <f t="shared" si="110"/>
        <v>0.3</v>
      </c>
      <c r="R246" s="138">
        <f t="shared" si="110"/>
        <v>0.3</v>
      </c>
      <c r="S246" s="138">
        <f t="shared" si="110"/>
        <v>0.3</v>
      </c>
      <c r="T246" s="138">
        <f t="shared" ref="T246:AF251" si="111">S246</f>
        <v>0.3</v>
      </c>
      <c r="U246" s="138">
        <f t="shared" si="111"/>
        <v>0.3</v>
      </c>
      <c r="V246" s="138">
        <f t="shared" si="111"/>
        <v>0.3</v>
      </c>
      <c r="W246" s="138">
        <f t="shared" si="111"/>
        <v>0.3</v>
      </c>
      <c r="X246" s="138">
        <f t="shared" si="111"/>
        <v>0.3</v>
      </c>
      <c r="Y246" s="138">
        <f t="shared" si="111"/>
        <v>0.3</v>
      </c>
      <c r="Z246" s="138">
        <f t="shared" si="111"/>
        <v>0.3</v>
      </c>
      <c r="AA246" s="138">
        <f t="shared" si="111"/>
        <v>0.3</v>
      </c>
      <c r="AB246" s="138">
        <f t="shared" si="111"/>
        <v>0.3</v>
      </c>
      <c r="AC246" s="138">
        <f t="shared" si="111"/>
        <v>0.3</v>
      </c>
      <c r="AD246" s="138">
        <f t="shared" si="111"/>
        <v>0.3</v>
      </c>
      <c r="AE246" s="138">
        <f t="shared" si="111"/>
        <v>0.3</v>
      </c>
      <c r="AF246" s="138">
        <f t="shared" si="111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09"/>
        <v>0.4</v>
      </c>
      <c r="C247" s="126">
        <v>0.4</v>
      </c>
      <c r="D247" s="126">
        <f t="shared" si="110"/>
        <v>0.4</v>
      </c>
      <c r="E247" s="126">
        <f t="shared" si="110"/>
        <v>0.4</v>
      </c>
      <c r="F247" s="126">
        <f t="shared" si="110"/>
        <v>0.4</v>
      </c>
      <c r="G247" s="126">
        <f t="shared" si="110"/>
        <v>0.4</v>
      </c>
      <c r="H247" s="126">
        <f t="shared" si="110"/>
        <v>0.4</v>
      </c>
      <c r="I247" s="126">
        <f t="shared" si="110"/>
        <v>0.4</v>
      </c>
      <c r="J247" s="126">
        <f t="shared" si="110"/>
        <v>0.4</v>
      </c>
      <c r="K247" s="126">
        <f t="shared" si="110"/>
        <v>0.4</v>
      </c>
      <c r="L247" s="126">
        <f t="shared" si="110"/>
        <v>0.4</v>
      </c>
      <c r="M247" s="126">
        <f t="shared" si="110"/>
        <v>0.4</v>
      </c>
      <c r="N247" s="126">
        <f t="shared" si="110"/>
        <v>0.4</v>
      </c>
      <c r="O247" s="126">
        <f t="shared" si="110"/>
        <v>0.4</v>
      </c>
      <c r="P247" s="126">
        <f t="shared" si="110"/>
        <v>0.4</v>
      </c>
      <c r="Q247" s="126">
        <f t="shared" si="110"/>
        <v>0.4</v>
      </c>
      <c r="R247" s="126">
        <f t="shared" si="110"/>
        <v>0.4</v>
      </c>
      <c r="S247" s="126">
        <f t="shared" si="110"/>
        <v>0.4</v>
      </c>
      <c r="T247" s="126">
        <f t="shared" si="111"/>
        <v>0.4</v>
      </c>
      <c r="U247" s="126">
        <f t="shared" si="111"/>
        <v>0.4</v>
      </c>
      <c r="V247" s="126">
        <f t="shared" si="111"/>
        <v>0.4</v>
      </c>
      <c r="W247" s="126">
        <f t="shared" si="111"/>
        <v>0.4</v>
      </c>
      <c r="X247" s="126">
        <f t="shared" si="111"/>
        <v>0.4</v>
      </c>
      <c r="Y247" s="126">
        <f t="shared" si="111"/>
        <v>0.4</v>
      </c>
      <c r="Z247" s="126">
        <f t="shared" si="111"/>
        <v>0.4</v>
      </c>
      <c r="AA247" s="126">
        <f t="shared" si="111"/>
        <v>0.4</v>
      </c>
      <c r="AB247" s="126">
        <f t="shared" si="111"/>
        <v>0.4</v>
      </c>
      <c r="AC247" s="126">
        <f t="shared" si="111"/>
        <v>0.4</v>
      </c>
      <c r="AD247" s="126">
        <f t="shared" si="111"/>
        <v>0.4</v>
      </c>
      <c r="AE247" s="126">
        <f t="shared" si="111"/>
        <v>0.4</v>
      </c>
      <c r="AF247" s="126">
        <f t="shared" si="111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09"/>
        <v>1.5</v>
      </c>
      <c r="C248" s="126">
        <v>1.5</v>
      </c>
      <c r="D248" s="126">
        <f t="shared" si="110"/>
        <v>1.5</v>
      </c>
      <c r="E248" s="126">
        <f t="shared" si="110"/>
        <v>1.5</v>
      </c>
      <c r="F248" s="126">
        <f t="shared" si="110"/>
        <v>1.5</v>
      </c>
      <c r="G248" s="126">
        <f t="shared" si="110"/>
        <v>1.5</v>
      </c>
      <c r="H248" s="126">
        <f t="shared" si="110"/>
        <v>1.5</v>
      </c>
      <c r="I248" s="126">
        <f t="shared" si="110"/>
        <v>1.5</v>
      </c>
      <c r="J248" s="126">
        <f t="shared" si="110"/>
        <v>1.5</v>
      </c>
      <c r="K248" s="126">
        <f t="shared" si="110"/>
        <v>1.5</v>
      </c>
      <c r="L248" s="126">
        <f t="shared" si="110"/>
        <v>1.5</v>
      </c>
      <c r="M248" s="126">
        <f t="shared" si="110"/>
        <v>1.5</v>
      </c>
      <c r="N248" s="126">
        <f t="shared" si="110"/>
        <v>1.5</v>
      </c>
      <c r="O248" s="126">
        <f t="shared" si="110"/>
        <v>1.5</v>
      </c>
      <c r="P248" s="126">
        <f t="shared" si="110"/>
        <v>1.5</v>
      </c>
      <c r="Q248" s="126">
        <f t="shared" si="110"/>
        <v>1.5</v>
      </c>
      <c r="R248" s="126">
        <f t="shared" si="110"/>
        <v>1.5</v>
      </c>
      <c r="S248" s="126">
        <f t="shared" si="110"/>
        <v>1.5</v>
      </c>
      <c r="T248" s="126">
        <f t="shared" si="111"/>
        <v>1.5</v>
      </c>
      <c r="U248" s="126">
        <f t="shared" si="111"/>
        <v>1.5</v>
      </c>
      <c r="V248" s="126">
        <f t="shared" si="111"/>
        <v>1.5</v>
      </c>
      <c r="W248" s="126">
        <f t="shared" si="111"/>
        <v>1.5</v>
      </c>
      <c r="X248" s="126">
        <f t="shared" si="111"/>
        <v>1.5</v>
      </c>
      <c r="Y248" s="126">
        <f t="shared" si="111"/>
        <v>1.5</v>
      </c>
      <c r="Z248" s="126">
        <f t="shared" si="111"/>
        <v>1.5</v>
      </c>
      <c r="AA248" s="126">
        <f t="shared" si="111"/>
        <v>1.5</v>
      </c>
      <c r="AB248" s="126">
        <f t="shared" si="111"/>
        <v>1.5</v>
      </c>
      <c r="AC248" s="126">
        <f t="shared" si="111"/>
        <v>1.5</v>
      </c>
      <c r="AD248" s="126">
        <f t="shared" si="111"/>
        <v>1.5</v>
      </c>
      <c r="AE248" s="126">
        <f t="shared" si="111"/>
        <v>1.5</v>
      </c>
      <c r="AF248" s="126">
        <f t="shared" si="111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09"/>
        <v>0.3</v>
      </c>
      <c r="C249" s="126">
        <v>0.3</v>
      </c>
      <c r="D249" s="126">
        <f t="shared" si="110"/>
        <v>0.3</v>
      </c>
      <c r="E249" s="126">
        <f t="shared" si="110"/>
        <v>0.3</v>
      </c>
      <c r="F249" s="126">
        <f t="shared" si="110"/>
        <v>0.3</v>
      </c>
      <c r="G249" s="126">
        <f t="shared" si="110"/>
        <v>0.3</v>
      </c>
      <c r="H249" s="126">
        <f t="shared" si="110"/>
        <v>0.3</v>
      </c>
      <c r="I249" s="126">
        <f t="shared" si="110"/>
        <v>0.3</v>
      </c>
      <c r="J249" s="126">
        <f t="shared" si="110"/>
        <v>0.3</v>
      </c>
      <c r="K249" s="126">
        <f t="shared" si="110"/>
        <v>0.3</v>
      </c>
      <c r="L249" s="126">
        <f t="shared" si="110"/>
        <v>0.3</v>
      </c>
      <c r="M249" s="126">
        <f t="shared" si="110"/>
        <v>0.3</v>
      </c>
      <c r="N249" s="126">
        <f t="shared" si="110"/>
        <v>0.3</v>
      </c>
      <c r="O249" s="126">
        <f t="shared" si="110"/>
        <v>0.3</v>
      </c>
      <c r="P249" s="126">
        <f t="shared" si="110"/>
        <v>0.3</v>
      </c>
      <c r="Q249" s="126">
        <f t="shared" si="110"/>
        <v>0.3</v>
      </c>
      <c r="R249" s="126">
        <f t="shared" si="110"/>
        <v>0.3</v>
      </c>
      <c r="S249" s="126">
        <f t="shared" si="110"/>
        <v>0.3</v>
      </c>
      <c r="T249" s="126">
        <f t="shared" si="111"/>
        <v>0.3</v>
      </c>
      <c r="U249" s="126">
        <f t="shared" si="111"/>
        <v>0.3</v>
      </c>
      <c r="V249" s="126">
        <f t="shared" si="111"/>
        <v>0.3</v>
      </c>
      <c r="W249" s="126">
        <f t="shared" si="111"/>
        <v>0.3</v>
      </c>
      <c r="X249" s="126">
        <f t="shared" si="111"/>
        <v>0.3</v>
      </c>
      <c r="Y249" s="126">
        <f t="shared" si="111"/>
        <v>0.3</v>
      </c>
      <c r="Z249" s="126">
        <f t="shared" si="111"/>
        <v>0.3</v>
      </c>
      <c r="AA249" s="126">
        <f t="shared" si="111"/>
        <v>0.3</v>
      </c>
      <c r="AB249" s="126">
        <f t="shared" si="111"/>
        <v>0.3</v>
      </c>
      <c r="AC249" s="126">
        <f t="shared" si="111"/>
        <v>0.3</v>
      </c>
      <c r="AD249" s="126">
        <f t="shared" si="111"/>
        <v>0.3</v>
      </c>
      <c r="AE249" s="126">
        <f t="shared" si="111"/>
        <v>0.3</v>
      </c>
      <c r="AF249" s="126">
        <f t="shared" si="111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09"/>
        <v>0.4</v>
      </c>
      <c r="C250" s="126">
        <v>0.4</v>
      </c>
      <c r="D250" s="126">
        <f t="shared" si="110"/>
        <v>0.4</v>
      </c>
      <c r="E250" s="126">
        <f t="shared" si="110"/>
        <v>0.4</v>
      </c>
      <c r="F250" s="126">
        <f t="shared" si="110"/>
        <v>0.4</v>
      </c>
      <c r="G250" s="126">
        <f t="shared" si="110"/>
        <v>0.4</v>
      </c>
      <c r="H250" s="126">
        <f t="shared" si="110"/>
        <v>0.4</v>
      </c>
      <c r="I250" s="126">
        <f t="shared" si="110"/>
        <v>0.4</v>
      </c>
      <c r="J250" s="126">
        <f t="shared" si="110"/>
        <v>0.4</v>
      </c>
      <c r="K250" s="126">
        <f t="shared" si="110"/>
        <v>0.4</v>
      </c>
      <c r="L250" s="126">
        <f t="shared" si="110"/>
        <v>0.4</v>
      </c>
      <c r="M250" s="126">
        <f t="shared" si="110"/>
        <v>0.4</v>
      </c>
      <c r="N250" s="126">
        <f t="shared" si="110"/>
        <v>0.4</v>
      </c>
      <c r="O250" s="126">
        <f t="shared" si="110"/>
        <v>0.4</v>
      </c>
      <c r="P250" s="126">
        <f t="shared" si="110"/>
        <v>0.4</v>
      </c>
      <c r="Q250" s="126">
        <f t="shared" si="110"/>
        <v>0.4</v>
      </c>
      <c r="R250" s="126">
        <f t="shared" si="110"/>
        <v>0.4</v>
      </c>
      <c r="S250" s="126">
        <f t="shared" si="110"/>
        <v>0.4</v>
      </c>
      <c r="T250" s="126">
        <f t="shared" si="111"/>
        <v>0.4</v>
      </c>
      <c r="U250" s="126">
        <f t="shared" si="111"/>
        <v>0.4</v>
      </c>
      <c r="V250" s="126">
        <f t="shared" si="111"/>
        <v>0.4</v>
      </c>
      <c r="W250" s="126">
        <f t="shared" si="111"/>
        <v>0.4</v>
      </c>
      <c r="X250" s="126">
        <f t="shared" si="111"/>
        <v>0.4</v>
      </c>
      <c r="Y250" s="126">
        <f t="shared" si="111"/>
        <v>0.4</v>
      </c>
      <c r="Z250" s="126">
        <f t="shared" si="111"/>
        <v>0.4</v>
      </c>
      <c r="AA250" s="126">
        <f t="shared" si="111"/>
        <v>0.4</v>
      </c>
      <c r="AB250" s="126">
        <f t="shared" si="111"/>
        <v>0.4</v>
      </c>
      <c r="AC250" s="126">
        <f t="shared" si="111"/>
        <v>0.4</v>
      </c>
      <c r="AD250" s="126">
        <f t="shared" si="111"/>
        <v>0.4</v>
      </c>
      <c r="AE250" s="126">
        <f t="shared" si="111"/>
        <v>0.4</v>
      </c>
      <c r="AF250" s="126">
        <f t="shared" si="111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09"/>
        <v>0.64</v>
      </c>
      <c r="C251" s="130">
        <v>0.64</v>
      </c>
      <c r="D251" s="130">
        <f t="shared" si="110"/>
        <v>0.64</v>
      </c>
      <c r="E251" s="130">
        <f t="shared" si="110"/>
        <v>0.64</v>
      </c>
      <c r="F251" s="130">
        <f t="shared" si="110"/>
        <v>0.64</v>
      </c>
      <c r="G251" s="130">
        <f t="shared" si="110"/>
        <v>0.64</v>
      </c>
      <c r="H251" s="130">
        <f t="shared" si="110"/>
        <v>0.64</v>
      </c>
      <c r="I251" s="130">
        <f t="shared" si="110"/>
        <v>0.64</v>
      </c>
      <c r="J251" s="130">
        <f t="shared" si="110"/>
        <v>0.64</v>
      </c>
      <c r="K251" s="130">
        <f t="shared" si="110"/>
        <v>0.64</v>
      </c>
      <c r="L251" s="130">
        <f t="shared" si="110"/>
        <v>0.64</v>
      </c>
      <c r="M251" s="130">
        <f t="shared" si="110"/>
        <v>0.64</v>
      </c>
      <c r="N251" s="130">
        <f t="shared" si="110"/>
        <v>0.64</v>
      </c>
      <c r="O251" s="130">
        <f t="shared" si="110"/>
        <v>0.64</v>
      </c>
      <c r="P251" s="130">
        <f t="shared" si="110"/>
        <v>0.64</v>
      </c>
      <c r="Q251" s="130">
        <f t="shared" si="110"/>
        <v>0.64</v>
      </c>
      <c r="R251" s="130">
        <f t="shared" si="110"/>
        <v>0.64</v>
      </c>
      <c r="S251" s="130">
        <f t="shared" si="110"/>
        <v>0.64</v>
      </c>
      <c r="T251" s="130">
        <f t="shared" si="111"/>
        <v>0.64</v>
      </c>
      <c r="U251" s="130">
        <f t="shared" si="111"/>
        <v>0.64</v>
      </c>
      <c r="V251" s="130">
        <f t="shared" si="111"/>
        <v>0.64</v>
      </c>
      <c r="W251" s="130">
        <f t="shared" si="111"/>
        <v>0.64</v>
      </c>
      <c r="X251" s="130">
        <f t="shared" si="111"/>
        <v>0.64</v>
      </c>
      <c r="Y251" s="130">
        <f t="shared" si="111"/>
        <v>0.64</v>
      </c>
      <c r="Z251" s="130">
        <f t="shared" si="111"/>
        <v>0.64</v>
      </c>
      <c r="AA251" s="130">
        <f t="shared" si="111"/>
        <v>0.64</v>
      </c>
      <c r="AB251" s="130">
        <f t="shared" si="111"/>
        <v>0.64</v>
      </c>
      <c r="AC251" s="130">
        <f t="shared" si="111"/>
        <v>0.64</v>
      </c>
      <c r="AD251" s="130">
        <f t="shared" si="111"/>
        <v>0.64</v>
      </c>
      <c r="AE251" s="130">
        <f t="shared" si="111"/>
        <v>0.64</v>
      </c>
      <c r="AF251" s="130">
        <f t="shared" si="111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12">SUM(B246:B251)</f>
        <v>3.54</v>
      </c>
      <c r="C252" s="134">
        <f t="shared" si="112"/>
        <v>3.54</v>
      </c>
      <c r="D252" s="134">
        <f t="shared" si="112"/>
        <v>3.54</v>
      </c>
      <c r="E252" s="134">
        <f t="shared" si="112"/>
        <v>3.54</v>
      </c>
      <c r="F252" s="134">
        <f t="shared" si="112"/>
        <v>3.54</v>
      </c>
      <c r="G252" s="134">
        <f t="shared" si="112"/>
        <v>3.54</v>
      </c>
      <c r="H252" s="134">
        <f t="shared" si="112"/>
        <v>3.54</v>
      </c>
      <c r="I252" s="134">
        <f t="shared" si="112"/>
        <v>3.54</v>
      </c>
      <c r="J252" s="134">
        <f t="shared" si="112"/>
        <v>3.54</v>
      </c>
      <c r="K252" s="134">
        <f t="shared" si="112"/>
        <v>3.54</v>
      </c>
      <c r="L252" s="134">
        <f t="shared" si="112"/>
        <v>3.54</v>
      </c>
      <c r="M252" s="134">
        <f t="shared" si="112"/>
        <v>3.54</v>
      </c>
      <c r="N252" s="134">
        <f t="shared" si="112"/>
        <v>3.54</v>
      </c>
      <c r="O252" s="134">
        <f t="shared" si="112"/>
        <v>3.54</v>
      </c>
      <c r="P252" s="134">
        <f t="shared" si="112"/>
        <v>3.54</v>
      </c>
      <c r="Q252" s="134">
        <f t="shared" si="112"/>
        <v>3.54</v>
      </c>
      <c r="R252" s="134">
        <f t="shared" si="112"/>
        <v>3.54</v>
      </c>
      <c r="S252" s="134">
        <f t="shared" si="112"/>
        <v>3.54</v>
      </c>
      <c r="T252" s="134">
        <f t="shared" si="112"/>
        <v>3.54</v>
      </c>
      <c r="U252" s="134">
        <f t="shared" si="112"/>
        <v>3.54</v>
      </c>
      <c r="V252" s="134">
        <f t="shared" si="112"/>
        <v>3.54</v>
      </c>
      <c r="W252" s="134">
        <f t="shared" si="112"/>
        <v>3.54</v>
      </c>
      <c r="X252" s="134">
        <f t="shared" si="112"/>
        <v>3.54</v>
      </c>
      <c r="Y252" s="134">
        <f t="shared" si="112"/>
        <v>3.54</v>
      </c>
      <c r="Z252" s="134">
        <f t="shared" si="112"/>
        <v>3.54</v>
      </c>
      <c r="AA252" s="134">
        <f t="shared" si="112"/>
        <v>3.54</v>
      </c>
      <c r="AB252" s="134">
        <f t="shared" si="112"/>
        <v>3.54</v>
      </c>
      <c r="AC252" s="134">
        <f t="shared" si="112"/>
        <v>3.54</v>
      </c>
      <c r="AD252" s="134">
        <f t="shared" si="112"/>
        <v>3.54</v>
      </c>
      <c r="AE252" s="134">
        <f t="shared" si="112"/>
        <v>3.54</v>
      </c>
      <c r="AF252" s="134">
        <f t="shared" si="112"/>
        <v>3.54</v>
      </c>
      <c r="AG252" s="143">
        <f t="shared" si="112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1675.99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2080/10/27)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6" type="noConversion"/>
  <conditionalFormatting sqref="A11:A130">
    <cfRule type="expression" dxfId="807" priority="90">
      <formula>$AH11=0</formula>
    </cfRule>
  </conditionalFormatting>
  <conditionalFormatting sqref="A132:A253">
    <cfRule type="expression" dxfId="806" priority="91">
      <formula>$AH132=0</formula>
    </cfRule>
  </conditionalFormatting>
  <conditionalFormatting sqref="B8">
    <cfRule type="expression" dxfId="805" priority="151">
      <formula>C$9&lt;8/24</formula>
    </cfRule>
    <cfRule type="expression" dxfId="804" priority="152">
      <formula>C$9&gt;=20/24</formula>
    </cfRule>
    <cfRule type="expression" dxfId="803" priority="150">
      <formula>AND(C$9&gt;=8/24,C$9&lt;14/24)</formula>
    </cfRule>
    <cfRule type="expression" dxfId="802" priority="149">
      <formula>AND(C$9&gt;=14/24,C$9&lt;20/24)</formula>
    </cfRule>
  </conditionalFormatting>
  <conditionalFormatting sqref="B11:X52 Y35:Y52 B59:D68 E67:E74 F68:I74 B69:AF74 B77:AF99 B9:AF10 B101:AF117 B119:AF137 B244:AF244 B246:B252">
    <cfRule type="expression" dxfId="801" priority="41">
      <formula>B$9&gt;=20/24</formula>
    </cfRule>
  </conditionalFormatting>
  <conditionalFormatting sqref="B53:Y57">
    <cfRule type="expression" dxfId="800" priority="53">
      <formula>B$9&lt;8/24</formula>
    </cfRule>
  </conditionalFormatting>
  <conditionalFormatting sqref="B9:AF10 B11:X52 Y35:Y52 B59:D68 E67:E74 F68:I74 B69:AF74 B77:AF99 B101:AF117 B119:AF137 B244:AF244 B246:B252">
    <cfRule type="expression" dxfId="799" priority="42">
      <formula>AND(B$9&gt;=14/24,B$9&lt;20/24)</formula>
    </cfRule>
    <cfRule type="expression" dxfId="798" priority="44">
      <formula>B$9&lt;8/24</formula>
    </cfRule>
    <cfRule type="expression" dxfId="797" priority="43">
      <formula>AND(B$9&gt;=8/24,B$9&lt;14/24)</formula>
    </cfRule>
  </conditionalFormatting>
  <conditionalFormatting sqref="D246:AF252">
    <cfRule type="expression" dxfId="796" priority="136">
      <formula>AND(D$9&gt;=8/24,D$9&lt;14/24)</formula>
    </cfRule>
    <cfRule type="expression" dxfId="795" priority="135">
      <formula>AND(D$9&gt;=14/24,D$9&lt;20/24)</formula>
    </cfRule>
    <cfRule type="expression" dxfId="794" priority="134">
      <formula>D$9&gt;=20/24</formula>
    </cfRule>
    <cfRule type="expression" dxfId="793" priority="137">
      <formula>D$9&lt;8/24</formula>
    </cfRule>
  </conditionalFormatting>
  <conditionalFormatting sqref="E63:I67 J64:J67 K67">
    <cfRule type="expression" dxfId="792" priority="54">
      <formula>E$9&gt;=20/24</formula>
    </cfRule>
    <cfRule type="expression" dxfId="791" priority="55">
      <formula>AND(E$9&gt;=14/24,E$9&lt;20/24)</formula>
    </cfRule>
    <cfRule type="expression" dxfId="790" priority="56">
      <formula>AND(E$9&gt;=8/24,E$9&lt;14/24)</formula>
    </cfRule>
    <cfRule type="expression" dxfId="789" priority="57">
      <formula>E$9&lt;8/24</formula>
    </cfRule>
  </conditionalFormatting>
  <conditionalFormatting sqref="E68:K68">
    <cfRule type="expression" dxfId="788" priority="49">
      <formula>E$9&gt;=20/24</formula>
    </cfRule>
    <cfRule type="expression" dxfId="787" priority="52">
      <formula>E$9&lt;8/24</formula>
    </cfRule>
    <cfRule type="expression" dxfId="786" priority="51">
      <formula>AND(E$9&gt;=8/24,E$9&lt;14/24)</formula>
    </cfRule>
    <cfRule type="expression" dxfId="785" priority="50">
      <formula>AND(E$9&gt;=14/24,E$9&lt;20/24)</formula>
    </cfRule>
  </conditionalFormatting>
  <conditionalFormatting sqref="E11:X55 B11:D56 Y35:Y55 B57:S74 T57:Y57 T58:AA74 AB58:AF80 AG62 B75:AA80 AG80">
    <cfRule type="expression" dxfId="784" priority="40">
      <formula>B11&gt;$AG11</formula>
    </cfRule>
  </conditionalFormatting>
  <conditionalFormatting sqref="E56:Y56">
    <cfRule type="expression" dxfId="783" priority="45">
      <formula>E56&gt;$AG56</formula>
    </cfRule>
  </conditionalFormatting>
  <conditionalFormatting sqref="E56:Y57">
    <cfRule type="expression" dxfId="782" priority="47">
      <formula>AND(E$9&gt;=14/24,E$9&lt;20/24)</formula>
    </cfRule>
    <cfRule type="expression" dxfId="781" priority="46">
      <formula>E$9&gt;=20/24</formula>
    </cfRule>
    <cfRule type="expression" dxfId="780" priority="48">
      <formula>AND(E$9&gt;=8/24,E$9&lt;14/24)</formula>
    </cfRule>
  </conditionalFormatting>
  <conditionalFormatting sqref="E59:AF62">
    <cfRule type="expression" dxfId="779" priority="68">
      <formula>E$9&gt;=20/24</formula>
    </cfRule>
    <cfRule type="expression" dxfId="778" priority="71">
      <formula>E$9&lt;8/24</formula>
    </cfRule>
    <cfRule type="expression" dxfId="777" priority="70">
      <formula>AND(E$9&gt;=8/24,E$9&lt;14/24)</formula>
    </cfRule>
    <cfRule type="expression" dxfId="776" priority="69">
      <formula>AND(E$9&gt;=14/24,E$9&lt;20/24)</formula>
    </cfRule>
  </conditionalFormatting>
  <conditionalFormatting sqref="F63:L65">
    <cfRule type="expression" dxfId="775" priority="85">
      <formula>F$9&lt;8/24</formula>
    </cfRule>
    <cfRule type="expression" dxfId="774" priority="83">
      <formula>AND(F$9&gt;=14/24,F$9&lt;20/24)</formula>
    </cfRule>
    <cfRule type="expression" dxfId="773" priority="82">
      <formula>F$9&gt;=20/24</formula>
    </cfRule>
    <cfRule type="expression" dxfId="772" priority="84">
      <formula>AND(F$9&gt;=8/24,F$9&lt;14/24)</formula>
    </cfRule>
  </conditionalFormatting>
  <conditionalFormatting sqref="L68:X68">
    <cfRule type="expression" dxfId="771" priority="81">
      <formula>L$9&lt;8/24</formula>
    </cfRule>
    <cfRule type="expression" dxfId="770" priority="80">
      <formula>AND(L$9&gt;=8/24,L$9&lt;14/24)</formula>
    </cfRule>
    <cfRule type="expression" dxfId="769" priority="79">
      <formula>AND(L$9&gt;=14/24,L$9&lt;20/24)</formula>
    </cfRule>
    <cfRule type="expression" dxfId="768" priority="78">
      <formula>L$9&gt;=20/24</formula>
    </cfRule>
  </conditionalFormatting>
  <conditionalFormatting sqref="M8 S8 AB8">
    <cfRule type="expression" dxfId="767" priority="142">
      <formula>AND(N$9&gt;=8/24,N$9&lt;14/24)</formula>
    </cfRule>
    <cfRule type="expression" dxfId="766" priority="143">
      <formula>N$9&lt;8/24</formula>
    </cfRule>
    <cfRule type="expression" dxfId="765" priority="141">
      <formula>AND(N$9&gt;=14/24,N$9&lt;20/24)</formula>
    </cfRule>
  </conditionalFormatting>
  <conditionalFormatting sqref="M63:V67 V64:W67 X66:X67">
    <cfRule type="expression" dxfId="764" priority="86">
      <formula>M$9&gt;=20/24</formula>
    </cfRule>
    <cfRule type="expression" dxfId="763" priority="88">
      <formula>AND(M$9&gt;=8/24,M$9&lt;14/24)</formula>
    </cfRule>
    <cfRule type="expression" dxfId="762" priority="87">
      <formula>AND(M$9&gt;=14/24,M$9&lt;20/24)</formula>
    </cfRule>
    <cfRule type="expression" dxfId="761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760" priority="140">
      <formula>N$9&gt;=20/24</formula>
    </cfRule>
  </conditionalFormatting>
  <conditionalFormatting sqref="S8">
    <cfRule type="expression" dxfId="759" priority="127">
      <formula>U$9&gt;=20/24</formula>
    </cfRule>
    <cfRule type="expression" dxfId="758" priority="128">
      <formula>AND(U$9&gt;=14/24,U$9&lt;20/24)</formula>
    </cfRule>
    <cfRule type="expression" dxfId="757" priority="129">
      <formula>AND(U$9&gt;=8/24,U$9&lt;14/24)</formula>
    </cfRule>
    <cfRule type="expression" dxfId="756" priority="130">
      <formula>U$9&lt;8/24</formula>
    </cfRule>
  </conditionalFormatting>
  <conditionalFormatting sqref="T63:AF68">
    <cfRule type="expression" dxfId="755" priority="75">
      <formula>T$9&lt;8/24</formula>
    </cfRule>
    <cfRule type="expression" dxfId="754" priority="72">
      <formula>T$9&gt;=20/24</formula>
    </cfRule>
    <cfRule type="expression" dxfId="753" priority="73">
      <formula>AND(T$9&gt;=14/24,T$9&lt;20/24)</formula>
    </cfRule>
    <cfRule type="expression" dxfId="752" priority="74">
      <formula>AND(T$9&gt;=8/24,T$9&lt;14/24)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Y11:Z34 AA11:AF52 Z35:Z52">
    <cfRule type="expression" dxfId="751" priority="62">
      <formula>Y$9&lt;8/24</formula>
    </cfRule>
    <cfRule type="expression" dxfId="750" priority="61">
      <formula>AND(Y$9&gt;=8/24,Y$9&lt;14/24)</formula>
    </cfRule>
    <cfRule type="expression" dxfId="749" priority="60">
      <formula>AND(Y$9&gt;=14/24,Y$9&lt;20/24)</formula>
    </cfRule>
    <cfRule type="expression" dxfId="748" priority="59">
      <formula>Y$9&gt;=20/24</formula>
    </cfRule>
    <cfRule type="expression" dxfId="747" priority="58">
      <formula>Y11&gt;$AG11</formula>
    </cfRule>
  </conditionalFormatting>
  <conditionalFormatting sqref="Z53:AF54 E53:Y55 B53:D57">
    <cfRule type="expression" dxfId="746" priority="37">
      <formula>B$9&gt;=20/24</formula>
    </cfRule>
    <cfRule type="expression" dxfId="745" priority="38">
      <formula>AND(B$9&gt;=14/24,B$9&lt;20/24)</formula>
    </cfRule>
    <cfRule type="expression" dxfId="744" priority="39">
      <formula>AND(B$9&gt;=8/24,B$9&lt;14/24)</formula>
    </cfRule>
  </conditionalFormatting>
  <conditionalFormatting sqref="Z53:AF55">
    <cfRule type="expression" dxfId="743" priority="77">
      <formula>Z53&gt;$AG53</formula>
    </cfRule>
  </conditionalFormatting>
  <conditionalFormatting sqref="Z53:AF57">
    <cfRule type="expression" dxfId="742" priority="76">
      <formula>Z$9&lt;8/24</formula>
    </cfRule>
  </conditionalFormatting>
  <conditionalFormatting sqref="Z55:AF57">
    <cfRule type="expression" dxfId="741" priority="66">
      <formula>AND(Z$9&gt;=8/24,Z$9&lt;14/24)</formula>
    </cfRule>
    <cfRule type="expression" dxfId="740" priority="65">
      <formula>AND(Z$9&gt;=14/24,Z$9&lt;20/24)</formula>
    </cfRule>
    <cfRule type="expression" dxfId="739" priority="64">
      <formula>Z$9&gt;=20/24</formula>
    </cfRule>
  </conditionalFormatting>
  <conditionalFormatting sqref="Z56:AF57">
    <cfRule type="expression" dxfId="738" priority="63">
      <formula>Z56&gt;$AG56</formula>
    </cfRule>
  </conditionalFormatting>
  <conditionalFormatting sqref="AB8">
    <cfRule type="expression" dxfId="737" priority="126">
      <formula>AD$9&lt;8/24</formula>
    </cfRule>
    <cfRule type="expression" dxfId="736" priority="125">
      <formula>AND(AD$9&gt;=8/24,AD$9&lt;14/24)</formula>
    </cfRule>
    <cfRule type="expression" dxfId="735" priority="124">
      <formula>AND(AD$9&gt;=14/24,AD$9&lt;20/24)</formula>
    </cfRule>
    <cfRule type="expression" dxfId="734" priority="123">
      <formula>AD$9&gt;=20/24</formula>
    </cfRule>
  </conditionalFormatting>
  <conditionalFormatting sqref="AG58">
    <cfRule type="expression" dxfId="733" priority="118">
      <formula>AG58&gt;$AG58</formula>
    </cfRule>
  </conditionalFormatting>
  <conditionalFormatting sqref="AG62">
    <cfRule type="expression" dxfId="732" priority="101">
      <formula>AG$9&gt;=20/24</formula>
    </cfRule>
    <cfRule type="expression" dxfId="731" priority="102">
      <formula>AND(AG$9&gt;=14/24,AG$9&lt;20/24)</formula>
    </cfRule>
    <cfRule type="expression" dxfId="730" priority="103">
      <formula>AND(AG$9&gt;=8/24,AG$9&lt;14/24)</formula>
    </cfRule>
    <cfRule type="expression" dxfId="729" priority="104">
      <formula>AG$9&lt;8/24</formula>
    </cfRule>
  </conditionalFormatting>
  <conditionalFormatting sqref="AG75:AG76">
    <cfRule type="expression" dxfId="728" priority="96">
      <formula>AG75&gt;$AG75</formula>
    </cfRule>
  </conditionalFormatting>
  <conditionalFormatting sqref="AG80">
    <cfRule type="expression" dxfId="727" priority="97">
      <formula>AG$9&gt;=20/24</formula>
    </cfRule>
    <cfRule type="expression" dxfId="726" priority="98">
      <formula>AND(AG$9&gt;=14/24,AG$9&lt;20/24)</formula>
    </cfRule>
    <cfRule type="expression" dxfId="725" priority="99">
      <formula>AND(AG$9&gt;=8/24,AG$9&lt;14/24)</formula>
    </cfRule>
    <cfRule type="expression" dxfId="724" priority="100">
      <formula>AG$9&lt;8/24</formula>
    </cfRule>
  </conditionalFormatting>
  <conditionalFormatting sqref="AG97">
    <cfRule type="expression" dxfId="723" priority="119">
      <formula>AG$9&gt;=20/24</formula>
    </cfRule>
    <cfRule type="expression" dxfId="722" priority="120">
      <formula>AND(AG$9&gt;=14/24,AG$9&lt;20/24)</formula>
    </cfRule>
    <cfRule type="expression" dxfId="721" priority="121">
      <formula>AND(AG$9&gt;=8/24,AG$9&lt;14/24)</formula>
    </cfRule>
    <cfRule type="expression" dxfId="720" priority="122">
      <formula>AG$9&lt;8/24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719" priority="145">
      <formula>AND(AJ$9&gt;=14/24,AJ$9&lt;20/24)</formula>
    </cfRule>
    <cfRule type="expression" dxfId="718" priority="144">
      <formula>AJ$9&gt;=20/24</formula>
    </cfRule>
    <cfRule type="expression" dxfId="717" priority="146">
      <formula>AND(AJ$9&gt;=8/24,AJ$9&lt;14/24)</formula>
    </cfRule>
    <cfRule type="expression" dxfId="716" priority="147">
      <formula>AJ$9&lt;8/24</formula>
    </cfRule>
  </conditionalFormatting>
  <conditionalFormatting sqref="AL88:AN88 AL94:AN94">
    <cfRule type="expression" dxfId="715" priority="111">
      <formula>AL$9&gt;=20/24</formula>
    </cfRule>
    <cfRule type="expression" dxfId="714" priority="112">
      <formula>AND(AL$9&gt;=14/24,AL$9&lt;20/24)</formula>
    </cfRule>
    <cfRule type="expression" dxfId="713" priority="113">
      <formula>AND(AL$9&gt;=8/24,AL$9&lt;14/24)</formula>
    </cfRule>
    <cfRule type="expression" dxfId="712" priority="114">
      <formula>AL$9&lt;8/24</formula>
    </cfRule>
  </conditionalFormatting>
  <conditionalFormatting sqref="AM15:AM21 AN16:AR21">
    <cfRule type="expression" dxfId="711" priority="13">
      <formula>AX$9&gt;=20/24</formula>
    </cfRule>
    <cfRule type="expression" dxfId="710" priority="14">
      <formula>AND(AX$9&gt;=14/24,AX$9&lt;20/24)</formula>
    </cfRule>
    <cfRule type="expression" dxfId="709" priority="15">
      <formula>AND(AX$9&gt;=8/24,AX$9&lt;14/24)</formula>
    </cfRule>
    <cfRule type="expression" dxfId="708" priority="16">
      <formula>AX$9&lt;8/24</formula>
    </cfRule>
  </conditionalFormatting>
  <conditionalFormatting sqref="AN89:AN92">
    <cfRule type="expression" dxfId="707" priority="110">
      <formula>AN$9&lt;8/24</formula>
    </cfRule>
    <cfRule type="expression" dxfId="706" priority="107">
      <formula>AN$9&gt;=20/24</formula>
    </cfRule>
    <cfRule type="expression" dxfId="705" priority="108">
      <formula>AND(AN$9&gt;=14/24,AN$9&lt;20/24)</formula>
    </cfRule>
    <cfRule type="expression" dxfId="704" priority="109">
      <formula>AND(AN$9&gt;=8/24,AN$9&lt;14/24)</formula>
    </cfRule>
  </conditionalFormatting>
  <conditionalFormatting sqref="AN15:AR15">
    <cfRule type="expression" dxfId="703" priority="2">
      <formula>AND(U$9&gt;=14/24,U$9&lt;20/24)</formula>
    </cfRule>
    <cfRule type="expression" dxfId="702" priority="3">
      <formula>AND(U$9&gt;=8/24,U$9&lt;14/24)</formula>
    </cfRule>
    <cfRule type="expression" dxfId="701" priority="4">
      <formula>U$9&lt;8/24</formula>
    </cfRule>
    <cfRule type="expression" dxfId="700" priority="1">
      <formula>U$9&gt;=20/24</formula>
    </cfRule>
  </conditionalFormatting>
  <conditionalFormatting sqref="AS15">
    <cfRule type="expression" dxfId="699" priority="10">
      <formula>AND(AA$9&gt;=14/24,AA$9&lt;20/24)</formula>
    </cfRule>
    <cfRule type="expression" dxfId="698" priority="11">
      <formula>AND(AA$9&gt;=8/24,AA$9&lt;14/24)</formula>
    </cfRule>
    <cfRule type="expression" dxfId="697" priority="12">
      <formula>AA$9&lt;8/24</formula>
    </cfRule>
    <cfRule type="expression" dxfId="696" priority="9">
      <formula>AA$9&gt;=20/24</formula>
    </cfRule>
  </conditionalFormatting>
  <conditionalFormatting sqref="AS16:AS21">
    <cfRule type="expression" dxfId="695" priority="17">
      <formula>BE$9&gt;=20/24</formula>
    </cfRule>
    <cfRule type="expression" dxfId="694" priority="19">
      <formula>AND(BE$9&gt;=8/24,BE$9&lt;14/24)</formula>
    </cfRule>
    <cfRule type="expression" dxfId="693" priority="20">
      <formula>BE$9&lt;8/24</formula>
    </cfRule>
    <cfRule type="expression" dxfId="692" priority="18">
      <formula>AND(BE$9&gt;=14/24,BE$9&lt;20/24)</formula>
    </cfRule>
  </conditionalFormatting>
  <conditionalFormatting sqref="AT15 AX15">
    <cfRule type="expression" dxfId="691" priority="24">
      <formula>AC$9&lt;8/24</formula>
    </cfRule>
    <cfRule type="expression" dxfId="690" priority="23">
      <formula>AND(AC$9&gt;=8/24,AC$9&lt;14/24)</formula>
    </cfRule>
    <cfRule type="expression" dxfId="689" priority="22">
      <formula>AND(AC$9&gt;=14/24,AC$9&lt;20/24)</formula>
    </cfRule>
    <cfRule type="expression" dxfId="688" priority="21">
      <formula>AC$9&gt;=20/24</formula>
    </cfRule>
  </conditionalFormatting>
  <conditionalFormatting sqref="AT16:AT21">
    <cfRule type="expression" dxfId="687" priority="28">
      <formula>BG$9&lt;8/24</formula>
    </cfRule>
    <cfRule type="expression" dxfId="686" priority="27">
      <formula>AND(BG$9&gt;=8/24,BG$9&lt;14/24)</formula>
    </cfRule>
    <cfRule type="expression" dxfId="685" priority="25">
      <formula>BG$9&gt;=20/24</formula>
    </cfRule>
    <cfRule type="expression" dxfId="684" priority="26">
      <formula>AND(BG$9&gt;=14/24,BG$9&lt;20/24)</formula>
    </cfRule>
  </conditionalFormatting>
  <conditionalFormatting sqref="AU15:AV15">
    <cfRule type="expression" dxfId="683" priority="31">
      <formula>AND(AE$9&gt;=8/24,AE$9&lt;14/24)</formula>
    </cfRule>
    <cfRule type="expression" dxfId="682" priority="29">
      <formula>AE$9&gt;=20/24</formula>
    </cfRule>
    <cfRule type="expression" dxfId="681" priority="32">
      <formula>AE$9&lt;8/24</formula>
    </cfRule>
    <cfRule type="expression" dxfId="680" priority="30">
      <formula>AND(AE$9&gt;=14/24,AE$9&lt;20/24)</formula>
    </cfRule>
  </conditionalFormatting>
  <conditionalFormatting sqref="AU16:AX21">
    <cfRule type="expression" dxfId="679" priority="34">
      <formula>AND(BI$9&gt;=14/24,BI$9&lt;20/24)</formula>
    </cfRule>
    <cfRule type="expression" dxfId="678" priority="35">
      <formula>AND(BI$9&gt;=8/24,BI$9&lt;14/24)</formula>
    </cfRule>
    <cfRule type="expression" dxfId="677" priority="36">
      <formula>BI$9&lt;8/24</formula>
    </cfRule>
    <cfRule type="expression" dxfId="676" priority="33">
      <formula>BI$9&gt;=20/24</formula>
    </cfRule>
  </conditionalFormatting>
  <conditionalFormatting sqref="AW15">
    <cfRule type="expression" dxfId="675" priority="8">
      <formula>B$9&lt;8/24</formula>
    </cfRule>
    <cfRule type="expression" dxfId="674" priority="7">
      <formula>AND(B$9&gt;=8/24,B$9&lt;14/24)</formula>
    </cfRule>
    <cfRule type="expression" dxfId="673" priority="6">
      <formula>AND(B$9&gt;=14/24,B$9&lt;20/24)</formula>
    </cfRule>
    <cfRule type="expression" dxfId="672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9B0B-4D8F-40CB-9190-1F9D07B48CB4}">
  <dimension ref="A1:CJ294"/>
  <sheetViews>
    <sheetView zoomScale="106" workbookViewId="0">
      <pane xSplit="1" ySplit="10" topLeftCell="B115" activePane="bottomRight" state="frozen"/>
      <selection activeCell="Z63" sqref="Z63"/>
      <selection pane="topRight" activeCell="Z63" sqref="Z63"/>
      <selection pane="bottomLeft" activeCell="Z63" sqref="Z63"/>
      <selection pane="bottomRight" activeCell="B132" sqref="B132:R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2080/10/28</v>
      </c>
      <c r="C4" s="272"/>
      <c r="D4" s="272"/>
      <c r="E4" s="273" t="str">
        <f ca="1">"2080/"&amp;"10/"&amp;INT(MID(CELL("filename",G6),FIND("]",CELL("filename",G6))+1,200))</f>
        <v>2080/10/28</v>
      </c>
      <c r="F4" s="273"/>
      <c r="G4" s="273"/>
      <c r="H4" s="273" t="str">
        <f ca="1">TEXT(E4,"dddd")</f>
        <v>Monday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581.54999999999995</v>
      </c>
      <c r="C5" s="30">
        <f t="shared" ref="C5:AE5" si="0">D92</f>
        <v>579.18000000000006</v>
      </c>
      <c r="D5" s="30">
        <f t="shared" si="0"/>
        <v>600.16999999999996</v>
      </c>
      <c r="E5" s="30">
        <f t="shared" si="0"/>
        <v>593.20000000000005</v>
      </c>
      <c r="F5" s="30">
        <f t="shared" si="0"/>
        <v>610.5</v>
      </c>
      <c r="G5" s="30">
        <f t="shared" si="0"/>
        <v>632.79999999999995</v>
      </c>
      <c r="H5" s="30">
        <f t="shared" si="0"/>
        <v>650.79999999999995</v>
      </c>
      <c r="I5" s="30">
        <f t="shared" si="0"/>
        <v>663.1</v>
      </c>
      <c r="J5" s="30">
        <f t="shared" si="0"/>
        <v>433.1</v>
      </c>
      <c r="K5" s="30">
        <f t="shared" si="0"/>
        <v>121.1</v>
      </c>
      <c r="L5" s="30">
        <f t="shared" si="0"/>
        <v>120.8</v>
      </c>
      <c r="M5" s="30">
        <f t="shared" si="0"/>
        <v>190.5</v>
      </c>
      <c r="N5" s="30">
        <f t="shared" si="0"/>
        <v>467</v>
      </c>
      <c r="O5" s="30">
        <f t="shared" si="0"/>
        <v>532.20000000000005</v>
      </c>
      <c r="P5" s="30">
        <f t="shared" si="0"/>
        <v>722.5</v>
      </c>
      <c r="Q5" s="30">
        <f t="shared" si="0"/>
        <v>762</v>
      </c>
      <c r="R5" s="30">
        <f t="shared" si="0"/>
        <v>767.00000000000011</v>
      </c>
      <c r="S5" s="30">
        <f t="shared" si="0"/>
        <v>804.30000000000007</v>
      </c>
      <c r="T5" s="30">
        <f t="shared" si="0"/>
        <v>820.4</v>
      </c>
      <c r="U5" s="30">
        <f t="shared" si="0"/>
        <v>780.4</v>
      </c>
      <c r="V5" s="30">
        <f t="shared" si="0"/>
        <v>739.3</v>
      </c>
      <c r="W5" s="30">
        <f t="shared" si="0"/>
        <v>680.30000000000007</v>
      </c>
      <c r="X5" s="30">
        <f t="shared" si="0"/>
        <v>679.7</v>
      </c>
      <c r="Y5" s="30">
        <f t="shared" si="0"/>
        <v>420.5</v>
      </c>
      <c r="Z5" s="30">
        <f t="shared" si="0"/>
        <v>345.79999999999995</v>
      </c>
      <c r="AA5" s="30">
        <f t="shared" si="0"/>
        <v>355.3</v>
      </c>
      <c r="AB5" s="30">
        <f t="shared" si="0"/>
        <v>509.3</v>
      </c>
      <c r="AC5" s="30">
        <f t="shared" si="0"/>
        <v>723.3</v>
      </c>
      <c r="AD5" s="30">
        <f t="shared" si="0"/>
        <v>639.6</v>
      </c>
      <c r="AE5" s="30">
        <f t="shared" si="0"/>
        <v>681</v>
      </c>
      <c r="AF5" s="30">
        <f>B92</f>
        <v>597.1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Load=1181</v>
      </c>
      <c r="B7" s="35">
        <f>B100</f>
        <v>1211.8900000000001</v>
      </c>
      <c r="C7" s="35">
        <f t="shared" ref="C7:AF7" si="1">C100</f>
        <v>1196.3400000000001</v>
      </c>
      <c r="D7" s="35">
        <f t="shared" si="1"/>
        <v>1193.9700000000003</v>
      </c>
      <c r="E7" s="35">
        <f t="shared" si="1"/>
        <v>1180.96</v>
      </c>
      <c r="F7" s="35">
        <f t="shared" si="1"/>
        <v>1199.79</v>
      </c>
      <c r="G7" s="35">
        <f t="shared" si="1"/>
        <v>1205.69</v>
      </c>
      <c r="H7" s="35">
        <f t="shared" si="1"/>
        <v>1262.29</v>
      </c>
      <c r="I7" s="35">
        <f t="shared" si="1"/>
        <v>1368.49</v>
      </c>
      <c r="J7" s="35">
        <f t="shared" si="1"/>
        <v>1522.99</v>
      </c>
      <c r="K7" s="35">
        <f t="shared" si="1"/>
        <v>1558.99</v>
      </c>
      <c r="L7" s="35">
        <f t="shared" si="1"/>
        <v>1666.4899999999998</v>
      </c>
      <c r="M7" s="35">
        <f t="shared" si="1"/>
        <v>1689.99</v>
      </c>
      <c r="N7" s="35">
        <f t="shared" si="1"/>
        <v>1538.19</v>
      </c>
      <c r="O7" s="35">
        <f t="shared" si="1"/>
        <v>1572.69</v>
      </c>
      <c r="P7" s="35">
        <f t="shared" si="1"/>
        <v>1638.0900000000001</v>
      </c>
      <c r="Q7" s="35">
        <f t="shared" si="1"/>
        <v>1545.99</v>
      </c>
      <c r="R7" s="35">
        <f t="shared" si="1"/>
        <v>1462.99</v>
      </c>
      <c r="S7" s="35">
        <f t="shared" si="1"/>
        <v>1514.19</v>
      </c>
      <c r="T7" s="35">
        <f t="shared" si="1"/>
        <v>1528.9900000000002</v>
      </c>
      <c r="U7" s="35">
        <f t="shared" si="1"/>
        <v>1484.8899999999999</v>
      </c>
      <c r="V7" s="35">
        <f t="shared" si="1"/>
        <v>1543.79</v>
      </c>
      <c r="W7" s="35">
        <f t="shared" si="1"/>
        <v>1551.8899999999999</v>
      </c>
      <c r="X7" s="35">
        <f t="shared" si="1"/>
        <v>1642.39</v>
      </c>
      <c r="Y7" s="35">
        <f t="shared" si="1"/>
        <v>1691.79</v>
      </c>
      <c r="Z7" s="35">
        <f t="shared" si="1"/>
        <v>1805.5900000000001</v>
      </c>
      <c r="AA7" s="35">
        <f t="shared" si="1"/>
        <v>1693.99</v>
      </c>
      <c r="AB7" s="35">
        <f t="shared" si="1"/>
        <v>1624.69</v>
      </c>
      <c r="AC7" s="35">
        <f t="shared" si="1"/>
        <v>1581.9900000000002</v>
      </c>
      <c r="AD7" s="35">
        <f t="shared" si="1"/>
        <v>1490.09</v>
      </c>
      <c r="AE7" s="35">
        <f t="shared" si="1"/>
        <v>1326.39</v>
      </c>
      <c r="AF7" s="35">
        <f t="shared" si="1"/>
        <v>1280.3900000000001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1689.99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1689.99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25.4</v>
      </c>
      <c r="C11" s="45">
        <v>25.4</v>
      </c>
      <c r="D11" s="45">
        <v>25.4</v>
      </c>
      <c r="E11" s="45">
        <v>25.4</v>
      </c>
      <c r="F11" s="45">
        <v>25.4</v>
      </c>
      <c r="G11" s="45">
        <v>25.4</v>
      </c>
      <c r="H11" s="45">
        <v>25.4</v>
      </c>
      <c r="I11" s="45">
        <v>25.4</v>
      </c>
      <c r="J11" s="45">
        <v>25.4</v>
      </c>
      <c r="K11" s="45">
        <v>25.4</v>
      </c>
      <c r="L11" s="45">
        <v>25.4</v>
      </c>
      <c r="M11" s="45">
        <v>25.4</v>
      </c>
      <c r="N11" s="45">
        <v>25.4</v>
      </c>
      <c r="O11" s="45">
        <v>25.4</v>
      </c>
      <c r="P11" s="45">
        <v>25.4</v>
      </c>
      <c r="Q11" s="45">
        <v>25.4</v>
      </c>
      <c r="R11" s="45">
        <v>25.4</v>
      </c>
      <c r="S11" s="45">
        <v>25.4</v>
      </c>
      <c r="T11" s="45">
        <v>25.4</v>
      </c>
      <c r="U11" s="45">
        <v>25.4</v>
      </c>
      <c r="V11" s="45">
        <v>25.4</v>
      </c>
      <c r="W11" s="45">
        <v>25.4</v>
      </c>
      <c r="X11" s="45">
        <v>25.4</v>
      </c>
      <c r="Y11" s="45">
        <v>25.4</v>
      </c>
      <c r="Z11" s="45">
        <v>25.4</v>
      </c>
      <c r="AA11" s="45">
        <v>25.4</v>
      </c>
      <c r="AB11" s="45">
        <v>25.4</v>
      </c>
      <c r="AC11" s="45">
        <v>25.4</v>
      </c>
      <c r="AD11" s="45">
        <v>25.4</v>
      </c>
      <c r="AE11" s="45">
        <v>25.4</v>
      </c>
      <c r="AF11" s="45">
        <v>25.4</v>
      </c>
      <c r="AG11" s="46">
        <v>86</v>
      </c>
      <c r="AH11" s="47">
        <f t="shared" ref="AH11:AH16" si="2">MAX(B11:AF11)</f>
        <v>25.4</v>
      </c>
      <c r="AI11" s="48">
        <f t="shared" ref="AI11:AI16" si="3">MIN(B11:AF11)</f>
        <v>25.4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28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9.9</v>
      </c>
      <c r="C13" s="45">
        <v>9.9</v>
      </c>
      <c r="D13" s="45">
        <v>9.9</v>
      </c>
      <c r="E13" s="45">
        <v>9.9</v>
      </c>
      <c r="F13" s="45">
        <v>9.9</v>
      </c>
      <c r="G13" s="45">
        <v>9.9</v>
      </c>
      <c r="H13" s="45">
        <v>9.9</v>
      </c>
      <c r="I13" s="45">
        <v>9.9</v>
      </c>
      <c r="J13" s="45">
        <v>9.9</v>
      </c>
      <c r="K13" s="45">
        <v>9.9</v>
      </c>
      <c r="L13" s="45">
        <v>9.9</v>
      </c>
      <c r="M13" s="45">
        <v>9.9</v>
      </c>
      <c r="N13" s="45">
        <v>9.9</v>
      </c>
      <c r="O13" s="45">
        <v>9.9</v>
      </c>
      <c r="P13" s="45">
        <v>9.9</v>
      </c>
      <c r="Q13" s="45">
        <v>9.9</v>
      </c>
      <c r="R13" s="45">
        <v>9.9</v>
      </c>
      <c r="S13" s="45">
        <v>9.9</v>
      </c>
      <c r="T13" s="45">
        <v>9.9</v>
      </c>
      <c r="U13" s="45">
        <v>9.9</v>
      </c>
      <c r="V13" s="45">
        <v>9.9</v>
      </c>
      <c r="W13" s="45">
        <v>9.9</v>
      </c>
      <c r="X13" s="45">
        <v>9.9</v>
      </c>
      <c r="Y13" s="45">
        <v>9.9</v>
      </c>
      <c r="Z13" s="45">
        <v>9.9</v>
      </c>
      <c r="AA13" s="45">
        <v>9.9</v>
      </c>
      <c r="AB13" s="45">
        <v>9.9</v>
      </c>
      <c r="AC13" s="45">
        <v>9.9</v>
      </c>
      <c r="AD13" s="45">
        <v>9.9</v>
      </c>
      <c r="AE13" s="45">
        <v>9.9</v>
      </c>
      <c r="AF13" s="45">
        <v>9.9</v>
      </c>
      <c r="AG13" s="49">
        <v>54</v>
      </c>
      <c r="AH13" s="47">
        <f t="shared" si="2"/>
        <v>9.9</v>
      </c>
      <c r="AI13" s="48">
        <f t="shared" si="3"/>
        <v>9.9</v>
      </c>
      <c r="AK13" s="50"/>
      <c r="AL13" s="157" t="str">
        <f ca="1">"Daily Load Curve(Excluding of Export) of Nepal ("&amp;A4&amp;" "&amp;B4&amp;")"</f>
        <v>Daily Load Curve(Excluding of Export) of Nepal (Nepali Date: 2080/10/28)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13.5</v>
      </c>
      <c r="C14" s="45">
        <v>13.5</v>
      </c>
      <c r="D14" s="45">
        <v>13.5</v>
      </c>
      <c r="E14" s="45">
        <v>13.5</v>
      </c>
      <c r="F14" s="45">
        <v>13.5</v>
      </c>
      <c r="G14" s="45">
        <v>13.5</v>
      </c>
      <c r="H14" s="45">
        <v>13.5</v>
      </c>
      <c r="I14" s="45">
        <v>13.5</v>
      </c>
      <c r="J14" s="45">
        <v>13.5</v>
      </c>
      <c r="K14" s="45">
        <v>13.5</v>
      </c>
      <c r="L14" s="45">
        <v>13.5</v>
      </c>
      <c r="M14" s="45">
        <v>13.5</v>
      </c>
      <c r="N14" s="45">
        <v>13.5</v>
      </c>
      <c r="O14" s="45">
        <v>13.5</v>
      </c>
      <c r="P14" s="45">
        <v>13.5</v>
      </c>
      <c r="Q14" s="45">
        <v>13.5</v>
      </c>
      <c r="R14" s="45">
        <v>13.5</v>
      </c>
      <c r="S14" s="45">
        <v>13.5</v>
      </c>
      <c r="T14" s="45">
        <v>13.5</v>
      </c>
      <c r="U14" s="45">
        <v>13.5</v>
      </c>
      <c r="V14" s="45">
        <v>13.5</v>
      </c>
      <c r="W14" s="45">
        <v>13.5</v>
      </c>
      <c r="X14" s="45">
        <v>13.5</v>
      </c>
      <c r="Y14" s="45">
        <v>13.5</v>
      </c>
      <c r="Z14" s="45">
        <v>13.5</v>
      </c>
      <c r="AA14" s="45">
        <v>13.5</v>
      </c>
      <c r="AB14" s="45">
        <v>13.5</v>
      </c>
      <c r="AC14" s="45">
        <v>13.5</v>
      </c>
      <c r="AD14" s="45">
        <v>13.5</v>
      </c>
      <c r="AE14" s="45">
        <v>13.5</v>
      </c>
      <c r="AF14" s="45">
        <v>13.5</v>
      </c>
      <c r="AG14" s="46">
        <v>52.4</v>
      </c>
      <c r="AH14" s="47">
        <f t="shared" si="2"/>
        <v>13.5</v>
      </c>
      <c r="AI14" s="48">
        <f t="shared" si="3"/>
        <v>13.5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</v>
      </c>
      <c r="C15" s="45">
        <v>25</v>
      </c>
      <c r="D15" s="45">
        <v>25</v>
      </c>
      <c r="E15" s="45">
        <v>25</v>
      </c>
      <c r="F15" s="45">
        <v>25</v>
      </c>
      <c r="G15" s="45">
        <v>25</v>
      </c>
      <c r="H15" s="45">
        <v>25</v>
      </c>
      <c r="I15" s="45">
        <v>25</v>
      </c>
      <c r="J15" s="45">
        <v>25</v>
      </c>
      <c r="K15" s="45">
        <v>25</v>
      </c>
      <c r="L15" s="45">
        <v>25</v>
      </c>
      <c r="M15" s="45">
        <v>25</v>
      </c>
      <c r="N15" s="45">
        <v>25</v>
      </c>
      <c r="O15" s="45">
        <v>25</v>
      </c>
      <c r="P15" s="45">
        <v>25</v>
      </c>
      <c r="Q15" s="45">
        <v>25</v>
      </c>
      <c r="R15" s="45">
        <v>25</v>
      </c>
      <c r="S15" s="45">
        <v>25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45">
        <v>25</v>
      </c>
      <c r="Z15" s="51">
        <v>25</v>
      </c>
      <c r="AA15" s="51">
        <v>25</v>
      </c>
      <c r="AB15" s="51">
        <v>25</v>
      </c>
      <c r="AC15" s="51">
        <v>25</v>
      </c>
      <c r="AD15" s="51">
        <v>25</v>
      </c>
      <c r="AE15" s="51">
        <v>25</v>
      </c>
      <c r="AF15" s="51">
        <v>25</v>
      </c>
      <c r="AG15" s="49">
        <v>50</v>
      </c>
      <c r="AH15" s="47">
        <f t="shared" si="2"/>
        <v>25</v>
      </c>
      <c r="AI15" s="48">
        <f t="shared" si="3"/>
        <v>25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16.899999999999999</v>
      </c>
      <c r="C16" s="45">
        <v>16.899999999999999</v>
      </c>
      <c r="D16" s="45">
        <v>16.899999999999999</v>
      </c>
      <c r="E16" s="45">
        <v>16.899999999999999</v>
      </c>
      <c r="F16" s="45">
        <v>16.899999999999999</v>
      </c>
      <c r="G16" s="45">
        <v>16.899999999999999</v>
      </c>
      <c r="H16" s="45">
        <v>16.899999999999999</v>
      </c>
      <c r="I16" s="45">
        <v>16.899999999999999</v>
      </c>
      <c r="J16" s="45">
        <v>16.899999999999999</v>
      </c>
      <c r="K16" s="45">
        <v>16.899999999999999</v>
      </c>
      <c r="L16" s="45">
        <v>16.899999999999999</v>
      </c>
      <c r="M16" s="45">
        <v>16.899999999999999</v>
      </c>
      <c r="N16" s="45">
        <v>16.899999999999999</v>
      </c>
      <c r="O16" s="45">
        <v>16.899999999999999</v>
      </c>
      <c r="P16" s="45">
        <v>16.899999999999999</v>
      </c>
      <c r="Q16" s="45">
        <v>16.899999999999999</v>
      </c>
      <c r="R16" s="45">
        <v>16.899999999999999</v>
      </c>
      <c r="S16" s="45">
        <v>16.899999999999999</v>
      </c>
      <c r="T16" s="45">
        <v>16.899999999999999</v>
      </c>
      <c r="U16" s="45">
        <v>16.899999999999999</v>
      </c>
      <c r="V16" s="45">
        <v>16.899999999999999</v>
      </c>
      <c r="W16" s="45">
        <v>16.899999999999999</v>
      </c>
      <c r="X16" s="45">
        <v>16.899999999999999</v>
      </c>
      <c r="Y16" s="45">
        <v>16.899999999999999</v>
      </c>
      <c r="Z16" s="45">
        <v>16.899999999999999</v>
      </c>
      <c r="AA16" s="45">
        <v>16.899999999999999</v>
      </c>
      <c r="AB16" s="45">
        <v>16.899999999999999</v>
      </c>
      <c r="AC16" s="45">
        <v>16.899999999999999</v>
      </c>
      <c r="AD16" s="45">
        <v>16.899999999999999</v>
      </c>
      <c r="AE16" s="45">
        <v>16.899999999999999</v>
      </c>
      <c r="AF16" s="45">
        <v>16.899999999999999</v>
      </c>
      <c r="AG16" s="49">
        <v>45</v>
      </c>
      <c r="AH16" s="47">
        <f t="shared" si="2"/>
        <v>16.899999999999999</v>
      </c>
      <c r="AI16" s="48">
        <f t="shared" si="3"/>
        <v>16.899999999999999</v>
      </c>
      <c r="AK16" s="50"/>
      <c r="AL16" s="160" t="s">
        <v>7</v>
      </c>
      <c r="AM16" s="227">
        <f>B58</f>
        <v>466.15000000000003</v>
      </c>
      <c r="AN16" s="227">
        <f t="shared" ref="AN16:AR16" si="4">C58</f>
        <v>466.15000000000003</v>
      </c>
      <c r="AO16" s="227">
        <f t="shared" si="4"/>
        <v>466.15000000000003</v>
      </c>
      <c r="AP16" s="227">
        <f t="shared" si="4"/>
        <v>466.15000000000003</v>
      </c>
      <c r="AQ16" s="227">
        <f t="shared" si="4"/>
        <v>466.15000000000003</v>
      </c>
      <c r="AR16" s="227">
        <f t="shared" si="4"/>
        <v>466.15000000000003</v>
      </c>
      <c r="AS16" s="227">
        <f>I58</f>
        <v>466.15000000000003</v>
      </c>
      <c r="AT16" s="227">
        <f>K58</f>
        <v>466.15000000000003</v>
      </c>
      <c r="AU16" s="227">
        <f t="shared" ref="AU16:AX16" si="5">M58</f>
        <v>466.15000000000003</v>
      </c>
      <c r="AV16" s="227">
        <f t="shared" si="5"/>
        <v>466.15000000000003</v>
      </c>
      <c r="AW16" s="227">
        <f t="shared" si="5"/>
        <v>466.15000000000003</v>
      </c>
      <c r="AX16" s="227">
        <f t="shared" si="5"/>
        <v>466.15000000000003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38.200000000000003</v>
      </c>
      <c r="AN17" s="227">
        <f t="shared" ref="AN17:AR17" si="6">C62</f>
        <v>38.200000000000003</v>
      </c>
      <c r="AO17" s="227">
        <f t="shared" si="6"/>
        <v>38.200000000000003</v>
      </c>
      <c r="AP17" s="227">
        <f t="shared" si="6"/>
        <v>38.200000000000003</v>
      </c>
      <c r="AQ17" s="227">
        <f t="shared" si="6"/>
        <v>38.200000000000003</v>
      </c>
      <c r="AR17" s="227">
        <f t="shared" si="6"/>
        <v>38.200000000000003</v>
      </c>
      <c r="AS17" s="227">
        <f>I62</f>
        <v>53.2</v>
      </c>
      <c r="AT17" s="227">
        <f>K62</f>
        <v>218.2</v>
      </c>
      <c r="AU17" s="227">
        <f t="shared" ref="AU17:AX17" si="7">M62</f>
        <v>438.2</v>
      </c>
      <c r="AV17" s="227">
        <f t="shared" si="7"/>
        <v>268.2</v>
      </c>
      <c r="AW17" s="227">
        <f t="shared" si="7"/>
        <v>138.19999999999999</v>
      </c>
      <c r="AX17" s="227">
        <f t="shared" si="7"/>
        <v>148.19999999999999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6.5</v>
      </c>
      <c r="C18" s="45">
        <v>6.5</v>
      </c>
      <c r="D18" s="45">
        <v>6.5</v>
      </c>
      <c r="E18" s="45">
        <v>6.5</v>
      </c>
      <c r="F18" s="45">
        <v>6.5</v>
      </c>
      <c r="G18" s="45">
        <v>6.5</v>
      </c>
      <c r="H18" s="45">
        <v>6.5</v>
      </c>
      <c r="I18" s="45">
        <v>6.5</v>
      </c>
      <c r="J18" s="45">
        <v>6.5</v>
      </c>
      <c r="K18" s="45">
        <v>6.5</v>
      </c>
      <c r="L18" s="45">
        <v>6.5</v>
      </c>
      <c r="M18" s="45">
        <v>6.5</v>
      </c>
      <c r="N18" s="45">
        <v>6.5</v>
      </c>
      <c r="O18" s="45">
        <v>6.5</v>
      </c>
      <c r="P18" s="45">
        <v>6.5</v>
      </c>
      <c r="Q18" s="45">
        <v>6.5</v>
      </c>
      <c r="R18" s="45">
        <v>6.5</v>
      </c>
      <c r="S18" s="45">
        <v>6.5</v>
      </c>
      <c r="T18" s="45">
        <v>6.5</v>
      </c>
      <c r="U18" s="45">
        <v>6.5</v>
      </c>
      <c r="V18" s="45">
        <v>6.5</v>
      </c>
      <c r="W18" s="45">
        <v>6.5</v>
      </c>
      <c r="X18" s="45">
        <v>6.5</v>
      </c>
      <c r="Y18" s="45">
        <v>6.5</v>
      </c>
      <c r="Z18" s="45">
        <v>6.5</v>
      </c>
      <c r="AA18" s="45">
        <v>6.5</v>
      </c>
      <c r="AB18" s="45">
        <v>6.5</v>
      </c>
      <c r="AC18" s="45">
        <v>6.5</v>
      </c>
      <c r="AD18" s="45">
        <v>6.5</v>
      </c>
      <c r="AE18" s="45">
        <v>6.5</v>
      </c>
      <c r="AF18" s="45">
        <v>6.5</v>
      </c>
      <c r="AG18" s="49">
        <v>42</v>
      </c>
      <c r="AH18" s="47">
        <f t="shared" ref="AH18:AH81" si="8">MAX(B18:AF18)</f>
        <v>6.5</v>
      </c>
      <c r="AI18" s="48">
        <f t="shared" ref="AI18:AI81" si="9">MIN(B18:AF18)</f>
        <v>6.5</v>
      </c>
      <c r="AK18" s="50"/>
      <c r="AL18" s="160" t="s">
        <v>593</v>
      </c>
      <c r="AM18" s="227">
        <f>B76</f>
        <v>110.44000000000001</v>
      </c>
      <c r="AN18" s="227">
        <f t="shared" ref="AN18:AR18" si="10">C76</f>
        <v>110.44000000000001</v>
      </c>
      <c r="AO18" s="227">
        <f t="shared" si="10"/>
        <v>110.44000000000001</v>
      </c>
      <c r="AP18" s="227">
        <f t="shared" si="10"/>
        <v>76.440000000000012</v>
      </c>
      <c r="AQ18" s="227">
        <f t="shared" si="10"/>
        <v>102.24000000000001</v>
      </c>
      <c r="AR18" s="227">
        <f t="shared" si="10"/>
        <v>90.84</v>
      </c>
      <c r="AS18" s="227">
        <f>I76</f>
        <v>198.34</v>
      </c>
      <c r="AT18" s="227">
        <f>K76</f>
        <v>291.53999999999996</v>
      </c>
      <c r="AU18" s="227">
        <f t="shared" ref="AU18:AX18" si="11">M76</f>
        <v>364.84</v>
      </c>
      <c r="AV18" s="227">
        <f t="shared" si="11"/>
        <v>313.33999999999997</v>
      </c>
      <c r="AW18" s="227">
        <f t="shared" si="11"/>
        <v>221.33999999999997</v>
      </c>
      <c r="AX18" s="227">
        <f t="shared" si="11"/>
        <v>241.54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11.8</v>
      </c>
      <c r="N19" s="45">
        <v>11.8</v>
      </c>
      <c r="O19" s="45">
        <v>11.8</v>
      </c>
      <c r="P19" s="45">
        <v>11.8</v>
      </c>
      <c r="Q19" s="45">
        <v>11.8</v>
      </c>
      <c r="R19" s="45">
        <v>11.8</v>
      </c>
      <c r="S19" s="45">
        <v>11.8</v>
      </c>
      <c r="T19" s="45">
        <v>11.8</v>
      </c>
      <c r="U19" s="45">
        <v>11.8</v>
      </c>
      <c r="V19" s="45">
        <v>11.8</v>
      </c>
      <c r="W19" s="45">
        <v>11.8</v>
      </c>
      <c r="X19" s="45">
        <v>11.8</v>
      </c>
      <c r="Y19" s="45">
        <v>11.8</v>
      </c>
      <c r="Z19" s="45">
        <v>11.8</v>
      </c>
      <c r="AA19" s="45">
        <v>11.8</v>
      </c>
      <c r="AB19" s="45">
        <v>11.8</v>
      </c>
      <c r="AC19" s="45">
        <v>11.8</v>
      </c>
      <c r="AD19" s="45">
        <v>11.8</v>
      </c>
      <c r="AE19" s="45">
        <v>11.8</v>
      </c>
      <c r="AF19" s="45">
        <v>11.8</v>
      </c>
      <c r="AG19" s="49">
        <v>38.46</v>
      </c>
      <c r="AH19" s="47">
        <f t="shared" si="8"/>
        <v>11.8</v>
      </c>
      <c r="AI19" s="48">
        <f t="shared" si="9"/>
        <v>11.8</v>
      </c>
      <c r="AK19" s="50"/>
      <c r="AL19" s="160" t="s">
        <v>594</v>
      </c>
      <c r="AM19" s="227">
        <f>B92</f>
        <v>597.1</v>
      </c>
      <c r="AN19" s="227">
        <f t="shared" ref="AN19:AR19" si="12">C92</f>
        <v>581.54999999999995</v>
      </c>
      <c r="AO19" s="227">
        <f t="shared" si="12"/>
        <v>579.18000000000006</v>
      </c>
      <c r="AP19" s="227">
        <f t="shared" si="12"/>
        <v>600.16999999999996</v>
      </c>
      <c r="AQ19" s="227">
        <f t="shared" si="12"/>
        <v>593.20000000000005</v>
      </c>
      <c r="AR19" s="227">
        <f t="shared" si="12"/>
        <v>610.5</v>
      </c>
      <c r="AS19" s="227">
        <f>I92</f>
        <v>650.79999999999995</v>
      </c>
      <c r="AT19" s="227">
        <f>K92</f>
        <v>433.1</v>
      </c>
      <c r="AU19" s="227">
        <f t="shared" ref="AU19:AX19" si="13">M92</f>
        <v>120.8</v>
      </c>
      <c r="AV19" s="227">
        <f t="shared" si="13"/>
        <v>190.5</v>
      </c>
      <c r="AW19" s="227">
        <f t="shared" si="13"/>
        <v>467</v>
      </c>
      <c r="AX19" s="227">
        <f t="shared" si="13"/>
        <v>532.20000000000005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150</v>
      </c>
      <c r="AU21" s="227">
        <f t="shared" ref="AU21:AX21" si="17">M98</f>
        <v>300</v>
      </c>
      <c r="AV21" s="227">
        <f t="shared" si="17"/>
        <v>300</v>
      </c>
      <c r="AW21" s="227">
        <f t="shared" si="17"/>
        <v>280</v>
      </c>
      <c r="AX21" s="227">
        <f t="shared" si="17"/>
        <v>250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7.6</v>
      </c>
      <c r="C22" s="45">
        <v>7.6</v>
      </c>
      <c r="D22" s="45">
        <v>7.6</v>
      </c>
      <c r="E22" s="45">
        <v>7.6</v>
      </c>
      <c r="F22" s="45">
        <v>7.6</v>
      </c>
      <c r="G22" s="45">
        <v>7.6</v>
      </c>
      <c r="H22" s="45">
        <v>7.6</v>
      </c>
      <c r="I22" s="45">
        <v>7.6</v>
      </c>
      <c r="J22" s="45">
        <v>7.6</v>
      </c>
      <c r="K22" s="45">
        <v>7.6</v>
      </c>
      <c r="L22" s="45">
        <v>7.6</v>
      </c>
      <c r="M22" s="45">
        <v>7.6</v>
      </c>
      <c r="N22" s="45">
        <v>7.6</v>
      </c>
      <c r="O22" s="45">
        <v>7.6</v>
      </c>
      <c r="P22" s="45">
        <v>7.6</v>
      </c>
      <c r="Q22" s="45">
        <v>7.6</v>
      </c>
      <c r="R22" s="45">
        <v>7.6</v>
      </c>
      <c r="S22" s="45">
        <v>7.6</v>
      </c>
      <c r="T22" s="45">
        <v>7.6</v>
      </c>
      <c r="U22" s="45">
        <v>7.6</v>
      </c>
      <c r="V22" s="45">
        <v>7.6</v>
      </c>
      <c r="W22" s="45">
        <v>7.6</v>
      </c>
      <c r="X22" s="45">
        <v>7.6</v>
      </c>
      <c r="Y22" s="45">
        <v>7.6</v>
      </c>
      <c r="Z22" s="45">
        <v>7.6</v>
      </c>
      <c r="AA22" s="45">
        <v>7.6</v>
      </c>
      <c r="AB22" s="45">
        <v>7.6</v>
      </c>
      <c r="AC22" s="45">
        <v>7.6</v>
      </c>
      <c r="AD22" s="45">
        <v>7.6</v>
      </c>
      <c r="AE22" s="45">
        <v>7.6</v>
      </c>
      <c r="AF22" s="45">
        <v>7.6</v>
      </c>
      <c r="AG22" s="52">
        <v>30</v>
      </c>
      <c r="AH22" s="47">
        <f t="shared" si="8"/>
        <v>7.6</v>
      </c>
      <c r="AI22" s="48">
        <f t="shared" si="9"/>
        <v>7.6</v>
      </c>
      <c r="AK22" s="50"/>
      <c r="AL22" s="229" t="s">
        <v>597</v>
      </c>
      <c r="AM22" s="228">
        <f>SUM(AM16:AM21)</f>
        <v>1211.8900000000001</v>
      </c>
      <c r="AN22" s="228">
        <f t="shared" ref="AN22:AX22" si="18">SUM(AN16:AN21)</f>
        <v>1196.3400000000001</v>
      </c>
      <c r="AO22" s="228">
        <f t="shared" si="18"/>
        <v>1193.9700000000003</v>
      </c>
      <c r="AP22" s="228">
        <f t="shared" si="18"/>
        <v>1180.96</v>
      </c>
      <c r="AQ22" s="228">
        <f t="shared" si="18"/>
        <v>1199.79</v>
      </c>
      <c r="AR22" s="228">
        <f t="shared" si="18"/>
        <v>1205.69</v>
      </c>
      <c r="AS22" s="228">
        <f t="shared" si="18"/>
        <v>1368.49</v>
      </c>
      <c r="AT22" s="228">
        <f t="shared" si="18"/>
        <v>1558.99</v>
      </c>
      <c r="AU22" s="228">
        <f t="shared" si="18"/>
        <v>1689.99</v>
      </c>
      <c r="AV22" s="228">
        <f t="shared" si="18"/>
        <v>1538.19</v>
      </c>
      <c r="AW22" s="228">
        <f t="shared" si="18"/>
        <v>1572.69</v>
      </c>
      <c r="AX22" s="228">
        <f t="shared" si="18"/>
        <v>1638.0900000000001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6.3</v>
      </c>
      <c r="C24" s="45">
        <v>6.3</v>
      </c>
      <c r="D24" s="45">
        <v>6.3</v>
      </c>
      <c r="E24" s="45">
        <v>6.3</v>
      </c>
      <c r="F24" s="45">
        <v>6.3</v>
      </c>
      <c r="G24" s="45">
        <v>6.3</v>
      </c>
      <c r="H24" s="45">
        <v>6.3</v>
      </c>
      <c r="I24" s="45">
        <v>6.3</v>
      </c>
      <c r="J24" s="45">
        <v>6.3</v>
      </c>
      <c r="K24" s="45">
        <v>6.3</v>
      </c>
      <c r="L24" s="45">
        <v>6.3</v>
      </c>
      <c r="M24" s="45">
        <v>6.3</v>
      </c>
      <c r="N24" s="45">
        <v>6.3</v>
      </c>
      <c r="O24" s="45">
        <v>6.3</v>
      </c>
      <c r="P24" s="45">
        <v>6.3</v>
      </c>
      <c r="Q24" s="45">
        <v>6.3</v>
      </c>
      <c r="R24" s="45">
        <v>6.3</v>
      </c>
      <c r="S24" s="45">
        <v>6.3</v>
      </c>
      <c r="T24" s="45">
        <v>6.3</v>
      </c>
      <c r="U24" s="45">
        <v>6.3</v>
      </c>
      <c r="V24" s="45">
        <v>6.3</v>
      </c>
      <c r="W24" s="45">
        <v>6.3</v>
      </c>
      <c r="X24" s="45">
        <v>6.3</v>
      </c>
      <c r="Y24" s="45">
        <v>6.3</v>
      </c>
      <c r="Z24" s="45">
        <v>6.3</v>
      </c>
      <c r="AA24" s="45">
        <v>6.3</v>
      </c>
      <c r="AB24" s="45">
        <v>6.3</v>
      </c>
      <c r="AC24" s="45">
        <v>6.3</v>
      </c>
      <c r="AD24" s="45">
        <v>6.3</v>
      </c>
      <c r="AE24" s="45">
        <v>6.3</v>
      </c>
      <c r="AF24" s="45">
        <v>6.3</v>
      </c>
      <c r="AG24" s="49">
        <v>28</v>
      </c>
      <c r="AH24" s="47">
        <f t="shared" si="8"/>
        <v>6.3</v>
      </c>
      <c r="AI24" s="48">
        <f t="shared" si="9"/>
        <v>6.3</v>
      </c>
      <c r="AK24" s="50"/>
      <c r="AL24" s="229" t="s">
        <v>598</v>
      </c>
      <c r="AM24" s="228">
        <f>AM22+AM23</f>
        <v>1211.8900000000001</v>
      </c>
      <c r="AN24" s="228">
        <f t="shared" ref="AN24:AX24" si="21">AN22+AN23</f>
        <v>1196.3400000000001</v>
      </c>
      <c r="AO24" s="228">
        <f t="shared" si="21"/>
        <v>1193.9700000000003</v>
      </c>
      <c r="AP24" s="228">
        <f t="shared" si="21"/>
        <v>1180.96</v>
      </c>
      <c r="AQ24" s="228">
        <f t="shared" si="21"/>
        <v>1199.79</v>
      </c>
      <c r="AR24" s="228">
        <f t="shared" si="21"/>
        <v>1205.69</v>
      </c>
      <c r="AS24" s="228">
        <f t="shared" si="21"/>
        <v>1368.49</v>
      </c>
      <c r="AT24" s="228">
        <f t="shared" si="21"/>
        <v>1558.99</v>
      </c>
      <c r="AU24" s="228">
        <f t="shared" si="21"/>
        <v>1689.99</v>
      </c>
      <c r="AV24" s="228">
        <f t="shared" si="21"/>
        <v>1538.19</v>
      </c>
      <c r="AW24" s="228">
        <f t="shared" si="21"/>
        <v>1572.69</v>
      </c>
      <c r="AX24" s="228">
        <f t="shared" si="21"/>
        <v>1638.0900000000001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9.3000000000000007</v>
      </c>
      <c r="C25" s="45">
        <v>9.3000000000000007</v>
      </c>
      <c r="D25" s="45">
        <v>9.3000000000000007</v>
      </c>
      <c r="E25" s="45">
        <v>9.3000000000000007</v>
      </c>
      <c r="F25" s="45">
        <v>9.3000000000000007</v>
      </c>
      <c r="G25" s="45">
        <v>9.3000000000000007</v>
      </c>
      <c r="H25" s="45">
        <v>9.3000000000000007</v>
      </c>
      <c r="I25" s="45">
        <v>9.3000000000000007</v>
      </c>
      <c r="J25" s="45">
        <v>9.3000000000000007</v>
      </c>
      <c r="K25" s="45">
        <v>9.3000000000000007</v>
      </c>
      <c r="L25" s="45">
        <v>9.3000000000000007</v>
      </c>
      <c r="M25" s="45">
        <v>9.3000000000000007</v>
      </c>
      <c r="N25" s="45">
        <v>9.3000000000000007</v>
      </c>
      <c r="O25" s="45">
        <v>9.3000000000000007</v>
      </c>
      <c r="P25" s="45">
        <v>9.3000000000000007</v>
      </c>
      <c r="Q25" s="45">
        <v>9.3000000000000007</v>
      </c>
      <c r="R25" s="45">
        <v>9.3000000000000007</v>
      </c>
      <c r="S25" s="45">
        <v>9.3000000000000007</v>
      </c>
      <c r="T25" s="45">
        <v>9.3000000000000007</v>
      </c>
      <c r="U25" s="45">
        <v>9.3000000000000007</v>
      </c>
      <c r="V25" s="45">
        <v>9.3000000000000007</v>
      </c>
      <c r="W25" s="45">
        <v>9.3000000000000007</v>
      </c>
      <c r="X25" s="45">
        <v>9.3000000000000007</v>
      </c>
      <c r="Y25" s="45">
        <v>9.3000000000000007</v>
      </c>
      <c r="Z25" s="45">
        <v>9.3000000000000007</v>
      </c>
      <c r="AA25" s="45">
        <v>9.3000000000000007</v>
      </c>
      <c r="AB25" s="45">
        <v>9.3000000000000007</v>
      </c>
      <c r="AC25" s="45">
        <v>9.3000000000000007</v>
      </c>
      <c r="AD25" s="45">
        <v>9.3000000000000007</v>
      </c>
      <c r="AE25" s="45">
        <v>9.3000000000000007</v>
      </c>
      <c r="AF25" s="45">
        <v>9.3000000000000007</v>
      </c>
      <c r="AG25" s="52">
        <v>30</v>
      </c>
      <c r="AH25" s="47">
        <f t="shared" si="8"/>
        <v>9.3000000000000007</v>
      </c>
      <c r="AI25" s="48">
        <f t="shared" si="9"/>
        <v>9.3000000000000007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8.6999999999999993</v>
      </c>
      <c r="C26" s="45">
        <v>8.6999999999999993</v>
      </c>
      <c r="D26" s="45">
        <v>8.6999999999999993</v>
      </c>
      <c r="E26" s="45">
        <v>8.6999999999999993</v>
      </c>
      <c r="F26" s="45">
        <v>8.6999999999999993</v>
      </c>
      <c r="G26" s="45">
        <v>8.6999999999999993</v>
      </c>
      <c r="H26" s="45">
        <v>8.6999999999999993</v>
      </c>
      <c r="I26" s="45">
        <v>8.6999999999999993</v>
      </c>
      <c r="J26" s="45">
        <v>8.6999999999999993</v>
      </c>
      <c r="K26" s="45">
        <v>8.6999999999999993</v>
      </c>
      <c r="L26" s="45">
        <v>8.6999999999999993</v>
      </c>
      <c r="M26" s="45">
        <v>8.6999999999999993</v>
      </c>
      <c r="N26" s="45">
        <v>8.6999999999999993</v>
      </c>
      <c r="O26" s="45">
        <v>8.6999999999999993</v>
      </c>
      <c r="P26" s="45">
        <v>8.6999999999999993</v>
      </c>
      <c r="Q26" s="45">
        <v>8.6999999999999993</v>
      </c>
      <c r="R26" s="45">
        <v>8.6999999999999993</v>
      </c>
      <c r="S26" s="45">
        <v>8.6999999999999993</v>
      </c>
      <c r="T26" s="45">
        <v>8.6999999999999993</v>
      </c>
      <c r="U26" s="45">
        <v>8.6999999999999993</v>
      </c>
      <c r="V26" s="45">
        <v>8.6999999999999993</v>
      </c>
      <c r="W26" s="45">
        <v>8.6999999999999993</v>
      </c>
      <c r="X26" s="45">
        <v>8.6999999999999993</v>
      </c>
      <c r="Y26" s="45">
        <v>8.6999999999999993</v>
      </c>
      <c r="Z26" s="45">
        <v>8.6999999999999993</v>
      </c>
      <c r="AA26" s="45">
        <v>8.6999999999999993</v>
      </c>
      <c r="AB26" s="45">
        <v>8.6999999999999993</v>
      </c>
      <c r="AC26" s="45">
        <v>8.6999999999999993</v>
      </c>
      <c r="AD26" s="45">
        <v>8.6999999999999993</v>
      </c>
      <c r="AE26" s="45">
        <v>8.6999999999999993</v>
      </c>
      <c r="AF26" s="45">
        <v>8.6999999999999993</v>
      </c>
      <c r="AG26" s="49">
        <v>25</v>
      </c>
      <c r="AH26" s="47">
        <f t="shared" si="8"/>
        <v>8.6999999999999993</v>
      </c>
      <c r="AI26" s="48">
        <f t="shared" si="9"/>
        <v>8.6999999999999993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6.4</v>
      </c>
      <c r="C29" s="45">
        <v>6.4</v>
      </c>
      <c r="D29" s="45">
        <v>6.4</v>
      </c>
      <c r="E29" s="45">
        <v>6.4</v>
      </c>
      <c r="F29" s="45">
        <v>6.4</v>
      </c>
      <c r="G29" s="45">
        <v>6.4</v>
      </c>
      <c r="H29" s="45">
        <v>6.4</v>
      </c>
      <c r="I29" s="45">
        <v>6.4</v>
      </c>
      <c r="J29" s="45">
        <v>6.4</v>
      </c>
      <c r="K29" s="45">
        <v>6.4</v>
      </c>
      <c r="L29" s="45">
        <v>6.4</v>
      </c>
      <c r="M29" s="45">
        <v>6.4</v>
      </c>
      <c r="N29" s="45">
        <v>6.4</v>
      </c>
      <c r="O29" s="45">
        <v>6.4</v>
      </c>
      <c r="P29" s="45">
        <v>6.4</v>
      </c>
      <c r="Q29" s="45">
        <v>6.4</v>
      </c>
      <c r="R29" s="45">
        <v>6.4</v>
      </c>
      <c r="S29" s="45">
        <v>6.4</v>
      </c>
      <c r="T29" s="45">
        <v>6.4</v>
      </c>
      <c r="U29" s="45">
        <v>6.4</v>
      </c>
      <c r="V29" s="45">
        <v>6.4</v>
      </c>
      <c r="W29" s="45">
        <v>6.4</v>
      </c>
      <c r="X29" s="45">
        <v>6.4</v>
      </c>
      <c r="Y29" s="45">
        <v>6.4</v>
      </c>
      <c r="Z29" s="45">
        <v>6.4</v>
      </c>
      <c r="AA29" s="45">
        <v>6.4</v>
      </c>
      <c r="AB29" s="45">
        <v>6.4</v>
      </c>
      <c r="AC29" s="45">
        <v>6.4</v>
      </c>
      <c r="AD29" s="45">
        <v>6.4</v>
      </c>
      <c r="AE29" s="45">
        <v>6.4</v>
      </c>
      <c r="AF29" s="45">
        <v>6.4</v>
      </c>
      <c r="AG29" s="49">
        <v>25</v>
      </c>
      <c r="AH29" s="47">
        <f t="shared" si="8"/>
        <v>6.4</v>
      </c>
      <c r="AI29" s="48">
        <f t="shared" si="9"/>
        <v>6.4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6.5</v>
      </c>
      <c r="N30" s="45">
        <v>6.5</v>
      </c>
      <c r="O30" s="45">
        <v>6.5</v>
      </c>
      <c r="P30" s="45">
        <v>6.5</v>
      </c>
      <c r="Q30" s="45">
        <v>6.5</v>
      </c>
      <c r="R30" s="45">
        <v>6.5</v>
      </c>
      <c r="S30" s="45">
        <v>6.5</v>
      </c>
      <c r="T30" s="45">
        <v>6.5</v>
      </c>
      <c r="U30" s="45">
        <v>6.5</v>
      </c>
      <c r="V30" s="45">
        <v>6.5</v>
      </c>
      <c r="W30" s="45">
        <v>6.5</v>
      </c>
      <c r="X30" s="45">
        <v>6.5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8"/>
        <v>6.5</v>
      </c>
      <c r="AI30" s="48">
        <f t="shared" si="9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6.1</v>
      </c>
      <c r="C34" s="45">
        <v>6.1</v>
      </c>
      <c r="D34" s="45">
        <v>6.1</v>
      </c>
      <c r="E34" s="45">
        <v>6.1</v>
      </c>
      <c r="F34" s="45">
        <v>6.1</v>
      </c>
      <c r="G34" s="45">
        <v>6.1</v>
      </c>
      <c r="H34" s="45">
        <v>6.1</v>
      </c>
      <c r="I34" s="45">
        <v>6.1</v>
      </c>
      <c r="J34" s="45">
        <v>6.1</v>
      </c>
      <c r="K34" s="45">
        <v>6.1</v>
      </c>
      <c r="L34" s="45">
        <v>6.1</v>
      </c>
      <c r="M34" s="45">
        <v>6.1</v>
      </c>
      <c r="N34" s="45">
        <v>6.1</v>
      </c>
      <c r="O34" s="45">
        <v>6.1</v>
      </c>
      <c r="P34" s="45">
        <v>6.1</v>
      </c>
      <c r="Q34" s="45">
        <v>6.1</v>
      </c>
      <c r="R34" s="45">
        <v>6.1</v>
      </c>
      <c r="S34" s="45">
        <v>6.1</v>
      </c>
      <c r="T34" s="45">
        <v>6.1</v>
      </c>
      <c r="U34" s="45">
        <v>6.1</v>
      </c>
      <c r="V34" s="45">
        <v>6.1</v>
      </c>
      <c r="W34" s="45">
        <v>6.1</v>
      </c>
      <c r="X34" s="45">
        <v>6.1</v>
      </c>
      <c r="Y34" s="45">
        <v>6.1</v>
      </c>
      <c r="Z34" s="45">
        <v>6.1</v>
      </c>
      <c r="AA34" s="45">
        <v>6.1</v>
      </c>
      <c r="AB34" s="45">
        <v>6.1</v>
      </c>
      <c r="AC34" s="45">
        <v>6.1</v>
      </c>
      <c r="AD34" s="45">
        <v>6.1</v>
      </c>
      <c r="AE34" s="45">
        <v>6.1</v>
      </c>
      <c r="AF34" s="45">
        <v>6.1</v>
      </c>
      <c r="AG34" s="49">
        <v>22</v>
      </c>
      <c r="AH34" s="47">
        <f t="shared" si="8"/>
        <v>6.1</v>
      </c>
      <c r="AI34" s="48">
        <f t="shared" si="9"/>
        <v>6.1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7.5</v>
      </c>
      <c r="C44" s="45">
        <v>7.5</v>
      </c>
      <c r="D44" s="45">
        <v>7.5</v>
      </c>
      <c r="E44" s="45">
        <v>7.5</v>
      </c>
      <c r="F44" s="45">
        <v>7.5</v>
      </c>
      <c r="G44" s="45">
        <v>7.5</v>
      </c>
      <c r="H44" s="45">
        <v>7.5</v>
      </c>
      <c r="I44" s="45">
        <v>7.5</v>
      </c>
      <c r="J44" s="45">
        <v>7.5</v>
      </c>
      <c r="K44" s="45">
        <v>7.5</v>
      </c>
      <c r="L44" s="45">
        <v>7.5</v>
      </c>
      <c r="M44" s="45">
        <v>7.5</v>
      </c>
      <c r="N44" s="45">
        <v>7.5</v>
      </c>
      <c r="O44" s="45">
        <v>7.5</v>
      </c>
      <c r="P44" s="45">
        <v>7.5</v>
      </c>
      <c r="Q44" s="45">
        <v>7.5</v>
      </c>
      <c r="R44" s="45">
        <v>7.5</v>
      </c>
      <c r="S44" s="45">
        <v>7.5</v>
      </c>
      <c r="T44" s="45">
        <v>7.5</v>
      </c>
      <c r="U44" s="45">
        <v>7.5</v>
      </c>
      <c r="V44" s="45">
        <v>7.5</v>
      </c>
      <c r="W44" s="45">
        <v>7.5</v>
      </c>
      <c r="X44" s="45">
        <v>7.5</v>
      </c>
      <c r="Y44" s="45">
        <v>7.5</v>
      </c>
      <c r="Z44" s="45">
        <v>7.5</v>
      </c>
      <c r="AA44" s="45">
        <v>7.5</v>
      </c>
      <c r="AB44" s="45">
        <v>7.5</v>
      </c>
      <c r="AC44" s="45">
        <v>7.5</v>
      </c>
      <c r="AD44" s="45">
        <v>7.5</v>
      </c>
      <c r="AE44" s="45">
        <v>7.5</v>
      </c>
      <c r="AF44" s="45">
        <v>7.5</v>
      </c>
      <c r="AG44" s="49">
        <v>12</v>
      </c>
      <c r="AH44" s="47">
        <f t="shared" si="8"/>
        <v>7.5</v>
      </c>
      <c r="AI44" s="48">
        <f t="shared" si="9"/>
        <v>7.5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18.399999999999999</v>
      </c>
      <c r="C57" s="57">
        <v>18.399999999999999</v>
      </c>
      <c r="D57" s="57">
        <v>18.399999999999999</v>
      </c>
      <c r="E57" s="57">
        <f>6.8+14.7</f>
        <v>21.5</v>
      </c>
      <c r="F57" s="57">
        <f>6.8+14.7</f>
        <v>21.5</v>
      </c>
      <c r="G57" s="57">
        <f>6.4+13.8</f>
        <v>20.200000000000003</v>
      </c>
      <c r="H57" s="57">
        <f>6.2+12.9</f>
        <v>19.100000000000001</v>
      </c>
      <c r="I57" s="57">
        <f>6+12.8</f>
        <v>18.8</v>
      </c>
      <c r="J57" s="57">
        <f>6+13.4</f>
        <v>19.399999999999999</v>
      </c>
      <c r="K57" s="51">
        <f>6+13.1</f>
        <v>19.100000000000001</v>
      </c>
      <c r="L57" s="51">
        <f>5.7+12.4</f>
        <v>18.100000000000001</v>
      </c>
      <c r="M57" s="51">
        <v>18</v>
      </c>
      <c r="N57" s="51">
        <v>18</v>
      </c>
      <c r="O57" s="51">
        <v>18</v>
      </c>
      <c r="P57" s="51">
        <v>18.8</v>
      </c>
      <c r="Q57" s="51">
        <v>18.8</v>
      </c>
      <c r="R57" s="51">
        <v>18.8</v>
      </c>
      <c r="S57" s="51">
        <v>21.6</v>
      </c>
      <c r="T57" s="51">
        <v>21.6</v>
      </c>
      <c r="U57" s="51">
        <v>21.6</v>
      </c>
      <c r="V57" s="51">
        <v>21.6</v>
      </c>
      <c r="W57" s="51">
        <v>21.6</v>
      </c>
      <c r="X57" s="51">
        <v>21.6</v>
      </c>
      <c r="Y57" s="51">
        <v>21.6</v>
      </c>
      <c r="Z57" s="57">
        <v>21.6</v>
      </c>
      <c r="AA57" s="57">
        <v>21.6</v>
      </c>
      <c r="AB57" s="57">
        <v>15.5</v>
      </c>
      <c r="AC57" s="57">
        <v>17.12</v>
      </c>
      <c r="AD57" s="57">
        <v>17.12</v>
      </c>
      <c r="AE57" s="57">
        <v>17.12</v>
      </c>
      <c r="AF57" s="57">
        <v>17.12</v>
      </c>
      <c r="AG57" s="55">
        <v>240</v>
      </c>
      <c r="AH57" s="47">
        <f t="shared" si="8"/>
        <v>21.6</v>
      </c>
      <c r="AI57" s="48">
        <f t="shared" si="9"/>
        <v>15.5</v>
      </c>
      <c r="AK57" s="50"/>
    </row>
    <row r="58" spans="1:88" ht="15.75" thickBot="1" x14ac:dyDescent="0.3">
      <c r="A58" s="59" t="s">
        <v>58</v>
      </c>
      <c r="B58" s="60">
        <f t="shared" ref="B58:C58" si="22">SUM(B11:B56)</f>
        <v>466.15000000000003</v>
      </c>
      <c r="C58" s="60">
        <f t="shared" si="22"/>
        <v>466.15000000000003</v>
      </c>
      <c r="D58" s="60">
        <f t="shared" ref="D58" si="23">SUM(D11:D56)</f>
        <v>466.15000000000003</v>
      </c>
      <c r="E58" s="60">
        <f t="shared" ref="E58:AF58" si="24">SUM(E11:E56)</f>
        <v>466.15000000000003</v>
      </c>
      <c r="F58" s="60">
        <f t="shared" si="24"/>
        <v>466.15000000000003</v>
      </c>
      <c r="G58" s="60">
        <f t="shared" si="24"/>
        <v>466.15000000000003</v>
      </c>
      <c r="H58" s="60">
        <f t="shared" si="24"/>
        <v>466.15000000000003</v>
      </c>
      <c r="I58" s="60">
        <f t="shared" si="24"/>
        <v>466.15000000000003</v>
      </c>
      <c r="J58" s="60">
        <f t="shared" si="24"/>
        <v>466.15000000000003</v>
      </c>
      <c r="K58" s="60">
        <f t="shared" si="24"/>
        <v>466.15000000000003</v>
      </c>
      <c r="L58" s="60">
        <f t="shared" si="24"/>
        <v>466.15000000000003</v>
      </c>
      <c r="M58" s="60">
        <f t="shared" si="24"/>
        <v>466.15000000000003</v>
      </c>
      <c r="N58" s="60">
        <f t="shared" si="24"/>
        <v>466.15000000000003</v>
      </c>
      <c r="O58" s="60">
        <f t="shared" si="24"/>
        <v>466.15000000000003</v>
      </c>
      <c r="P58" s="60">
        <f t="shared" si="24"/>
        <v>466.15000000000003</v>
      </c>
      <c r="Q58" s="60">
        <f t="shared" si="24"/>
        <v>466.15000000000003</v>
      </c>
      <c r="R58" s="60">
        <f t="shared" si="24"/>
        <v>466.15000000000003</v>
      </c>
      <c r="S58" s="60">
        <f t="shared" si="24"/>
        <v>466.15000000000003</v>
      </c>
      <c r="T58" s="60">
        <f t="shared" ref="T58:U58" si="25">SUM(T11:T56)</f>
        <v>466.15000000000003</v>
      </c>
      <c r="U58" s="60">
        <f t="shared" si="25"/>
        <v>466.15000000000003</v>
      </c>
      <c r="V58" s="60">
        <f t="shared" ref="V58:W58" si="26">SUM(V11:V56)</f>
        <v>466.15000000000003</v>
      </c>
      <c r="W58" s="60">
        <f t="shared" si="26"/>
        <v>466.15000000000003</v>
      </c>
      <c r="X58" s="60">
        <f t="shared" ref="X58:Z58" si="27">SUM(X11:X56)</f>
        <v>466.15000000000003</v>
      </c>
      <c r="Y58" s="60">
        <f t="shared" si="27"/>
        <v>466.15000000000003</v>
      </c>
      <c r="Z58" s="60">
        <f t="shared" si="27"/>
        <v>466.15000000000003</v>
      </c>
      <c r="AA58" s="60">
        <f t="shared" ref="AA58" si="28">SUM(AA11:AA56)</f>
        <v>466.15000000000003</v>
      </c>
      <c r="AB58" s="60">
        <f t="shared" si="24"/>
        <v>466.15000000000003</v>
      </c>
      <c r="AC58" s="60">
        <f t="shared" si="24"/>
        <v>466.15000000000003</v>
      </c>
      <c r="AD58" s="60">
        <f t="shared" si="24"/>
        <v>466.15000000000003</v>
      </c>
      <c r="AE58" s="60">
        <f t="shared" si="24"/>
        <v>466.15000000000003</v>
      </c>
      <c r="AF58" s="60">
        <f t="shared" si="24"/>
        <v>466.15000000000003</v>
      </c>
      <c r="AG58" s="61">
        <f>SUM(AG14:AG56)</f>
        <v>1042.4000000000001</v>
      </c>
      <c r="AH58" s="47">
        <f t="shared" si="8"/>
        <v>466.15000000000003</v>
      </c>
      <c r="AI58" s="48">
        <f t="shared" si="9"/>
        <v>466.15000000000003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76</v>
      </c>
      <c r="K59" s="45">
        <v>180</v>
      </c>
      <c r="L59" s="45">
        <v>380</v>
      </c>
      <c r="M59" s="45">
        <v>400</v>
      </c>
      <c r="N59" s="63">
        <v>230</v>
      </c>
      <c r="O59" s="63">
        <v>100</v>
      </c>
      <c r="P59" s="63">
        <v>110</v>
      </c>
      <c r="Q59" s="63">
        <v>80</v>
      </c>
      <c r="R59" s="63">
        <v>40</v>
      </c>
      <c r="S59" s="63">
        <v>70</v>
      </c>
      <c r="T59" s="63">
        <v>66</v>
      </c>
      <c r="U59" s="63">
        <v>0</v>
      </c>
      <c r="V59" s="63">
        <v>0</v>
      </c>
      <c r="W59" s="63">
        <v>0</v>
      </c>
      <c r="X59" s="63">
        <v>50</v>
      </c>
      <c r="Y59" s="63">
        <v>100</v>
      </c>
      <c r="Z59" s="45">
        <v>304</v>
      </c>
      <c r="AA59" s="45">
        <v>300</v>
      </c>
      <c r="AB59" s="45">
        <v>190</v>
      </c>
      <c r="AC59" s="45">
        <v>50</v>
      </c>
      <c r="AD59" s="45">
        <v>0</v>
      </c>
      <c r="AE59" s="45">
        <v>20</v>
      </c>
      <c r="AF59" s="45">
        <v>0</v>
      </c>
      <c r="AG59" s="52">
        <v>456</v>
      </c>
      <c r="AH59" s="47">
        <f t="shared" si="8"/>
        <v>400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11.2</v>
      </c>
      <c r="C61" s="67">
        <v>11.2</v>
      </c>
      <c r="D61" s="67">
        <v>11.2</v>
      </c>
      <c r="E61" s="67">
        <v>11.2</v>
      </c>
      <c r="F61" s="67">
        <v>11.2</v>
      </c>
      <c r="G61" s="67">
        <v>11.2</v>
      </c>
      <c r="H61" s="67">
        <v>11.2</v>
      </c>
      <c r="I61" s="67">
        <v>11.2</v>
      </c>
      <c r="J61" s="67">
        <v>11.2</v>
      </c>
      <c r="K61" s="67">
        <v>11.2</v>
      </c>
      <c r="L61" s="67">
        <v>11.2</v>
      </c>
      <c r="M61" s="67">
        <v>11.2</v>
      </c>
      <c r="N61" s="67">
        <v>11.2</v>
      </c>
      <c r="O61" s="67">
        <v>11.2</v>
      </c>
      <c r="P61" s="67">
        <v>11.2</v>
      </c>
      <c r="Q61" s="67">
        <v>11.2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4.3</v>
      </c>
      <c r="AA61" s="67">
        <v>0</v>
      </c>
      <c r="AB61" s="67">
        <v>0</v>
      </c>
      <c r="AC61" s="67">
        <v>20</v>
      </c>
      <c r="AD61" s="67">
        <v>14</v>
      </c>
      <c r="AE61" s="67">
        <v>14</v>
      </c>
      <c r="AF61" s="67">
        <v>14</v>
      </c>
      <c r="AG61" s="68">
        <v>22.1</v>
      </c>
      <c r="AH61" s="47">
        <f t="shared" si="8"/>
        <v>20</v>
      </c>
      <c r="AI61" s="48">
        <f t="shared" si="9"/>
        <v>0</v>
      </c>
      <c r="AK61" s="50"/>
    </row>
    <row r="62" spans="1:88" ht="15.75" thickBot="1" x14ac:dyDescent="0.3">
      <c r="A62" s="69" t="s">
        <v>62</v>
      </c>
      <c r="B62" s="60">
        <f t="shared" ref="B62:C62" si="29">SUM(B59:B61)</f>
        <v>38.200000000000003</v>
      </c>
      <c r="C62" s="60">
        <f t="shared" si="29"/>
        <v>38.200000000000003</v>
      </c>
      <c r="D62" s="60">
        <f t="shared" ref="D62" si="30">SUM(D59:D61)</f>
        <v>38.200000000000003</v>
      </c>
      <c r="E62" s="60">
        <f t="shared" ref="E62:AG62" si="31">SUM(E59:E61)</f>
        <v>38.200000000000003</v>
      </c>
      <c r="F62" s="60">
        <f t="shared" si="31"/>
        <v>38.200000000000003</v>
      </c>
      <c r="G62" s="60">
        <f t="shared" si="31"/>
        <v>38.200000000000003</v>
      </c>
      <c r="H62" s="60">
        <f t="shared" si="31"/>
        <v>38.200000000000003</v>
      </c>
      <c r="I62" s="60">
        <f t="shared" si="31"/>
        <v>53.2</v>
      </c>
      <c r="J62" s="60">
        <f t="shared" si="31"/>
        <v>114.2</v>
      </c>
      <c r="K62" s="60">
        <f t="shared" si="31"/>
        <v>218.2</v>
      </c>
      <c r="L62" s="60">
        <f t="shared" si="31"/>
        <v>418.2</v>
      </c>
      <c r="M62" s="60">
        <f t="shared" si="31"/>
        <v>438.2</v>
      </c>
      <c r="N62" s="60">
        <f t="shared" si="31"/>
        <v>268.2</v>
      </c>
      <c r="O62" s="60">
        <f t="shared" si="31"/>
        <v>138.19999999999999</v>
      </c>
      <c r="P62" s="60">
        <f t="shared" si="31"/>
        <v>148.19999999999999</v>
      </c>
      <c r="Q62" s="60">
        <f t="shared" si="31"/>
        <v>118.2</v>
      </c>
      <c r="R62" s="60">
        <f t="shared" si="31"/>
        <v>67</v>
      </c>
      <c r="S62" s="60">
        <f t="shared" si="31"/>
        <v>97</v>
      </c>
      <c r="T62" s="60">
        <f t="shared" ref="T62:U62" si="32">SUM(T59:T61)</f>
        <v>93</v>
      </c>
      <c r="U62" s="60">
        <f t="shared" si="32"/>
        <v>27</v>
      </c>
      <c r="V62" s="60">
        <f t="shared" ref="V62:W62" si="33">SUM(V59:V61)</f>
        <v>27</v>
      </c>
      <c r="W62" s="60">
        <f t="shared" si="33"/>
        <v>27</v>
      </c>
      <c r="X62" s="60">
        <f t="shared" ref="X62:Z62" si="34">SUM(X59:X61)</f>
        <v>77</v>
      </c>
      <c r="Y62" s="60">
        <f t="shared" si="34"/>
        <v>127</v>
      </c>
      <c r="Z62" s="60">
        <f t="shared" si="34"/>
        <v>335.3</v>
      </c>
      <c r="AA62" s="60">
        <f t="shared" ref="AA62" si="35">SUM(AA59:AA61)</f>
        <v>327</v>
      </c>
      <c r="AB62" s="60">
        <f t="shared" si="31"/>
        <v>217</v>
      </c>
      <c r="AC62" s="60">
        <f t="shared" si="31"/>
        <v>97</v>
      </c>
      <c r="AD62" s="60">
        <f t="shared" si="31"/>
        <v>41</v>
      </c>
      <c r="AE62" s="60">
        <f t="shared" si="31"/>
        <v>61</v>
      </c>
      <c r="AF62" s="60">
        <f t="shared" si="31"/>
        <v>41</v>
      </c>
      <c r="AG62" s="61">
        <f t="shared" si="31"/>
        <v>538.1</v>
      </c>
      <c r="AH62" s="47">
        <f t="shared" si="8"/>
        <v>438.2</v>
      </c>
      <c r="AI62" s="48">
        <f t="shared" si="9"/>
        <v>27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31.9</v>
      </c>
      <c r="I63" s="45">
        <v>62</v>
      </c>
      <c r="J63" s="45">
        <v>93.2</v>
      </c>
      <c r="K63" s="45">
        <v>92.5</v>
      </c>
      <c r="L63" s="45">
        <v>144.19999999999999</v>
      </c>
      <c r="M63" s="45">
        <v>143.5</v>
      </c>
      <c r="N63" s="45">
        <v>110</v>
      </c>
      <c r="O63" s="45">
        <v>60</v>
      </c>
      <c r="P63" s="45">
        <v>71.2</v>
      </c>
      <c r="Q63" s="45">
        <v>61</v>
      </c>
      <c r="R63" s="45">
        <v>40</v>
      </c>
      <c r="S63" s="45">
        <v>47</v>
      </c>
      <c r="T63" s="45">
        <v>47</v>
      </c>
      <c r="U63" s="45">
        <v>47</v>
      </c>
      <c r="V63" s="45">
        <v>48.9</v>
      </c>
      <c r="W63" s="45">
        <v>49</v>
      </c>
      <c r="X63" s="45">
        <v>49</v>
      </c>
      <c r="Y63" s="45">
        <v>49</v>
      </c>
      <c r="Z63" s="45">
        <v>136.9</v>
      </c>
      <c r="AA63" s="45">
        <v>141.30000000000001</v>
      </c>
      <c r="AB63" s="45">
        <v>139.5</v>
      </c>
      <c r="AC63" s="45">
        <v>112</v>
      </c>
      <c r="AD63" s="45">
        <v>30.5</v>
      </c>
      <c r="AE63" s="45">
        <v>30.5</v>
      </c>
      <c r="AF63" s="45">
        <v>0</v>
      </c>
      <c r="AG63" s="52">
        <v>144</v>
      </c>
      <c r="AH63" s="47">
        <f t="shared" si="8"/>
        <v>144.19999999999999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34.799999999999997</v>
      </c>
      <c r="C64" s="65">
        <v>34.799999999999997</v>
      </c>
      <c r="D64" s="65">
        <v>34.799999999999997</v>
      </c>
      <c r="E64" s="65">
        <v>0</v>
      </c>
      <c r="F64" s="65">
        <v>0</v>
      </c>
      <c r="G64" s="65">
        <v>0</v>
      </c>
      <c r="H64" s="65">
        <v>0</v>
      </c>
      <c r="I64" s="65">
        <v>23.9</v>
      </c>
      <c r="J64" s="65">
        <v>31.1</v>
      </c>
      <c r="K64" s="65">
        <v>46.8</v>
      </c>
      <c r="L64" s="65">
        <v>46.1</v>
      </c>
      <c r="M64" s="65">
        <v>52.7</v>
      </c>
      <c r="N64" s="65">
        <v>53</v>
      </c>
      <c r="O64" s="65">
        <v>25</v>
      </c>
      <c r="P64" s="65">
        <v>24.6</v>
      </c>
      <c r="Q64" s="65">
        <v>25</v>
      </c>
      <c r="R64" s="65">
        <v>25</v>
      </c>
      <c r="S64" s="65">
        <v>34.6</v>
      </c>
      <c r="T64" s="65">
        <v>34.6</v>
      </c>
      <c r="U64" s="65">
        <v>34.6</v>
      </c>
      <c r="V64" s="65">
        <v>34.6</v>
      </c>
      <c r="W64" s="65">
        <v>34.6</v>
      </c>
      <c r="X64" s="65">
        <v>34.6</v>
      </c>
      <c r="Y64" s="65">
        <v>34.6</v>
      </c>
      <c r="Z64" s="45">
        <v>45.7</v>
      </c>
      <c r="AA64" s="45">
        <v>27</v>
      </c>
      <c r="AB64" s="45">
        <v>34.4</v>
      </c>
      <c r="AC64" s="45">
        <v>34.4</v>
      </c>
      <c r="AD64" s="45">
        <v>24.8</v>
      </c>
      <c r="AE64" s="45">
        <v>24.8</v>
      </c>
      <c r="AF64" s="45">
        <v>0</v>
      </c>
      <c r="AG64" s="55">
        <v>70</v>
      </c>
      <c r="AH64" s="47">
        <f t="shared" si="8"/>
        <v>53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0.8</v>
      </c>
      <c r="F65" s="65">
        <v>23.1</v>
      </c>
      <c r="G65" s="65">
        <v>0</v>
      </c>
      <c r="H65" s="65">
        <v>0</v>
      </c>
      <c r="I65" s="65">
        <v>19.2</v>
      </c>
      <c r="J65" s="65">
        <v>64.099999999999994</v>
      </c>
      <c r="K65" s="65">
        <v>51.1</v>
      </c>
      <c r="L65" s="65">
        <v>69.599999999999994</v>
      </c>
      <c r="M65" s="65">
        <v>60</v>
      </c>
      <c r="N65" s="65">
        <v>55</v>
      </c>
      <c r="O65" s="65">
        <v>42</v>
      </c>
      <c r="P65" s="65">
        <v>42.6</v>
      </c>
      <c r="Q65" s="65">
        <v>46</v>
      </c>
      <c r="R65" s="65">
        <v>23</v>
      </c>
      <c r="S65" s="65">
        <v>23</v>
      </c>
      <c r="T65" s="65">
        <v>23</v>
      </c>
      <c r="U65" s="65">
        <v>34.200000000000003</v>
      </c>
      <c r="V65" s="65">
        <v>34.200000000000003</v>
      </c>
      <c r="W65" s="65">
        <v>34.200000000000003</v>
      </c>
      <c r="X65" s="65">
        <v>34.200000000000003</v>
      </c>
      <c r="Y65" s="65">
        <v>34.200000000000003</v>
      </c>
      <c r="Z65" s="45">
        <v>47.5</v>
      </c>
      <c r="AA65" s="45">
        <v>47.5</v>
      </c>
      <c r="AB65" s="45">
        <v>45.7</v>
      </c>
      <c r="AC65" s="45">
        <v>45.7</v>
      </c>
      <c r="AD65" s="45">
        <v>32.9</v>
      </c>
      <c r="AE65" s="45">
        <v>32.9</v>
      </c>
      <c r="AF65" s="45">
        <v>14</v>
      </c>
      <c r="AG65" s="55">
        <v>69</v>
      </c>
      <c r="AH65" s="47">
        <f t="shared" si="8"/>
        <v>69.599999999999994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34.5</v>
      </c>
      <c r="C66" s="65">
        <v>34.5</v>
      </c>
      <c r="D66" s="65">
        <v>34.5</v>
      </c>
      <c r="E66" s="65">
        <v>34.5</v>
      </c>
      <c r="F66" s="65">
        <v>38</v>
      </c>
      <c r="G66" s="65">
        <v>39.299999999999997</v>
      </c>
      <c r="H66" s="65">
        <v>37.1</v>
      </c>
      <c r="I66" s="65">
        <v>37.1</v>
      </c>
      <c r="J66" s="65">
        <v>35</v>
      </c>
      <c r="K66" s="57">
        <v>36.299999999999997</v>
      </c>
      <c r="L66" s="57">
        <v>36.299999999999997</v>
      </c>
      <c r="M66" s="65">
        <v>36.299999999999997</v>
      </c>
      <c r="N66" s="65">
        <v>36</v>
      </c>
      <c r="O66" s="65">
        <v>36</v>
      </c>
      <c r="P66" s="65">
        <v>37</v>
      </c>
      <c r="Q66" s="65">
        <v>37</v>
      </c>
      <c r="R66" s="65">
        <v>35</v>
      </c>
      <c r="S66" s="65">
        <v>35.299999999999997</v>
      </c>
      <c r="T66" s="65">
        <v>35.299999999999997</v>
      </c>
      <c r="U66" s="65">
        <v>35.299999999999997</v>
      </c>
      <c r="V66" s="65">
        <v>35.299999999999997</v>
      </c>
      <c r="W66" s="65">
        <v>35.299999999999997</v>
      </c>
      <c r="X66" s="65">
        <v>35.299999999999997</v>
      </c>
      <c r="Y66" s="65">
        <v>35.299999999999997</v>
      </c>
      <c r="Z66" s="45">
        <v>35.299999999999997</v>
      </c>
      <c r="AA66" s="45">
        <v>35.299999999999997</v>
      </c>
      <c r="AB66" s="45">
        <v>32</v>
      </c>
      <c r="AC66" s="45">
        <v>30</v>
      </c>
      <c r="AD66" s="45">
        <v>30</v>
      </c>
      <c r="AE66" s="45">
        <v>30</v>
      </c>
      <c r="AF66" s="45">
        <v>36.299999999999997</v>
      </c>
      <c r="AG66" s="55">
        <v>60</v>
      </c>
      <c r="AH66" s="47">
        <f t="shared" si="8"/>
        <v>39.299999999999997</v>
      </c>
      <c r="AI66" s="48">
        <f t="shared" si="9"/>
        <v>30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65">
        <v>0</v>
      </c>
      <c r="G67" s="65">
        <v>10.4</v>
      </c>
      <c r="H67" s="65">
        <v>15</v>
      </c>
      <c r="I67" s="65">
        <v>15</v>
      </c>
      <c r="J67" s="65">
        <v>15</v>
      </c>
      <c r="K67" s="65">
        <v>23</v>
      </c>
      <c r="L67" s="65">
        <v>23</v>
      </c>
      <c r="M67" s="65">
        <v>28</v>
      </c>
      <c r="N67" s="65">
        <v>15</v>
      </c>
      <c r="O67" s="65">
        <v>14</v>
      </c>
      <c r="P67" s="65">
        <v>10</v>
      </c>
      <c r="Q67" s="65">
        <v>14</v>
      </c>
      <c r="R67" s="65">
        <v>14</v>
      </c>
      <c r="S67" s="65">
        <v>14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45">
        <v>24.8</v>
      </c>
      <c r="AA67" s="45">
        <v>14</v>
      </c>
      <c r="AB67" s="45">
        <v>14.6</v>
      </c>
      <c r="AC67" s="45">
        <v>14.6</v>
      </c>
      <c r="AD67" s="45">
        <v>9.6999999999999993</v>
      </c>
      <c r="AE67" s="45">
        <v>9.6999999999999993</v>
      </c>
      <c r="AF67" s="45">
        <v>10.199999999999999</v>
      </c>
      <c r="AG67" s="55">
        <v>30</v>
      </c>
      <c r="AH67" s="47">
        <f t="shared" si="8"/>
        <v>28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0.7</v>
      </c>
      <c r="L68" s="45">
        <v>0.7</v>
      </c>
      <c r="M68" s="65">
        <v>3.2</v>
      </c>
      <c r="N68" s="65">
        <v>3.2</v>
      </c>
      <c r="O68" s="65">
        <v>3.2</v>
      </c>
      <c r="P68" s="65">
        <v>15</v>
      </c>
      <c r="Q68" s="65">
        <v>15</v>
      </c>
      <c r="R68" s="65">
        <v>15</v>
      </c>
      <c r="S68" s="65">
        <v>14.3</v>
      </c>
      <c r="T68" s="65">
        <v>9.8000000000000007</v>
      </c>
      <c r="U68" s="65">
        <v>4.4000000000000004</v>
      </c>
      <c r="V68" s="65">
        <v>1.4</v>
      </c>
      <c r="W68" s="65">
        <v>0.5</v>
      </c>
      <c r="X68" s="65">
        <v>0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15</v>
      </c>
      <c r="AI68" s="48">
        <f t="shared" si="9"/>
        <v>0</v>
      </c>
      <c r="AK68" s="50"/>
      <c r="AY68" s="1" t="s">
        <v>377</v>
      </c>
      <c r="AZ68" s="233">
        <f>ROUND(C81,0)</f>
        <v>46</v>
      </c>
      <c r="BA68" s="232">
        <f t="shared" ref="BA68:BD72" si="36">D81</f>
        <v>44</v>
      </c>
      <c r="BB68" s="232">
        <f t="shared" si="36"/>
        <v>52.9</v>
      </c>
      <c r="BC68" s="232">
        <f t="shared" si="36"/>
        <v>54</v>
      </c>
      <c r="BD68" s="232">
        <f t="shared" si="36"/>
        <v>38</v>
      </c>
      <c r="BE68" s="233">
        <f>I81</f>
        <v>51.7</v>
      </c>
      <c r="BF68" s="233">
        <f>K81</f>
        <v>44</v>
      </c>
      <c r="BG68" s="233">
        <f t="shared" ref="BG68:BP72" si="37">M81</f>
        <v>52.8</v>
      </c>
      <c r="BH68" s="233">
        <f t="shared" si="37"/>
        <v>65.3</v>
      </c>
      <c r="BI68" s="233">
        <f t="shared" si="37"/>
        <v>55</v>
      </c>
      <c r="BJ68" s="233">
        <f t="shared" si="37"/>
        <v>53.2</v>
      </c>
      <c r="BK68" s="233">
        <f t="shared" si="37"/>
        <v>71.5</v>
      </c>
      <c r="BL68" s="233">
        <f t="shared" si="37"/>
        <v>71</v>
      </c>
      <c r="BM68" s="233">
        <f t="shared" si="37"/>
        <v>66</v>
      </c>
      <c r="BN68" s="233">
        <f t="shared" si="37"/>
        <v>54.7</v>
      </c>
      <c r="BO68" s="233">
        <f t="shared" si="37"/>
        <v>56</v>
      </c>
      <c r="BP68" s="233">
        <f t="shared" si="37"/>
        <v>57</v>
      </c>
      <c r="BQ68" s="233">
        <f>X81</f>
        <v>59.4</v>
      </c>
      <c r="BR68" s="233">
        <f>Z81</f>
        <v>58.3</v>
      </c>
      <c r="BS68" s="232">
        <f>AB81</f>
        <v>68.3</v>
      </c>
      <c r="BT68" s="232">
        <f>AD81</f>
        <v>71.8</v>
      </c>
      <c r="BU68" s="232">
        <f>AE81</f>
        <v>58</v>
      </c>
      <c r="BV68" s="232">
        <f>AF81</f>
        <v>55</v>
      </c>
      <c r="BW68" s="232">
        <f>B81</f>
        <v>50.4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6</v>
      </c>
      <c r="AA69" s="65">
        <v>0</v>
      </c>
      <c r="AB69" s="65">
        <v>0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0</v>
      </c>
      <c r="AK69" s="50"/>
      <c r="AY69" s="1" t="s">
        <v>604</v>
      </c>
      <c r="AZ69" s="233">
        <f>ROUND(C82,0)</f>
        <v>0</v>
      </c>
      <c r="BA69" s="232">
        <f t="shared" si="36"/>
        <v>0</v>
      </c>
      <c r="BB69" s="232">
        <f t="shared" si="36"/>
        <v>0</v>
      </c>
      <c r="BC69" s="232">
        <f t="shared" si="36"/>
        <v>0</v>
      </c>
      <c r="BD69" s="232">
        <f t="shared" si="36"/>
        <v>0</v>
      </c>
      <c r="BE69" s="233">
        <f t="shared" ref="BE69:BE72" si="38">I82</f>
        <v>0</v>
      </c>
      <c r="BF69" s="233">
        <f t="shared" ref="BF69:BF72" si="39">K82</f>
        <v>0</v>
      </c>
      <c r="BG69" s="233">
        <f t="shared" si="37"/>
        <v>0</v>
      </c>
      <c r="BH69" s="233">
        <f t="shared" si="37"/>
        <v>0</v>
      </c>
      <c r="BI69" s="233">
        <f t="shared" si="37"/>
        <v>0</v>
      </c>
      <c r="BJ69" s="233">
        <f t="shared" si="37"/>
        <v>0</v>
      </c>
      <c r="BK69" s="233">
        <f t="shared" si="37"/>
        <v>0</v>
      </c>
      <c r="BL69" s="233">
        <f t="shared" si="37"/>
        <v>0</v>
      </c>
      <c r="BM69" s="233">
        <f t="shared" si="37"/>
        <v>0</v>
      </c>
      <c r="BN69" s="233">
        <f t="shared" si="37"/>
        <v>0</v>
      </c>
      <c r="BO69" s="233">
        <f t="shared" si="37"/>
        <v>0</v>
      </c>
      <c r="BP69" s="233">
        <f t="shared" si="37"/>
        <v>0</v>
      </c>
      <c r="BQ69" s="233">
        <f t="shared" ref="BQ69:BQ72" si="40">X82</f>
        <v>0</v>
      </c>
      <c r="BR69" s="233">
        <f t="shared" ref="BR69:BR72" si="41">Z82</f>
        <v>0</v>
      </c>
      <c r="BS69" s="232">
        <f t="shared" ref="BS69:BS72" si="42">AB82</f>
        <v>0</v>
      </c>
      <c r="BT69" s="232">
        <f t="shared" ref="BT69:BV72" si="43">AD82</f>
        <v>0</v>
      </c>
      <c r="BU69" s="232">
        <f t="shared" si="43"/>
        <v>0</v>
      </c>
      <c r="BV69" s="232">
        <f t="shared" si="43"/>
        <v>0</v>
      </c>
      <c r="BW69" s="232">
        <f t="shared" ref="BW69:BW72" si="44">B82</f>
        <v>0</v>
      </c>
    </row>
    <row r="70" spans="1:75" x14ac:dyDescent="0.25">
      <c r="A70" s="54" t="s">
        <v>70</v>
      </c>
      <c r="B70" s="65">
        <v>5</v>
      </c>
      <c r="C70" s="65">
        <v>5</v>
      </c>
      <c r="D70" s="65">
        <v>5</v>
      </c>
      <c r="E70" s="65">
        <v>5</v>
      </c>
      <c r="F70" s="65">
        <v>5</v>
      </c>
      <c r="G70" s="65">
        <v>5</v>
      </c>
      <c r="H70" s="65">
        <v>5</v>
      </c>
      <c r="I70" s="65">
        <v>5</v>
      </c>
      <c r="J70" s="65">
        <v>5</v>
      </c>
      <c r="K70" s="65">
        <v>5</v>
      </c>
      <c r="L70" s="65">
        <v>5</v>
      </c>
      <c r="M70" s="65">
        <v>5</v>
      </c>
      <c r="N70" s="65">
        <v>5</v>
      </c>
      <c r="O70" s="65">
        <v>5</v>
      </c>
      <c r="P70" s="65">
        <v>5</v>
      </c>
      <c r="Q70" s="65">
        <v>5</v>
      </c>
      <c r="R70" s="65">
        <v>5</v>
      </c>
      <c r="S70" s="65">
        <v>5</v>
      </c>
      <c r="T70" s="65">
        <v>5</v>
      </c>
      <c r="U70" s="65">
        <v>5</v>
      </c>
      <c r="V70" s="65">
        <v>5</v>
      </c>
      <c r="W70" s="65">
        <v>5</v>
      </c>
      <c r="X70" s="65">
        <v>5</v>
      </c>
      <c r="Y70" s="65">
        <v>5</v>
      </c>
      <c r="Z70" s="65">
        <v>5</v>
      </c>
      <c r="AA70" s="65">
        <v>5</v>
      </c>
      <c r="AB70" s="65">
        <v>5</v>
      </c>
      <c r="AC70" s="65">
        <v>5</v>
      </c>
      <c r="AD70" s="65">
        <v>5</v>
      </c>
      <c r="AE70" s="65">
        <v>5</v>
      </c>
      <c r="AF70" s="65">
        <v>5</v>
      </c>
      <c r="AG70" s="55">
        <v>15</v>
      </c>
      <c r="AH70" s="47">
        <f t="shared" si="8"/>
        <v>5</v>
      </c>
      <c r="AI70" s="48">
        <f t="shared" si="9"/>
        <v>5</v>
      </c>
      <c r="AK70" s="50"/>
      <c r="AL70" s="70"/>
      <c r="AO70" s="70"/>
      <c r="AY70" s="1" t="s">
        <v>605</v>
      </c>
      <c r="AZ70" s="233">
        <f>ROUND(C83,0)</f>
        <v>362</v>
      </c>
      <c r="BA70" s="232">
        <f t="shared" si="36"/>
        <v>377.8</v>
      </c>
      <c r="BB70" s="232">
        <f t="shared" si="36"/>
        <v>385.31</v>
      </c>
      <c r="BC70" s="232">
        <f t="shared" si="36"/>
        <v>430</v>
      </c>
      <c r="BD70" s="232">
        <f t="shared" si="36"/>
        <v>430</v>
      </c>
      <c r="BE70" s="233">
        <f t="shared" si="38"/>
        <v>436.6</v>
      </c>
      <c r="BF70" s="233">
        <f t="shared" si="39"/>
        <v>240</v>
      </c>
      <c r="BG70" s="233">
        <f t="shared" si="37"/>
        <v>0</v>
      </c>
      <c r="BH70" s="233">
        <f t="shared" si="37"/>
        <v>53.2</v>
      </c>
      <c r="BI70" s="233">
        <f t="shared" si="37"/>
        <v>339</v>
      </c>
      <c r="BJ70" s="233">
        <f t="shared" si="37"/>
        <v>407</v>
      </c>
      <c r="BK70" s="233">
        <f t="shared" si="37"/>
        <v>475</v>
      </c>
      <c r="BL70" s="233">
        <f t="shared" si="37"/>
        <v>473</v>
      </c>
      <c r="BM70" s="233">
        <f t="shared" si="37"/>
        <v>489</v>
      </c>
      <c r="BN70" s="233">
        <f t="shared" si="37"/>
        <v>508.2</v>
      </c>
      <c r="BO70" s="233">
        <f t="shared" si="37"/>
        <v>539</v>
      </c>
      <c r="BP70" s="233">
        <f t="shared" si="37"/>
        <v>512.6</v>
      </c>
      <c r="BQ70" s="233">
        <f t="shared" si="40"/>
        <v>432.3</v>
      </c>
      <c r="BR70" s="233">
        <f t="shared" si="41"/>
        <v>200.9</v>
      </c>
      <c r="BS70" s="232">
        <f t="shared" si="42"/>
        <v>100</v>
      </c>
      <c r="BT70" s="232">
        <f t="shared" si="43"/>
        <v>419</v>
      </c>
      <c r="BU70" s="232">
        <f t="shared" si="43"/>
        <v>361</v>
      </c>
      <c r="BV70" s="232">
        <f t="shared" si="43"/>
        <v>385</v>
      </c>
      <c r="BW70" s="232">
        <f t="shared" si="44"/>
        <v>394.6</v>
      </c>
    </row>
    <row r="71" spans="1:75" s="70" customFormat="1" x14ac:dyDescent="0.25">
      <c r="A71" s="54" t="s">
        <v>71</v>
      </c>
      <c r="B71" s="65">
        <v>11.4</v>
      </c>
      <c r="C71" s="65">
        <v>11.4</v>
      </c>
      <c r="D71" s="65">
        <v>11.4</v>
      </c>
      <c r="E71" s="65">
        <v>11.4</v>
      </c>
      <c r="F71" s="65">
        <v>11.4</v>
      </c>
      <c r="G71" s="65">
        <v>11.4</v>
      </c>
      <c r="H71" s="65">
        <v>11.4</v>
      </c>
      <c r="I71" s="65">
        <v>11.4</v>
      </c>
      <c r="J71" s="65">
        <v>11.4</v>
      </c>
      <c r="K71" s="65">
        <v>11.4</v>
      </c>
      <c r="L71" s="65">
        <v>11.4</v>
      </c>
      <c r="M71" s="65">
        <v>11.4</v>
      </c>
      <c r="N71" s="65">
        <v>11.4</v>
      </c>
      <c r="O71" s="65">
        <v>11.4</v>
      </c>
      <c r="P71" s="65">
        <v>11.4</v>
      </c>
      <c r="Q71" s="65">
        <v>11.4</v>
      </c>
      <c r="R71" s="65">
        <v>1.1000000000000001</v>
      </c>
      <c r="S71" s="65">
        <v>1.1000000000000001</v>
      </c>
      <c r="T71" s="65">
        <v>1.1000000000000001</v>
      </c>
      <c r="U71" s="65">
        <v>1.1000000000000001</v>
      </c>
      <c r="V71" s="65">
        <v>1.1000000000000001</v>
      </c>
      <c r="W71" s="65">
        <v>1.1000000000000001</v>
      </c>
      <c r="X71" s="65">
        <v>1.1000000000000001</v>
      </c>
      <c r="Y71" s="65">
        <v>1.1000000000000001</v>
      </c>
      <c r="Z71" s="65">
        <v>1.1000000000000001</v>
      </c>
      <c r="AA71" s="65">
        <v>1.1000000000000001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  <c r="AG71" s="55">
        <v>14.1</v>
      </c>
      <c r="AH71" s="47">
        <f t="shared" si="8"/>
        <v>11.4</v>
      </c>
      <c r="AI71" s="48">
        <f t="shared" si="9"/>
        <v>0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4</v>
      </c>
      <c r="BA71" s="232">
        <f t="shared" si="36"/>
        <v>4.4000000000000004</v>
      </c>
      <c r="BB71" s="232">
        <f t="shared" si="36"/>
        <v>5</v>
      </c>
      <c r="BC71" s="232">
        <f t="shared" si="36"/>
        <v>5.2</v>
      </c>
      <c r="BD71" s="232">
        <f t="shared" si="36"/>
        <v>4.9000000000000004</v>
      </c>
      <c r="BE71" s="233">
        <f t="shared" si="38"/>
        <v>6.5</v>
      </c>
      <c r="BF71" s="233">
        <f t="shared" si="39"/>
        <v>8.3000000000000007</v>
      </c>
      <c r="BG71" s="233">
        <f t="shared" si="37"/>
        <v>0</v>
      </c>
      <c r="BH71" s="233">
        <f t="shared" si="37"/>
        <v>0</v>
      </c>
      <c r="BI71" s="233">
        <f t="shared" si="37"/>
        <v>0</v>
      </c>
      <c r="BJ71" s="233">
        <f t="shared" si="37"/>
        <v>0</v>
      </c>
      <c r="BK71" s="233">
        <f t="shared" si="37"/>
        <v>0</v>
      </c>
      <c r="BL71" s="233">
        <f t="shared" si="37"/>
        <v>46</v>
      </c>
      <c r="BM71" s="233">
        <f t="shared" si="37"/>
        <v>43.7</v>
      </c>
      <c r="BN71" s="233">
        <f t="shared" si="37"/>
        <v>52</v>
      </c>
      <c r="BO71" s="233">
        <f t="shared" si="37"/>
        <v>47.4</v>
      </c>
      <c r="BP71" s="233">
        <f t="shared" si="37"/>
        <v>38.4</v>
      </c>
      <c r="BQ71" s="233">
        <f t="shared" si="40"/>
        <v>25</v>
      </c>
      <c r="BR71" s="233">
        <f t="shared" si="41"/>
        <v>22.3</v>
      </c>
      <c r="BS71" s="232">
        <f t="shared" si="42"/>
        <v>20.399999999999999</v>
      </c>
      <c r="BT71" s="232">
        <f t="shared" si="43"/>
        <v>47.5</v>
      </c>
      <c r="BU71" s="232">
        <f t="shared" si="43"/>
        <v>43.6</v>
      </c>
      <c r="BV71" s="232">
        <f t="shared" si="43"/>
        <v>53</v>
      </c>
      <c r="BW71" s="232">
        <f t="shared" si="44"/>
        <v>3.9</v>
      </c>
    </row>
    <row r="72" spans="1:75" x14ac:dyDescent="0.25">
      <c r="A72" s="71" t="s">
        <v>72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1.9</v>
      </c>
      <c r="AA72" s="65">
        <v>1.9</v>
      </c>
      <c r="AB72" s="65">
        <v>2</v>
      </c>
      <c r="AC72" s="65">
        <v>2</v>
      </c>
      <c r="AD72" s="65">
        <v>2</v>
      </c>
      <c r="AE72" s="65">
        <v>2</v>
      </c>
      <c r="AF72" s="65">
        <v>2</v>
      </c>
      <c r="AG72" s="55">
        <v>14</v>
      </c>
      <c r="AH72" s="47">
        <f t="shared" si="8"/>
        <v>2</v>
      </c>
      <c r="AI72" s="48">
        <f t="shared" si="9"/>
        <v>0</v>
      </c>
      <c r="AK72" s="50"/>
      <c r="AY72" s="1" t="s">
        <v>607</v>
      </c>
      <c r="AZ72" s="233">
        <f>ROUND(C85,0)</f>
        <v>121</v>
      </c>
      <c r="BA72" s="232">
        <f t="shared" si="36"/>
        <v>102.4</v>
      </c>
      <c r="BB72" s="232">
        <f t="shared" si="36"/>
        <v>104.8</v>
      </c>
      <c r="BC72" s="232">
        <f t="shared" si="36"/>
        <v>104</v>
      </c>
      <c r="BD72" s="232">
        <f t="shared" si="36"/>
        <v>106.2</v>
      </c>
      <c r="BE72" s="233">
        <f t="shared" si="38"/>
        <v>105</v>
      </c>
      <c r="BF72" s="233">
        <f t="shared" si="39"/>
        <v>67</v>
      </c>
      <c r="BG72" s="233">
        <f t="shared" si="37"/>
        <v>0</v>
      </c>
      <c r="BH72" s="233">
        <f t="shared" si="37"/>
        <v>0</v>
      </c>
      <c r="BI72" s="233">
        <f t="shared" si="37"/>
        <v>0</v>
      </c>
      <c r="BJ72" s="233">
        <f t="shared" si="37"/>
        <v>0</v>
      </c>
      <c r="BK72" s="233">
        <f t="shared" si="37"/>
        <v>102</v>
      </c>
      <c r="BL72" s="233">
        <f t="shared" si="37"/>
        <v>100</v>
      </c>
      <c r="BM72" s="233">
        <f t="shared" si="37"/>
        <v>96.1</v>
      </c>
      <c r="BN72" s="233">
        <f t="shared" si="37"/>
        <v>117.2</v>
      </c>
      <c r="BO72" s="233">
        <f t="shared" si="37"/>
        <v>106</v>
      </c>
      <c r="BP72" s="233">
        <f t="shared" si="37"/>
        <v>100.4</v>
      </c>
      <c r="BQ72" s="233">
        <f t="shared" si="40"/>
        <v>91.6</v>
      </c>
      <c r="BR72" s="233">
        <f t="shared" si="41"/>
        <v>65</v>
      </c>
      <c r="BS72" s="232">
        <f t="shared" si="42"/>
        <v>92.6</v>
      </c>
      <c r="BT72" s="232">
        <f t="shared" si="43"/>
        <v>111</v>
      </c>
      <c r="BU72" s="232">
        <f t="shared" si="43"/>
        <v>103</v>
      </c>
      <c r="BV72" s="232">
        <f t="shared" si="43"/>
        <v>118</v>
      </c>
      <c r="BW72" s="232">
        <f t="shared" si="44"/>
        <v>101.2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49</v>
      </c>
      <c r="BA73" s="233">
        <f>D91</f>
        <v>50.58</v>
      </c>
      <c r="BB73" s="233">
        <f>E91</f>
        <v>52.16</v>
      </c>
      <c r="BC73" s="233">
        <f>F91</f>
        <v>0</v>
      </c>
      <c r="BD73" s="233">
        <f>G91</f>
        <v>31.4</v>
      </c>
      <c r="BE73" s="233">
        <f>I91</f>
        <v>51</v>
      </c>
      <c r="BF73" s="233">
        <f>K91</f>
        <v>73.8</v>
      </c>
      <c r="BG73" s="233">
        <f t="shared" ref="BG73:BP73" si="45">M91</f>
        <v>68</v>
      </c>
      <c r="BH73" s="233">
        <f t="shared" si="45"/>
        <v>72</v>
      </c>
      <c r="BI73" s="233">
        <f t="shared" si="45"/>
        <v>73</v>
      </c>
      <c r="BJ73" s="233">
        <f t="shared" si="45"/>
        <v>72</v>
      </c>
      <c r="BK73" s="233">
        <f t="shared" si="45"/>
        <v>74</v>
      </c>
      <c r="BL73" s="233">
        <f t="shared" si="45"/>
        <v>72</v>
      </c>
      <c r="BM73" s="233">
        <f t="shared" si="45"/>
        <v>72.2</v>
      </c>
      <c r="BN73" s="233">
        <f t="shared" si="45"/>
        <v>72.2</v>
      </c>
      <c r="BO73" s="233">
        <f t="shared" si="45"/>
        <v>72</v>
      </c>
      <c r="BP73" s="233">
        <f t="shared" si="45"/>
        <v>72</v>
      </c>
      <c r="BQ73" s="233">
        <f>X91</f>
        <v>72</v>
      </c>
      <c r="BR73" s="233">
        <f>Z91</f>
        <v>74</v>
      </c>
      <c r="BS73" s="233">
        <f>AB91</f>
        <v>74</v>
      </c>
      <c r="BT73" s="233">
        <f>AD91</f>
        <v>74</v>
      </c>
      <c r="BU73" s="233">
        <f>AE91</f>
        <v>74</v>
      </c>
      <c r="BV73" s="233">
        <f>AF91</f>
        <v>70</v>
      </c>
      <c r="BW73" s="233">
        <f>B91</f>
        <v>47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3.54</v>
      </c>
      <c r="AK75" s="50"/>
      <c r="AZ75" s="233">
        <f>VALUE(AZ68)</f>
        <v>46</v>
      </c>
      <c r="BA75" s="233">
        <f t="shared" ref="BA75:BW75" si="46">VALUE(BA68)</f>
        <v>44</v>
      </c>
      <c r="BB75" s="233">
        <f t="shared" si="46"/>
        <v>52.9</v>
      </c>
      <c r="BC75" s="233">
        <f t="shared" si="46"/>
        <v>54</v>
      </c>
      <c r="BD75" s="233">
        <f t="shared" si="46"/>
        <v>38</v>
      </c>
      <c r="BE75" s="233">
        <f t="shared" si="46"/>
        <v>51.7</v>
      </c>
      <c r="BF75" s="233">
        <f t="shared" si="46"/>
        <v>44</v>
      </c>
      <c r="BG75" s="233">
        <f t="shared" si="46"/>
        <v>52.8</v>
      </c>
      <c r="BH75" s="233">
        <f t="shared" si="46"/>
        <v>65.3</v>
      </c>
      <c r="BI75" s="233">
        <f t="shared" si="46"/>
        <v>55</v>
      </c>
      <c r="BJ75" s="233">
        <f t="shared" si="46"/>
        <v>53.2</v>
      </c>
      <c r="BK75" s="233">
        <f t="shared" si="46"/>
        <v>71.5</v>
      </c>
      <c r="BL75" s="233">
        <f t="shared" si="46"/>
        <v>71</v>
      </c>
      <c r="BM75" s="233">
        <f t="shared" si="46"/>
        <v>66</v>
      </c>
      <c r="BN75" s="233">
        <f t="shared" si="46"/>
        <v>54.7</v>
      </c>
      <c r="BO75" s="233">
        <f t="shared" si="46"/>
        <v>56</v>
      </c>
      <c r="BP75" s="233">
        <f t="shared" si="46"/>
        <v>57</v>
      </c>
      <c r="BQ75" s="233">
        <f t="shared" si="46"/>
        <v>59.4</v>
      </c>
      <c r="BR75" s="233">
        <f t="shared" si="46"/>
        <v>58.3</v>
      </c>
      <c r="BS75" s="233">
        <f t="shared" si="46"/>
        <v>68.3</v>
      </c>
      <c r="BT75" s="233">
        <f t="shared" si="46"/>
        <v>71.8</v>
      </c>
      <c r="BU75" s="233">
        <f t="shared" si="46"/>
        <v>58</v>
      </c>
      <c r="BV75" s="233">
        <f t="shared" si="46"/>
        <v>55</v>
      </c>
      <c r="BW75" s="233">
        <f t="shared" si="46"/>
        <v>50.4</v>
      </c>
    </row>
    <row r="76" spans="1:75" ht="15.75" thickBot="1" x14ac:dyDescent="0.3">
      <c r="A76" s="74" t="s">
        <v>76</v>
      </c>
      <c r="B76" s="60">
        <f t="shared" ref="B76:C76" si="47">SUM(B63:B75)</f>
        <v>110.44000000000001</v>
      </c>
      <c r="C76" s="60">
        <f t="shared" si="47"/>
        <v>110.44000000000001</v>
      </c>
      <c r="D76" s="60">
        <f t="shared" ref="D76" si="48">SUM(D63:D75)</f>
        <v>110.44000000000001</v>
      </c>
      <c r="E76" s="60">
        <f t="shared" ref="E76:AG76" si="49">SUM(E63:E75)</f>
        <v>76.440000000000012</v>
      </c>
      <c r="F76" s="60">
        <f t="shared" si="49"/>
        <v>102.24000000000001</v>
      </c>
      <c r="G76" s="60">
        <f t="shared" si="49"/>
        <v>90.84</v>
      </c>
      <c r="H76" s="60">
        <f t="shared" si="49"/>
        <v>125.14000000000001</v>
      </c>
      <c r="I76" s="60">
        <f t="shared" si="49"/>
        <v>198.34</v>
      </c>
      <c r="J76" s="60">
        <f t="shared" si="49"/>
        <v>279.53999999999996</v>
      </c>
      <c r="K76" s="60">
        <f t="shared" si="49"/>
        <v>291.53999999999996</v>
      </c>
      <c r="L76" s="60">
        <f t="shared" si="49"/>
        <v>361.03999999999996</v>
      </c>
      <c r="M76" s="60">
        <f t="shared" si="49"/>
        <v>364.84</v>
      </c>
      <c r="N76" s="60">
        <f t="shared" si="49"/>
        <v>313.33999999999997</v>
      </c>
      <c r="O76" s="60">
        <f t="shared" si="49"/>
        <v>221.33999999999997</v>
      </c>
      <c r="P76" s="60">
        <f t="shared" si="49"/>
        <v>241.54</v>
      </c>
      <c r="Q76" s="60">
        <f t="shared" si="49"/>
        <v>239.14</v>
      </c>
      <c r="R76" s="60">
        <f t="shared" si="49"/>
        <v>167.83999999999997</v>
      </c>
      <c r="S76" s="60">
        <f t="shared" si="49"/>
        <v>184.03999999999996</v>
      </c>
      <c r="T76" s="60">
        <f t="shared" ref="T76:U76" si="50">SUM(T63:T75)</f>
        <v>165.53999999999996</v>
      </c>
      <c r="U76" s="60">
        <f t="shared" si="50"/>
        <v>171.33999999999997</v>
      </c>
      <c r="V76" s="60">
        <f t="shared" ref="V76:W76" si="51">SUM(V63:V75)</f>
        <v>170.23999999999998</v>
      </c>
      <c r="W76" s="60">
        <f t="shared" si="51"/>
        <v>169.43999999999997</v>
      </c>
      <c r="X76" s="60">
        <f t="shared" ref="X76:Z76" si="52">SUM(X63:X75)</f>
        <v>168.93999999999997</v>
      </c>
      <c r="Y76" s="60">
        <f t="shared" si="52"/>
        <v>168.93999999999997</v>
      </c>
      <c r="Z76" s="60">
        <f t="shared" si="52"/>
        <v>313.94000000000005</v>
      </c>
      <c r="AA76" s="60">
        <f t="shared" ref="AA76" si="53">SUM(AA63:AA75)</f>
        <v>282.84000000000003</v>
      </c>
      <c r="AB76" s="60">
        <f t="shared" si="49"/>
        <v>282.94000000000005</v>
      </c>
      <c r="AC76" s="60">
        <f t="shared" si="49"/>
        <v>268.44000000000005</v>
      </c>
      <c r="AD76" s="60">
        <f t="shared" si="49"/>
        <v>159.63999999999996</v>
      </c>
      <c r="AE76" s="60">
        <f t="shared" si="49"/>
        <v>159.63999999999996</v>
      </c>
      <c r="AF76" s="60">
        <f t="shared" si="49"/>
        <v>92.240000000000009</v>
      </c>
      <c r="AG76" s="61">
        <f t="shared" si="49"/>
        <v>489.91</v>
      </c>
      <c r="AH76" s="47">
        <f t="shared" si="8"/>
        <v>364.84</v>
      </c>
      <c r="AI76" s="48">
        <f t="shared" si="9"/>
        <v>76.440000000000012</v>
      </c>
      <c r="AK76" s="50"/>
      <c r="AZ76" s="233">
        <f t="shared" ref="AZ76:BW80" si="54">VALUE(AZ69)</f>
        <v>0</v>
      </c>
      <c r="BA76" s="233">
        <f t="shared" si="54"/>
        <v>0</v>
      </c>
      <c r="BB76" s="233">
        <f t="shared" si="54"/>
        <v>0</v>
      </c>
      <c r="BC76" s="233">
        <f t="shared" si="54"/>
        <v>0</v>
      </c>
      <c r="BD76" s="233">
        <f t="shared" si="54"/>
        <v>0</v>
      </c>
      <c r="BE76" s="233">
        <f t="shared" si="54"/>
        <v>0</v>
      </c>
      <c r="BF76" s="233">
        <f t="shared" si="54"/>
        <v>0</v>
      </c>
      <c r="BG76" s="233">
        <f t="shared" si="54"/>
        <v>0</v>
      </c>
      <c r="BH76" s="233">
        <f t="shared" si="54"/>
        <v>0</v>
      </c>
      <c r="BI76" s="233">
        <f t="shared" si="54"/>
        <v>0</v>
      </c>
      <c r="BJ76" s="233">
        <f t="shared" si="54"/>
        <v>0</v>
      </c>
      <c r="BK76" s="233">
        <f t="shared" si="54"/>
        <v>0</v>
      </c>
      <c r="BL76" s="233">
        <f t="shared" si="54"/>
        <v>0</v>
      </c>
      <c r="BM76" s="233">
        <f t="shared" si="54"/>
        <v>0</v>
      </c>
      <c r="BN76" s="233">
        <f t="shared" si="54"/>
        <v>0</v>
      </c>
      <c r="BO76" s="233">
        <f t="shared" si="54"/>
        <v>0</v>
      </c>
      <c r="BP76" s="233">
        <f t="shared" si="54"/>
        <v>0</v>
      </c>
      <c r="BQ76" s="233">
        <f t="shared" si="54"/>
        <v>0</v>
      </c>
      <c r="BR76" s="233">
        <f t="shared" si="54"/>
        <v>0</v>
      </c>
      <c r="BS76" s="233">
        <f t="shared" si="54"/>
        <v>0</v>
      </c>
      <c r="BT76" s="233">
        <f t="shared" si="54"/>
        <v>0</v>
      </c>
      <c r="BU76" s="233">
        <f t="shared" si="54"/>
        <v>0</v>
      </c>
      <c r="BV76" s="233">
        <f t="shared" si="54"/>
        <v>0</v>
      </c>
      <c r="BW76" s="233">
        <f t="shared" si="54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>
        <v>14</v>
      </c>
      <c r="AA77" s="45">
        <v>14</v>
      </c>
      <c r="AB77" s="45">
        <v>30</v>
      </c>
      <c r="AC77" s="45">
        <v>0</v>
      </c>
      <c r="AD77" s="45">
        <v>0</v>
      </c>
      <c r="AE77" s="45"/>
      <c r="AF77" s="45"/>
      <c r="AG77" s="52">
        <v>60</v>
      </c>
      <c r="AH77" s="47">
        <f t="shared" si="8"/>
        <v>30</v>
      </c>
      <c r="AI77" s="48">
        <f t="shared" si="9"/>
        <v>0</v>
      </c>
      <c r="AK77" s="50"/>
      <c r="AZ77" s="233">
        <f t="shared" si="54"/>
        <v>362</v>
      </c>
      <c r="BA77" s="233">
        <f t="shared" si="54"/>
        <v>377.8</v>
      </c>
      <c r="BB77" s="233">
        <f t="shared" si="54"/>
        <v>385.31</v>
      </c>
      <c r="BC77" s="233">
        <f t="shared" si="54"/>
        <v>430</v>
      </c>
      <c r="BD77" s="233">
        <f t="shared" si="54"/>
        <v>430</v>
      </c>
      <c r="BE77" s="233">
        <f t="shared" si="54"/>
        <v>436.6</v>
      </c>
      <c r="BF77" s="233">
        <f t="shared" si="54"/>
        <v>240</v>
      </c>
      <c r="BG77" s="233">
        <f t="shared" si="54"/>
        <v>0</v>
      </c>
      <c r="BH77" s="233">
        <f t="shared" si="54"/>
        <v>53.2</v>
      </c>
      <c r="BI77" s="233">
        <f t="shared" si="54"/>
        <v>339</v>
      </c>
      <c r="BJ77" s="233">
        <f t="shared" si="54"/>
        <v>407</v>
      </c>
      <c r="BK77" s="233">
        <f t="shared" si="54"/>
        <v>475</v>
      </c>
      <c r="BL77" s="233">
        <f t="shared" si="54"/>
        <v>473</v>
      </c>
      <c r="BM77" s="233">
        <f t="shared" si="54"/>
        <v>489</v>
      </c>
      <c r="BN77" s="233">
        <f t="shared" si="54"/>
        <v>508.2</v>
      </c>
      <c r="BO77" s="233">
        <f t="shared" si="54"/>
        <v>539</v>
      </c>
      <c r="BP77" s="233">
        <f t="shared" si="54"/>
        <v>512.6</v>
      </c>
      <c r="BQ77" s="233">
        <f t="shared" si="54"/>
        <v>432.3</v>
      </c>
      <c r="BR77" s="233">
        <f t="shared" si="54"/>
        <v>200.9</v>
      </c>
      <c r="BS77" s="233">
        <f t="shared" si="54"/>
        <v>100</v>
      </c>
      <c r="BT77" s="233">
        <f t="shared" si="54"/>
        <v>419</v>
      </c>
      <c r="BU77" s="233">
        <f t="shared" si="54"/>
        <v>361</v>
      </c>
      <c r="BV77" s="233">
        <f t="shared" si="54"/>
        <v>385</v>
      </c>
      <c r="BW77" s="233">
        <f t="shared" si="54"/>
        <v>394.6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>
        <v>4.2</v>
      </c>
      <c r="AA78" s="65">
        <v>6</v>
      </c>
      <c r="AB78" s="65">
        <v>17</v>
      </c>
      <c r="AC78" s="65">
        <v>8.1</v>
      </c>
      <c r="AD78" s="65">
        <v>0</v>
      </c>
      <c r="AE78" s="65"/>
      <c r="AF78" s="65"/>
      <c r="AG78" s="55">
        <v>32</v>
      </c>
      <c r="AH78" s="47">
        <f t="shared" si="8"/>
        <v>17</v>
      </c>
      <c r="AI78" s="48">
        <f t="shared" si="9"/>
        <v>0</v>
      </c>
      <c r="AK78" s="50"/>
      <c r="AZ78" s="233">
        <f t="shared" si="54"/>
        <v>4</v>
      </c>
      <c r="BA78" s="233">
        <f t="shared" si="54"/>
        <v>4.4000000000000004</v>
      </c>
      <c r="BB78" s="233">
        <f t="shared" si="54"/>
        <v>5</v>
      </c>
      <c r="BC78" s="233">
        <f t="shared" si="54"/>
        <v>5.2</v>
      </c>
      <c r="BD78" s="233">
        <f t="shared" si="54"/>
        <v>4.9000000000000004</v>
      </c>
      <c r="BE78" s="233">
        <f t="shared" si="54"/>
        <v>6.5</v>
      </c>
      <c r="BF78" s="233">
        <f t="shared" si="54"/>
        <v>8.3000000000000007</v>
      </c>
      <c r="BG78" s="233">
        <f t="shared" si="54"/>
        <v>0</v>
      </c>
      <c r="BH78" s="233">
        <f t="shared" si="54"/>
        <v>0</v>
      </c>
      <c r="BI78" s="233">
        <f t="shared" si="54"/>
        <v>0</v>
      </c>
      <c r="BJ78" s="233">
        <f t="shared" si="54"/>
        <v>0</v>
      </c>
      <c r="BK78" s="233">
        <f t="shared" si="54"/>
        <v>0</v>
      </c>
      <c r="BL78" s="233">
        <f t="shared" si="54"/>
        <v>46</v>
      </c>
      <c r="BM78" s="233">
        <f t="shared" si="54"/>
        <v>43.7</v>
      </c>
      <c r="BN78" s="233">
        <f t="shared" si="54"/>
        <v>52</v>
      </c>
      <c r="BO78" s="233">
        <f t="shared" si="54"/>
        <v>47.4</v>
      </c>
      <c r="BP78" s="233">
        <f t="shared" si="54"/>
        <v>38.4</v>
      </c>
      <c r="BQ78" s="233">
        <f t="shared" si="54"/>
        <v>25</v>
      </c>
      <c r="BR78" s="233">
        <f t="shared" si="54"/>
        <v>22.3</v>
      </c>
      <c r="BS78" s="233">
        <f t="shared" si="54"/>
        <v>20.399999999999999</v>
      </c>
      <c r="BT78" s="233">
        <f t="shared" si="54"/>
        <v>47.5</v>
      </c>
      <c r="BU78" s="233">
        <f t="shared" si="54"/>
        <v>43.6</v>
      </c>
      <c r="BV78" s="233">
        <f t="shared" si="54"/>
        <v>53</v>
      </c>
      <c r="BW78" s="233">
        <f t="shared" si="54"/>
        <v>3.9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>
        <v>1.5</v>
      </c>
      <c r="AA79" s="67">
        <v>2.2000000000000002</v>
      </c>
      <c r="AB79" s="67">
        <v>6.3</v>
      </c>
      <c r="AC79" s="67">
        <v>3</v>
      </c>
      <c r="AD79" s="67">
        <v>0</v>
      </c>
      <c r="AE79" s="67"/>
      <c r="AF79" s="67"/>
      <c r="AG79" s="68">
        <v>14</v>
      </c>
      <c r="AH79" s="47">
        <f t="shared" si="8"/>
        <v>6.3</v>
      </c>
      <c r="AI79" s="48">
        <f t="shared" si="9"/>
        <v>0</v>
      </c>
      <c r="AK79" s="50"/>
      <c r="AZ79" s="233">
        <f t="shared" si="54"/>
        <v>121</v>
      </c>
      <c r="BA79" s="233">
        <f t="shared" si="54"/>
        <v>102.4</v>
      </c>
      <c r="BB79" s="233">
        <f t="shared" si="54"/>
        <v>104.8</v>
      </c>
      <c r="BC79" s="233">
        <f t="shared" si="54"/>
        <v>104</v>
      </c>
      <c r="BD79" s="233">
        <f t="shared" si="54"/>
        <v>106.2</v>
      </c>
      <c r="BE79" s="233">
        <f t="shared" si="54"/>
        <v>105</v>
      </c>
      <c r="BF79" s="233">
        <f t="shared" si="54"/>
        <v>67</v>
      </c>
      <c r="BG79" s="233">
        <f t="shared" si="54"/>
        <v>0</v>
      </c>
      <c r="BH79" s="233">
        <f t="shared" si="54"/>
        <v>0</v>
      </c>
      <c r="BI79" s="233">
        <f t="shared" si="54"/>
        <v>0</v>
      </c>
      <c r="BJ79" s="233">
        <f t="shared" si="54"/>
        <v>0</v>
      </c>
      <c r="BK79" s="233">
        <f t="shared" si="54"/>
        <v>102</v>
      </c>
      <c r="BL79" s="233">
        <f t="shared" si="54"/>
        <v>100</v>
      </c>
      <c r="BM79" s="233">
        <f t="shared" si="54"/>
        <v>96.1</v>
      </c>
      <c r="BN79" s="233">
        <f t="shared" si="54"/>
        <v>117.2</v>
      </c>
      <c r="BO79" s="233">
        <f t="shared" si="54"/>
        <v>106</v>
      </c>
      <c r="BP79" s="233">
        <f t="shared" si="54"/>
        <v>100.4</v>
      </c>
      <c r="BQ79" s="233">
        <f t="shared" si="54"/>
        <v>91.6</v>
      </c>
      <c r="BR79" s="233">
        <f t="shared" si="54"/>
        <v>65</v>
      </c>
      <c r="BS79" s="233">
        <f t="shared" si="54"/>
        <v>92.6</v>
      </c>
      <c r="BT79" s="233">
        <f t="shared" si="54"/>
        <v>111</v>
      </c>
      <c r="BU79" s="233">
        <f t="shared" si="54"/>
        <v>103</v>
      </c>
      <c r="BV79" s="233">
        <f t="shared" si="54"/>
        <v>118</v>
      </c>
      <c r="BW79" s="233">
        <f t="shared" si="54"/>
        <v>101.2</v>
      </c>
    </row>
    <row r="80" spans="1:75" ht="15.75" thickBot="1" x14ac:dyDescent="0.3">
      <c r="A80" s="74" t="s">
        <v>80</v>
      </c>
      <c r="B80" s="60">
        <f t="shared" ref="B80:C80" si="55">B77+B78+B79</f>
        <v>0</v>
      </c>
      <c r="C80" s="60">
        <f t="shared" si="55"/>
        <v>0</v>
      </c>
      <c r="D80" s="60">
        <f t="shared" ref="D80" si="56">D77+D78+D79</f>
        <v>0</v>
      </c>
      <c r="E80" s="60">
        <f t="shared" ref="E80:AF80" si="57">E77+E78+E79</f>
        <v>0</v>
      </c>
      <c r="F80" s="60">
        <f t="shared" si="57"/>
        <v>0</v>
      </c>
      <c r="G80" s="60">
        <f t="shared" si="57"/>
        <v>0</v>
      </c>
      <c r="H80" s="60">
        <f t="shared" si="57"/>
        <v>0</v>
      </c>
      <c r="I80" s="60">
        <f t="shared" si="57"/>
        <v>0</v>
      </c>
      <c r="J80" s="60">
        <f t="shared" si="57"/>
        <v>0</v>
      </c>
      <c r="K80" s="60">
        <f t="shared" si="57"/>
        <v>0</v>
      </c>
      <c r="L80" s="60">
        <f t="shared" si="57"/>
        <v>0</v>
      </c>
      <c r="M80" s="60">
        <f t="shared" si="57"/>
        <v>0</v>
      </c>
      <c r="N80" s="60">
        <f t="shared" si="57"/>
        <v>0</v>
      </c>
      <c r="O80" s="60">
        <f t="shared" si="57"/>
        <v>0</v>
      </c>
      <c r="P80" s="60">
        <f t="shared" si="57"/>
        <v>0</v>
      </c>
      <c r="Q80" s="60">
        <f t="shared" si="57"/>
        <v>0</v>
      </c>
      <c r="R80" s="60">
        <f t="shared" si="57"/>
        <v>0</v>
      </c>
      <c r="S80" s="60">
        <f t="shared" si="57"/>
        <v>0</v>
      </c>
      <c r="T80" s="60">
        <f t="shared" ref="T80:U80" si="58">T77+T78+T79</f>
        <v>0</v>
      </c>
      <c r="U80" s="60">
        <f t="shared" si="58"/>
        <v>0</v>
      </c>
      <c r="V80" s="60">
        <f t="shared" ref="V80:W80" si="59">V77+V78+V79</f>
        <v>0</v>
      </c>
      <c r="W80" s="60">
        <f t="shared" si="59"/>
        <v>0</v>
      </c>
      <c r="X80" s="60">
        <f t="shared" ref="X80:Z80" si="60">X77+X78+X79</f>
        <v>0</v>
      </c>
      <c r="Y80" s="60">
        <f t="shared" si="60"/>
        <v>0</v>
      </c>
      <c r="Z80" s="60">
        <f t="shared" si="60"/>
        <v>19.7</v>
      </c>
      <c r="AA80" s="60">
        <f t="shared" ref="AA80" si="61">AA77+AA78+AA79</f>
        <v>22.2</v>
      </c>
      <c r="AB80" s="60">
        <f t="shared" si="57"/>
        <v>53.3</v>
      </c>
      <c r="AC80" s="60">
        <f t="shared" si="57"/>
        <v>11.1</v>
      </c>
      <c r="AD80" s="60">
        <f t="shared" si="57"/>
        <v>0</v>
      </c>
      <c r="AE80" s="60">
        <f t="shared" si="57"/>
        <v>0</v>
      </c>
      <c r="AF80" s="60">
        <f t="shared" si="57"/>
        <v>0</v>
      </c>
      <c r="AG80" s="61">
        <f>SUM(AG77:AG79)</f>
        <v>106</v>
      </c>
      <c r="AH80" s="47">
        <f t="shared" si="8"/>
        <v>53.3</v>
      </c>
      <c r="AI80" s="48">
        <f t="shared" si="9"/>
        <v>0</v>
      </c>
      <c r="AK80" s="50"/>
      <c r="AZ80" s="233">
        <f t="shared" si="54"/>
        <v>49</v>
      </c>
      <c r="BA80" s="233">
        <f t="shared" si="54"/>
        <v>50.58</v>
      </c>
      <c r="BB80" s="233">
        <f t="shared" si="54"/>
        <v>52.16</v>
      </c>
      <c r="BC80" s="233">
        <f t="shared" si="54"/>
        <v>0</v>
      </c>
      <c r="BD80" s="233">
        <f t="shared" si="54"/>
        <v>31.4</v>
      </c>
      <c r="BE80" s="233">
        <f t="shared" si="54"/>
        <v>51</v>
      </c>
      <c r="BF80" s="233">
        <f t="shared" si="54"/>
        <v>73.8</v>
      </c>
      <c r="BG80" s="233">
        <f t="shared" si="54"/>
        <v>68</v>
      </c>
      <c r="BH80" s="233">
        <f t="shared" si="54"/>
        <v>72</v>
      </c>
      <c r="BI80" s="233">
        <f t="shared" si="54"/>
        <v>73</v>
      </c>
      <c r="BJ80" s="233">
        <f t="shared" si="54"/>
        <v>72</v>
      </c>
      <c r="BK80" s="233">
        <f t="shared" si="54"/>
        <v>74</v>
      </c>
      <c r="BL80" s="233">
        <f t="shared" si="54"/>
        <v>72</v>
      </c>
      <c r="BM80" s="233">
        <f t="shared" si="54"/>
        <v>72.2</v>
      </c>
      <c r="BN80" s="233">
        <f t="shared" si="54"/>
        <v>72.2</v>
      </c>
      <c r="BO80" s="233">
        <f t="shared" si="54"/>
        <v>72</v>
      </c>
      <c r="BP80" s="233">
        <f t="shared" si="54"/>
        <v>72</v>
      </c>
      <c r="BQ80" s="233">
        <f t="shared" si="54"/>
        <v>72</v>
      </c>
      <c r="BR80" s="233">
        <f t="shared" si="54"/>
        <v>74</v>
      </c>
      <c r="BS80" s="233">
        <f t="shared" si="54"/>
        <v>74</v>
      </c>
      <c r="BT80" s="233">
        <f t="shared" si="54"/>
        <v>74</v>
      </c>
      <c r="BU80" s="233">
        <f t="shared" si="54"/>
        <v>74</v>
      </c>
      <c r="BV80" s="233">
        <f t="shared" si="54"/>
        <v>70</v>
      </c>
      <c r="BW80" s="233">
        <f t="shared" si="54"/>
        <v>47</v>
      </c>
    </row>
    <row r="81" spans="1:64" x14ac:dyDescent="0.25">
      <c r="A81" s="44" t="s">
        <v>81</v>
      </c>
      <c r="B81" s="45">
        <v>50.4</v>
      </c>
      <c r="C81" s="45">
        <v>46.2</v>
      </c>
      <c r="D81" s="45">
        <v>44</v>
      </c>
      <c r="E81" s="45">
        <v>52.9</v>
      </c>
      <c r="F81" s="45">
        <v>54</v>
      </c>
      <c r="G81" s="45">
        <v>38</v>
      </c>
      <c r="H81" s="45">
        <v>45</v>
      </c>
      <c r="I81" s="45">
        <v>51.7</v>
      </c>
      <c r="J81" s="45">
        <v>52.3</v>
      </c>
      <c r="K81" s="45">
        <v>44</v>
      </c>
      <c r="L81" s="45">
        <v>53.9</v>
      </c>
      <c r="M81" s="45">
        <v>52.8</v>
      </c>
      <c r="N81" s="45">
        <v>65.3</v>
      </c>
      <c r="O81" s="45">
        <v>55</v>
      </c>
      <c r="P81" s="45">
        <v>53.2</v>
      </c>
      <c r="Q81" s="45">
        <v>71.5</v>
      </c>
      <c r="R81" s="45">
        <v>71</v>
      </c>
      <c r="S81" s="45">
        <v>66</v>
      </c>
      <c r="T81" s="45">
        <v>54.7</v>
      </c>
      <c r="U81" s="45">
        <v>56</v>
      </c>
      <c r="V81" s="45">
        <v>57</v>
      </c>
      <c r="W81" s="45">
        <v>55.3</v>
      </c>
      <c r="X81" s="45">
        <v>59.4</v>
      </c>
      <c r="Y81" s="45">
        <v>62.6</v>
      </c>
      <c r="Z81" s="45">
        <v>58.3</v>
      </c>
      <c r="AA81" s="45">
        <v>63.1</v>
      </c>
      <c r="AB81" s="45">
        <v>68.3</v>
      </c>
      <c r="AC81" s="45">
        <v>63.3</v>
      </c>
      <c r="AD81" s="45">
        <v>71.8</v>
      </c>
      <c r="AE81" s="45">
        <v>58</v>
      </c>
      <c r="AF81" s="45">
        <v>55</v>
      </c>
      <c r="AG81" s="52"/>
      <c r="AH81" s="47">
        <f t="shared" si="8"/>
        <v>71.8</v>
      </c>
      <c r="AI81" s="48">
        <f t="shared" si="9"/>
        <v>38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62">MAX(B82:AF82)</f>
        <v>0</v>
      </c>
      <c r="AI82" s="48">
        <f t="shared" ref="AI82:AI123" si="63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394.6</v>
      </c>
      <c r="C83" s="65">
        <v>361.6</v>
      </c>
      <c r="D83" s="65">
        <v>377.8</v>
      </c>
      <c r="E83" s="65">
        <v>385.31</v>
      </c>
      <c r="F83" s="65">
        <v>430</v>
      </c>
      <c r="G83" s="65">
        <v>430</v>
      </c>
      <c r="H83" s="65">
        <v>448.3</v>
      </c>
      <c r="I83" s="65">
        <v>436.6</v>
      </c>
      <c r="J83" s="65">
        <v>410</v>
      </c>
      <c r="K83" s="65">
        <v>240</v>
      </c>
      <c r="L83" s="65">
        <v>0</v>
      </c>
      <c r="M83" s="65">
        <v>0</v>
      </c>
      <c r="N83" s="65">
        <v>53.2</v>
      </c>
      <c r="O83" s="65">
        <v>339</v>
      </c>
      <c r="P83" s="65">
        <v>407</v>
      </c>
      <c r="Q83" s="65">
        <v>475</v>
      </c>
      <c r="R83" s="65">
        <v>473</v>
      </c>
      <c r="S83" s="65">
        <v>489</v>
      </c>
      <c r="T83" s="65">
        <v>508.2</v>
      </c>
      <c r="U83" s="65">
        <v>539</v>
      </c>
      <c r="V83" s="65">
        <v>512.6</v>
      </c>
      <c r="W83" s="65">
        <v>480.5</v>
      </c>
      <c r="X83" s="65">
        <v>432.3</v>
      </c>
      <c r="Y83" s="65">
        <v>462.5</v>
      </c>
      <c r="Z83" s="65">
        <v>200.9</v>
      </c>
      <c r="AA83" s="65">
        <v>94.6</v>
      </c>
      <c r="AB83" s="65">
        <v>100</v>
      </c>
      <c r="AC83" s="65">
        <v>250</v>
      </c>
      <c r="AD83" s="65">
        <v>419</v>
      </c>
      <c r="AE83" s="65">
        <v>361</v>
      </c>
      <c r="AF83" s="65">
        <v>385</v>
      </c>
      <c r="AG83" s="75"/>
      <c r="AH83" s="47">
        <f t="shared" si="62"/>
        <v>539</v>
      </c>
      <c r="AI83" s="48">
        <f t="shared" si="63"/>
        <v>0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3.9</v>
      </c>
      <c r="C84" s="65">
        <v>3.9</v>
      </c>
      <c r="D84" s="65">
        <v>4.4000000000000004</v>
      </c>
      <c r="E84" s="76">
        <v>5</v>
      </c>
      <c r="F84" s="76">
        <v>5.2</v>
      </c>
      <c r="G84" s="76">
        <v>4.9000000000000004</v>
      </c>
      <c r="H84" s="76">
        <v>5.5</v>
      </c>
      <c r="I84" s="76">
        <v>6.5</v>
      </c>
      <c r="J84" s="76">
        <v>8.3000000000000007</v>
      </c>
      <c r="K84" s="76">
        <v>8.3000000000000007</v>
      </c>
      <c r="L84" s="76">
        <v>0</v>
      </c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46</v>
      </c>
      <c r="S84" s="76">
        <v>43.7</v>
      </c>
      <c r="T84" s="76">
        <v>52</v>
      </c>
      <c r="U84" s="76">
        <v>47.4</v>
      </c>
      <c r="V84" s="76">
        <v>38.4</v>
      </c>
      <c r="W84" s="76">
        <v>22.7</v>
      </c>
      <c r="X84" s="76">
        <v>25</v>
      </c>
      <c r="Y84" s="76">
        <v>23.4</v>
      </c>
      <c r="Z84" s="76">
        <v>22.3</v>
      </c>
      <c r="AA84" s="76">
        <v>21.1</v>
      </c>
      <c r="AB84" s="76">
        <v>20.399999999999999</v>
      </c>
      <c r="AC84" s="76">
        <v>35</v>
      </c>
      <c r="AD84" s="76">
        <v>47.5</v>
      </c>
      <c r="AE84" s="76">
        <v>43.6</v>
      </c>
      <c r="AF84" s="76">
        <v>53</v>
      </c>
      <c r="AG84" s="75"/>
      <c r="AH84" s="47">
        <f t="shared" si="62"/>
        <v>53</v>
      </c>
      <c r="AI84" s="48">
        <f t="shared" si="63"/>
        <v>0</v>
      </c>
      <c r="AK84" s="50"/>
      <c r="AY84" s="233"/>
      <c r="BF84" s="232"/>
      <c r="BG84" s="233">
        <f t="array" ref="BG84:BL107">TRANSPOSE(AZ68:BW73)</f>
        <v>46</v>
      </c>
      <c r="BH84" s="233">
        <v>0</v>
      </c>
      <c r="BI84" s="233">
        <v>362</v>
      </c>
      <c r="BJ84" s="233">
        <v>4</v>
      </c>
      <c r="BK84" s="233">
        <v>121</v>
      </c>
      <c r="BL84" s="233">
        <v>49</v>
      </c>
    </row>
    <row r="85" spans="1:64" x14ac:dyDescent="0.25">
      <c r="A85" s="54" t="s">
        <v>85</v>
      </c>
      <c r="B85" s="45">
        <v>101.2</v>
      </c>
      <c r="C85" s="45">
        <v>120.6</v>
      </c>
      <c r="D85" s="45">
        <v>102.4</v>
      </c>
      <c r="E85" s="45">
        <v>104.8</v>
      </c>
      <c r="F85" s="45">
        <v>104</v>
      </c>
      <c r="G85" s="45">
        <v>106.2</v>
      </c>
      <c r="H85" s="45">
        <v>84</v>
      </c>
      <c r="I85" s="45">
        <v>105</v>
      </c>
      <c r="J85" s="45">
        <v>112.5</v>
      </c>
      <c r="K85" s="45">
        <v>67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102</v>
      </c>
      <c r="R85" s="45">
        <v>100</v>
      </c>
      <c r="S85" s="45">
        <v>96.1</v>
      </c>
      <c r="T85" s="45">
        <f>58.6*2</f>
        <v>117.2</v>
      </c>
      <c r="U85" s="45">
        <v>106</v>
      </c>
      <c r="V85" s="45">
        <v>100.4</v>
      </c>
      <c r="W85" s="45">
        <v>108.8</v>
      </c>
      <c r="X85" s="45">
        <v>91.6</v>
      </c>
      <c r="Y85" s="45">
        <v>57.2</v>
      </c>
      <c r="Z85" s="45">
        <v>65</v>
      </c>
      <c r="AA85" s="45">
        <v>93</v>
      </c>
      <c r="AB85" s="45">
        <v>92.6</v>
      </c>
      <c r="AC85" s="45">
        <v>87</v>
      </c>
      <c r="AD85" s="45">
        <v>111</v>
      </c>
      <c r="AE85" s="45">
        <v>103</v>
      </c>
      <c r="AF85" s="45">
        <v>118</v>
      </c>
      <c r="AG85" s="75"/>
      <c r="AH85" s="47">
        <f t="shared" si="62"/>
        <v>120.6</v>
      </c>
      <c r="AI85" s="48">
        <f t="shared" si="63"/>
        <v>0</v>
      </c>
      <c r="AK85" s="50"/>
      <c r="AY85" s="233"/>
      <c r="BF85" s="232"/>
      <c r="BG85" s="233">
        <v>44</v>
      </c>
      <c r="BH85" s="233">
        <v>0</v>
      </c>
      <c r="BI85" s="233">
        <v>377.8</v>
      </c>
      <c r="BJ85" s="233">
        <v>4.4000000000000004</v>
      </c>
      <c r="BK85" s="233">
        <v>102.4</v>
      </c>
      <c r="BL85" s="233">
        <v>50.58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62"/>
        <v>0</v>
      </c>
      <c r="AI86" s="48">
        <f t="shared" si="63"/>
        <v>0</v>
      </c>
      <c r="AK86" s="50"/>
      <c r="AY86" s="233"/>
      <c r="BF86" s="232"/>
      <c r="BG86" s="233">
        <v>52.9</v>
      </c>
      <c r="BH86" s="233">
        <v>0</v>
      </c>
      <c r="BI86" s="233">
        <v>385.31</v>
      </c>
      <c r="BJ86" s="233">
        <v>5</v>
      </c>
      <c r="BK86" s="233">
        <v>104.8</v>
      </c>
      <c r="BL86" s="233">
        <v>52.16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62"/>
        <v>0</v>
      </c>
      <c r="AI87" s="48">
        <f t="shared" si="63"/>
        <v>0</v>
      </c>
      <c r="AK87" s="50"/>
      <c r="AL87" s="78" t="s">
        <v>88</v>
      </c>
      <c r="AM87" s="78"/>
      <c r="AY87" s="233"/>
      <c r="BF87" s="233"/>
      <c r="BG87" s="233">
        <v>54</v>
      </c>
      <c r="BH87" s="233">
        <v>0</v>
      </c>
      <c r="BI87" s="233">
        <v>430</v>
      </c>
      <c r="BJ87" s="233">
        <v>5.2</v>
      </c>
      <c r="BK87" s="233">
        <v>104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62"/>
        <v>0</v>
      </c>
      <c r="AI88" s="48">
        <f t="shared" si="63"/>
        <v>0</v>
      </c>
      <c r="AK88" s="79"/>
      <c r="AL88" s="80"/>
      <c r="AM88" s="80"/>
      <c r="AN88" s="81"/>
      <c r="AY88" s="233"/>
      <c r="BF88" s="233"/>
      <c r="BG88" s="233">
        <v>38</v>
      </c>
      <c r="BH88" s="233">
        <v>0</v>
      </c>
      <c r="BI88" s="233">
        <v>430</v>
      </c>
      <c r="BJ88" s="233">
        <v>4.9000000000000004</v>
      </c>
      <c r="BK88" s="233">
        <v>106.2</v>
      </c>
      <c r="BL88" s="233">
        <v>31.4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62"/>
        <v>0</v>
      </c>
      <c r="AI89" s="48">
        <f t="shared" si="63"/>
        <v>0</v>
      </c>
      <c r="AK89" s="82" t="s">
        <v>91</v>
      </c>
      <c r="AL89" s="65"/>
      <c r="AM89" s="76"/>
      <c r="AN89" s="83"/>
      <c r="AY89" s="233"/>
      <c r="BF89" s="233"/>
      <c r="BG89" s="233">
        <v>51.7</v>
      </c>
      <c r="BH89" s="233">
        <v>0</v>
      </c>
      <c r="BI89" s="233">
        <v>436.6</v>
      </c>
      <c r="BJ89" s="233">
        <v>6.5</v>
      </c>
      <c r="BK89" s="233">
        <v>105</v>
      </c>
      <c r="BL89" s="233">
        <v>51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62"/>
        <v>0</v>
      </c>
      <c r="AI90" s="48">
        <f t="shared" si="63"/>
        <v>0</v>
      </c>
      <c r="AK90" s="82" t="s">
        <v>93</v>
      </c>
      <c r="AL90" s="76"/>
      <c r="AM90" s="76"/>
      <c r="AN90" s="83"/>
      <c r="AY90" s="233"/>
      <c r="BF90" s="233"/>
      <c r="BG90" s="233">
        <v>44</v>
      </c>
      <c r="BH90" s="233">
        <v>0</v>
      </c>
      <c r="BI90" s="233">
        <v>240</v>
      </c>
      <c r="BJ90" s="233">
        <v>8.3000000000000007</v>
      </c>
      <c r="BK90" s="233">
        <v>67</v>
      </c>
      <c r="BL90" s="233">
        <v>73.8</v>
      </c>
    </row>
    <row r="91" spans="1:64" ht="15.75" thickBot="1" x14ac:dyDescent="0.3">
      <c r="A91" s="84" t="s">
        <v>394</v>
      </c>
      <c r="B91" s="77">
        <v>47</v>
      </c>
      <c r="C91" s="77">
        <v>49.25</v>
      </c>
      <c r="D91" s="77">
        <v>50.58</v>
      </c>
      <c r="E91" s="77">
        <v>52.16</v>
      </c>
      <c r="F91" s="77">
        <v>0</v>
      </c>
      <c r="G91" s="77">
        <v>31.4</v>
      </c>
      <c r="H91" s="77">
        <v>50</v>
      </c>
      <c r="I91" s="77">
        <v>51</v>
      </c>
      <c r="J91" s="77">
        <v>80</v>
      </c>
      <c r="K91" s="77">
        <v>73.8</v>
      </c>
      <c r="L91" s="77">
        <v>67.2</v>
      </c>
      <c r="M91" s="77">
        <v>68</v>
      </c>
      <c r="N91" s="77">
        <v>72</v>
      </c>
      <c r="O91" s="77">
        <v>73</v>
      </c>
      <c r="P91" s="77">
        <v>72</v>
      </c>
      <c r="Q91" s="77">
        <v>74</v>
      </c>
      <c r="R91" s="77">
        <v>72</v>
      </c>
      <c r="S91" s="77">
        <v>72.2</v>
      </c>
      <c r="T91" s="77">
        <v>72.2</v>
      </c>
      <c r="U91" s="77">
        <v>72</v>
      </c>
      <c r="V91" s="77">
        <v>72</v>
      </c>
      <c r="W91" s="77">
        <v>72</v>
      </c>
      <c r="X91" s="77">
        <v>72</v>
      </c>
      <c r="Y91" s="77">
        <v>74</v>
      </c>
      <c r="Z91" s="77">
        <v>74</v>
      </c>
      <c r="AA91" s="77">
        <v>74</v>
      </c>
      <c r="AB91" s="77">
        <v>74</v>
      </c>
      <c r="AC91" s="77">
        <v>74</v>
      </c>
      <c r="AD91" s="77">
        <v>74</v>
      </c>
      <c r="AE91" s="77">
        <v>74</v>
      </c>
      <c r="AF91" s="77">
        <v>70</v>
      </c>
      <c r="AG91" s="85"/>
      <c r="AH91" s="47">
        <f t="shared" si="62"/>
        <v>80</v>
      </c>
      <c r="AI91" s="48">
        <f t="shared" si="63"/>
        <v>0</v>
      </c>
      <c r="AK91" s="86"/>
      <c r="AL91" s="45"/>
      <c r="AM91" s="45"/>
      <c r="AN91" s="87"/>
      <c r="AY91" s="233"/>
      <c r="BF91" s="233"/>
      <c r="BG91" s="233">
        <v>52.8</v>
      </c>
      <c r="BH91" s="233">
        <v>0</v>
      </c>
      <c r="BI91" s="233">
        <v>0</v>
      </c>
      <c r="BJ91" s="233">
        <v>0</v>
      </c>
      <c r="BK91" s="233">
        <v>0</v>
      </c>
      <c r="BL91" s="233">
        <v>68</v>
      </c>
    </row>
    <row r="92" spans="1:64" ht="15.75" thickBot="1" x14ac:dyDescent="0.3">
      <c r="A92" s="74" t="s">
        <v>94</v>
      </c>
      <c r="B92" s="60">
        <f t="shared" ref="B92:C92" si="64">SUMIF(B81:B91,"&gt;0")</f>
        <v>597.1</v>
      </c>
      <c r="C92" s="60">
        <f t="shared" si="64"/>
        <v>581.54999999999995</v>
      </c>
      <c r="D92" s="60">
        <f t="shared" ref="D92" si="65">SUMIF(D81:D91,"&gt;0")</f>
        <v>579.18000000000006</v>
      </c>
      <c r="E92" s="60">
        <f t="shared" ref="E92:AF92" si="66">SUMIF(E81:E91,"&gt;0")</f>
        <v>600.16999999999996</v>
      </c>
      <c r="F92" s="60">
        <f t="shared" si="66"/>
        <v>593.20000000000005</v>
      </c>
      <c r="G92" s="60">
        <f t="shared" si="66"/>
        <v>610.5</v>
      </c>
      <c r="H92" s="60">
        <f t="shared" si="66"/>
        <v>632.79999999999995</v>
      </c>
      <c r="I92" s="60">
        <f t="shared" si="66"/>
        <v>650.79999999999995</v>
      </c>
      <c r="J92" s="60">
        <f t="shared" si="66"/>
        <v>663.1</v>
      </c>
      <c r="K92" s="60">
        <f t="shared" si="66"/>
        <v>433.1</v>
      </c>
      <c r="L92" s="60">
        <f t="shared" si="66"/>
        <v>121.1</v>
      </c>
      <c r="M92" s="60">
        <f t="shared" si="66"/>
        <v>120.8</v>
      </c>
      <c r="N92" s="60">
        <f t="shared" si="66"/>
        <v>190.5</v>
      </c>
      <c r="O92" s="60">
        <f t="shared" si="66"/>
        <v>467</v>
      </c>
      <c r="P92" s="60">
        <f t="shared" si="66"/>
        <v>532.20000000000005</v>
      </c>
      <c r="Q92" s="60">
        <f t="shared" si="66"/>
        <v>722.5</v>
      </c>
      <c r="R92" s="60">
        <f t="shared" si="66"/>
        <v>762</v>
      </c>
      <c r="S92" s="60">
        <f t="shared" si="66"/>
        <v>767.00000000000011</v>
      </c>
      <c r="T92" s="60">
        <f t="shared" ref="T92:U92" si="67">SUMIF(T81:T91,"&gt;0")</f>
        <v>804.30000000000007</v>
      </c>
      <c r="U92" s="60">
        <f t="shared" si="67"/>
        <v>820.4</v>
      </c>
      <c r="V92" s="60">
        <f t="shared" ref="V92:W92" si="68">SUMIF(V81:V91,"&gt;0")</f>
        <v>780.4</v>
      </c>
      <c r="W92" s="60">
        <f t="shared" si="68"/>
        <v>739.3</v>
      </c>
      <c r="X92" s="60">
        <f t="shared" ref="X92:Z92" si="69">SUMIF(X81:X91,"&gt;0")</f>
        <v>680.30000000000007</v>
      </c>
      <c r="Y92" s="60">
        <f t="shared" si="69"/>
        <v>679.7</v>
      </c>
      <c r="Z92" s="60">
        <f t="shared" si="69"/>
        <v>420.5</v>
      </c>
      <c r="AA92" s="60">
        <f t="shared" ref="AA92" si="70">SUMIF(AA81:AA91,"&gt;0")</f>
        <v>345.79999999999995</v>
      </c>
      <c r="AB92" s="60">
        <f t="shared" si="66"/>
        <v>355.3</v>
      </c>
      <c r="AC92" s="60">
        <f t="shared" si="66"/>
        <v>509.3</v>
      </c>
      <c r="AD92" s="60">
        <f t="shared" si="66"/>
        <v>723.3</v>
      </c>
      <c r="AE92" s="60">
        <f t="shared" si="66"/>
        <v>639.6</v>
      </c>
      <c r="AF92" s="60">
        <f t="shared" si="66"/>
        <v>681</v>
      </c>
      <c r="AG92" s="88">
        <f>SUM(AG81:AG91)</f>
        <v>0</v>
      </c>
      <c r="AH92" s="47">
        <f t="shared" si="62"/>
        <v>820.4</v>
      </c>
      <c r="AI92" s="48">
        <f t="shared" si="63"/>
        <v>120.8</v>
      </c>
      <c r="AK92" s="86"/>
      <c r="AL92" s="77"/>
      <c r="AM92" s="89"/>
      <c r="AN92" s="257"/>
      <c r="AY92" s="233"/>
      <c r="BF92" s="233"/>
      <c r="BG92" s="233">
        <v>65.3</v>
      </c>
      <c r="BH92" s="233">
        <v>0</v>
      </c>
      <c r="BI92" s="233">
        <v>53.2</v>
      </c>
      <c r="BJ92" s="233">
        <v>0</v>
      </c>
      <c r="BK92" s="233">
        <v>0</v>
      </c>
      <c r="BL92" s="233">
        <v>72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62"/>
        <v>0</v>
      </c>
      <c r="AI93" s="48">
        <f t="shared" si="63"/>
        <v>0</v>
      </c>
      <c r="AK93" s="86"/>
      <c r="AL93" s="77"/>
      <c r="AM93" s="77"/>
      <c r="AN93" s="258"/>
      <c r="BF93" s="233"/>
      <c r="BG93" s="233">
        <v>55</v>
      </c>
      <c r="BH93" s="233">
        <v>0</v>
      </c>
      <c r="BI93" s="233">
        <v>339</v>
      </c>
      <c r="BJ93" s="233">
        <v>0</v>
      </c>
      <c r="BK93" s="233">
        <v>0</v>
      </c>
      <c r="BL93" s="233">
        <v>73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62"/>
        <v>0</v>
      </c>
      <c r="AI94" s="48">
        <f t="shared" si="63"/>
        <v>0</v>
      </c>
      <c r="AK94" s="91"/>
      <c r="AL94" s="92"/>
      <c r="AM94" s="92"/>
      <c r="AN94" s="93"/>
      <c r="BF94" s="233"/>
      <c r="BG94" s="233">
        <v>53.2</v>
      </c>
      <c r="BH94" s="233">
        <v>0</v>
      </c>
      <c r="BI94" s="233">
        <v>407</v>
      </c>
      <c r="BJ94" s="233">
        <v>0</v>
      </c>
      <c r="BK94" s="233">
        <v>0</v>
      </c>
      <c r="BL94" s="233">
        <v>72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62"/>
        <v>0</v>
      </c>
      <c r="AI95" s="48">
        <f t="shared" si="63"/>
        <v>0</v>
      </c>
      <c r="BF95" s="233"/>
      <c r="BG95" s="233">
        <v>71.5</v>
      </c>
      <c r="BH95" s="233">
        <v>0</v>
      </c>
      <c r="BI95" s="233">
        <v>475</v>
      </c>
      <c r="BJ95" s="233">
        <v>0</v>
      </c>
      <c r="BK95" s="233">
        <v>102</v>
      </c>
      <c r="BL95" s="233">
        <v>74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62"/>
        <v>0</v>
      </c>
      <c r="AI96" s="48">
        <f t="shared" si="63"/>
        <v>0</v>
      </c>
      <c r="BF96" s="233"/>
      <c r="BG96" s="233">
        <v>71</v>
      </c>
      <c r="BH96" s="233">
        <v>0</v>
      </c>
      <c r="BI96" s="233">
        <v>473</v>
      </c>
      <c r="BJ96" s="233">
        <v>46</v>
      </c>
      <c r="BK96" s="233">
        <v>100</v>
      </c>
      <c r="BL96" s="233">
        <v>72</v>
      </c>
    </row>
    <row r="97" spans="1:64" ht="15.75" thickBot="1" x14ac:dyDescent="0.3">
      <c r="A97" s="74" t="s">
        <v>99</v>
      </c>
      <c r="B97" s="95">
        <f t="shared" ref="B97:C97" si="71">B58+B62+B80+B76+B92+B96</f>
        <v>1211.8900000000001</v>
      </c>
      <c r="C97" s="95">
        <f t="shared" si="71"/>
        <v>1196.3400000000001</v>
      </c>
      <c r="D97" s="95">
        <f t="shared" ref="D97" si="72">D58+D62+D80+D76+D92+D96</f>
        <v>1193.9700000000003</v>
      </c>
      <c r="E97" s="95">
        <f t="shared" ref="E97:AG97" si="73">E58+E62+E80+E76+E92+E96</f>
        <v>1180.96</v>
      </c>
      <c r="F97" s="95">
        <f t="shared" si="73"/>
        <v>1199.79</v>
      </c>
      <c r="G97" s="95">
        <f t="shared" si="73"/>
        <v>1205.69</v>
      </c>
      <c r="H97" s="95">
        <f t="shared" si="73"/>
        <v>1262.29</v>
      </c>
      <c r="I97" s="95">
        <f t="shared" si="73"/>
        <v>1368.49</v>
      </c>
      <c r="J97" s="95">
        <f t="shared" si="73"/>
        <v>1522.99</v>
      </c>
      <c r="K97" s="95">
        <f t="shared" si="73"/>
        <v>1408.99</v>
      </c>
      <c r="L97" s="95">
        <f t="shared" si="73"/>
        <v>1366.4899999999998</v>
      </c>
      <c r="M97" s="95">
        <f t="shared" si="73"/>
        <v>1389.99</v>
      </c>
      <c r="N97" s="95">
        <f t="shared" si="73"/>
        <v>1238.19</v>
      </c>
      <c r="O97" s="95">
        <f t="shared" si="73"/>
        <v>1292.69</v>
      </c>
      <c r="P97" s="95">
        <f t="shared" si="73"/>
        <v>1388.0900000000001</v>
      </c>
      <c r="Q97" s="95">
        <f t="shared" si="73"/>
        <v>1545.99</v>
      </c>
      <c r="R97" s="95">
        <f t="shared" si="73"/>
        <v>1462.99</v>
      </c>
      <c r="S97" s="95">
        <f t="shared" si="73"/>
        <v>1514.19</v>
      </c>
      <c r="T97" s="95">
        <f t="shared" ref="T97:U97" si="74">T58+T62+T80+T76+T92+T96</f>
        <v>1528.9900000000002</v>
      </c>
      <c r="U97" s="95">
        <f t="shared" si="74"/>
        <v>1484.8899999999999</v>
      </c>
      <c r="V97" s="95">
        <f t="shared" ref="V97:W97" si="75">V58+V62+V80+V76+V92+V96</f>
        <v>1443.79</v>
      </c>
      <c r="W97" s="95">
        <f t="shared" si="75"/>
        <v>1401.8899999999999</v>
      </c>
      <c r="X97" s="95">
        <f t="shared" ref="X97:Z97" si="76">X58+X62+X80+X76+X92+X96</f>
        <v>1392.39</v>
      </c>
      <c r="Y97" s="95">
        <f t="shared" si="76"/>
        <v>1441.79</v>
      </c>
      <c r="Z97" s="95">
        <f t="shared" si="76"/>
        <v>1555.5900000000001</v>
      </c>
      <c r="AA97" s="95">
        <f t="shared" ref="AA97" si="77">AA58+AA62+AA80+AA76+AA92+AA96</f>
        <v>1443.99</v>
      </c>
      <c r="AB97" s="95">
        <f t="shared" si="73"/>
        <v>1374.69</v>
      </c>
      <c r="AC97" s="95">
        <f t="shared" si="73"/>
        <v>1351.9900000000002</v>
      </c>
      <c r="AD97" s="95">
        <f t="shared" si="73"/>
        <v>1390.09</v>
      </c>
      <c r="AE97" s="95">
        <f t="shared" si="73"/>
        <v>1326.39</v>
      </c>
      <c r="AF97" s="95">
        <f t="shared" si="73"/>
        <v>1280.3900000000001</v>
      </c>
      <c r="AG97" s="61">
        <f t="shared" si="73"/>
        <v>2231.81</v>
      </c>
      <c r="AH97" s="47">
        <f t="shared" si="62"/>
        <v>1555.5900000000001</v>
      </c>
      <c r="AI97" s="48">
        <f t="shared" si="63"/>
        <v>1180.96</v>
      </c>
      <c r="BF97" s="233"/>
      <c r="BG97" s="233">
        <v>66</v>
      </c>
      <c r="BH97" s="233">
        <v>0</v>
      </c>
      <c r="BI97" s="233">
        <v>489</v>
      </c>
      <c r="BJ97" s="233">
        <v>43.7</v>
      </c>
      <c r="BK97" s="233">
        <v>96.1</v>
      </c>
      <c r="BL97" s="233">
        <v>72.2</v>
      </c>
    </row>
    <row r="98" spans="1:64" ht="15.75" thickBot="1" x14ac:dyDescent="0.3">
      <c r="A98" s="96" t="s">
        <v>100</v>
      </c>
      <c r="B98" s="97">
        <v>0</v>
      </c>
      <c r="C98" s="97">
        <v>0</v>
      </c>
      <c r="D98" s="97">
        <v>0</v>
      </c>
      <c r="E98" s="97"/>
      <c r="F98" s="97"/>
      <c r="G98" s="97"/>
      <c r="H98" s="97"/>
      <c r="I98" s="97"/>
      <c r="J98" s="97"/>
      <c r="K98" s="97">
        <v>150</v>
      </c>
      <c r="L98" s="97">
        <v>300</v>
      </c>
      <c r="M98" s="97">
        <v>300</v>
      </c>
      <c r="N98" s="97">
        <v>300</v>
      </c>
      <c r="O98" s="97">
        <v>280</v>
      </c>
      <c r="P98" s="97">
        <v>250</v>
      </c>
      <c r="Q98" s="97"/>
      <c r="R98" s="97"/>
      <c r="S98" s="97"/>
      <c r="T98" s="97"/>
      <c r="U98" s="97"/>
      <c r="V98" s="97">
        <v>100</v>
      </c>
      <c r="W98" s="97">
        <v>150</v>
      </c>
      <c r="X98" s="97">
        <v>250</v>
      </c>
      <c r="Y98" s="97">
        <v>250</v>
      </c>
      <c r="Z98" s="97">
        <v>250</v>
      </c>
      <c r="AA98" s="97">
        <v>250</v>
      </c>
      <c r="AB98" s="97">
        <v>250</v>
      </c>
      <c r="AC98" s="97">
        <v>230</v>
      </c>
      <c r="AD98" s="97">
        <v>100</v>
      </c>
      <c r="AE98" s="97"/>
      <c r="AF98" s="97"/>
      <c r="AG98" s="88"/>
      <c r="AH98" s="47">
        <f t="shared" si="62"/>
        <v>300</v>
      </c>
      <c r="AI98" s="48">
        <f t="shared" si="63"/>
        <v>0</v>
      </c>
      <c r="BF98" s="233"/>
      <c r="BG98" s="233">
        <v>54.7</v>
      </c>
      <c r="BH98" s="233">
        <v>0</v>
      </c>
      <c r="BI98" s="233">
        <v>508.2</v>
      </c>
      <c r="BJ98" s="233">
        <v>52</v>
      </c>
      <c r="BK98" s="233">
        <v>117.2</v>
      </c>
      <c r="BL98" s="233">
        <v>72.2</v>
      </c>
    </row>
    <row r="99" spans="1:64" ht="15.75" thickBot="1" x14ac:dyDescent="0.3">
      <c r="A99" s="74" t="s">
        <v>101</v>
      </c>
      <c r="B99" s="95">
        <f t="shared" ref="B99:C99" si="78">B97+B98</f>
        <v>1211.8900000000001</v>
      </c>
      <c r="C99" s="95">
        <f t="shared" si="78"/>
        <v>1196.3400000000001</v>
      </c>
      <c r="D99" s="95">
        <f t="shared" ref="D99" si="79">D97+D98</f>
        <v>1193.9700000000003</v>
      </c>
      <c r="E99" s="95">
        <f t="shared" ref="E99:AF99" si="80">E97+E98</f>
        <v>1180.96</v>
      </c>
      <c r="F99" s="95">
        <f t="shared" si="80"/>
        <v>1199.79</v>
      </c>
      <c r="G99" s="95">
        <f t="shared" si="80"/>
        <v>1205.69</v>
      </c>
      <c r="H99" s="95">
        <f t="shared" si="80"/>
        <v>1262.29</v>
      </c>
      <c r="I99" s="95">
        <f t="shared" si="80"/>
        <v>1368.49</v>
      </c>
      <c r="J99" s="95">
        <f t="shared" si="80"/>
        <v>1522.99</v>
      </c>
      <c r="K99" s="95">
        <f t="shared" si="80"/>
        <v>1558.99</v>
      </c>
      <c r="L99" s="95">
        <f t="shared" si="80"/>
        <v>1666.4899999999998</v>
      </c>
      <c r="M99" s="95">
        <f t="shared" si="80"/>
        <v>1689.99</v>
      </c>
      <c r="N99" s="95">
        <f t="shared" si="80"/>
        <v>1538.19</v>
      </c>
      <c r="O99" s="95">
        <f t="shared" si="80"/>
        <v>1572.69</v>
      </c>
      <c r="P99" s="95">
        <f t="shared" si="80"/>
        <v>1638.0900000000001</v>
      </c>
      <c r="Q99" s="95">
        <f t="shared" si="80"/>
        <v>1545.99</v>
      </c>
      <c r="R99" s="95">
        <f t="shared" si="80"/>
        <v>1462.99</v>
      </c>
      <c r="S99" s="95">
        <f t="shared" si="80"/>
        <v>1514.19</v>
      </c>
      <c r="T99" s="95">
        <f t="shared" ref="T99:U99" si="81">T97+T98</f>
        <v>1528.9900000000002</v>
      </c>
      <c r="U99" s="95">
        <f t="shared" si="81"/>
        <v>1484.8899999999999</v>
      </c>
      <c r="V99" s="95">
        <f t="shared" ref="V99:W99" si="82">V97+V98</f>
        <v>1543.79</v>
      </c>
      <c r="W99" s="95">
        <f t="shared" si="82"/>
        <v>1551.8899999999999</v>
      </c>
      <c r="X99" s="95">
        <f t="shared" ref="X99:Z99" si="83">X97+X98</f>
        <v>1642.39</v>
      </c>
      <c r="Y99" s="95">
        <f t="shared" si="83"/>
        <v>1691.79</v>
      </c>
      <c r="Z99" s="95">
        <f t="shared" si="83"/>
        <v>1805.5900000000001</v>
      </c>
      <c r="AA99" s="95">
        <f t="shared" ref="AA99" si="84">AA97+AA98</f>
        <v>1693.99</v>
      </c>
      <c r="AB99" s="95">
        <f t="shared" si="80"/>
        <v>1624.69</v>
      </c>
      <c r="AC99" s="95">
        <f t="shared" si="80"/>
        <v>1581.9900000000002</v>
      </c>
      <c r="AD99" s="95">
        <f t="shared" si="80"/>
        <v>1490.09</v>
      </c>
      <c r="AE99" s="95">
        <f t="shared" si="80"/>
        <v>1326.39</v>
      </c>
      <c r="AF99" s="95">
        <f t="shared" si="80"/>
        <v>1280.3900000000001</v>
      </c>
      <c r="AG99" s="88">
        <f>AG96+AG92+AG80+AG76+AG58+AG98</f>
        <v>1693.71</v>
      </c>
      <c r="AH99" s="47">
        <f t="shared" si="62"/>
        <v>1805.5900000000001</v>
      </c>
      <c r="AI99" s="48">
        <f t="shared" si="63"/>
        <v>1180.96</v>
      </c>
      <c r="BF99" s="233"/>
      <c r="BG99" s="233">
        <v>56</v>
      </c>
      <c r="BH99" s="233">
        <v>0</v>
      </c>
      <c r="BI99" s="233">
        <v>539</v>
      </c>
      <c r="BJ99" s="233">
        <v>47.4</v>
      </c>
      <c r="BK99" s="233">
        <v>106</v>
      </c>
      <c r="BL99" s="233">
        <v>72</v>
      </c>
    </row>
    <row r="100" spans="1:64" ht="15.75" thickBot="1" x14ac:dyDescent="0.3">
      <c r="A100" s="74" t="s">
        <v>102</v>
      </c>
      <c r="B100" s="95">
        <f t="shared" ref="B100:C100" si="85">B99-(B107)</f>
        <v>1211.8900000000001</v>
      </c>
      <c r="C100" s="95">
        <f t="shared" si="85"/>
        <v>1196.3400000000001</v>
      </c>
      <c r="D100" s="95">
        <f t="shared" ref="D100" si="86">D99-(D107)</f>
        <v>1193.9700000000003</v>
      </c>
      <c r="E100" s="95">
        <f t="shared" ref="E100:M100" si="87">E99-(E107)</f>
        <v>1180.96</v>
      </c>
      <c r="F100" s="95">
        <f t="shared" si="87"/>
        <v>1199.79</v>
      </c>
      <c r="G100" s="95">
        <f t="shared" si="87"/>
        <v>1205.69</v>
      </c>
      <c r="H100" s="95">
        <f t="shared" si="87"/>
        <v>1262.29</v>
      </c>
      <c r="I100" s="95">
        <f t="shared" si="87"/>
        <v>1368.49</v>
      </c>
      <c r="J100" s="95">
        <f t="shared" si="87"/>
        <v>1522.99</v>
      </c>
      <c r="K100" s="95">
        <f t="shared" si="87"/>
        <v>1558.99</v>
      </c>
      <c r="L100" s="95">
        <f t="shared" si="87"/>
        <v>1666.4899999999998</v>
      </c>
      <c r="M100" s="95">
        <f t="shared" si="87"/>
        <v>1689.99</v>
      </c>
      <c r="N100" s="95">
        <f>N99-(N107)</f>
        <v>1538.19</v>
      </c>
      <c r="O100" s="95">
        <f t="shared" ref="O100:AF100" si="88">O99-(O107)</f>
        <v>1572.69</v>
      </c>
      <c r="P100" s="95">
        <f t="shared" si="88"/>
        <v>1638.0900000000001</v>
      </c>
      <c r="Q100" s="95">
        <f t="shared" si="88"/>
        <v>1545.99</v>
      </c>
      <c r="R100" s="95">
        <f t="shared" si="88"/>
        <v>1462.99</v>
      </c>
      <c r="S100" s="95">
        <f t="shared" si="88"/>
        <v>1514.19</v>
      </c>
      <c r="T100" s="95">
        <f t="shared" ref="T100:U100" si="89">T99-(T107)</f>
        <v>1528.9900000000002</v>
      </c>
      <c r="U100" s="95">
        <f t="shared" si="89"/>
        <v>1484.8899999999999</v>
      </c>
      <c r="V100" s="95">
        <f t="shared" ref="V100:W100" si="90">V99-(V107)</f>
        <v>1543.79</v>
      </c>
      <c r="W100" s="95">
        <f t="shared" si="90"/>
        <v>1551.8899999999999</v>
      </c>
      <c r="X100" s="95">
        <f t="shared" ref="X100:Z100" si="91">X99-(X107)</f>
        <v>1642.39</v>
      </c>
      <c r="Y100" s="95">
        <f t="shared" si="91"/>
        <v>1691.79</v>
      </c>
      <c r="Z100" s="95">
        <f t="shared" si="91"/>
        <v>1805.5900000000001</v>
      </c>
      <c r="AA100" s="95">
        <f t="shared" ref="AA100" si="92">AA99-(AA107)</f>
        <v>1693.99</v>
      </c>
      <c r="AB100" s="95">
        <f t="shared" si="88"/>
        <v>1624.69</v>
      </c>
      <c r="AC100" s="95">
        <f t="shared" si="88"/>
        <v>1581.9900000000002</v>
      </c>
      <c r="AD100" s="95">
        <f t="shared" si="88"/>
        <v>1490.09</v>
      </c>
      <c r="AE100" s="95">
        <f t="shared" si="88"/>
        <v>1326.39</v>
      </c>
      <c r="AF100" s="95">
        <f t="shared" si="88"/>
        <v>1280.3900000000001</v>
      </c>
      <c r="AG100" s="88"/>
      <c r="AH100" s="47">
        <f t="shared" si="62"/>
        <v>1805.5900000000001</v>
      </c>
      <c r="AI100" s="48">
        <f t="shared" si="63"/>
        <v>1180.96</v>
      </c>
      <c r="BF100" s="233"/>
      <c r="BG100" s="233">
        <v>57</v>
      </c>
      <c r="BH100" s="233">
        <v>0</v>
      </c>
      <c r="BI100" s="233">
        <v>512.6</v>
      </c>
      <c r="BJ100" s="233">
        <v>38.4</v>
      </c>
      <c r="BK100" s="233">
        <v>100.4</v>
      </c>
      <c r="BL100" s="233">
        <v>72</v>
      </c>
    </row>
    <row r="101" spans="1:64" x14ac:dyDescent="0.25">
      <c r="A101" s="44" t="s">
        <v>84</v>
      </c>
      <c r="B101" s="76">
        <f t="shared" ref="B101:C101" si="93">IF(B84&lt;0,B84*-1,0)</f>
        <v>0</v>
      </c>
      <c r="C101" s="76">
        <f t="shared" si="93"/>
        <v>0</v>
      </c>
      <c r="D101" s="76">
        <f t="shared" ref="D101" si="94">IF(D84&lt;0,D84*-1,0)</f>
        <v>0</v>
      </c>
      <c r="E101" s="76">
        <f t="shared" ref="E101:AF101" si="95">IF(E84&lt;0,E84*-1,0)</f>
        <v>0</v>
      </c>
      <c r="F101" s="76">
        <f t="shared" si="95"/>
        <v>0</v>
      </c>
      <c r="G101" s="76">
        <f t="shared" si="95"/>
        <v>0</v>
      </c>
      <c r="H101" s="76">
        <f t="shared" si="95"/>
        <v>0</v>
      </c>
      <c r="I101" s="76">
        <f t="shared" si="95"/>
        <v>0</v>
      </c>
      <c r="J101" s="76">
        <f t="shared" si="95"/>
        <v>0</v>
      </c>
      <c r="K101" s="76">
        <f t="shared" si="95"/>
        <v>0</v>
      </c>
      <c r="L101" s="76">
        <f t="shared" si="95"/>
        <v>0</v>
      </c>
      <c r="M101" s="76">
        <f t="shared" si="95"/>
        <v>0</v>
      </c>
      <c r="N101" s="76">
        <f t="shared" si="95"/>
        <v>0</v>
      </c>
      <c r="O101" s="76">
        <f t="shared" si="95"/>
        <v>0</v>
      </c>
      <c r="P101" s="76">
        <f t="shared" si="95"/>
        <v>0</v>
      </c>
      <c r="Q101" s="76">
        <f t="shared" si="95"/>
        <v>0</v>
      </c>
      <c r="R101" s="76">
        <f t="shared" si="95"/>
        <v>0</v>
      </c>
      <c r="S101" s="76">
        <f t="shared" si="95"/>
        <v>0</v>
      </c>
      <c r="T101" s="76">
        <f t="shared" ref="T101:U101" si="96">IF(T84&lt;0,T84*-1,0)</f>
        <v>0</v>
      </c>
      <c r="U101" s="76">
        <f t="shared" si="96"/>
        <v>0</v>
      </c>
      <c r="V101" s="76">
        <f t="shared" ref="V101:W101" si="97">IF(V84&lt;0,V84*-1,0)</f>
        <v>0</v>
      </c>
      <c r="W101" s="76">
        <f t="shared" si="97"/>
        <v>0</v>
      </c>
      <c r="X101" s="76">
        <f t="shared" ref="X101:Z101" si="98">IF(X84&lt;0,X84*-1,0)</f>
        <v>0</v>
      </c>
      <c r="Y101" s="76">
        <f t="shared" si="98"/>
        <v>0</v>
      </c>
      <c r="Z101" s="76">
        <f t="shared" si="98"/>
        <v>0</v>
      </c>
      <c r="AA101" s="76">
        <f t="shared" ref="AA101" si="99">IF(AA84&lt;0,AA84*-1,0)</f>
        <v>0</v>
      </c>
      <c r="AB101" s="76">
        <f t="shared" si="95"/>
        <v>0</v>
      </c>
      <c r="AC101" s="76">
        <f t="shared" si="95"/>
        <v>0</v>
      </c>
      <c r="AD101" s="76">
        <f t="shared" si="95"/>
        <v>0</v>
      </c>
      <c r="AE101" s="76">
        <f t="shared" si="95"/>
        <v>0</v>
      </c>
      <c r="AF101" s="76">
        <f t="shared" si="95"/>
        <v>0</v>
      </c>
      <c r="AG101" s="52"/>
      <c r="AH101" s="47">
        <f t="shared" si="62"/>
        <v>0</v>
      </c>
      <c r="AI101" s="48">
        <f t="shared" si="63"/>
        <v>0</v>
      </c>
      <c r="BF101" s="232"/>
      <c r="BG101" s="233">
        <v>59.4</v>
      </c>
      <c r="BH101" s="233">
        <v>0</v>
      </c>
      <c r="BI101" s="233">
        <v>432.3</v>
      </c>
      <c r="BJ101" s="233">
        <v>25</v>
      </c>
      <c r="BK101" s="233">
        <v>91.6</v>
      </c>
      <c r="BL101" s="233">
        <v>72</v>
      </c>
    </row>
    <row r="102" spans="1:64" x14ac:dyDescent="0.25">
      <c r="A102" s="54" t="s">
        <v>82</v>
      </c>
      <c r="B102" s="76">
        <f t="shared" ref="B102:C102" si="100">IF(B82&lt;0,B82*-1,0)</f>
        <v>0</v>
      </c>
      <c r="C102" s="76">
        <f t="shared" si="100"/>
        <v>0</v>
      </c>
      <c r="D102" s="76">
        <f t="shared" ref="D102" si="101">IF(D82&lt;0,D82*-1,0)</f>
        <v>0</v>
      </c>
      <c r="E102" s="76">
        <f t="shared" ref="E102:AF102" si="102">IF(E82&lt;0,E82*-1,0)</f>
        <v>0</v>
      </c>
      <c r="F102" s="76">
        <f t="shared" si="102"/>
        <v>0</v>
      </c>
      <c r="G102" s="76">
        <f t="shared" si="102"/>
        <v>0</v>
      </c>
      <c r="H102" s="76">
        <f t="shared" si="102"/>
        <v>0</v>
      </c>
      <c r="I102" s="76">
        <f t="shared" si="102"/>
        <v>0</v>
      </c>
      <c r="J102" s="76">
        <f t="shared" si="102"/>
        <v>0</v>
      </c>
      <c r="K102" s="76">
        <f t="shared" si="102"/>
        <v>0</v>
      </c>
      <c r="L102" s="76">
        <f t="shared" si="102"/>
        <v>0</v>
      </c>
      <c r="M102" s="76">
        <f t="shared" si="102"/>
        <v>0</v>
      </c>
      <c r="N102" s="76">
        <f t="shared" si="102"/>
        <v>0</v>
      </c>
      <c r="O102" s="76">
        <f t="shared" si="102"/>
        <v>0</v>
      </c>
      <c r="P102" s="76">
        <f t="shared" si="102"/>
        <v>0</v>
      </c>
      <c r="Q102" s="76">
        <f t="shared" si="102"/>
        <v>0</v>
      </c>
      <c r="R102" s="76">
        <f t="shared" si="102"/>
        <v>0</v>
      </c>
      <c r="S102" s="76">
        <f t="shared" si="102"/>
        <v>0</v>
      </c>
      <c r="T102" s="76">
        <f t="shared" ref="T102:U102" si="103">IF(T82&lt;0,T82*-1,0)</f>
        <v>0</v>
      </c>
      <c r="U102" s="76">
        <f t="shared" si="103"/>
        <v>0</v>
      </c>
      <c r="V102" s="76">
        <f t="shared" ref="V102:W102" si="104">IF(V82&lt;0,V82*-1,0)</f>
        <v>0</v>
      </c>
      <c r="W102" s="76">
        <f t="shared" si="104"/>
        <v>0</v>
      </c>
      <c r="X102" s="76">
        <f t="shared" ref="X102:Z102" si="105">IF(X82&lt;0,X82*-1,0)</f>
        <v>0</v>
      </c>
      <c r="Y102" s="76">
        <f t="shared" si="105"/>
        <v>0</v>
      </c>
      <c r="Z102" s="76">
        <f t="shared" si="105"/>
        <v>0</v>
      </c>
      <c r="AA102" s="76">
        <f t="shared" ref="AA102" si="106">IF(AA82&lt;0,AA82*-1,0)</f>
        <v>0</v>
      </c>
      <c r="AB102" s="76">
        <f t="shared" si="102"/>
        <v>0</v>
      </c>
      <c r="AC102" s="76">
        <f t="shared" si="102"/>
        <v>0</v>
      </c>
      <c r="AD102" s="76">
        <f t="shared" si="102"/>
        <v>0</v>
      </c>
      <c r="AE102" s="76">
        <f t="shared" si="102"/>
        <v>0</v>
      </c>
      <c r="AF102" s="76">
        <f t="shared" si="102"/>
        <v>0</v>
      </c>
      <c r="AG102" s="55"/>
      <c r="AH102" s="47">
        <f t="shared" si="62"/>
        <v>0</v>
      </c>
      <c r="AI102" s="48">
        <f t="shared" si="63"/>
        <v>0</v>
      </c>
      <c r="BF102" s="232"/>
      <c r="BG102" s="233">
        <v>58.3</v>
      </c>
      <c r="BH102" s="233">
        <v>0</v>
      </c>
      <c r="BI102" s="233">
        <v>200.9</v>
      </c>
      <c r="BJ102" s="233">
        <v>22.3</v>
      </c>
      <c r="BK102" s="233">
        <v>65</v>
      </c>
      <c r="BL102" s="233">
        <v>74</v>
      </c>
    </row>
    <row r="103" spans="1:64" x14ac:dyDescent="0.25">
      <c r="A103" s="84" t="s">
        <v>103</v>
      </c>
      <c r="B103" s="76">
        <f t="shared" ref="B103:C103" si="107">IF(B85&lt;0,B85*-1,0)</f>
        <v>0</v>
      </c>
      <c r="C103" s="76">
        <f t="shared" si="107"/>
        <v>0</v>
      </c>
      <c r="D103" s="76">
        <f t="shared" ref="D103" si="108">IF(D85&lt;0,D85*-1,0)</f>
        <v>0</v>
      </c>
      <c r="E103" s="76">
        <f t="shared" ref="E103:AF103" si="109">IF(E85&lt;0,E85*-1,0)</f>
        <v>0</v>
      </c>
      <c r="F103" s="76">
        <f t="shared" si="109"/>
        <v>0</v>
      </c>
      <c r="G103" s="76">
        <f t="shared" si="109"/>
        <v>0</v>
      </c>
      <c r="H103" s="76">
        <f t="shared" si="109"/>
        <v>0</v>
      </c>
      <c r="I103" s="76">
        <f t="shared" si="109"/>
        <v>0</v>
      </c>
      <c r="J103" s="76">
        <f t="shared" si="109"/>
        <v>0</v>
      </c>
      <c r="K103" s="76">
        <f t="shared" si="109"/>
        <v>0</v>
      </c>
      <c r="L103" s="76">
        <f t="shared" si="109"/>
        <v>0</v>
      </c>
      <c r="M103" s="76">
        <f t="shared" si="109"/>
        <v>0</v>
      </c>
      <c r="N103" s="76">
        <f t="shared" si="109"/>
        <v>0</v>
      </c>
      <c r="O103" s="76">
        <f t="shared" si="109"/>
        <v>0</v>
      </c>
      <c r="P103" s="76">
        <f t="shared" si="109"/>
        <v>0</v>
      </c>
      <c r="Q103" s="76">
        <f t="shared" si="109"/>
        <v>0</v>
      </c>
      <c r="R103" s="76">
        <f t="shared" si="109"/>
        <v>0</v>
      </c>
      <c r="S103" s="76">
        <f t="shared" si="109"/>
        <v>0</v>
      </c>
      <c r="T103" s="76">
        <f t="shared" ref="T103:U103" si="110">IF(T85&lt;0,T85*-1,0)</f>
        <v>0</v>
      </c>
      <c r="U103" s="76">
        <f t="shared" si="110"/>
        <v>0</v>
      </c>
      <c r="V103" s="76">
        <f t="shared" ref="V103:W103" si="111">IF(V85&lt;0,V85*-1,0)</f>
        <v>0</v>
      </c>
      <c r="W103" s="76">
        <f t="shared" si="111"/>
        <v>0</v>
      </c>
      <c r="X103" s="76">
        <f t="shared" ref="X103:Z103" si="112">IF(X85&lt;0,X85*-1,0)</f>
        <v>0</v>
      </c>
      <c r="Y103" s="76">
        <f t="shared" si="112"/>
        <v>0</v>
      </c>
      <c r="Z103" s="76">
        <f t="shared" si="112"/>
        <v>0</v>
      </c>
      <c r="AA103" s="76">
        <f t="shared" ref="AA103" si="113">IF(AA85&lt;0,AA85*-1,0)</f>
        <v>0</v>
      </c>
      <c r="AB103" s="76">
        <f t="shared" si="109"/>
        <v>0</v>
      </c>
      <c r="AC103" s="76">
        <f t="shared" si="109"/>
        <v>0</v>
      </c>
      <c r="AD103" s="76">
        <f t="shared" si="109"/>
        <v>0</v>
      </c>
      <c r="AE103" s="76">
        <f t="shared" si="109"/>
        <v>0</v>
      </c>
      <c r="AF103" s="76">
        <f t="shared" si="109"/>
        <v>0</v>
      </c>
      <c r="AG103" s="98"/>
      <c r="AH103" s="47">
        <f t="shared" si="62"/>
        <v>0</v>
      </c>
      <c r="AI103" s="48">
        <f t="shared" si="63"/>
        <v>0</v>
      </c>
      <c r="BF103" s="232"/>
      <c r="BG103" s="233">
        <v>68.3</v>
      </c>
      <c r="BH103" s="233">
        <v>0</v>
      </c>
      <c r="BI103" s="233">
        <v>100</v>
      </c>
      <c r="BJ103" s="233">
        <v>20.399999999999999</v>
      </c>
      <c r="BK103" s="233">
        <v>92.6</v>
      </c>
      <c r="BL103" s="233">
        <v>74</v>
      </c>
    </row>
    <row r="104" spans="1:64" x14ac:dyDescent="0.25">
      <c r="A104" s="84" t="s">
        <v>104</v>
      </c>
      <c r="B104" s="76">
        <f t="shared" ref="B104:C104" si="114">IF(B83&lt;0,B83*-1,0)</f>
        <v>0</v>
      </c>
      <c r="C104" s="76">
        <f t="shared" si="114"/>
        <v>0</v>
      </c>
      <c r="D104" s="76">
        <f t="shared" ref="D104" si="115">IF(D83&lt;0,D83*-1,0)</f>
        <v>0</v>
      </c>
      <c r="E104" s="76">
        <f t="shared" ref="E104:AF104" si="116">IF(E83&lt;0,E83*-1,0)</f>
        <v>0</v>
      </c>
      <c r="F104" s="76">
        <f t="shared" si="116"/>
        <v>0</v>
      </c>
      <c r="G104" s="76">
        <f t="shared" si="116"/>
        <v>0</v>
      </c>
      <c r="H104" s="76">
        <f t="shared" si="116"/>
        <v>0</v>
      </c>
      <c r="I104" s="76">
        <f t="shared" si="116"/>
        <v>0</v>
      </c>
      <c r="J104" s="76">
        <f t="shared" si="116"/>
        <v>0</v>
      </c>
      <c r="K104" s="76">
        <f t="shared" si="116"/>
        <v>0</v>
      </c>
      <c r="L104" s="76">
        <f t="shared" si="116"/>
        <v>0</v>
      </c>
      <c r="M104" s="76">
        <f t="shared" si="116"/>
        <v>0</v>
      </c>
      <c r="N104" s="76">
        <f t="shared" si="116"/>
        <v>0</v>
      </c>
      <c r="O104" s="76">
        <f t="shared" si="116"/>
        <v>0</v>
      </c>
      <c r="P104" s="76">
        <f t="shared" si="116"/>
        <v>0</v>
      </c>
      <c r="Q104" s="76">
        <f t="shared" si="116"/>
        <v>0</v>
      </c>
      <c r="R104" s="76">
        <f t="shared" si="116"/>
        <v>0</v>
      </c>
      <c r="S104" s="76">
        <f t="shared" si="116"/>
        <v>0</v>
      </c>
      <c r="T104" s="76">
        <f t="shared" ref="T104:U104" si="117">IF(T83&lt;0,T83*-1,0)</f>
        <v>0</v>
      </c>
      <c r="U104" s="76">
        <f t="shared" si="117"/>
        <v>0</v>
      </c>
      <c r="V104" s="76">
        <f t="shared" ref="V104:W104" si="118">IF(V83&lt;0,V83*-1,0)</f>
        <v>0</v>
      </c>
      <c r="W104" s="76">
        <f t="shared" si="118"/>
        <v>0</v>
      </c>
      <c r="X104" s="76">
        <f t="shared" ref="X104:Z104" si="119">IF(X83&lt;0,X83*-1,0)</f>
        <v>0</v>
      </c>
      <c r="Y104" s="76">
        <f t="shared" si="119"/>
        <v>0</v>
      </c>
      <c r="Z104" s="76">
        <f t="shared" si="119"/>
        <v>0</v>
      </c>
      <c r="AA104" s="76">
        <f t="shared" ref="AA104" si="120">IF(AA83&lt;0,AA83*-1,0)</f>
        <v>0</v>
      </c>
      <c r="AB104" s="76">
        <f t="shared" si="116"/>
        <v>0</v>
      </c>
      <c r="AC104" s="76">
        <f t="shared" si="116"/>
        <v>0</v>
      </c>
      <c r="AD104" s="76">
        <f t="shared" si="116"/>
        <v>0</v>
      </c>
      <c r="AE104" s="76">
        <f t="shared" si="116"/>
        <v>0</v>
      </c>
      <c r="AF104" s="76">
        <f t="shared" si="116"/>
        <v>0</v>
      </c>
      <c r="AG104" s="98"/>
      <c r="AH104" s="47">
        <f t="shared" si="62"/>
        <v>0</v>
      </c>
      <c r="AI104" s="48">
        <f t="shared" si="63"/>
        <v>0</v>
      </c>
      <c r="BF104" s="232"/>
      <c r="BG104" s="233">
        <v>71.8</v>
      </c>
      <c r="BH104" s="233">
        <v>0</v>
      </c>
      <c r="BI104" s="233">
        <v>419</v>
      </c>
      <c r="BJ104" s="233">
        <v>47.5</v>
      </c>
      <c r="BK104" s="233">
        <v>111</v>
      </c>
      <c r="BL104" s="233">
        <v>74</v>
      </c>
    </row>
    <row r="105" spans="1:64" x14ac:dyDescent="0.25">
      <c r="A105" s="84" t="s">
        <v>81</v>
      </c>
      <c r="B105" s="76">
        <f t="shared" ref="B105:C105" si="121">IF(B81&lt;0,B81*-1,0)</f>
        <v>0</v>
      </c>
      <c r="C105" s="76">
        <f t="shared" si="121"/>
        <v>0</v>
      </c>
      <c r="D105" s="76">
        <f t="shared" ref="D105" si="122">IF(D81&lt;0,D81*-1,0)</f>
        <v>0</v>
      </c>
      <c r="E105" s="76">
        <f t="shared" ref="E105:AF105" si="123">IF(E81&lt;0,E81*-1,0)</f>
        <v>0</v>
      </c>
      <c r="F105" s="76">
        <f t="shared" si="123"/>
        <v>0</v>
      </c>
      <c r="G105" s="76">
        <f t="shared" si="123"/>
        <v>0</v>
      </c>
      <c r="H105" s="76">
        <f t="shared" si="123"/>
        <v>0</v>
      </c>
      <c r="I105" s="76">
        <f t="shared" si="123"/>
        <v>0</v>
      </c>
      <c r="J105" s="76">
        <f t="shared" si="123"/>
        <v>0</v>
      </c>
      <c r="K105" s="76">
        <f t="shared" si="123"/>
        <v>0</v>
      </c>
      <c r="L105" s="76">
        <f t="shared" si="123"/>
        <v>0</v>
      </c>
      <c r="M105" s="76">
        <f t="shared" si="123"/>
        <v>0</v>
      </c>
      <c r="N105" s="76">
        <f t="shared" si="123"/>
        <v>0</v>
      </c>
      <c r="O105" s="76">
        <f t="shared" si="123"/>
        <v>0</v>
      </c>
      <c r="P105" s="76">
        <f t="shared" si="123"/>
        <v>0</v>
      </c>
      <c r="Q105" s="76">
        <f t="shared" si="123"/>
        <v>0</v>
      </c>
      <c r="R105" s="76">
        <f t="shared" si="123"/>
        <v>0</v>
      </c>
      <c r="S105" s="76">
        <f t="shared" si="123"/>
        <v>0</v>
      </c>
      <c r="T105" s="76">
        <f t="shared" ref="T105:U105" si="124">IF(T81&lt;0,T81*-1,0)</f>
        <v>0</v>
      </c>
      <c r="U105" s="76">
        <f t="shared" si="124"/>
        <v>0</v>
      </c>
      <c r="V105" s="76">
        <f t="shared" ref="V105:W105" si="125">IF(V81&lt;0,V81*-1,0)</f>
        <v>0</v>
      </c>
      <c r="W105" s="76">
        <f t="shared" si="125"/>
        <v>0</v>
      </c>
      <c r="X105" s="76">
        <f t="shared" ref="X105:Z105" si="126">IF(X81&lt;0,X81*-1,0)</f>
        <v>0</v>
      </c>
      <c r="Y105" s="76">
        <f t="shared" si="126"/>
        <v>0</v>
      </c>
      <c r="Z105" s="76">
        <f t="shared" si="126"/>
        <v>0</v>
      </c>
      <c r="AA105" s="76">
        <f t="shared" ref="AA105" si="127">IF(AA81&lt;0,AA81*-1,0)</f>
        <v>0</v>
      </c>
      <c r="AB105" s="76">
        <f t="shared" si="123"/>
        <v>0</v>
      </c>
      <c r="AC105" s="76">
        <f t="shared" si="123"/>
        <v>0</v>
      </c>
      <c r="AD105" s="76">
        <f t="shared" si="123"/>
        <v>0</v>
      </c>
      <c r="AE105" s="76">
        <f t="shared" si="123"/>
        <v>0</v>
      </c>
      <c r="AF105" s="76">
        <f t="shared" si="123"/>
        <v>0</v>
      </c>
      <c r="AG105" s="98"/>
      <c r="AH105" s="47">
        <f t="shared" si="62"/>
        <v>0</v>
      </c>
      <c r="AI105" s="48">
        <f t="shared" si="63"/>
        <v>0</v>
      </c>
      <c r="BF105" s="232"/>
      <c r="BG105" s="233">
        <v>58</v>
      </c>
      <c r="BH105" s="233">
        <v>0</v>
      </c>
      <c r="BI105" s="233">
        <v>361</v>
      </c>
      <c r="BJ105" s="233">
        <v>43.6</v>
      </c>
      <c r="BK105" s="233">
        <v>103</v>
      </c>
      <c r="BL105" s="233">
        <v>74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62"/>
        <v>0</v>
      </c>
      <c r="AI106" s="48">
        <f t="shared" si="63"/>
        <v>0</v>
      </c>
      <c r="BG106" s="233">
        <v>55</v>
      </c>
      <c r="BH106" s="233">
        <v>0</v>
      </c>
      <c r="BI106" s="233">
        <v>385</v>
      </c>
      <c r="BJ106" s="233">
        <v>53</v>
      </c>
      <c r="BK106" s="233">
        <v>118</v>
      </c>
      <c r="BL106" s="233">
        <v>70</v>
      </c>
    </row>
    <row r="107" spans="1:64" ht="15.75" thickBot="1" x14ac:dyDescent="0.3">
      <c r="A107" s="99" t="s">
        <v>106</v>
      </c>
      <c r="B107" s="60">
        <f t="shared" ref="B107:C107" si="128">SUM(B101:B106)</f>
        <v>0</v>
      </c>
      <c r="C107" s="60">
        <f t="shared" si="128"/>
        <v>0</v>
      </c>
      <c r="D107" s="60">
        <f t="shared" ref="D107" si="129">SUM(D101:D106)</f>
        <v>0</v>
      </c>
      <c r="E107" s="60">
        <f t="shared" ref="E107:AF107" si="130">SUM(E101:E106)</f>
        <v>0</v>
      </c>
      <c r="F107" s="60">
        <f t="shared" si="130"/>
        <v>0</v>
      </c>
      <c r="G107" s="60">
        <f t="shared" si="130"/>
        <v>0</v>
      </c>
      <c r="H107" s="60">
        <f t="shared" si="130"/>
        <v>0</v>
      </c>
      <c r="I107" s="60">
        <f t="shared" si="130"/>
        <v>0</v>
      </c>
      <c r="J107" s="60">
        <f t="shared" si="130"/>
        <v>0</v>
      </c>
      <c r="K107" s="60">
        <f t="shared" si="130"/>
        <v>0</v>
      </c>
      <c r="L107" s="60">
        <f t="shared" si="130"/>
        <v>0</v>
      </c>
      <c r="M107" s="60">
        <f t="shared" si="130"/>
        <v>0</v>
      </c>
      <c r="N107" s="60">
        <f t="shared" si="130"/>
        <v>0</v>
      </c>
      <c r="O107" s="60">
        <f t="shared" si="130"/>
        <v>0</v>
      </c>
      <c r="P107" s="60">
        <f t="shared" si="130"/>
        <v>0</v>
      </c>
      <c r="Q107" s="60">
        <f t="shared" si="130"/>
        <v>0</v>
      </c>
      <c r="R107" s="60">
        <f t="shared" si="130"/>
        <v>0</v>
      </c>
      <c r="S107" s="60">
        <f t="shared" si="130"/>
        <v>0</v>
      </c>
      <c r="T107" s="60">
        <f t="shared" ref="T107:U107" si="131">SUM(T101:T106)</f>
        <v>0</v>
      </c>
      <c r="U107" s="60">
        <f t="shared" si="131"/>
        <v>0</v>
      </c>
      <c r="V107" s="60">
        <f t="shared" ref="V107:W107" si="132">SUM(V101:V106)</f>
        <v>0</v>
      </c>
      <c r="W107" s="60">
        <f t="shared" si="132"/>
        <v>0</v>
      </c>
      <c r="X107" s="60">
        <f t="shared" ref="X107:Z107" si="133">SUM(X101:X106)</f>
        <v>0</v>
      </c>
      <c r="Y107" s="60">
        <f t="shared" si="133"/>
        <v>0</v>
      </c>
      <c r="Z107" s="60">
        <f t="shared" si="133"/>
        <v>0</v>
      </c>
      <c r="AA107" s="60">
        <f t="shared" ref="AA107" si="134">SUM(AA101:AA106)</f>
        <v>0</v>
      </c>
      <c r="AB107" s="60">
        <f t="shared" si="130"/>
        <v>0</v>
      </c>
      <c r="AC107" s="60">
        <f t="shared" si="130"/>
        <v>0</v>
      </c>
      <c r="AD107" s="60">
        <f t="shared" si="130"/>
        <v>0</v>
      </c>
      <c r="AE107" s="60">
        <f t="shared" si="130"/>
        <v>0</v>
      </c>
      <c r="AF107" s="60">
        <f t="shared" si="130"/>
        <v>0</v>
      </c>
      <c r="AG107" s="88"/>
      <c r="AH107" s="47">
        <f t="shared" si="62"/>
        <v>0</v>
      </c>
      <c r="AI107" s="48">
        <f t="shared" si="63"/>
        <v>0</v>
      </c>
      <c r="AK107" s="50"/>
      <c r="BG107" s="233">
        <v>50.4</v>
      </c>
      <c r="BH107" s="233">
        <v>0</v>
      </c>
      <c r="BI107" s="233">
        <v>394.6</v>
      </c>
      <c r="BJ107" s="233">
        <v>3.9</v>
      </c>
      <c r="BK107" s="233">
        <v>101.2</v>
      </c>
      <c r="BL107" s="233">
        <v>47</v>
      </c>
    </row>
    <row r="108" spans="1:64" ht="15.75" thickBot="1" x14ac:dyDescent="0.3">
      <c r="A108" s="74" t="s">
        <v>107</v>
      </c>
      <c r="B108" s="60">
        <f t="shared" ref="B108:C108" si="135">B92-B107</f>
        <v>597.1</v>
      </c>
      <c r="C108" s="60">
        <f t="shared" si="135"/>
        <v>581.54999999999995</v>
      </c>
      <c r="D108" s="60">
        <f t="shared" ref="D108" si="136">D92-D107</f>
        <v>579.18000000000006</v>
      </c>
      <c r="E108" s="60">
        <f t="shared" ref="E108:AF108" si="137">E92-E107</f>
        <v>600.16999999999996</v>
      </c>
      <c r="F108" s="60">
        <f t="shared" si="137"/>
        <v>593.20000000000005</v>
      </c>
      <c r="G108" s="60">
        <f t="shared" si="137"/>
        <v>610.5</v>
      </c>
      <c r="H108" s="60">
        <f t="shared" si="137"/>
        <v>632.79999999999995</v>
      </c>
      <c r="I108" s="60">
        <f t="shared" si="137"/>
        <v>650.79999999999995</v>
      </c>
      <c r="J108" s="60">
        <f t="shared" si="137"/>
        <v>663.1</v>
      </c>
      <c r="K108" s="60">
        <f t="shared" si="137"/>
        <v>433.1</v>
      </c>
      <c r="L108" s="60">
        <f t="shared" si="137"/>
        <v>121.1</v>
      </c>
      <c r="M108" s="60">
        <f t="shared" si="137"/>
        <v>120.8</v>
      </c>
      <c r="N108" s="60">
        <f t="shared" si="137"/>
        <v>190.5</v>
      </c>
      <c r="O108" s="60">
        <f t="shared" si="137"/>
        <v>467</v>
      </c>
      <c r="P108" s="60">
        <f t="shared" si="137"/>
        <v>532.20000000000005</v>
      </c>
      <c r="Q108" s="60">
        <f t="shared" si="137"/>
        <v>722.5</v>
      </c>
      <c r="R108" s="60">
        <f t="shared" si="137"/>
        <v>762</v>
      </c>
      <c r="S108" s="60">
        <f t="shared" si="137"/>
        <v>767.00000000000011</v>
      </c>
      <c r="T108" s="60">
        <f t="shared" ref="T108:U108" si="138">T92-T107</f>
        <v>804.30000000000007</v>
      </c>
      <c r="U108" s="60">
        <f t="shared" si="138"/>
        <v>820.4</v>
      </c>
      <c r="V108" s="60">
        <f t="shared" ref="V108:W108" si="139">V92-V107</f>
        <v>780.4</v>
      </c>
      <c r="W108" s="60">
        <f t="shared" si="139"/>
        <v>739.3</v>
      </c>
      <c r="X108" s="60">
        <f t="shared" ref="X108:Z108" si="140">X92-X107</f>
        <v>680.30000000000007</v>
      </c>
      <c r="Y108" s="60">
        <f t="shared" si="140"/>
        <v>679.7</v>
      </c>
      <c r="Z108" s="60">
        <f t="shared" si="140"/>
        <v>420.5</v>
      </c>
      <c r="AA108" s="60">
        <f t="shared" ref="AA108" si="141">AA92-AA107</f>
        <v>345.79999999999995</v>
      </c>
      <c r="AB108" s="60">
        <f t="shared" si="137"/>
        <v>355.3</v>
      </c>
      <c r="AC108" s="60">
        <f t="shared" si="137"/>
        <v>509.3</v>
      </c>
      <c r="AD108" s="60">
        <f t="shared" si="137"/>
        <v>723.3</v>
      </c>
      <c r="AE108" s="60">
        <f t="shared" si="137"/>
        <v>639.6</v>
      </c>
      <c r="AF108" s="60">
        <f t="shared" si="137"/>
        <v>681</v>
      </c>
      <c r="AG108" s="88"/>
      <c r="AH108" s="47">
        <f t="shared" si="62"/>
        <v>820.4</v>
      </c>
      <c r="AI108" s="48">
        <f t="shared" si="63"/>
        <v>120.8</v>
      </c>
    </row>
    <row r="109" spans="1:64" x14ac:dyDescent="0.25">
      <c r="A109" s="100" t="s">
        <v>108</v>
      </c>
      <c r="B109" s="101">
        <v>50.02</v>
      </c>
      <c r="C109" s="101">
        <v>50.03</v>
      </c>
      <c r="D109" s="101">
        <v>49.97</v>
      </c>
      <c r="E109" s="101">
        <v>49.93</v>
      </c>
      <c r="F109" s="101">
        <v>50.000999999999998</v>
      </c>
      <c r="G109" s="101">
        <v>50.021000000000001</v>
      </c>
      <c r="H109" s="101">
        <v>49.991</v>
      </c>
      <c r="I109" s="101">
        <v>49.996000000000002</v>
      </c>
      <c r="J109" s="101">
        <v>49.996000000000002</v>
      </c>
      <c r="K109" s="101">
        <v>49.996000000000002</v>
      </c>
      <c r="L109" s="101">
        <v>50.037999999999997</v>
      </c>
      <c r="M109" s="101">
        <v>50.027999999999999</v>
      </c>
      <c r="N109" s="101">
        <v>50.079000000000001</v>
      </c>
      <c r="O109" s="101">
        <v>49.865000000000002</v>
      </c>
      <c r="P109" s="101">
        <v>49.99</v>
      </c>
      <c r="Q109" s="101">
        <v>49.984999999999999</v>
      </c>
      <c r="R109" s="101">
        <v>49.99</v>
      </c>
      <c r="S109" s="101">
        <v>50.48</v>
      </c>
      <c r="T109" s="101">
        <v>50.03</v>
      </c>
      <c r="U109" s="101">
        <v>49.86</v>
      </c>
      <c r="V109" s="101">
        <v>50.05</v>
      </c>
      <c r="W109" s="101">
        <v>50.07</v>
      </c>
      <c r="X109" s="101">
        <v>50.09</v>
      </c>
      <c r="Y109" s="101">
        <v>49.99</v>
      </c>
      <c r="Z109" s="101">
        <v>49.9</v>
      </c>
      <c r="AA109" s="101">
        <v>49.8</v>
      </c>
      <c r="AB109" s="101">
        <v>50.7</v>
      </c>
      <c r="AC109" s="101">
        <v>49.91</v>
      </c>
      <c r="AD109" s="101">
        <v>50.057000000000002</v>
      </c>
      <c r="AE109" s="101">
        <v>50.027000000000001</v>
      </c>
      <c r="AF109" s="101">
        <v>49.930999999999997</v>
      </c>
      <c r="AG109" s="102"/>
      <c r="AH109" s="47">
        <f t="shared" si="62"/>
        <v>50.7</v>
      </c>
      <c r="AI109" s="48">
        <f t="shared" si="63"/>
        <v>49.8</v>
      </c>
    </row>
    <row r="110" spans="1:64" x14ac:dyDescent="0.25">
      <c r="A110" s="103" t="s">
        <v>109</v>
      </c>
      <c r="B110" s="65">
        <v>128.19999999999999</v>
      </c>
      <c r="C110" s="65">
        <v>129.1</v>
      </c>
      <c r="D110" s="65">
        <v>129.1</v>
      </c>
      <c r="E110" s="65">
        <v>129.4</v>
      </c>
      <c r="F110" s="65">
        <v>126.8</v>
      </c>
      <c r="G110" s="65">
        <v>129</v>
      </c>
      <c r="H110" s="65">
        <v>127.6</v>
      </c>
      <c r="I110" s="65">
        <v>126.8</v>
      </c>
      <c r="J110" s="65">
        <v>126.8</v>
      </c>
      <c r="K110" s="65">
        <v>126.8</v>
      </c>
      <c r="L110" s="65">
        <v>125.4</v>
      </c>
      <c r="M110" s="65">
        <v>126</v>
      </c>
      <c r="N110" s="65">
        <v>126.6</v>
      </c>
      <c r="O110" s="65">
        <v>126.4</v>
      </c>
      <c r="P110" s="65">
        <v>124.6</v>
      </c>
      <c r="Q110" s="65">
        <v>122.5</v>
      </c>
      <c r="R110" s="65">
        <v>124</v>
      </c>
      <c r="S110" s="65">
        <v>121.2</v>
      </c>
      <c r="T110" s="65">
        <v>121.8</v>
      </c>
      <c r="U110" s="65">
        <v>121.7</v>
      </c>
      <c r="V110" s="65">
        <v>125.5</v>
      </c>
      <c r="W110" s="65">
        <v>125.5</v>
      </c>
      <c r="X110" s="65">
        <v>127.5</v>
      </c>
      <c r="Y110" s="65">
        <v>125.6</v>
      </c>
      <c r="Z110" s="65">
        <v>129</v>
      </c>
      <c r="AA110" s="65">
        <v>129</v>
      </c>
      <c r="AB110" s="65">
        <v>131</v>
      </c>
      <c r="AC110" s="65">
        <v>131.19999999999999</v>
      </c>
      <c r="AD110" s="65">
        <v>130.30000000000001</v>
      </c>
      <c r="AE110" s="65">
        <v>131.19999999999999</v>
      </c>
      <c r="AF110" s="65">
        <v>129.80000000000001</v>
      </c>
      <c r="AG110" s="104"/>
      <c r="AH110" s="47">
        <f t="shared" si="62"/>
        <v>131.19999999999999</v>
      </c>
      <c r="AI110" s="48">
        <f t="shared" si="63"/>
        <v>121.2</v>
      </c>
    </row>
    <row r="111" spans="1:64" x14ac:dyDescent="0.25">
      <c r="A111" s="103" t="s">
        <v>110</v>
      </c>
      <c r="B111" s="65">
        <v>132.5</v>
      </c>
      <c r="C111" s="65">
        <v>133.30000000000001</v>
      </c>
      <c r="D111" s="65">
        <v>133.30000000000001</v>
      </c>
      <c r="E111" s="65">
        <v>132.9</v>
      </c>
      <c r="F111" s="65">
        <v>131.4</v>
      </c>
      <c r="G111" s="65">
        <v>133</v>
      </c>
      <c r="H111" s="65">
        <v>131.5</v>
      </c>
      <c r="I111" s="65">
        <v>130.69999999999999</v>
      </c>
      <c r="J111" s="65">
        <v>130.69999999999999</v>
      </c>
      <c r="K111" s="65">
        <v>130.69999999999999</v>
      </c>
      <c r="L111" s="65">
        <v>127.5</v>
      </c>
      <c r="M111" s="65">
        <v>128</v>
      </c>
      <c r="N111" s="65">
        <v>129.30000000000001</v>
      </c>
      <c r="O111" s="65">
        <v>129.19999999999999</v>
      </c>
      <c r="P111" s="65">
        <v>127.8</v>
      </c>
      <c r="Q111" s="65">
        <v>126.1</v>
      </c>
      <c r="R111" s="65">
        <v>127.9</v>
      </c>
      <c r="S111" s="65">
        <v>126</v>
      </c>
      <c r="T111" s="65">
        <v>126</v>
      </c>
      <c r="U111" s="65">
        <v>126.3</v>
      </c>
      <c r="V111" s="65">
        <v>129.4</v>
      </c>
      <c r="W111" s="65">
        <v>129.4</v>
      </c>
      <c r="X111" s="65">
        <v>131.1</v>
      </c>
      <c r="Y111" s="65">
        <v>127</v>
      </c>
      <c r="Z111" s="65">
        <v>129.69999999999999</v>
      </c>
      <c r="AA111" s="65">
        <v>129.69999999999999</v>
      </c>
      <c r="AB111" s="65">
        <v>132</v>
      </c>
      <c r="AC111" s="65">
        <v>132.6</v>
      </c>
      <c r="AD111" s="65">
        <v>132.6</v>
      </c>
      <c r="AE111" s="65">
        <v>134</v>
      </c>
      <c r="AF111" s="65">
        <v>134.19999999999999</v>
      </c>
      <c r="AG111" s="104"/>
      <c r="AH111" s="47">
        <f t="shared" si="62"/>
        <v>134.19999999999999</v>
      </c>
      <c r="AI111" s="48">
        <f t="shared" si="63"/>
        <v>126</v>
      </c>
    </row>
    <row r="112" spans="1:64" x14ac:dyDescent="0.25">
      <c r="A112" s="103" t="s">
        <v>111</v>
      </c>
      <c r="B112" s="65">
        <v>129.19999999999999</v>
      </c>
      <c r="C112" s="65">
        <v>127.5</v>
      </c>
      <c r="D112" s="65">
        <v>127.5</v>
      </c>
      <c r="E112" s="65">
        <v>129.19999999999999</v>
      </c>
      <c r="F112" s="65">
        <v>130.9</v>
      </c>
      <c r="G112" s="65">
        <v>130.6</v>
      </c>
      <c r="H112" s="65">
        <v>129</v>
      </c>
      <c r="I112" s="65">
        <v>122</v>
      </c>
      <c r="J112" s="65">
        <v>122</v>
      </c>
      <c r="K112" s="65">
        <v>122</v>
      </c>
      <c r="L112" s="65">
        <v>124.1</v>
      </c>
      <c r="M112" s="65">
        <v>126.8</v>
      </c>
      <c r="N112" s="65">
        <v>129</v>
      </c>
      <c r="O112" s="65">
        <v>127.4</v>
      </c>
      <c r="P112" s="65">
        <v>126.6</v>
      </c>
      <c r="Q112" s="65">
        <v>123.7</v>
      </c>
      <c r="R112" s="65">
        <v>124.5</v>
      </c>
      <c r="S112" s="65">
        <v>119.9</v>
      </c>
      <c r="T112" s="65">
        <v>119.9</v>
      </c>
      <c r="U112" s="65">
        <v>125.9</v>
      </c>
      <c r="V112" s="65">
        <v>126</v>
      </c>
      <c r="W112" s="65">
        <v>126</v>
      </c>
      <c r="X112" s="65">
        <v>127.2</v>
      </c>
      <c r="Y112" s="65">
        <v>127.4</v>
      </c>
      <c r="Z112" s="65">
        <v>128.69999999999999</v>
      </c>
      <c r="AA112" s="65">
        <v>128.69999999999999</v>
      </c>
      <c r="AB112" s="65">
        <v>133</v>
      </c>
      <c r="AC112" s="65">
        <v>131.5</v>
      </c>
      <c r="AD112" s="65">
        <v>130.19999999999999</v>
      </c>
      <c r="AE112" s="65">
        <v>126.7</v>
      </c>
      <c r="AF112" s="65">
        <v>129</v>
      </c>
      <c r="AG112" s="104"/>
      <c r="AH112" s="47">
        <f t="shared" si="62"/>
        <v>133</v>
      </c>
      <c r="AI112" s="48">
        <f t="shared" si="63"/>
        <v>119.9</v>
      </c>
    </row>
    <row r="113" spans="1:35" x14ac:dyDescent="0.25">
      <c r="A113" s="105" t="s">
        <v>112</v>
      </c>
      <c r="B113" s="65">
        <v>131.69999999999999</v>
      </c>
      <c r="C113" s="65">
        <v>130.80000000000001</v>
      </c>
      <c r="D113" s="65">
        <v>130.80000000000001</v>
      </c>
      <c r="E113" s="65">
        <v>132.80000000000001</v>
      </c>
      <c r="F113" s="65">
        <v>134.5</v>
      </c>
      <c r="G113" s="65">
        <v>131.9</v>
      </c>
      <c r="H113" s="65">
        <v>132.1</v>
      </c>
      <c r="I113" s="65">
        <v>129.69999999999999</v>
      </c>
      <c r="J113" s="65">
        <v>129.69999999999999</v>
      </c>
      <c r="K113" s="65">
        <v>129.69999999999999</v>
      </c>
      <c r="L113" s="65">
        <v>122.1</v>
      </c>
      <c r="M113" s="65">
        <v>126</v>
      </c>
      <c r="N113" s="65">
        <v>127.1</v>
      </c>
      <c r="O113" s="65">
        <v>125.4</v>
      </c>
      <c r="P113" s="65">
        <v>125</v>
      </c>
      <c r="Q113" s="65">
        <v>122.5</v>
      </c>
      <c r="R113" s="65">
        <v>124.1</v>
      </c>
      <c r="S113" s="65">
        <v>131.5</v>
      </c>
      <c r="T113" s="65">
        <v>131.5</v>
      </c>
      <c r="U113" s="65">
        <v>123.6</v>
      </c>
      <c r="V113" s="65">
        <v>124.8</v>
      </c>
      <c r="W113" s="65">
        <v>124.8</v>
      </c>
      <c r="X113" s="65">
        <v>125.3</v>
      </c>
      <c r="Y113" s="65">
        <v>124.8</v>
      </c>
      <c r="Z113" s="65">
        <v>126.5</v>
      </c>
      <c r="AA113" s="65">
        <v>126.5</v>
      </c>
      <c r="AB113" s="65">
        <v>132.6</v>
      </c>
      <c r="AC113" s="65">
        <v>131.9</v>
      </c>
      <c r="AD113" s="65">
        <v>131.1</v>
      </c>
      <c r="AE113" s="65">
        <v>128.9</v>
      </c>
      <c r="AF113" s="65">
        <v>132</v>
      </c>
      <c r="AG113" s="104"/>
      <c r="AH113" s="47">
        <f t="shared" si="62"/>
        <v>134.5</v>
      </c>
      <c r="AI113" s="48">
        <f t="shared" si="63"/>
        <v>122.1</v>
      </c>
    </row>
    <row r="114" spans="1:35" x14ac:dyDescent="0.25">
      <c r="A114" s="105" t="s">
        <v>113</v>
      </c>
      <c r="B114" s="106">
        <v>131.5</v>
      </c>
      <c r="C114" s="106">
        <v>131.4</v>
      </c>
      <c r="D114" s="106">
        <v>131.4</v>
      </c>
      <c r="E114" s="106">
        <v>131.69999999999999</v>
      </c>
      <c r="F114" s="106">
        <v>129.6</v>
      </c>
      <c r="G114" s="106">
        <v>134</v>
      </c>
      <c r="H114" s="106">
        <v>134.19999999999999</v>
      </c>
      <c r="I114" s="106">
        <v>135.5</v>
      </c>
      <c r="J114" s="106">
        <v>135.5</v>
      </c>
      <c r="K114" s="106">
        <v>135.5</v>
      </c>
      <c r="L114" s="106">
        <v>134.5</v>
      </c>
      <c r="M114" s="106">
        <v>122.7</v>
      </c>
      <c r="N114" s="106">
        <v>135.1</v>
      </c>
      <c r="O114" s="106">
        <v>136.19999999999999</v>
      </c>
      <c r="P114" s="106">
        <v>132</v>
      </c>
      <c r="Q114" s="106">
        <v>133</v>
      </c>
      <c r="R114" s="106">
        <v>135.30000000000001</v>
      </c>
      <c r="S114" s="106">
        <v>129.4</v>
      </c>
      <c r="T114" s="106">
        <v>129.4</v>
      </c>
      <c r="U114" s="106">
        <v>132</v>
      </c>
      <c r="V114" s="106">
        <v>136.30000000000001</v>
      </c>
      <c r="W114" s="106">
        <v>136.30000000000001</v>
      </c>
      <c r="X114" s="106">
        <v>136.5</v>
      </c>
      <c r="Y114" s="106">
        <v>133.69999999999999</v>
      </c>
      <c r="Z114" s="106">
        <v>135.4</v>
      </c>
      <c r="AA114" s="106">
        <v>135.4</v>
      </c>
      <c r="AB114" s="106">
        <v>135</v>
      </c>
      <c r="AC114" s="106">
        <v>135.30000000000001</v>
      </c>
      <c r="AD114" s="106">
        <v>136.4</v>
      </c>
      <c r="AE114" s="106">
        <v>135.6</v>
      </c>
      <c r="AF114" s="106">
        <v>135.6</v>
      </c>
      <c r="AG114" s="107"/>
      <c r="AH114" s="47">
        <f t="shared" si="62"/>
        <v>136.5</v>
      </c>
      <c r="AI114" s="48">
        <f t="shared" si="63"/>
        <v>122.7</v>
      </c>
    </row>
    <row r="115" spans="1:35" x14ac:dyDescent="0.25">
      <c r="A115" s="103" t="s">
        <v>114</v>
      </c>
      <c r="B115" s="65">
        <v>130</v>
      </c>
      <c r="C115" s="65">
        <v>133</v>
      </c>
      <c r="D115" s="65">
        <v>133</v>
      </c>
      <c r="E115" s="65">
        <v>131.80000000000001</v>
      </c>
      <c r="F115" s="65">
        <v>130.30000000000001</v>
      </c>
      <c r="G115" s="65">
        <v>132.1</v>
      </c>
      <c r="H115" s="65">
        <v>129.1</v>
      </c>
      <c r="I115" s="65">
        <v>129.69999999999999</v>
      </c>
      <c r="J115" s="65">
        <v>129.69999999999999</v>
      </c>
      <c r="K115" s="65">
        <v>129.69999999999999</v>
      </c>
      <c r="L115" s="65">
        <v>131.69999999999999</v>
      </c>
      <c r="M115" s="65">
        <v>131</v>
      </c>
      <c r="N115" s="65">
        <v>127.7</v>
      </c>
      <c r="O115" s="65">
        <v>128.19999999999999</v>
      </c>
      <c r="P115" s="65">
        <v>131.69999999999999</v>
      </c>
      <c r="Q115" s="65">
        <v>128.5</v>
      </c>
      <c r="R115" s="65">
        <v>130.19999999999999</v>
      </c>
      <c r="S115" s="65">
        <v>134.4</v>
      </c>
      <c r="T115" s="65">
        <v>134.4</v>
      </c>
      <c r="U115" s="65">
        <v>131.9</v>
      </c>
      <c r="V115" s="65">
        <v>135.69999999999999</v>
      </c>
      <c r="W115" s="65">
        <v>135.69999999999999</v>
      </c>
      <c r="X115" s="65">
        <v>132.4</v>
      </c>
      <c r="Y115" s="65">
        <v>132.69999999999999</v>
      </c>
      <c r="Z115" s="65">
        <v>132.6</v>
      </c>
      <c r="AA115" s="65">
        <v>132.6</v>
      </c>
      <c r="AB115" s="65">
        <v>132</v>
      </c>
      <c r="AC115" s="65">
        <v>131.4</v>
      </c>
      <c r="AD115" s="65">
        <v>131.80000000000001</v>
      </c>
      <c r="AE115" s="65">
        <v>133</v>
      </c>
      <c r="AF115" s="65">
        <v>131.6</v>
      </c>
      <c r="AG115" s="104"/>
      <c r="AH115" s="47">
        <f t="shared" si="62"/>
        <v>135.69999999999999</v>
      </c>
      <c r="AI115" s="48">
        <f t="shared" si="63"/>
        <v>127.7</v>
      </c>
    </row>
    <row r="116" spans="1:35" ht="15.75" thickBot="1" x14ac:dyDescent="0.3">
      <c r="A116" s="103" t="s">
        <v>115</v>
      </c>
      <c r="B116" s="92">
        <v>66.599999999999994</v>
      </c>
      <c r="C116" s="92">
        <v>67</v>
      </c>
      <c r="D116" s="92">
        <v>67</v>
      </c>
      <c r="E116" s="92">
        <v>66.8</v>
      </c>
      <c r="F116" s="92">
        <v>66.099999999999994</v>
      </c>
      <c r="G116" s="92">
        <v>66.900000000000006</v>
      </c>
      <c r="H116" s="92">
        <v>66.099999999999994</v>
      </c>
      <c r="I116" s="92">
        <v>66.2</v>
      </c>
      <c r="J116" s="92">
        <v>66.2</v>
      </c>
      <c r="K116" s="92">
        <v>66.2</v>
      </c>
      <c r="L116" s="92">
        <v>63.6</v>
      </c>
      <c r="M116" s="92">
        <v>64.599999999999994</v>
      </c>
      <c r="N116" s="92">
        <v>64.900000000000006</v>
      </c>
      <c r="O116" s="92">
        <v>64.7</v>
      </c>
      <c r="P116" s="92">
        <v>64</v>
      </c>
      <c r="Q116" s="92">
        <v>63.5</v>
      </c>
      <c r="R116" s="92">
        <v>64.2</v>
      </c>
      <c r="S116" s="92">
        <v>63.2</v>
      </c>
      <c r="T116" s="92">
        <v>63.2</v>
      </c>
      <c r="U116" s="92">
        <v>63.4</v>
      </c>
      <c r="V116" s="92">
        <v>65.099999999999994</v>
      </c>
      <c r="W116" s="92">
        <v>65.099999999999994</v>
      </c>
      <c r="X116" s="92">
        <v>65.8</v>
      </c>
      <c r="Y116" s="92">
        <v>63.8</v>
      </c>
      <c r="Z116" s="92">
        <v>64.400000000000006</v>
      </c>
      <c r="AA116" s="92">
        <v>64.400000000000006</v>
      </c>
      <c r="AB116" s="92">
        <v>66.3</v>
      </c>
      <c r="AC116" s="92">
        <v>66.400000000000006</v>
      </c>
      <c r="AD116" s="92">
        <v>66.5</v>
      </c>
      <c r="AE116" s="92">
        <v>67.400000000000006</v>
      </c>
      <c r="AF116" s="92">
        <v>67.5</v>
      </c>
      <c r="AG116" s="108"/>
      <c r="AH116" s="47">
        <f t="shared" si="62"/>
        <v>67.5</v>
      </c>
      <c r="AI116" s="48">
        <f t="shared" si="63"/>
        <v>63.2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62"/>
        <v>0</v>
      </c>
      <c r="AI117" s="48">
        <f t="shared" si="63"/>
        <v>0</v>
      </c>
    </row>
    <row r="118" spans="1:35" ht="15.75" thickBot="1" x14ac:dyDescent="0.3">
      <c r="A118" s="110" t="s">
        <v>117</v>
      </c>
      <c r="B118" s="111">
        <f t="shared" ref="B118:C118" si="142">SUM(B22,B28,B31:B32,B66,B68:B69,B71,B73,B119:B123,B155,B161,B167,B176,B178,B190,B197,B200:B201,B208,B210,B212,B216:B218,B220:B222,B227,B233:B234,B236:B238,B246,B251)</f>
        <v>159.51999999999998</v>
      </c>
      <c r="C118" s="111">
        <f t="shared" si="142"/>
        <v>128.16</v>
      </c>
      <c r="D118" s="111">
        <f t="shared" ref="D118" si="143">SUM(D22,D28,D31:D32,D66,D68:D69,D71,D73,D119:D123,D155,D161,D167,D176,D178,D190,D197,D200:D201,D208,D210,D212,D216:D218,D220:D222,D227,D233:D234,D236:D238,D246,D251)</f>
        <v>124.23999999999998</v>
      </c>
      <c r="E118" s="111">
        <f t="shared" ref="E118:O118" si="144">SUM(E22,E28,E31:E32,E66,E68:E69,E71,E73,E119:E123,E155,E161,E167,E176,E178,E190,E197,E200:E201,E208,E210,E212,E216:E218,E220:E222,E227,E233:E234,E236:E238,E246,E251)</f>
        <v>120.55799999999999</v>
      </c>
      <c r="F118" s="111">
        <f t="shared" si="144"/>
        <v>129.03299999999999</v>
      </c>
      <c r="G118" s="111">
        <f t="shared" si="144"/>
        <v>153.60900000000001</v>
      </c>
      <c r="H118" s="111">
        <f t="shared" si="144"/>
        <v>179.78200000000001</v>
      </c>
      <c r="I118" s="111">
        <f t="shared" si="144"/>
        <v>220.13</v>
      </c>
      <c r="J118" s="111">
        <f t="shared" si="144"/>
        <v>218.02999999999997</v>
      </c>
      <c r="K118" s="111">
        <f t="shared" si="144"/>
        <v>304.69</v>
      </c>
      <c r="L118" s="111">
        <f t="shared" si="144"/>
        <v>325.94</v>
      </c>
      <c r="M118" s="111">
        <f t="shared" si="144"/>
        <v>333.64000000000004</v>
      </c>
      <c r="N118" s="111">
        <f t="shared" si="144"/>
        <v>317.04000000000002</v>
      </c>
      <c r="O118" s="111">
        <f t="shared" si="144"/>
        <v>309.44</v>
      </c>
      <c r="P118" s="111">
        <v>42</v>
      </c>
      <c r="Q118" s="111">
        <f t="shared" ref="Q118:AF118" si="145">SUM(Q22,Q28,Q31:Q32,Q66,Q68:Q69,Q71,Q73,Q119:Q123,Q155,Q161,Q167,Q176,Q178,Q190,Q197,Q200:Q201,Q208,Q210,Q212,Q216:Q218,Q220:Q222,Q227,Q233:Q234,Q236:Q238,Q246,Q251)</f>
        <v>311.26</v>
      </c>
      <c r="R118" s="111">
        <f t="shared" si="145"/>
        <v>276.41999999999996</v>
      </c>
      <c r="S118" s="111">
        <f t="shared" si="145"/>
        <v>281.88399999999996</v>
      </c>
      <c r="T118" s="111">
        <f t="shared" ref="T118:U118" si="146">SUM(T22,T28,T31:T32,T66,T68:T69,T71,T73,T119:T123,T155,T161,T167,T176,T178,T190,T197,T200:T201,T208,T210,T212,T216:T218,T220:T222,T227,T233:T234,T236:T238,T246,T251)</f>
        <v>285.94</v>
      </c>
      <c r="U118" s="111">
        <f t="shared" si="146"/>
        <v>288.66000000000003</v>
      </c>
      <c r="V118" s="111">
        <f t="shared" ref="V118:W118" si="147">SUM(V22,V28,V31:V32,V66,V68:V69,V71,V73,V119:V123,V155,V161,V167,V176,V178,V190,V197,V200:V201,V208,V210,V212,V216:V218,V220:V222,V227,V233:V234,V236:V238,V246,V251)</f>
        <v>297.76000000000005</v>
      </c>
      <c r="W118" s="111">
        <f t="shared" si="147"/>
        <v>304.21999999999997</v>
      </c>
      <c r="X118" s="111">
        <f t="shared" ref="X118:Z118" si="148">SUM(X22,X28,X31:X32,X66,X68:X69,X71,X73,X119:X123,X155,X161,X167,X176,X178,X190,X197,X200:X201,X208,X210,X212,X216:X218,X220:X222,X227,X233:X234,X236:X238,X246,X251)</f>
        <v>325.3</v>
      </c>
      <c r="Y118" s="111">
        <f t="shared" si="148"/>
        <v>385.84</v>
      </c>
      <c r="Z118" s="111">
        <f t="shared" si="148"/>
        <v>390</v>
      </c>
      <c r="AA118" s="111">
        <f t="shared" ref="AA118" si="149">SUM(AA22,AA28,AA31:AA32,AA66,AA68:AA69,AA71,AA73,AA119:AA123,AA155,AA161,AA167,AA176,AA178,AA190,AA197,AA200:AA201,AA208,AA210,AA212,AA216:AA218,AA220:AA222,AA227,AA233:AA234,AA236:AA238,AA246,AA251)</f>
        <v>361.3</v>
      </c>
      <c r="AB118" s="111">
        <f t="shared" si="145"/>
        <v>309.74</v>
      </c>
      <c r="AC118" s="111">
        <f t="shared" si="145"/>
        <v>293.33999999999997</v>
      </c>
      <c r="AD118" s="111">
        <f t="shared" si="145"/>
        <v>255.24</v>
      </c>
      <c r="AE118" s="111">
        <f t="shared" si="145"/>
        <v>184.14</v>
      </c>
      <c r="AF118" s="111">
        <f t="shared" si="145"/>
        <v>145.84</v>
      </c>
      <c r="AG118" s="112"/>
      <c r="AH118" s="47">
        <f t="shared" si="62"/>
        <v>390</v>
      </c>
      <c r="AI118" s="48">
        <f t="shared" si="63"/>
        <v>42</v>
      </c>
    </row>
    <row r="119" spans="1:35" x14ac:dyDescent="0.25">
      <c r="A119" s="172" t="s">
        <v>118</v>
      </c>
      <c r="B119" s="113">
        <v>-4.2</v>
      </c>
      <c r="C119" s="113">
        <v>-4.5</v>
      </c>
      <c r="D119" s="113">
        <v>-8.9</v>
      </c>
      <c r="E119" s="113">
        <v>-15.7</v>
      </c>
      <c r="F119" s="113">
        <v>-22.1</v>
      </c>
      <c r="G119" s="113">
        <v>-16.100000000000001</v>
      </c>
      <c r="H119" s="113">
        <v>-11</v>
      </c>
      <c r="I119" s="113">
        <v>9.3000000000000007</v>
      </c>
      <c r="J119" s="113">
        <v>9.3000000000000007</v>
      </c>
      <c r="K119" s="113">
        <v>28.5</v>
      </c>
      <c r="L119" s="113">
        <v>49.4</v>
      </c>
      <c r="M119" s="113">
        <v>49</v>
      </c>
      <c r="N119" s="113">
        <v>45.2</v>
      </c>
      <c r="O119" s="113">
        <v>29.1</v>
      </c>
      <c r="P119" s="113">
        <v>26.3</v>
      </c>
      <c r="Q119" s="113">
        <v>20.8</v>
      </c>
      <c r="R119" s="113">
        <v>20.2</v>
      </c>
      <c r="S119" s="113">
        <v>17.3</v>
      </c>
      <c r="T119" s="113">
        <v>19.2</v>
      </c>
      <c r="U119" s="113">
        <v>21.1</v>
      </c>
      <c r="V119" s="113">
        <v>25.6</v>
      </c>
      <c r="W119" s="113">
        <v>27.6</v>
      </c>
      <c r="X119" s="113">
        <v>27.6</v>
      </c>
      <c r="Y119" s="113">
        <v>29.7</v>
      </c>
      <c r="Z119" s="113">
        <v>39.54</v>
      </c>
      <c r="AA119" s="113">
        <v>43.9</v>
      </c>
      <c r="AB119" s="113">
        <v>50.7</v>
      </c>
      <c r="AC119" s="113">
        <v>40</v>
      </c>
      <c r="AD119" s="113">
        <v>25.9</v>
      </c>
      <c r="AE119" s="113">
        <v>17</v>
      </c>
      <c r="AF119" s="113">
        <v>2</v>
      </c>
      <c r="AG119" s="114">
        <v>75</v>
      </c>
      <c r="AH119" s="47">
        <f t="shared" si="62"/>
        <v>50.7</v>
      </c>
      <c r="AI119" s="48">
        <f t="shared" si="63"/>
        <v>-22.1</v>
      </c>
    </row>
    <row r="120" spans="1:35" x14ac:dyDescent="0.25">
      <c r="A120" s="173" t="s">
        <v>119</v>
      </c>
      <c r="B120" s="115">
        <v>-7.9</v>
      </c>
      <c r="C120" s="115">
        <v>-8.8000000000000007</v>
      </c>
      <c r="D120" s="115">
        <v>-13.4</v>
      </c>
      <c r="E120" s="115">
        <v>-24.5</v>
      </c>
      <c r="F120" s="115">
        <v>-33.799999999999997</v>
      </c>
      <c r="G120" s="115">
        <v>-26.1</v>
      </c>
      <c r="H120" s="115">
        <v>-19.5</v>
      </c>
      <c r="I120" s="115">
        <v>8</v>
      </c>
      <c r="J120" s="115">
        <v>8</v>
      </c>
      <c r="K120" s="115">
        <v>40.5</v>
      </c>
      <c r="L120" s="115">
        <v>68.400000000000006</v>
      </c>
      <c r="M120" s="115">
        <v>68.400000000000006</v>
      </c>
      <c r="N120" s="115">
        <v>64.3</v>
      </c>
      <c r="O120" s="115">
        <v>41.4</v>
      </c>
      <c r="P120" s="115">
        <v>37</v>
      </c>
      <c r="Q120" s="115">
        <v>22.2</v>
      </c>
      <c r="R120" s="115">
        <v>21.5</v>
      </c>
      <c r="S120" s="115">
        <v>21.4</v>
      </c>
      <c r="T120" s="115">
        <v>20.6</v>
      </c>
      <c r="U120" s="115">
        <v>23.3</v>
      </c>
      <c r="V120" s="115">
        <v>29.8</v>
      </c>
      <c r="W120" s="115">
        <v>31.3</v>
      </c>
      <c r="X120" s="115">
        <v>33.6</v>
      </c>
      <c r="Y120" s="115">
        <v>38.299999999999997</v>
      </c>
      <c r="Z120" s="115">
        <v>51.1</v>
      </c>
      <c r="AA120" s="115">
        <v>55.9</v>
      </c>
      <c r="AB120" s="115">
        <v>64.599999999999994</v>
      </c>
      <c r="AC120" s="115">
        <v>51</v>
      </c>
      <c r="AD120" s="115">
        <v>28.4</v>
      </c>
      <c r="AE120" s="115">
        <v>16.5</v>
      </c>
      <c r="AF120" s="115">
        <v>-2</v>
      </c>
      <c r="AG120" s="114">
        <v>240</v>
      </c>
      <c r="AH120" s="47">
        <f t="shared" si="62"/>
        <v>68.400000000000006</v>
      </c>
      <c r="AI120" s="48">
        <f t="shared" si="63"/>
        <v>-33.799999999999997</v>
      </c>
    </row>
    <row r="121" spans="1:35" x14ac:dyDescent="0.25">
      <c r="A121" s="173" t="s">
        <v>120</v>
      </c>
      <c r="B121" s="115">
        <v>-15</v>
      </c>
      <c r="C121" s="115">
        <v>-18</v>
      </c>
      <c r="D121" s="115">
        <v>-19</v>
      </c>
      <c r="E121" s="115">
        <v>-14.6</v>
      </c>
      <c r="F121" s="115">
        <v>-11.5</v>
      </c>
      <c r="G121" s="115">
        <v>-4</v>
      </c>
      <c r="H121" s="115">
        <v>1.9</v>
      </c>
      <c r="I121" s="115">
        <v>4.5</v>
      </c>
      <c r="J121" s="115">
        <v>4.5</v>
      </c>
      <c r="K121" s="115">
        <v>22.3</v>
      </c>
      <c r="L121" s="115">
        <v>3.8</v>
      </c>
      <c r="M121" s="115">
        <v>7.8</v>
      </c>
      <c r="N121" s="115">
        <v>3</v>
      </c>
      <c r="O121" s="115">
        <v>17</v>
      </c>
      <c r="P121" s="115">
        <v>0</v>
      </c>
      <c r="Q121" s="115">
        <v>18</v>
      </c>
      <c r="R121" s="115">
        <v>19</v>
      </c>
      <c r="S121" s="115">
        <v>18</v>
      </c>
      <c r="T121" s="115">
        <v>25</v>
      </c>
      <c r="U121" s="115">
        <v>32</v>
      </c>
      <c r="V121" s="115">
        <v>39</v>
      </c>
      <c r="W121" s="115">
        <v>41.7</v>
      </c>
      <c r="X121" s="115">
        <v>49</v>
      </c>
      <c r="Y121" s="115">
        <v>73</v>
      </c>
      <c r="Z121" s="115">
        <v>58</v>
      </c>
      <c r="AA121" s="115">
        <v>51</v>
      </c>
      <c r="AB121" s="115">
        <v>24.6</v>
      </c>
      <c r="AC121" s="115">
        <v>35</v>
      </c>
      <c r="AD121" s="115">
        <v>25</v>
      </c>
      <c r="AE121" s="115">
        <v>-4</v>
      </c>
      <c r="AF121" s="115">
        <v>-12</v>
      </c>
      <c r="AG121" s="114">
        <v>240</v>
      </c>
      <c r="AH121" s="47">
        <f t="shared" si="62"/>
        <v>73</v>
      </c>
      <c r="AI121" s="48">
        <f t="shared" si="63"/>
        <v>-19</v>
      </c>
    </row>
    <row r="122" spans="1:35" ht="15.75" thickBot="1" x14ac:dyDescent="0.3">
      <c r="A122" s="173" t="s">
        <v>121</v>
      </c>
      <c r="B122" s="115">
        <v>8.9</v>
      </c>
      <c r="C122" s="115">
        <v>-8.5</v>
      </c>
      <c r="D122" s="115">
        <v>-10.9</v>
      </c>
      <c r="E122" s="115">
        <v>-8.6</v>
      </c>
      <c r="F122" s="115">
        <v>-11.4</v>
      </c>
      <c r="G122" s="115">
        <v>-1.5</v>
      </c>
      <c r="H122" s="115">
        <v>-2.2999999999999998</v>
      </c>
      <c r="I122" s="115">
        <v>4.5999999999999996</v>
      </c>
      <c r="J122" s="115">
        <v>4.5999999999999996</v>
      </c>
      <c r="K122" s="115">
        <v>16.5</v>
      </c>
      <c r="L122" s="115">
        <v>15.6</v>
      </c>
      <c r="M122" s="115">
        <v>15</v>
      </c>
      <c r="N122" s="115">
        <v>13</v>
      </c>
      <c r="O122" s="115">
        <v>14</v>
      </c>
      <c r="P122" s="115">
        <v>0</v>
      </c>
      <c r="Q122" s="115">
        <v>0</v>
      </c>
      <c r="R122" s="115">
        <v>2.6</v>
      </c>
      <c r="S122" s="115">
        <v>0</v>
      </c>
      <c r="T122" s="115">
        <v>0.2</v>
      </c>
      <c r="U122" s="115">
        <v>1.2</v>
      </c>
      <c r="V122" s="115">
        <v>9.6999999999999993</v>
      </c>
      <c r="W122" s="115">
        <v>7.5</v>
      </c>
      <c r="X122" s="115">
        <v>22.2</v>
      </c>
      <c r="Y122" s="115">
        <v>24.1</v>
      </c>
      <c r="Z122" s="115">
        <v>30.3</v>
      </c>
      <c r="AA122" s="115">
        <v>31.2</v>
      </c>
      <c r="AB122" s="115">
        <v>39.299999999999997</v>
      </c>
      <c r="AC122" s="115">
        <v>18</v>
      </c>
      <c r="AD122" s="115">
        <v>9</v>
      </c>
      <c r="AE122" s="115">
        <v>0.5</v>
      </c>
      <c r="AF122" s="115">
        <v>-1</v>
      </c>
      <c r="AG122" s="114">
        <v>60</v>
      </c>
      <c r="AH122" s="47">
        <f t="shared" si="62"/>
        <v>39.299999999999997</v>
      </c>
      <c r="AI122" s="48">
        <f t="shared" si="63"/>
        <v>-11.4</v>
      </c>
    </row>
    <row r="123" spans="1:35" x14ac:dyDescent="0.25">
      <c r="A123" s="172" t="s">
        <v>259</v>
      </c>
      <c r="B123" s="117">
        <f>55.8*1.6</f>
        <v>89.28</v>
      </c>
      <c r="C123" s="117">
        <f>49.7*1.6</f>
        <v>79.52000000000001</v>
      </c>
      <c r="D123" s="117">
        <f>55*1.6</f>
        <v>88</v>
      </c>
      <c r="E123" s="117">
        <f>58.6*1.63</f>
        <v>95.518000000000001</v>
      </c>
      <c r="F123" s="117">
        <f>71.1*1.63</f>
        <v>115.89299999999999</v>
      </c>
      <c r="G123" s="117">
        <f>66.3*1.63</f>
        <v>108.06899999999999</v>
      </c>
      <c r="H123" s="117">
        <f>73.4*1.63</f>
        <v>119.642</v>
      </c>
      <c r="I123" s="117">
        <f>63*1.63</f>
        <v>102.69</v>
      </c>
      <c r="J123" s="117">
        <f>63*1.63</f>
        <v>102.69</v>
      </c>
      <c r="K123" s="117">
        <f>65*1.63</f>
        <v>105.94999999999999</v>
      </c>
      <c r="L123" s="117">
        <f>60*1.63</f>
        <v>97.8</v>
      </c>
      <c r="M123" s="117">
        <v>100</v>
      </c>
      <c r="N123" s="117">
        <f>60*1.64</f>
        <v>98.399999999999991</v>
      </c>
      <c r="O123" s="117">
        <f>70*1.64</f>
        <v>114.8</v>
      </c>
      <c r="P123" s="117">
        <v>125</v>
      </c>
      <c r="Q123" s="117">
        <f>88*1.64</f>
        <v>144.32</v>
      </c>
      <c r="R123" s="117">
        <f>82*1.64</f>
        <v>134.47999999999999</v>
      </c>
      <c r="S123" s="117">
        <f>1.64*89.6</f>
        <v>146.94399999999999</v>
      </c>
      <c r="T123" s="117">
        <f>92*1.6</f>
        <v>147.20000000000002</v>
      </c>
      <c r="U123" s="117">
        <f>89.2*1.6</f>
        <v>142.72</v>
      </c>
      <c r="V123" s="117">
        <f>80.2*1.6</f>
        <v>128.32000000000002</v>
      </c>
      <c r="W123" s="117">
        <f>82.3*1.6</f>
        <v>131.68</v>
      </c>
      <c r="X123" s="117">
        <f>80.6*1.6</f>
        <v>128.96</v>
      </c>
      <c r="Y123" s="117">
        <f>98*1.6</f>
        <v>156.80000000000001</v>
      </c>
      <c r="Z123" s="117">
        <f>88.2*1.6</f>
        <v>141.12</v>
      </c>
      <c r="AA123" s="117">
        <f>72.1*1.6</f>
        <v>115.36</v>
      </c>
      <c r="AB123" s="117">
        <v>71</v>
      </c>
      <c r="AC123" s="117">
        <f>48*1.6</f>
        <v>76.800000000000011</v>
      </c>
      <c r="AD123" s="117">
        <f>59*1.6</f>
        <v>94.4</v>
      </c>
      <c r="AE123" s="117">
        <f>51*1.6</f>
        <v>81.600000000000009</v>
      </c>
      <c r="AF123" s="117">
        <f>50*1.6</f>
        <v>80</v>
      </c>
      <c r="AG123" s="118">
        <v>120</v>
      </c>
      <c r="AH123" s="47">
        <f t="shared" si="62"/>
        <v>156.80000000000001</v>
      </c>
      <c r="AI123" s="48">
        <f t="shared" si="63"/>
        <v>71</v>
      </c>
    </row>
    <row r="124" spans="1:35" x14ac:dyDescent="0.25">
      <c r="A124" s="173" t="s">
        <v>258</v>
      </c>
      <c r="B124" s="117">
        <v>67.900000000000006</v>
      </c>
      <c r="C124" s="117">
        <v>63.9</v>
      </c>
      <c r="D124" s="117">
        <v>67.099999999999994</v>
      </c>
      <c r="E124" s="117">
        <v>71.2</v>
      </c>
      <c r="F124" s="117">
        <v>81.7</v>
      </c>
      <c r="G124" s="117">
        <v>77.3</v>
      </c>
      <c r="H124" s="117">
        <v>83</v>
      </c>
      <c r="I124" s="117">
        <v>73.900000000000006</v>
      </c>
      <c r="J124" s="117">
        <v>73.900000000000006</v>
      </c>
      <c r="K124" s="117">
        <v>75.3</v>
      </c>
      <c r="L124" s="117">
        <v>70</v>
      </c>
      <c r="M124" s="117">
        <v>73.8</v>
      </c>
      <c r="N124" s="117">
        <v>68</v>
      </c>
      <c r="O124" s="117">
        <v>80</v>
      </c>
      <c r="P124" s="117">
        <v>86.8</v>
      </c>
      <c r="Q124" s="117">
        <v>93.9</v>
      </c>
      <c r="R124" s="117">
        <v>89</v>
      </c>
      <c r="S124" s="117">
        <v>92.3</v>
      </c>
      <c r="T124" s="117">
        <v>94.4</v>
      </c>
      <c r="U124" s="117">
        <v>92.4</v>
      </c>
      <c r="V124" s="117">
        <v>85.7</v>
      </c>
      <c r="W124" s="117">
        <v>87</v>
      </c>
      <c r="X124" s="117">
        <v>87.6</v>
      </c>
      <c r="Y124" s="117">
        <v>-23.5</v>
      </c>
      <c r="Z124" s="117">
        <v>91.5</v>
      </c>
      <c r="AA124" s="117">
        <v>78.3</v>
      </c>
      <c r="AB124" s="117">
        <v>59.6</v>
      </c>
      <c r="AC124" s="117">
        <v>62</v>
      </c>
      <c r="AD124" s="117">
        <v>69</v>
      </c>
      <c r="AE124" s="117">
        <v>65.099999999999994</v>
      </c>
      <c r="AF124" s="117">
        <v>64</v>
      </c>
      <c r="AG124" s="118"/>
      <c r="AH124" s="47"/>
      <c r="AI124" s="48"/>
    </row>
    <row r="125" spans="1:35" x14ac:dyDescent="0.25">
      <c r="A125" s="173" t="s">
        <v>255</v>
      </c>
      <c r="B125" s="117">
        <v>54.5</v>
      </c>
      <c r="C125" s="117">
        <v>50.5</v>
      </c>
      <c r="D125" s="117">
        <v>58.6</v>
      </c>
      <c r="E125" s="117">
        <v>65.900000000000006</v>
      </c>
      <c r="F125" s="117">
        <v>75.900000000000006</v>
      </c>
      <c r="G125" s="117">
        <v>57</v>
      </c>
      <c r="H125" s="117">
        <v>60.2</v>
      </c>
      <c r="I125" s="117">
        <v>27.2</v>
      </c>
      <c r="J125" s="117">
        <v>27.2</v>
      </c>
      <c r="K125" s="117">
        <v>-16.3</v>
      </c>
      <c r="L125" s="117">
        <v>-34.9</v>
      </c>
      <c r="M125" s="117">
        <v>-32.9</v>
      </c>
      <c r="N125" s="117">
        <v>-30</v>
      </c>
      <c r="O125" s="117">
        <v>-8</v>
      </c>
      <c r="P125" s="117">
        <v>12.7</v>
      </c>
      <c r="Q125" s="117">
        <v>24.4</v>
      </c>
      <c r="R125" s="117">
        <v>20</v>
      </c>
      <c r="S125" s="117">
        <v>23.1</v>
      </c>
      <c r="T125" s="117">
        <v>26.2</v>
      </c>
      <c r="U125" s="117">
        <v>16.5</v>
      </c>
      <c r="V125" s="117">
        <v>2.2999999999999998</v>
      </c>
      <c r="W125" s="117">
        <v>-3.4</v>
      </c>
      <c r="X125" s="117">
        <v>-9.6</v>
      </c>
      <c r="Y125" s="117">
        <v>-24.8</v>
      </c>
      <c r="Z125" s="117">
        <v>-32.5</v>
      </c>
      <c r="AA125" s="117">
        <v>-41.4</v>
      </c>
      <c r="AB125" s="117">
        <v>-60.9</v>
      </c>
      <c r="AC125" s="117">
        <v>-35</v>
      </c>
      <c r="AD125" s="117">
        <v>1</v>
      </c>
      <c r="AE125" s="117">
        <v>22.3</v>
      </c>
      <c r="AF125" s="117">
        <v>40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72.2</v>
      </c>
      <c r="C126" s="117">
        <v>64</v>
      </c>
      <c r="D126" s="117">
        <v>70.3</v>
      </c>
      <c r="E126" s="117">
        <v>76</v>
      </c>
      <c r="F126" s="117">
        <v>90.2</v>
      </c>
      <c r="G126" s="117">
        <v>85.5</v>
      </c>
      <c r="H126" s="117">
        <v>90.4</v>
      </c>
      <c r="I126" s="117">
        <v>78.2</v>
      </c>
      <c r="J126" s="117">
        <v>78.2</v>
      </c>
      <c r="K126" s="117">
        <v>64</v>
      </c>
      <c r="L126" s="117">
        <v>50.1</v>
      </c>
      <c r="M126" s="117">
        <v>56.3</v>
      </c>
      <c r="N126" s="117">
        <v>51</v>
      </c>
      <c r="O126" s="117">
        <v>81</v>
      </c>
      <c r="P126" s="117">
        <v>97</v>
      </c>
      <c r="Q126" s="117">
        <v>97.5</v>
      </c>
      <c r="R126" s="117">
        <v>95</v>
      </c>
      <c r="S126" s="117">
        <v>94</v>
      </c>
      <c r="T126" s="117">
        <v>97.3</v>
      </c>
      <c r="U126" s="117">
        <v>99.5</v>
      </c>
      <c r="V126" s="117">
        <v>89.4</v>
      </c>
      <c r="W126" s="117">
        <v>89.8</v>
      </c>
      <c r="X126" s="117">
        <v>86.6</v>
      </c>
      <c r="Y126" s="117">
        <v>87</v>
      </c>
      <c r="Z126" s="117">
        <v>72.400000000000006</v>
      </c>
      <c r="AA126" s="117">
        <v>52.8</v>
      </c>
      <c r="AB126" s="117">
        <v>28.8</v>
      </c>
      <c r="AC126" s="117">
        <v>50</v>
      </c>
      <c r="AD126" s="117">
        <v>65</v>
      </c>
      <c r="AE126" s="117">
        <v>62</v>
      </c>
      <c r="AF126" s="117">
        <v>65</v>
      </c>
      <c r="AG126" s="114"/>
      <c r="AH126" s="47">
        <f>MAX(B126:AF126)</f>
        <v>99.5</v>
      </c>
      <c r="AI126" s="48">
        <f>MIN(B126:AF126)</f>
        <v>28.8</v>
      </c>
    </row>
    <row r="127" spans="1:35" x14ac:dyDescent="0.25">
      <c r="A127" s="172" t="s">
        <v>587</v>
      </c>
      <c r="B127" s="117">
        <v>20.100000000000001</v>
      </c>
      <c r="C127" s="117">
        <v>14.6</v>
      </c>
      <c r="D127" s="117">
        <v>25.1</v>
      </c>
      <c r="E127" s="117">
        <v>22.7</v>
      </c>
      <c r="F127" s="117">
        <v>27.3</v>
      </c>
      <c r="G127" s="117">
        <v>17</v>
      </c>
      <c r="H127" s="117">
        <v>12.4</v>
      </c>
      <c r="I127" s="117">
        <v>2.6</v>
      </c>
      <c r="J127" s="117">
        <v>2.6</v>
      </c>
      <c r="K127" s="117">
        <v>0</v>
      </c>
      <c r="L127" s="117">
        <v>-19.2</v>
      </c>
      <c r="M127" s="117">
        <v>-21.7</v>
      </c>
      <c r="N127" s="117">
        <v>-17</v>
      </c>
      <c r="O127" s="117">
        <v>-7.5</v>
      </c>
      <c r="P127" s="117">
        <v>-9.6</v>
      </c>
      <c r="Q127" s="117">
        <v>1.2</v>
      </c>
      <c r="R127" s="117">
        <v>-6.5</v>
      </c>
      <c r="S127" s="117">
        <v>-3.7</v>
      </c>
      <c r="T127" s="117">
        <v>-4.8</v>
      </c>
      <c r="U127" s="117">
        <v>-3.9</v>
      </c>
      <c r="V127" s="117">
        <v>-5.6</v>
      </c>
      <c r="W127" s="117">
        <v>-7.1</v>
      </c>
      <c r="X127" s="117">
        <v>-3.7</v>
      </c>
      <c r="Y127" s="117">
        <v>-14.2</v>
      </c>
      <c r="Z127" s="117">
        <v>-23.3</v>
      </c>
      <c r="AA127" s="117">
        <v>-25.9</v>
      </c>
      <c r="AB127" s="117">
        <v>-29.2</v>
      </c>
      <c r="AC127" s="117">
        <v>-17</v>
      </c>
      <c r="AD127" s="117">
        <v>-3</v>
      </c>
      <c r="AE127" s="117">
        <v>3.3</v>
      </c>
      <c r="AF127" s="117">
        <v>7</v>
      </c>
      <c r="AG127" s="114"/>
      <c r="AH127" s="47">
        <f>MAX(B127:AF127)</f>
        <v>27.3</v>
      </c>
      <c r="AI127" s="48">
        <f>MIN(B127:AF127)</f>
        <v>-29.2</v>
      </c>
    </row>
    <row r="128" spans="1:35" x14ac:dyDescent="0.25">
      <c r="A128" s="173" t="s">
        <v>123</v>
      </c>
      <c r="B128" s="106">
        <v>-13.8</v>
      </c>
      <c r="C128" s="106">
        <v>-12.5</v>
      </c>
      <c r="D128" s="106">
        <v>-11.5</v>
      </c>
      <c r="E128" s="106">
        <v>-11.1</v>
      </c>
      <c r="F128" s="106">
        <v>-12.2</v>
      </c>
      <c r="G128" s="106">
        <v>-17.100000000000001</v>
      </c>
      <c r="H128" s="106">
        <v>-22</v>
      </c>
      <c r="I128" s="106">
        <v>-32.9</v>
      </c>
      <c r="J128" s="106">
        <v>-32.9</v>
      </c>
      <c r="K128" s="106">
        <v>-48.1</v>
      </c>
      <c r="L128" s="106">
        <v>-50.4</v>
      </c>
      <c r="M128" s="106">
        <v>-54.8</v>
      </c>
      <c r="N128" s="106">
        <v>-41</v>
      </c>
      <c r="O128" s="106">
        <v>-45</v>
      </c>
      <c r="P128" s="106">
        <v>-37.799999999999997</v>
      </c>
      <c r="Q128" s="106">
        <v>-37</v>
      </c>
      <c r="R128" s="106">
        <v>-33</v>
      </c>
      <c r="S128" s="106">
        <v>-32.9</v>
      </c>
      <c r="T128" s="106">
        <v>-36.6</v>
      </c>
      <c r="U128" s="106">
        <v>-46</v>
      </c>
      <c r="V128" s="106">
        <v>-44.4</v>
      </c>
      <c r="W128" s="106">
        <v>-47.8</v>
      </c>
      <c r="X128" s="106">
        <v>-54</v>
      </c>
      <c r="Y128" s="106">
        <v>-65.2</v>
      </c>
      <c r="Z128" s="106">
        <v>-59.7</v>
      </c>
      <c r="AA128" s="106">
        <v>-50.6</v>
      </c>
      <c r="AB128" s="106">
        <v>-41.4</v>
      </c>
      <c r="AC128" s="106">
        <v>-39</v>
      </c>
      <c r="AD128" s="106">
        <v>-34</v>
      </c>
      <c r="AE128" s="106">
        <v>-22</v>
      </c>
      <c r="AF128" s="106">
        <v>-17.3</v>
      </c>
      <c r="AG128" s="114"/>
      <c r="AH128" s="47">
        <f>MAX(B128:AF128)</f>
        <v>-11.1</v>
      </c>
      <c r="AI128" s="48">
        <f>MIN(B128:AF128)</f>
        <v>-65.2</v>
      </c>
    </row>
    <row r="129" spans="1:37" x14ac:dyDescent="0.25">
      <c r="A129" s="173" t="s">
        <v>260</v>
      </c>
      <c r="B129" s="106">
        <v>-16.399999999999999</v>
      </c>
      <c r="C129" s="106">
        <v>-10.8</v>
      </c>
      <c r="D129" s="106">
        <v>-16.7</v>
      </c>
      <c r="E129" s="106">
        <v>-17.8</v>
      </c>
      <c r="F129" s="106">
        <v>33.200000000000003</v>
      </c>
      <c r="G129" s="106">
        <v>-23.6</v>
      </c>
      <c r="H129" s="106">
        <v>-30.2</v>
      </c>
      <c r="I129" s="106">
        <v>-15.7</v>
      </c>
      <c r="J129" s="106">
        <v>-15.7</v>
      </c>
      <c r="K129" s="106">
        <v>-14.5</v>
      </c>
      <c r="L129" s="106">
        <v>16.100000000000001</v>
      </c>
      <c r="M129" s="106">
        <v>12.4</v>
      </c>
      <c r="N129" s="106">
        <v>13</v>
      </c>
      <c r="O129" s="106">
        <v>-9</v>
      </c>
      <c r="P129" s="106">
        <v>-14</v>
      </c>
      <c r="Q129" s="106">
        <v>-27</v>
      </c>
      <c r="R129" s="106">
        <v>-24</v>
      </c>
      <c r="S129" s="106">
        <v>-25.7</v>
      </c>
      <c r="T129" s="106">
        <v>-29.9</v>
      </c>
      <c r="U129" s="106">
        <v>-36.799999999999997</v>
      </c>
      <c r="V129" s="106">
        <v>-39.5</v>
      </c>
      <c r="W129" s="106">
        <v>-44.8</v>
      </c>
      <c r="X129" s="106">
        <v>-40.5</v>
      </c>
      <c r="Y129" s="106">
        <v>-48</v>
      </c>
      <c r="Z129" s="106">
        <v>-33.700000000000003</v>
      </c>
      <c r="AA129" s="106">
        <v>-19.2</v>
      </c>
      <c r="AB129" s="106">
        <v>-1.2</v>
      </c>
      <c r="AC129" s="106">
        <v>-12</v>
      </c>
      <c r="AD129" s="106">
        <v>-24.1</v>
      </c>
      <c r="AE129" s="106">
        <v>-7.3</v>
      </c>
      <c r="AF129" s="106">
        <v>-7</v>
      </c>
      <c r="AG129" s="114"/>
      <c r="AH129" s="47">
        <f>MAX(B129:AF129)</f>
        <v>33.200000000000003</v>
      </c>
      <c r="AI129" s="48">
        <f>MIN(B129:AF129)</f>
        <v>-48</v>
      </c>
    </row>
    <row r="130" spans="1:37" ht="15.75" thickBot="1" x14ac:dyDescent="0.3">
      <c r="A130" s="173" t="s">
        <v>257</v>
      </c>
      <c r="B130" s="106">
        <v>95.3</v>
      </c>
      <c r="C130" s="106">
        <v>100.8</v>
      </c>
      <c r="D130" s="106">
        <v>98.7</v>
      </c>
      <c r="E130" s="106">
        <v>95.9</v>
      </c>
      <c r="F130" s="106">
        <v>88.2</v>
      </c>
      <c r="G130" s="106">
        <v>95.4</v>
      </c>
      <c r="H130" s="106">
        <v>100.8</v>
      </c>
      <c r="I130" s="106">
        <v>109.5</v>
      </c>
      <c r="J130" s="106">
        <v>109.5</v>
      </c>
      <c r="K130" s="106">
        <v>114</v>
      </c>
      <c r="L130" s="106">
        <v>106.5</v>
      </c>
      <c r="M130" s="106">
        <v>109.7</v>
      </c>
      <c r="N130" s="106">
        <v>100.5</v>
      </c>
      <c r="O130" s="106">
        <v>99</v>
      </c>
      <c r="P130" s="106">
        <v>128</v>
      </c>
      <c r="Q130" s="106">
        <v>122</v>
      </c>
      <c r="R130" s="106">
        <v>123</v>
      </c>
      <c r="S130" s="106">
        <v>127</v>
      </c>
      <c r="T130" s="106">
        <v>126.7</v>
      </c>
      <c r="U130" s="106">
        <v>120.2</v>
      </c>
      <c r="V130" s="106">
        <v>116.3</v>
      </c>
      <c r="W130" s="106">
        <v>110.5</v>
      </c>
      <c r="X130" s="106">
        <v>102.3</v>
      </c>
      <c r="Y130" s="106">
        <v>124.9</v>
      </c>
      <c r="Z130" s="106">
        <v>110.9</v>
      </c>
      <c r="AA130" s="106">
        <v>99.2</v>
      </c>
      <c r="AB130" s="106">
        <v>98.1</v>
      </c>
      <c r="AC130" s="106">
        <v>97</v>
      </c>
      <c r="AD130" s="106">
        <v>109</v>
      </c>
      <c r="AE130" s="106">
        <v>114</v>
      </c>
      <c r="AF130" s="106">
        <v>102.3</v>
      </c>
      <c r="AG130" s="114"/>
      <c r="AH130" s="47">
        <f>MAX(B130:AF130)</f>
        <v>128</v>
      </c>
      <c r="AI130" s="48">
        <f>MIN(B130:AF130)</f>
        <v>88.2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1984.48</v>
      </c>
      <c r="C132" s="147">
        <v>1984.7</v>
      </c>
      <c r="D132" s="147">
        <v>1984.9</v>
      </c>
      <c r="E132" s="147">
        <v>1985.12</v>
      </c>
      <c r="F132" s="147">
        <v>1985.31</v>
      </c>
      <c r="G132" s="147">
        <v>1985.5</v>
      </c>
      <c r="H132" s="147"/>
      <c r="I132" s="147">
        <v>1985.72</v>
      </c>
      <c r="J132" s="147"/>
      <c r="K132" s="147">
        <v>1985.72</v>
      </c>
      <c r="L132" s="147"/>
      <c r="M132" s="147">
        <v>1985.1</v>
      </c>
      <c r="N132" s="147">
        <v>1984.15</v>
      </c>
      <c r="O132" s="147">
        <v>1983.63</v>
      </c>
      <c r="P132" s="147">
        <v>1983.55</v>
      </c>
      <c r="Q132" s="147">
        <v>1983.5</v>
      </c>
      <c r="R132" s="147">
        <v>1983.58</v>
      </c>
      <c r="S132" s="147">
        <v>1983.65</v>
      </c>
      <c r="T132" s="147">
        <v>1983.69</v>
      </c>
      <c r="U132" s="147">
        <v>1983.8</v>
      </c>
      <c r="V132" s="147">
        <v>1984.02</v>
      </c>
      <c r="W132" s="147"/>
      <c r="X132" s="147">
        <v>1984.21</v>
      </c>
      <c r="Y132" s="147"/>
      <c r="Z132" s="147">
        <v>1983.8</v>
      </c>
      <c r="AA132" s="147"/>
      <c r="AB132" s="147">
        <v>1983.38</v>
      </c>
      <c r="AC132" s="147"/>
      <c r="AD132" s="147">
        <v>1983.1</v>
      </c>
      <c r="AE132" s="147">
        <v>1983.31</v>
      </c>
      <c r="AF132" s="148">
        <v>1983.55</v>
      </c>
      <c r="AG132" s="149"/>
      <c r="AH132" s="47"/>
      <c r="AI132" s="48"/>
    </row>
    <row r="133" spans="1:37" x14ac:dyDescent="0.25">
      <c r="A133" s="185" t="s">
        <v>238</v>
      </c>
      <c r="B133" s="150">
        <v>520.75</v>
      </c>
      <c r="C133" s="150">
        <v>521.12</v>
      </c>
      <c r="D133" s="150">
        <v>521.41999999999996</v>
      </c>
      <c r="E133" s="150">
        <v>521.72</v>
      </c>
      <c r="F133" s="150">
        <v>522</v>
      </c>
      <c r="G133" s="150">
        <v>522.29999999999995</v>
      </c>
      <c r="H133" s="150"/>
      <c r="I133" s="150">
        <v>522.36</v>
      </c>
      <c r="J133" s="150"/>
      <c r="K133" s="150">
        <v>522.14</v>
      </c>
      <c r="L133" s="150"/>
      <c r="M133" s="150">
        <v>521.64</v>
      </c>
      <c r="N133" s="150">
        <v>521</v>
      </c>
      <c r="O133" s="150">
        <v>520.37599999999998</v>
      </c>
      <c r="P133" s="150">
        <v>520.69000000000005</v>
      </c>
      <c r="Q133" s="150">
        <v>520.58000000000004</v>
      </c>
      <c r="R133" s="150">
        <v>520.57000000000005</v>
      </c>
      <c r="S133" s="150">
        <v>520.69000000000005</v>
      </c>
      <c r="T133" s="150">
        <v>520.73</v>
      </c>
      <c r="U133" s="150">
        <v>520.79999999999995</v>
      </c>
      <c r="V133" s="150">
        <v>520.83000000000004</v>
      </c>
      <c r="W133" s="150"/>
      <c r="X133" s="150">
        <v>520.88</v>
      </c>
      <c r="Y133" s="150"/>
      <c r="Z133" s="150">
        <v>520.67999999999995</v>
      </c>
      <c r="AA133" s="150"/>
      <c r="AB133" s="150">
        <v>519.99</v>
      </c>
      <c r="AC133" s="150"/>
      <c r="AD133" s="150">
        <v>519.66999999999996</v>
      </c>
      <c r="AE133" s="150">
        <v>519.86</v>
      </c>
      <c r="AF133" s="151">
        <v>520.20000000000005</v>
      </c>
      <c r="AG133" s="149"/>
      <c r="AH133" s="47"/>
      <c r="AI133" s="48"/>
    </row>
    <row r="134" spans="1:37" x14ac:dyDescent="0.25">
      <c r="A134" s="185" t="s">
        <v>239</v>
      </c>
      <c r="B134" s="150">
        <v>622.30999999999995</v>
      </c>
      <c r="C134" s="150">
        <v>622.22</v>
      </c>
      <c r="D134" s="150">
        <v>522.16</v>
      </c>
      <c r="E134" s="150">
        <v>622.25</v>
      </c>
      <c r="F134" s="150">
        <v>622.71</v>
      </c>
      <c r="G134" s="150">
        <v>623.12</v>
      </c>
      <c r="H134" s="150"/>
      <c r="I134" s="150">
        <v>623.29999999999995</v>
      </c>
      <c r="J134" s="150"/>
      <c r="K134" s="150">
        <v>623.14</v>
      </c>
      <c r="L134" s="150"/>
      <c r="M134" s="150">
        <v>622.82000000000005</v>
      </c>
      <c r="N134" s="150">
        <v>622.27</v>
      </c>
      <c r="O134" s="150">
        <v>622.29999999999995</v>
      </c>
      <c r="P134" s="150">
        <v>622.34</v>
      </c>
      <c r="Q134" s="150">
        <v>622.4</v>
      </c>
      <c r="R134" s="150">
        <v>622.46</v>
      </c>
      <c r="S134" s="150">
        <v>622.6</v>
      </c>
      <c r="T134" s="150">
        <v>622.47</v>
      </c>
      <c r="U134" s="150">
        <v>622.37</v>
      </c>
      <c r="V134" s="150">
        <v>622.29</v>
      </c>
      <c r="W134" s="150"/>
      <c r="X134" s="150">
        <v>622.21</v>
      </c>
      <c r="Y134" s="150"/>
      <c r="Z134" s="150">
        <v>622.01</v>
      </c>
      <c r="AA134" s="150"/>
      <c r="AB134" s="150">
        <v>621.75</v>
      </c>
      <c r="AC134" s="150"/>
      <c r="AD134" s="150">
        <v>621.77</v>
      </c>
      <c r="AE134" s="150">
        <v>621.86</v>
      </c>
      <c r="AF134" s="151">
        <v>622.21</v>
      </c>
      <c r="AG134" s="149"/>
      <c r="AH134" s="47"/>
      <c r="AI134" s="48"/>
    </row>
    <row r="135" spans="1:37" x14ac:dyDescent="0.25">
      <c r="A135" s="185" t="s">
        <v>240</v>
      </c>
      <c r="B135" s="150">
        <v>335.13</v>
      </c>
      <c r="C135" s="150">
        <v>335.43</v>
      </c>
      <c r="D135" s="150">
        <v>335.78</v>
      </c>
      <c r="E135" s="150">
        <v>336.1</v>
      </c>
      <c r="F135" s="150">
        <v>336.21</v>
      </c>
      <c r="G135" s="150">
        <v>336.28</v>
      </c>
      <c r="H135" s="150"/>
      <c r="I135" s="150">
        <v>336.54</v>
      </c>
      <c r="J135" s="150"/>
      <c r="K135" s="150">
        <v>336.54</v>
      </c>
      <c r="L135" s="150"/>
      <c r="M135" s="150">
        <v>336.22</v>
      </c>
      <c r="N135" s="150">
        <v>335.92</v>
      </c>
      <c r="O135" s="150">
        <v>335.67</v>
      </c>
      <c r="P135" s="150">
        <v>335.46</v>
      </c>
      <c r="Q135" s="150">
        <v>335.17</v>
      </c>
      <c r="R135" s="150">
        <v>334.88</v>
      </c>
      <c r="S135" s="150">
        <v>335.18</v>
      </c>
      <c r="T135" s="150">
        <v>335.45</v>
      </c>
      <c r="U135" s="150">
        <v>335.62</v>
      </c>
      <c r="V135" s="150">
        <v>335.61</v>
      </c>
      <c r="W135" s="150"/>
      <c r="X135" s="150">
        <v>335.56</v>
      </c>
      <c r="Y135" s="150"/>
      <c r="Z135" s="150">
        <v>335.44</v>
      </c>
      <c r="AA135" s="150"/>
      <c r="AB135" s="150">
        <v>335.33</v>
      </c>
      <c r="AC135" s="150"/>
      <c r="AD135" s="150">
        <v>335.23</v>
      </c>
      <c r="AE135" s="150">
        <v>335.25</v>
      </c>
      <c r="AF135" s="151">
        <v>335.26</v>
      </c>
      <c r="AG135" s="149"/>
      <c r="AH135" s="47"/>
      <c r="AI135" s="48"/>
    </row>
    <row r="136" spans="1:37" x14ac:dyDescent="0.25">
      <c r="A136" s="185" t="s">
        <v>384</v>
      </c>
      <c r="B136" s="150">
        <v>884.2</v>
      </c>
      <c r="C136" s="150">
        <v>884.9</v>
      </c>
      <c r="D136" s="150">
        <v>885.5</v>
      </c>
      <c r="E136" s="150">
        <v>886.1</v>
      </c>
      <c r="F136" s="150">
        <v>886.7</v>
      </c>
      <c r="G136" s="150">
        <v>887</v>
      </c>
      <c r="H136" s="150"/>
      <c r="I136" s="150">
        <v>886.8</v>
      </c>
      <c r="J136" s="150"/>
      <c r="K136" s="150">
        <v>886.4</v>
      </c>
      <c r="L136" s="150"/>
      <c r="M136" s="150">
        <v>885.5</v>
      </c>
      <c r="N136" s="150">
        <v>884.1</v>
      </c>
      <c r="O136" s="150">
        <v>883.5</v>
      </c>
      <c r="P136" s="150">
        <v>883.5</v>
      </c>
      <c r="Q136" s="150">
        <v>883.2</v>
      </c>
      <c r="R136" s="150">
        <v>882.8</v>
      </c>
      <c r="S136" s="150">
        <v>882.6</v>
      </c>
      <c r="T136" s="150">
        <v>882.9</v>
      </c>
      <c r="U136" s="150">
        <v>883.5</v>
      </c>
      <c r="V136" s="150">
        <v>884.4</v>
      </c>
      <c r="W136" s="150"/>
      <c r="X136" s="150">
        <v>885.06</v>
      </c>
      <c r="Y136" s="150"/>
      <c r="Z136" s="150">
        <v>885.4</v>
      </c>
      <c r="AA136" s="150"/>
      <c r="AB136" s="150">
        <v>884.6</v>
      </c>
      <c r="AC136" s="150"/>
      <c r="AD136" s="150">
        <v>884.2</v>
      </c>
      <c r="AE136" s="150">
        <v>884.2</v>
      </c>
      <c r="AF136" s="151">
        <v>884.1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1519.74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>
        <v>1519.75</v>
      </c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>
        <v>1519.75</v>
      </c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50">SUM(B139:B243)</f>
        <v>0</v>
      </c>
      <c r="C244" s="134">
        <f t="shared" si="150"/>
        <v>0</v>
      </c>
      <c r="D244" s="134">
        <f t="shared" si="150"/>
        <v>0</v>
      </c>
      <c r="E244" s="134">
        <f t="shared" si="150"/>
        <v>0</v>
      </c>
      <c r="F244" s="134">
        <f t="shared" si="150"/>
        <v>0</v>
      </c>
      <c r="G244" s="134">
        <f t="shared" si="150"/>
        <v>0</v>
      </c>
      <c r="H244" s="134">
        <f t="shared" si="150"/>
        <v>0</v>
      </c>
      <c r="I244" s="134">
        <f t="shared" si="150"/>
        <v>0</v>
      </c>
      <c r="J244" s="134">
        <f t="shared" si="150"/>
        <v>0</v>
      </c>
      <c r="K244" s="134">
        <f t="shared" si="150"/>
        <v>0</v>
      </c>
      <c r="L244" s="134">
        <f t="shared" si="150"/>
        <v>0</v>
      </c>
      <c r="M244" s="134">
        <f t="shared" si="150"/>
        <v>0</v>
      </c>
      <c r="N244" s="134">
        <f t="shared" si="150"/>
        <v>0</v>
      </c>
      <c r="O244" s="134">
        <f t="shared" si="150"/>
        <v>0</v>
      </c>
      <c r="P244" s="134">
        <f t="shared" si="150"/>
        <v>0</v>
      </c>
      <c r="Q244" s="134">
        <f t="shared" si="150"/>
        <v>0</v>
      </c>
      <c r="R244" s="134">
        <f t="shared" si="150"/>
        <v>0</v>
      </c>
      <c r="S244" s="134">
        <f t="shared" si="150"/>
        <v>0</v>
      </c>
      <c r="T244" s="134">
        <f t="shared" si="150"/>
        <v>0</v>
      </c>
      <c r="U244" s="134">
        <f t="shared" si="150"/>
        <v>0</v>
      </c>
      <c r="V244" s="134">
        <f t="shared" si="150"/>
        <v>0</v>
      </c>
      <c r="W244" s="134">
        <f t="shared" si="150"/>
        <v>0</v>
      </c>
      <c r="X244" s="134">
        <f t="shared" si="150"/>
        <v>0</v>
      </c>
      <c r="Y244" s="134">
        <f t="shared" si="150"/>
        <v>0</v>
      </c>
      <c r="Z244" s="134">
        <f t="shared" si="150"/>
        <v>0</v>
      </c>
      <c r="AA244" s="134">
        <f t="shared" si="150"/>
        <v>0</v>
      </c>
      <c r="AB244" s="134">
        <f t="shared" si="150"/>
        <v>0</v>
      </c>
      <c r="AC244" s="134">
        <f t="shared" si="150"/>
        <v>0</v>
      </c>
      <c r="AD244" s="134">
        <f t="shared" si="150"/>
        <v>0</v>
      </c>
      <c r="AE244" s="134">
        <f t="shared" si="150"/>
        <v>0</v>
      </c>
      <c r="AF244" s="135">
        <f t="shared" si="150"/>
        <v>0</v>
      </c>
      <c r="AG244" s="136">
        <f t="shared" si="150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51">AF246</f>
        <v>0.3</v>
      </c>
      <c r="C246" s="138">
        <v>0.3</v>
      </c>
      <c r="D246" s="138">
        <f t="shared" ref="D246:S251" si="152">C246</f>
        <v>0.3</v>
      </c>
      <c r="E246" s="138">
        <f t="shared" si="152"/>
        <v>0.3</v>
      </c>
      <c r="F246" s="138">
        <f t="shared" si="152"/>
        <v>0.3</v>
      </c>
      <c r="G246" s="138">
        <f t="shared" si="152"/>
        <v>0.3</v>
      </c>
      <c r="H246" s="138">
        <f t="shared" si="152"/>
        <v>0.3</v>
      </c>
      <c r="I246" s="138">
        <f t="shared" si="152"/>
        <v>0.3</v>
      </c>
      <c r="J246" s="138">
        <f t="shared" si="152"/>
        <v>0.3</v>
      </c>
      <c r="K246" s="138">
        <f t="shared" si="152"/>
        <v>0.3</v>
      </c>
      <c r="L246" s="138">
        <f t="shared" si="152"/>
        <v>0.3</v>
      </c>
      <c r="M246" s="138">
        <f t="shared" si="152"/>
        <v>0.3</v>
      </c>
      <c r="N246" s="138">
        <f t="shared" si="152"/>
        <v>0.3</v>
      </c>
      <c r="O246" s="138">
        <f t="shared" si="152"/>
        <v>0.3</v>
      </c>
      <c r="P246" s="138">
        <f t="shared" si="152"/>
        <v>0.3</v>
      </c>
      <c r="Q246" s="138">
        <f t="shared" si="152"/>
        <v>0.3</v>
      </c>
      <c r="R246" s="138">
        <f t="shared" si="152"/>
        <v>0.3</v>
      </c>
      <c r="S246" s="138">
        <f t="shared" si="152"/>
        <v>0.3</v>
      </c>
      <c r="T246" s="138">
        <f t="shared" ref="T246:AF251" si="153">S246</f>
        <v>0.3</v>
      </c>
      <c r="U246" s="138">
        <f t="shared" si="153"/>
        <v>0.3</v>
      </c>
      <c r="V246" s="138">
        <f t="shared" si="153"/>
        <v>0.3</v>
      </c>
      <c r="W246" s="138">
        <f t="shared" si="153"/>
        <v>0.3</v>
      </c>
      <c r="X246" s="138">
        <f t="shared" si="153"/>
        <v>0.3</v>
      </c>
      <c r="Y246" s="138">
        <f t="shared" si="153"/>
        <v>0.3</v>
      </c>
      <c r="Z246" s="138">
        <f t="shared" si="153"/>
        <v>0.3</v>
      </c>
      <c r="AA246" s="138">
        <f t="shared" si="153"/>
        <v>0.3</v>
      </c>
      <c r="AB246" s="138">
        <f t="shared" si="153"/>
        <v>0.3</v>
      </c>
      <c r="AC246" s="138">
        <f t="shared" si="153"/>
        <v>0.3</v>
      </c>
      <c r="AD246" s="138">
        <f t="shared" si="153"/>
        <v>0.3</v>
      </c>
      <c r="AE246" s="138">
        <f t="shared" si="153"/>
        <v>0.3</v>
      </c>
      <c r="AF246" s="138">
        <f t="shared" si="153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51"/>
        <v>0.4</v>
      </c>
      <c r="C247" s="126">
        <v>0.4</v>
      </c>
      <c r="D247" s="126">
        <f t="shared" si="152"/>
        <v>0.4</v>
      </c>
      <c r="E247" s="126">
        <f t="shared" si="152"/>
        <v>0.4</v>
      </c>
      <c r="F247" s="126">
        <f t="shared" si="152"/>
        <v>0.4</v>
      </c>
      <c r="G247" s="126">
        <f t="shared" si="152"/>
        <v>0.4</v>
      </c>
      <c r="H247" s="126">
        <f t="shared" si="152"/>
        <v>0.4</v>
      </c>
      <c r="I247" s="126">
        <f t="shared" si="152"/>
        <v>0.4</v>
      </c>
      <c r="J247" s="126">
        <f t="shared" si="152"/>
        <v>0.4</v>
      </c>
      <c r="K247" s="126">
        <f t="shared" si="152"/>
        <v>0.4</v>
      </c>
      <c r="L247" s="126">
        <f t="shared" si="152"/>
        <v>0.4</v>
      </c>
      <c r="M247" s="126">
        <f t="shared" si="152"/>
        <v>0.4</v>
      </c>
      <c r="N247" s="126">
        <f t="shared" si="152"/>
        <v>0.4</v>
      </c>
      <c r="O247" s="126">
        <f t="shared" si="152"/>
        <v>0.4</v>
      </c>
      <c r="P247" s="126">
        <f t="shared" si="152"/>
        <v>0.4</v>
      </c>
      <c r="Q247" s="126">
        <f t="shared" si="152"/>
        <v>0.4</v>
      </c>
      <c r="R247" s="126">
        <f t="shared" si="152"/>
        <v>0.4</v>
      </c>
      <c r="S247" s="126">
        <f t="shared" si="152"/>
        <v>0.4</v>
      </c>
      <c r="T247" s="126">
        <f t="shared" si="153"/>
        <v>0.4</v>
      </c>
      <c r="U247" s="126">
        <f t="shared" si="153"/>
        <v>0.4</v>
      </c>
      <c r="V247" s="126">
        <f t="shared" si="153"/>
        <v>0.4</v>
      </c>
      <c r="W247" s="126">
        <f t="shared" si="153"/>
        <v>0.4</v>
      </c>
      <c r="X247" s="126">
        <f t="shared" si="153"/>
        <v>0.4</v>
      </c>
      <c r="Y247" s="126">
        <f t="shared" si="153"/>
        <v>0.4</v>
      </c>
      <c r="Z247" s="126">
        <f t="shared" si="153"/>
        <v>0.4</v>
      </c>
      <c r="AA247" s="126">
        <f t="shared" si="153"/>
        <v>0.4</v>
      </c>
      <c r="AB247" s="126">
        <f t="shared" si="153"/>
        <v>0.4</v>
      </c>
      <c r="AC247" s="126">
        <f t="shared" si="153"/>
        <v>0.4</v>
      </c>
      <c r="AD247" s="126">
        <f t="shared" si="153"/>
        <v>0.4</v>
      </c>
      <c r="AE247" s="126">
        <f t="shared" si="153"/>
        <v>0.4</v>
      </c>
      <c r="AF247" s="126">
        <f t="shared" si="153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51"/>
        <v>1.5</v>
      </c>
      <c r="C248" s="126">
        <v>1.5</v>
      </c>
      <c r="D248" s="126">
        <f t="shared" si="152"/>
        <v>1.5</v>
      </c>
      <c r="E248" s="126">
        <f t="shared" si="152"/>
        <v>1.5</v>
      </c>
      <c r="F248" s="126">
        <f t="shared" si="152"/>
        <v>1.5</v>
      </c>
      <c r="G248" s="126">
        <f t="shared" si="152"/>
        <v>1.5</v>
      </c>
      <c r="H248" s="126">
        <f t="shared" si="152"/>
        <v>1.5</v>
      </c>
      <c r="I248" s="126">
        <f t="shared" si="152"/>
        <v>1.5</v>
      </c>
      <c r="J248" s="126">
        <f t="shared" si="152"/>
        <v>1.5</v>
      </c>
      <c r="K248" s="126">
        <f t="shared" si="152"/>
        <v>1.5</v>
      </c>
      <c r="L248" s="126">
        <f t="shared" si="152"/>
        <v>1.5</v>
      </c>
      <c r="M248" s="126">
        <f t="shared" si="152"/>
        <v>1.5</v>
      </c>
      <c r="N248" s="126">
        <f t="shared" si="152"/>
        <v>1.5</v>
      </c>
      <c r="O248" s="126">
        <f t="shared" si="152"/>
        <v>1.5</v>
      </c>
      <c r="P248" s="126">
        <f t="shared" si="152"/>
        <v>1.5</v>
      </c>
      <c r="Q248" s="126">
        <f t="shared" si="152"/>
        <v>1.5</v>
      </c>
      <c r="R248" s="126">
        <f t="shared" si="152"/>
        <v>1.5</v>
      </c>
      <c r="S248" s="126">
        <f t="shared" si="152"/>
        <v>1.5</v>
      </c>
      <c r="T248" s="126">
        <f t="shared" si="153"/>
        <v>1.5</v>
      </c>
      <c r="U248" s="126">
        <f t="shared" si="153"/>
        <v>1.5</v>
      </c>
      <c r="V248" s="126">
        <f t="shared" si="153"/>
        <v>1.5</v>
      </c>
      <c r="W248" s="126">
        <f t="shared" si="153"/>
        <v>1.5</v>
      </c>
      <c r="X248" s="126">
        <f t="shared" si="153"/>
        <v>1.5</v>
      </c>
      <c r="Y248" s="126">
        <f t="shared" si="153"/>
        <v>1.5</v>
      </c>
      <c r="Z248" s="126">
        <f t="shared" si="153"/>
        <v>1.5</v>
      </c>
      <c r="AA248" s="126">
        <f t="shared" si="153"/>
        <v>1.5</v>
      </c>
      <c r="AB248" s="126">
        <f t="shared" si="153"/>
        <v>1.5</v>
      </c>
      <c r="AC248" s="126">
        <f t="shared" si="153"/>
        <v>1.5</v>
      </c>
      <c r="AD248" s="126">
        <f t="shared" si="153"/>
        <v>1.5</v>
      </c>
      <c r="AE248" s="126">
        <f t="shared" si="153"/>
        <v>1.5</v>
      </c>
      <c r="AF248" s="126">
        <f t="shared" si="153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51"/>
        <v>0.3</v>
      </c>
      <c r="C249" s="126">
        <v>0.3</v>
      </c>
      <c r="D249" s="126">
        <f t="shared" si="152"/>
        <v>0.3</v>
      </c>
      <c r="E249" s="126">
        <f t="shared" si="152"/>
        <v>0.3</v>
      </c>
      <c r="F249" s="126">
        <f t="shared" si="152"/>
        <v>0.3</v>
      </c>
      <c r="G249" s="126">
        <f t="shared" si="152"/>
        <v>0.3</v>
      </c>
      <c r="H249" s="126">
        <f t="shared" si="152"/>
        <v>0.3</v>
      </c>
      <c r="I249" s="126">
        <f t="shared" si="152"/>
        <v>0.3</v>
      </c>
      <c r="J249" s="126">
        <f t="shared" si="152"/>
        <v>0.3</v>
      </c>
      <c r="K249" s="126">
        <f t="shared" si="152"/>
        <v>0.3</v>
      </c>
      <c r="L249" s="126">
        <f t="shared" si="152"/>
        <v>0.3</v>
      </c>
      <c r="M249" s="126">
        <f t="shared" si="152"/>
        <v>0.3</v>
      </c>
      <c r="N249" s="126">
        <f t="shared" si="152"/>
        <v>0.3</v>
      </c>
      <c r="O249" s="126">
        <f t="shared" si="152"/>
        <v>0.3</v>
      </c>
      <c r="P249" s="126">
        <f t="shared" si="152"/>
        <v>0.3</v>
      </c>
      <c r="Q249" s="126">
        <f t="shared" si="152"/>
        <v>0.3</v>
      </c>
      <c r="R249" s="126">
        <f t="shared" si="152"/>
        <v>0.3</v>
      </c>
      <c r="S249" s="126">
        <f t="shared" si="152"/>
        <v>0.3</v>
      </c>
      <c r="T249" s="126">
        <f t="shared" si="153"/>
        <v>0.3</v>
      </c>
      <c r="U249" s="126">
        <f t="shared" si="153"/>
        <v>0.3</v>
      </c>
      <c r="V249" s="126">
        <f t="shared" si="153"/>
        <v>0.3</v>
      </c>
      <c r="W249" s="126">
        <f t="shared" si="153"/>
        <v>0.3</v>
      </c>
      <c r="X249" s="126">
        <f t="shared" si="153"/>
        <v>0.3</v>
      </c>
      <c r="Y249" s="126">
        <f t="shared" si="153"/>
        <v>0.3</v>
      </c>
      <c r="Z249" s="126">
        <f t="shared" si="153"/>
        <v>0.3</v>
      </c>
      <c r="AA249" s="126">
        <f t="shared" si="153"/>
        <v>0.3</v>
      </c>
      <c r="AB249" s="126">
        <f t="shared" si="153"/>
        <v>0.3</v>
      </c>
      <c r="AC249" s="126">
        <f t="shared" si="153"/>
        <v>0.3</v>
      </c>
      <c r="AD249" s="126">
        <f t="shared" si="153"/>
        <v>0.3</v>
      </c>
      <c r="AE249" s="126">
        <f t="shared" si="153"/>
        <v>0.3</v>
      </c>
      <c r="AF249" s="126">
        <f t="shared" si="153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51"/>
        <v>0.4</v>
      </c>
      <c r="C250" s="126">
        <v>0.4</v>
      </c>
      <c r="D250" s="126">
        <f t="shared" si="152"/>
        <v>0.4</v>
      </c>
      <c r="E250" s="126">
        <f t="shared" si="152"/>
        <v>0.4</v>
      </c>
      <c r="F250" s="126">
        <f t="shared" si="152"/>
        <v>0.4</v>
      </c>
      <c r="G250" s="126">
        <f t="shared" si="152"/>
        <v>0.4</v>
      </c>
      <c r="H250" s="126">
        <f t="shared" si="152"/>
        <v>0.4</v>
      </c>
      <c r="I250" s="126">
        <f t="shared" si="152"/>
        <v>0.4</v>
      </c>
      <c r="J250" s="126">
        <f t="shared" si="152"/>
        <v>0.4</v>
      </c>
      <c r="K250" s="126">
        <f t="shared" si="152"/>
        <v>0.4</v>
      </c>
      <c r="L250" s="126">
        <f t="shared" si="152"/>
        <v>0.4</v>
      </c>
      <c r="M250" s="126">
        <f t="shared" si="152"/>
        <v>0.4</v>
      </c>
      <c r="N250" s="126">
        <f t="shared" si="152"/>
        <v>0.4</v>
      </c>
      <c r="O250" s="126">
        <f t="shared" si="152"/>
        <v>0.4</v>
      </c>
      <c r="P250" s="126">
        <f t="shared" si="152"/>
        <v>0.4</v>
      </c>
      <c r="Q250" s="126">
        <f t="shared" si="152"/>
        <v>0.4</v>
      </c>
      <c r="R250" s="126">
        <f t="shared" si="152"/>
        <v>0.4</v>
      </c>
      <c r="S250" s="126">
        <f t="shared" si="152"/>
        <v>0.4</v>
      </c>
      <c r="T250" s="126">
        <f t="shared" si="153"/>
        <v>0.4</v>
      </c>
      <c r="U250" s="126">
        <f t="shared" si="153"/>
        <v>0.4</v>
      </c>
      <c r="V250" s="126">
        <f t="shared" si="153"/>
        <v>0.4</v>
      </c>
      <c r="W250" s="126">
        <f t="shared" si="153"/>
        <v>0.4</v>
      </c>
      <c r="X250" s="126">
        <f t="shared" si="153"/>
        <v>0.4</v>
      </c>
      <c r="Y250" s="126">
        <f t="shared" si="153"/>
        <v>0.4</v>
      </c>
      <c r="Z250" s="126">
        <f t="shared" si="153"/>
        <v>0.4</v>
      </c>
      <c r="AA250" s="126">
        <f t="shared" si="153"/>
        <v>0.4</v>
      </c>
      <c r="AB250" s="126">
        <f t="shared" si="153"/>
        <v>0.4</v>
      </c>
      <c r="AC250" s="126">
        <f t="shared" si="153"/>
        <v>0.4</v>
      </c>
      <c r="AD250" s="126">
        <f t="shared" si="153"/>
        <v>0.4</v>
      </c>
      <c r="AE250" s="126">
        <f t="shared" si="153"/>
        <v>0.4</v>
      </c>
      <c r="AF250" s="126">
        <f t="shared" si="153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51"/>
        <v>0.64</v>
      </c>
      <c r="C251" s="130">
        <v>0.64</v>
      </c>
      <c r="D251" s="130">
        <f t="shared" si="152"/>
        <v>0.64</v>
      </c>
      <c r="E251" s="130">
        <f t="shared" si="152"/>
        <v>0.64</v>
      </c>
      <c r="F251" s="130">
        <f t="shared" si="152"/>
        <v>0.64</v>
      </c>
      <c r="G251" s="130">
        <f t="shared" si="152"/>
        <v>0.64</v>
      </c>
      <c r="H251" s="130">
        <f t="shared" si="152"/>
        <v>0.64</v>
      </c>
      <c r="I251" s="130">
        <f t="shared" si="152"/>
        <v>0.64</v>
      </c>
      <c r="J251" s="130">
        <f t="shared" si="152"/>
        <v>0.64</v>
      </c>
      <c r="K251" s="130">
        <f t="shared" si="152"/>
        <v>0.64</v>
      </c>
      <c r="L251" s="130">
        <f t="shared" si="152"/>
        <v>0.64</v>
      </c>
      <c r="M251" s="130">
        <f t="shared" si="152"/>
        <v>0.64</v>
      </c>
      <c r="N251" s="130">
        <f t="shared" si="152"/>
        <v>0.64</v>
      </c>
      <c r="O251" s="130">
        <f t="shared" si="152"/>
        <v>0.64</v>
      </c>
      <c r="P251" s="130">
        <f t="shared" si="152"/>
        <v>0.64</v>
      </c>
      <c r="Q251" s="130">
        <f t="shared" si="152"/>
        <v>0.64</v>
      </c>
      <c r="R251" s="130">
        <f t="shared" si="152"/>
        <v>0.64</v>
      </c>
      <c r="S251" s="130">
        <f t="shared" si="152"/>
        <v>0.64</v>
      </c>
      <c r="T251" s="130">
        <f t="shared" si="153"/>
        <v>0.64</v>
      </c>
      <c r="U251" s="130">
        <f t="shared" si="153"/>
        <v>0.64</v>
      </c>
      <c r="V251" s="130">
        <f t="shared" si="153"/>
        <v>0.64</v>
      </c>
      <c r="W251" s="130">
        <f t="shared" si="153"/>
        <v>0.64</v>
      </c>
      <c r="X251" s="130">
        <f t="shared" si="153"/>
        <v>0.64</v>
      </c>
      <c r="Y251" s="130">
        <f t="shared" si="153"/>
        <v>0.64</v>
      </c>
      <c r="Z251" s="130">
        <f t="shared" si="153"/>
        <v>0.64</v>
      </c>
      <c r="AA251" s="130">
        <f t="shared" si="153"/>
        <v>0.64</v>
      </c>
      <c r="AB251" s="130">
        <f t="shared" si="153"/>
        <v>0.64</v>
      </c>
      <c r="AC251" s="130">
        <f t="shared" si="153"/>
        <v>0.64</v>
      </c>
      <c r="AD251" s="130">
        <f t="shared" si="153"/>
        <v>0.64</v>
      </c>
      <c r="AE251" s="130">
        <f t="shared" si="153"/>
        <v>0.64</v>
      </c>
      <c r="AF251" s="130">
        <f t="shared" si="153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54">SUM(B246:B251)</f>
        <v>3.54</v>
      </c>
      <c r="C252" s="134">
        <f t="shared" si="154"/>
        <v>3.54</v>
      </c>
      <c r="D252" s="134">
        <f t="shared" si="154"/>
        <v>3.54</v>
      </c>
      <c r="E252" s="134">
        <f t="shared" si="154"/>
        <v>3.54</v>
      </c>
      <c r="F252" s="134">
        <f t="shared" si="154"/>
        <v>3.54</v>
      </c>
      <c r="G252" s="134">
        <f t="shared" si="154"/>
        <v>3.54</v>
      </c>
      <c r="H252" s="134">
        <f t="shared" si="154"/>
        <v>3.54</v>
      </c>
      <c r="I252" s="134">
        <f t="shared" si="154"/>
        <v>3.54</v>
      </c>
      <c r="J252" s="134">
        <f t="shared" si="154"/>
        <v>3.54</v>
      </c>
      <c r="K252" s="134">
        <f t="shared" si="154"/>
        <v>3.54</v>
      </c>
      <c r="L252" s="134">
        <f t="shared" si="154"/>
        <v>3.54</v>
      </c>
      <c r="M252" s="134">
        <f t="shared" si="154"/>
        <v>3.54</v>
      </c>
      <c r="N252" s="134">
        <f t="shared" si="154"/>
        <v>3.54</v>
      </c>
      <c r="O252" s="134">
        <f t="shared" si="154"/>
        <v>3.54</v>
      </c>
      <c r="P252" s="134">
        <f t="shared" si="154"/>
        <v>3.54</v>
      </c>
      <c r="Q252" s="134">
        <f t="shared" si="154"/>
        <v>3.54</v>
      </c>
      <c r="R252" s="134">
        <f t="shared" si="154"/>
        <v>3.54</v>
      </c>
      <c r="S252" s="134">
        <f t="shared" si="154"/>
        <v>3.54</v>
      </c>
      <c r="T252" s="134">
        <f t="shared" si="154"/>
        <v>3.54</v>
      </c>
      <c r="U252" s="134">
        <f t="shared" si="154"/>
        <v>3.54</v>
      </c>
      <c r="V252" s="134">
        <f t="shared" si="154"/>
        <v>3.54</v>
      </c>
      <c r="W252" s="134">
        <f t="shared" si="154"/>
        <v>3.54</v>
      </c>
      <c r="X252" s="134">
        <f t="shared" si="154"/>
        <v>3.54</v>
      </c>
      <c r="Y252" s="134">
        <f t="shared" si="154"/>
        <v>3.54</v>
      </c>
      <c r="Z252" s="134">
        <f t="shared" si="154"/>
        <v>3.54</v>
      </c>
      <c r="AA252" s="134">
        <f t="shared" si="154"/>
        <v>3.54</v>
      </c>
      <c r="AB252" s="134">
        <f t="shared" si="154"/>
        <v>3.54</v>
      </c>
      <c r="AC252" s="134">
        <f t="shared" si="154"/>
        <v>3.54</v>
      </c>
      <c r="AD252" s="134">
        <f t="shared" si="154"/>
        <v>3.54</v>
      </c>
      <c r="AE252" s="134">
        <f t="shared" si="154"/>
        <v>3.54</v>
      </c>
      <c r="AF252" s="134">
        <f t="shared" si="154"/>
        <v>3.54</v>
      </c>
      <c r="AG252" s="143">
        <f t="shared" si="154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1689.99</v>
      </c>
      <c r="C256" s="156">
        <f>INDEX(G9:N9,1,MATCH(MAX(G99:N99),G99:N99,0))</f>
        <v>0.33333333333333331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2080/10/28)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671" priority="90">
      <formula>$AH11=0</formula>
    </cfRule>
  </conditionalFormatting>
  <conditionalFormatting sqref="A132:A253">
    <cfRule type="expression" dxfId="670" priority="91">
      <formula>$AH132=0</formula>
    </cfRule>
  </conditionalFormatting>
  <conditionalFormatting sqref="B8">
    <cfRule type="expression" dxfId="669" priority="149">
      <formula>AND(C$9&gt;=14/24,C$9&lt;20/24)</formula>
    </cfRule>
    <cfRule type="expression" dxfId="668" priority="152">
      <formula>C$9&gt;=20/24</formula>
    </cfRule>
    <cfRule type="expression" dxfId="667" priority="151">
      <formula>C$9&lt;8/24</formula>
    </cfRule>
    <cfRule type="expression" dxfId="666" priority="150">
      <formula>AND(C$9&gt;=8/24,C$9&lt;14/24)</formula>
    </cfRule>
  </conditionalFormatting>
  <conditionalFormatting sqref="B11:Y52 B59:D74 E66:E74 F68:G74 E69:AF74 B77:AF99 B9:AF10 B101:AF117 B119:AF137 B244:AF244 B246:B252">
    <cfRule type="expression" dxfId="665" priority="41">
      <formula>B$9&gt;=20/24</formula>
    </cfRule>
  </conditionalFormatting>
  <conditionalFormatting sqref="B11:Y80 AB58:AF61 Z58:AA80 AB62:AG62 AB63:AF80 AG80">
    <cfRule type="expression" dxfId="664" priority="40">
      <formula>B11&gt;$AG11</formula>
    </cfRule>
  </conditionalFormatting>
  <conditionalFormatting sqref="B53:Y57">
    <cfRule type="expression" dxfId="663" priority="53">
      <formula>B$9&lt;8/24</formula>
    </cfRule>
  </conditionalFormatting>
  <conditionalFormatting sqref="B9:AF10 B11:Y52 B59:D74 E66:E74 F68:G74 E69:AF74 B77:AF99 B101:AF117 B119:AF137 B244:AF244 B246:B252">
    <cfRule type="expression" dxfId="662" priority="44">
      <formula>B$9&lt;8/24</formula>
    </cfRule>
    <cfRule type="expression" dxfId="661" priority="43">
      <formula>AND(B$9&gt;=8/24,B$9&lt;14/24)</formula>
    </cfRule>
    <cfRule type="expression" dxfId="660" priority="42">
      <formula>AND(B$9&gt;=14/24,B$9&lt;20/24)</formula>
    </cfRule>
  </conditionalFormatting>
  <conditionalFormatting sqref="D246:AF252">
    <cfRule type="expression" dxfId="659" priority="137">
      <formula>D$9&lt;8/24</formula>
    </cfRule>
    <cfRule type="expression" dxfId="658" priority="136">
      <formula>AND(D$9&gt;=8/24,D$9&lt;14/24)</formula>
    </cfRule>
    <cfRule type="expression" dxfId="657" priority="135">
      <formula>AND(D$9&gt;=14/24,D$9&lt;20/24)</formula>
    </cfRule>
    <cfRule type="expression" dxfId="656" priority="134">
      <formula>D$9&gt;=20/24</formula>
    </cfRule>
  </conditionalFormatting>
  <conditionalFormatting sqref="E63:I67 J64:J67 K67:L67">
    <cfRule type="expression" dxfId="655" priority="56">
      <formula>AND(E$9&gt;=8/24,E$9&lt;14/24)</formula>
    </cfRule>
    <cfRule type="expression" dxfId="654" priority="57">
      <formula>E$9&lt;8/24</formula>
    </cfRule>
    <cfRule type="expression" dxfId="653" priority="55">
      <formula>AND(E$9&gt;=14/24,E$9&lt;20/24)</formula>
    </cfRule>
    <cfRule type="expression" dxfId="652" priority="54">
      <formula>E$9&gt;=20/24</formula>
    </cfRule>
  </conditionalFormatting>
  <conditionalFormatting sqref="E68:L68">
    <cfRule type="expression" dxfId="651" priority="50">
      <formula>AND(E$9&gt;=14/24,E$9&lt;20/24)</formula>
    </cfRule>
    <cfRule type="expression" dxfId="650" priority="51">
      <formula>AND(E$9&gt;=8/24,E$9&lt;14/24)</formula>
    </cfRule>
    <cfRule type="expression" dxfId="649" priority="52">
      <formula>E$9&lt;8/24</formula>
    </cfRule>
    <cfRule type="expression" dxfId="648" priority="49">
      <formula>E$9&gt;=20/24</formula>
    </cfRule>
  </conditionalFormatting>
  <conditionalFormatting sqref="E56:Y57">
    <cfRule type="expression" dxfId="647" priority="48">
      <formula>AND(E$9&gt;=8/24,E$9&lt;14/24)</formula>
    </cfRule>
    <cfRule type="expression" dxfId="646" priority="47">
      <formula>AND(E$9&gt;=14/24,E$9&lt;20/24)</formula>
    </cfRule>
    <cfRule type="expression" dxfId="645" priority="46">
      <formula>E$9&gt;=20/24</formula>
    </cfRule>
  </conditionalFormatting>
  <conditionalFormatting sqref="E59:AF62">
    <cfRule type="expression" dxfId="644" priority="71">
      <formula>E$9&lt;8/24</formula>
    </cfRule>
    <cfRule type="expression" dxfId="643" priority="68">
      <formula>E$9&gt;=20/24</formula>
    </cfRule>
    <cfRule type="expression" dxfId="642" priority="69">
      <formula>AND(E$9&gt;=14/24,E$9&lt;20/24)</formula>
    </cfRule>
    <cfRule type="expression" dxfId="641" priority="70">
      <formula>AND(E$9&gt;=8/24,E$9&lt;14/24)</formula>
    </cfRule>
  </conditionalFormatting>
  <conditionalFormatting sqref="F63:L65">
    <cfRule type="expression" dxfId="640" priority="83">
      <formula>AND(F$9&gt;=14/24,F$9&lt;20/24)</formula>
    </cfRule>
    <cfRule type="expression" dxfId="639" priority="82">
      <formula>F$9&gt;=20/24</formula>
    </cfRule>
    <cfRule type="expression" dxfId="638" priority="84">
      <formula>AND(F$9&gt;=8/24,F$9&lt;14/24)</formula>
    </cfRule>
    <cfRule type="expression" dxfId="637" priority="85">
      <formula>F$9&lt;8/24</formula>
    </cfRule>
  </conditionalFormatting>
  <conditionalFormatting sqref="L68:Y68">
    <cfRule type="expression" dxfId="636" priority="81">
      <formula>L$9&lt;8/24</formula>
    </cfRule>
    <cfRule type="expression" dxfId="635" priority="80">
      <formula>AND(L$9&gt;=8/24,L$9&lt;14/24)</formula>
    </cfRule>
    <cfRule type="expression" dxfId="634" priority="79">
      <formula>AND(L$9&gt;=14/24,L$9&lt;20/24)</formula>
    </cfRule>
    <cfRule type="expression" dxfId="633" priority="78">
      <formula>L$9&gt;=20/24</formula>
    </cfRule>
  </conditionalFormatting>
  <conditionalFormatting sqref="M8 S8 AB8">
    <cfRule type="expression" dxfId="632" priority="141">
      <formula>AND(N$9&gt;=14/24,N$9&lt;20/24)</formula>
    </cfRule>
    <cfRule type="expression" dxfId="631" priority="142">
      <formula>AND(N$9&gt;=8/24,N$9&lt;14/24)</formula>
    </cfRule>
    <cfRule type="expression" dxfId="630" priority="143">
      <formula>N$9&lt;8/24</formula>
    </cfRule>
  </conditionalFormatting>
  <conditionalFormatting sqref="M63:Y67">
    <cfRule type="expression" dxfId="629" priority="86">
      <formula>M$9&gt;=20/24</formula>
    </cfRule>
    <cfRule type="expression" dxfId="628" priority="89">
      <formula>M$9&lt;8/24</formula>
    </cfRule>
    <cfRule type="expression" dxfId="627" priority="88">
      <formula>AND(M$9&gt;=8/24,M$9&lt;14/24)</formula>
    </cfRule>
    <cfRule type="expression" dxfId="626" priority="87">
      <formula>AND(M$9&gt;=14/24,M$9&lt;20/24)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25" priority="140">
      <formula>N$9&gt;=20/24</formula>
    </cfRule>
  </conditionalFormatting>
  <conditionalFormatting sqref="S8">
    <cfRule type="expression" dxfId="624" priority="130">
      <formula>U$9&lt;8/24</formula>
    </cfRule>
    <cfRule type="expression" dxfId="623" priority="129">
      <formula>AND(U$9&gt;=8/24,U$9&lt;14/24)</formula>
    </cfRule>
    <cfRule type="expression" dxfId="622" priority="128">
      <formula>AND(U$9&gt;=14/24,U$9&lt;20/24)</formula>
    </cfRule>
    <cfRule type="expression" dxfId="621" priority="127">
      <formula>U$9&gt;=20/24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620" priority="58">
      <formula>Z11&gt;$AG11</formula>
    </cfRule>
    <cfRule type="expression" dxfId="619" priority="59">
      <formula>Z$9&gt;=20/24</formula>
    </cfRule>
    <cfRule type="expression" dxfId="618" priority="60">
      <formula>AND(Z$9&gt;=14/24,Z$9&lt;20/24)</formula>
    </cfRule>
    <cfRule type="expression" dxfId="617" priority="61">
      <formula>AND(Z$9&gt;=8/24,Z$9&lt;14/24)</formula>
    </cfRule>
    <cfRule type="expression" dxfId="616" priority="62">
      <formula>Z$9&lt;8/24</formula>
    </cfRule>
  </conditionalFormatting>
  <conditionalFormatting sqref="Z53:AF54 E53:Y55 B53:D57">
    <cfRule type="expression" dxfId="615" priority="37">
      <formula>B$9&gt;=20/24</formula>
    </cfRule>
    <cfRule type="expression" dxfId="614" priority="38">
      <formula>AND(B$9&gt;=14/24,B$9&lt;20/24)</formula>
    </cfRule>
    <cfRule type="expression" dxfId="613" priority="39">
      <formula>AND(B$9&gt;=8/24,B$9&lt;14/24)</formula>
    </cfRule>
  </conditionalFormatting>
  <conditionalFormatting sqref="Z53:AF55">
    <cfRule type="expression" dxfId="612" priority="77">
      <formula>Z53&gt;$AG53</formula>
    </cfRule>
  </conditionalFormatting>
  <conditionalFormatting sqref="Z53:AF57">
    <cfRule type="expression" dxfId="611" priority="76">
      <formula>Z$9&lt;8/24</formula>
    </cfRule>
  </conditionalFormatting>
  <conditionalFormatting sqref="Z55:AF57">
    <cfRule type="expression" dxfId="610" priority="66">
      <formula>AND(Z$9&gt;=8/24,Z$9&lt;14/24)</formula>
    </cfRule>
    <cfRule type="expression" dxfId="609" priority="65">
      <formula>AND(Z$9&gt;=14/24,Z$9&lt;20/24)</formula>
    </cfRule>
    <cfRule type="expression" dxfId="608" priority="64">
      <formula>Z$9&gt;=20/24</formula>
    </cfRule>
  </conditionalFormatting>
  <conditionalFormatting sqref="Z56:AF57">
    <cfRule type="expression" dxfId="607" priority="63">
      <formula>Z56&gt;$AG56</formula>
    </cfRule>
  </conditionalFormatting>
  <conditionalFormatting sqref="Z63:AF68">
    <cfRule type="expression" dxfId="606" priority="75">
      <formula>Z$9&lt;8/24</formula>
    </cfRule>
    <cfRule type="expression" dxfId="605" priority="74">
      <formula>AND(Z$9&gt;=8/24,Z$9&lt;14/24)</formula>
    </cfRule>
    <cfRule type="expression" dxfId="604" priority="73">
      <formula>AND(Z$9&gt;=14/24,Z$9&lt;20/24)</formula>
    </cfRule>
    <cfRule type="expression" dxfId="603" priority="72">
      <formula>Z$9&gt;=20/24</formula>
    </cfRule>
  </conditionalFormatting>
  <conditionalFormatting sqref="AB8">
    <cfRule type="expression" dxfId="602" priority="126">
      <formula>AD$9&lt;8/24</formula>
    </cfRule>
    <cfRule type="expression" dxfId="601" priority="125">
      <formula>AND(AD$9&gt;=8/24,AD$9&lt;14/24)</formula>
    </cfRule>
    <cfRule type="expression" dxfId="600" priority="124">
      <formula>AND(AD$9&gt;=14/24,AD$9&lt;20/24)</formula>
    </cfRule>
    <cfRule type="expression" dxfId="599" priority="123">
      <formula>AD$9&gt;=20/24</formula>
    </cfRule>
  </conditionalFormatting>
  <conditionalFormatting sqref="AG58">
    <cfRule type="expression" dxfId="598" priority="118">
      <formula>AG58&gt;$AG58</formula>
    </cfRule>
  </conditionalFormatting>
  <conditionalFormatting sqref="AG62">
    <cfRule type="expression" dxfId="597" priority="102">
      <formula>AND(AG$9&gt;=14/24,AG$9&lt;20/24)</formula>
    </cfRule>
    <cfRule type="expression" dxfId="596" priority="103">
      <formula>AND(AG$9&gt;=8/24,AG$9&lt;14/24)</formula>
    </cfRule>
    <cfRule type="expression" dxfId="595" priority="104">
      <formula>AG$9&lt;8/24</formula>
    </cfRule>
    <cfRule type="expression" dxfId="594" priority="101">
      <formula>AG$9&gt;=20/24</formula>
    </cfRule>
  </conditionalFormatting>
  <conditionalFormatting sqref="AG75:AG76">
    <cfRule type="expression" dxfId="593" priority="96">
      <formula>AG75&gt;$AG75</formula>
    </cfRule>
  </conditionalFormatting>
  <conditionalFormatting sqref="AG80">
    <cfRule type="expression" dxfId="592" priority="97">
      <formula>AG$9&gt;=20/24</formula>
    </cfRule>
    <cfRule type="expression" dxfId="591" priority="98">
      <formula>AND(AG$9&gt;=14/24,AG$9&lt;20/24)</formula>
    </cfRule>
    <cfRule type="expression" dxfId="590" priority="99">
      <formula>AND(AG$9&gt;=8/24,AG$9&lt;14/24)</formula>
    </cfRule>
    <cfRule type="expression" dxfId="589" priority="100">
      <formula>AG$9&lt;8/24</formula>
    </cfRule>
  </conditionalFormatting>
  <conditionalFormatting sqref="AG97">
    <cfRule type="expression" dxfId="588" priority="120">
      <formula>AND(AG$9&gt;=14/24,AG$9&lt;20/24)</formula>
    </cfRule>
    <cfRule type="expression" dxfId="587" priority="119">
      <formula>AG$9&gt;=20/24</formula>
    </cfRule>
    <cfRule type="expression" dxfId="586" priority="121">
      <formula>AND(AG$9&gt;=8/24,AG$9&lt;14/24)</formula>
    </cfRule>
    <cfRule type="expression" dxfId="585" priority="122">
      <formula>AG$9&lt;8/24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584" priority="147">
      <formula>AJ$9&lt;8/24</formula>
    </cfRule>
    <cfRule type="expression" dxfId="583" priority="145">
      <formula>AND(AJ$9&gt;=14/24,AJ$9&lt;20/24)</formula>
    </cfRule>
    <cfRule type="expression" dxfId="582" priority="144">
      <formula>AJ$9&gt;=20/24</formula>
    </cfRule>
    <cfRule type="expression" dxfId="581" priority="146">
      <formula>AND(AJ$9&gt;=8/24,AJ$9&lt;14/24)</formula>
    </cfRule>
  </conditionalFormatting>
  <conditionalFormatting sqref="AL88:AN88 AL94:AN94">
    <cfRule type="expression" dxfId="580" priority="112">
      <formula>AND(AL$9&gt;=14/24,AL$9&lt;20/24)</formula>
    </cfRule>
    <cfRule type="expression" dxfId="579" priority="113">
      <formula>AND(AL$9&gt;=8/24,AL$9&lt;14/24)</formula>
    </cfRule>
    <cfRule type="expression" dxfId="578" priority="114">
      <formula>AL$9&lt;8/24</formula>
    </cfRule>
    <cfRule type="expression" dxfId="577" priority="111">
      <formula>AL$9&gt;=20/24</formula>
    </cfRule>
  </conditionalFormatting>
  <conditionalFormatting sqref="AM15:AM21 AN16:AR21">
    <cfRule type="expression" dxfId="576" priority="14">
      <formula>AND(AX$9&gt;=14/24,AX$9&lt;20/24)</formula>
    </cfRule>
    <cfRule type="expression" dxfId="575" priority="15">
      <formula>AND(AX$9&gt;=8/24,AX$9&lt;14/24)</formula>
    </cfRule>
    <cfRule type="expression" dxfId="574" priority="16">
      <formula>AX$9&lt;8/24</formula>
    </cfRule>
    <cfRule type="expression" dxfId="573" priority="13">
      <formula>AX$9&gt;=20/24</formula>
    </cfRule>
  </conditionalFormatting>
  <conditionalFormatting sqref="AN89:AN92">
    <cfRule type="expression" dxfId="572" priority="110">
      <formula>AN$9&lt;8/24</formula>
    </cfRule>
    <cfRule type="expression" dxfId="571" priority="109">
      <formula>AND(AN$9&gt;=8/24,AN$9&lt;14/24)</formula>
    </cfRule>
    <cfRule type="expression" dxfId="570" priority="108">
      <formula>AND(AN$9&gt;=14/24,AN$9&lt;20/24)</formula>
    </cfRule>
    <cfRule type="expression" dxfId="569" priority="107">
      <formula>AN$9&gt;=20/24</formula>
    </cfRule>
  </conditionalFormatting>
  <conditionalFormatting sqref="AN15:AR15">
    <cfRule type="expression" dxfId="568" priority="3">
      <formula>AND(U$9&gt;=8/24,U$9&lt;14/24)</formula>
    </cfRule>
    <cfRule type="expression" dxfId="567" priority="4">
      <formula>U$9&lt;8/24</formula>
    </cfRule>
    <cfRule type="expression" dxfId="566" priority="2">
      <formula>AND(U$9&gt;=14/24,U$9&lt;20/24)</formula>
    </cfRule>
    <cfRule type="expression" dxfId="565" priority="1">
      <formula>U$9&gt;=20/24</formula>
    </cfRule>
  </conditionalFormatting>
  <conditionalFormatting sqref="AS15">
    <cfRule type="expression" dxfId="564" priority="11">
      <formula>AND(AA$9&gt;=8/24,AA$9&lt;14/24)</formula>
    </cfRule>
    <cfRule type="expression" dxfId="563" priority="9">
      <formula>AA$9&gt;=20/24</formula>
    </cfRule>
    <cfRule type="expression" dxfId="562" priority="10">
      <formula>AND(AA$9&gt;=14/24,AA$9&lt;20/24)</formula>
    </cfRule>
    <cfRule type="expression" dxfId="561" priority="12">
      <formula>AA$9&lt;8/24</formula>
    </cfRule>
  </conditionalFormatting>
  <conditionalFormatting sqref="AS16:AS21">
    <cfRule type="expression" dxfId="560" priority="19">
      <formula>AND(BE$9&gt;=8/24,BE$9&lt;14/24)</formula>
    </cfRule>
    <cfRule type="expression" dxfId="559" priority="18">
      <formula>AND(BE$9&gt;=14/24,BE$9&lt;20/24)</formula>
    </cfRule>
    <cfRule type="expression" dxfId="558" priority="20">
      <formula>BE$9&lt;8/24</formula>
    </cfRule>
    <cfRule type="expression" dxfId="557" priority="17">
      <formula>BE$9&gt;=20/24</formula>
    </cfRule>
  </conditionalFormatting>
  <conditionalFormatting sqref="AT15 AX15">
    <cfRule type="expression" dxfId="556" priority="24">
      <formula>AC$9&lt;8/24</formula>
    </cfRule>
    <cfRule type="expression" dxfId="555" priority="23">
      <formula>AND(AC$9&gt;=8/24,AC$9&lt;14/24)</formula>
    </cfRule>
    <cfRule type="expression" dxfId="554" priority="22">
      <formula>AND(AC$9&gt;=14/24,AC$9&lt;20/24)</formula>
    </cfRule>
    <cfRule type="expression" dxfId="553" priority="21">
      <formula>AC$9&gt;=20/24</formula>
    </cfRule>
  </conditionalFormatting>
  <conditionalFormatting sqref="AT16:AT21">
    <cfRule type="expression" dxfId="552" priority="27">
      <formula>AND(BG$9&gt;=8/24,BG$9&lt;14/24)</formula>
    </cfRule>
    <cfRule type="expression" dxfId="551" priority="25">
      <formula>BG$9&gt;=20/24</formula>
    </cfRule>
    <cfRule type="expression" dxfId="550" priority="26">
      <formula>AND(BG$9&gt;=14/24,BG$9&lt;20/24)</formula>
    </cfRule>
    <cfRule type="expression" dxfId="549" priority="28">
      <formula>BG$9&lt;8/24</formula>
    </cfRule>
  </conditionalFormatting>
  <conditionalFormatting sqref="AU15:AV15">
    <cfRule type="expression" dxfId="548" priority="31">
      <formula>AND(AE$9&gt;=8/24,AE$9&lt;14/24)</formula>
    </cfRule>
    <cfRule type="expression" dxfId="547" priority="32">
      <formula>AE$9&lt;8/24</formula>
    </cfRule>
    <cfRule type="expression" dxfId="546" priority="30">
      <formula>AND(AE$9&gt;=14/24,AE$9&lt;20/24)</formula>
    </cfRule>
    <cfRule type="expression" dxfId="545" priority="29">
      <formula>AE$9&gt;=20/24</formula>
    </cfRule>
  </conditionalFormatting>
  <conditionalFormatting sqref="AU16:AX21">
    <cfRule type="expression" dxfId="544" priority="35">
      <formula>AND(BI$9&gt;=8/24,BI$9&lt;14/24)</formula>
    </cfRule>
    <cfRule type="expression" dxfId="543" priority="34">
      <formula>AND(BI$9&gt;=14/24,BI$9&lt;20/24)</formula>
    </cfRule>
    <cfRule type="expression" dxfId="542" priority="33">
      <formula>BI$9&gt;=20/24</formula>
    </cfRule>
    <cfRule type="expression" dxfId="541" priority="36">
      <formula>BI$9&lt;8/24</formula>
    </cfRule>
  </conditionalFormatting>
  <conditionalFormatting sqref="AW15">
    <cfRule type="expression" dxfId="540" priority="8">
      <formula>B$9&lt;8/24</formula>
    </cfRule>
    <cfRule type="expression" dxfId="539" priority="7">
      <formula>AND(B$9&gt;=8/24,B$9&lt;14/24)</formula>
    </cfRule>
    <cfRule type="expression" dxfId="538" priority="6">
      <formula>AND(B$9&gt;=14/24,B$9&lt;20/24)</formula>
    </cfRule>
    <cfRule type="expression" dxfId="537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4DE2-5D2D-4048-AFC6-EB89BB6A01C3}">
  <dimension ref="A1:CJ294"/>
  <sheetViews>
    <sheetView zoomScaleNormal="100" workbookViewId="0">
      <pane xSplit="1" ySplit="10" topLeftCell="AF11" activePane="bottomRight" state="frozen"/>
      <selection activeCell="Z63" sqref="Z63"/>
      <selection pane="topRight" activeCell="Z63" sqref="Z63"/>
      <selection pane="bottomLeft" activeCell="Z63" sqref="Z63"/>
      <selection pane="bottomRight" activeCell="H9" sqref="H9:H1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425781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2080/10/29</v>
      </c>
      <c r="C4" s="272"/>
      <c r="D4" s="272"/>
      <c r="E4" s="273" t="str">
        <f ca="1">"2080/"&amp;"10/"&amp;INT(MID(CELL("filename",G6),FIND("]",CELL("filename",G6))+1,200))</f>
        <v>2080/10/29</v>
      </c>
      <c r="F4" s="273"/>
      <c r="G4" s="273"/>
      <c r="H4" s="273" t="str">
        <f ca="1">TEXT(E4,"dddd")</f>
        <v>Tuesday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658.7</v>
      </c>
      <c r="C5" s="30">
        <f t="shared" ref="C5:AE5" si="0">D92</f>
        <v>638</v>
      </c>
      <c r="D5" s="30">
        <f t="shared" si="0"/>
        <v>599.70000000000005</v>
      </c>
      <c r="E5" s="30">
        <f t="shared" si="0"/>
        <v>619.1</v>
      </c>
      <c r="F5" s="30">
        <f t="shared" si="0"/>
        <v>612.6</v>
      </c>
      <c r="G5" s="30">
        <f t="shared" si="0"/>
        <v>627.4</v>
      </c>
      <c r="H5" s="30">
        <f t="shared" si="0"/>
        <v>631</v>
      </c>
      <c r="I5" s="30">
        <f t="shared" si="0"/>
        <v>620.29999999999995</v>
      </c>
      <c r="J5" s="30">
        <f t="shared" si="0"/>
        <v>537.1</v>
      </c>
      <c r="K5" s="30">
        <f t="shared" si="0"/>
        <v>120.8</v>
      </c>
      <c r="L5" s="30">
        <f t="shared" si="0"/>
        <v>122.8</v>
      </c>
      <c r="M5" s="30">
        <f t="shared" si="0"/>
        <v>277.8</v>
      </c>
      <c r="N5" s="30">
        <f t="shared" si="0"/>
        <v>526.9</v>
      </c>
      <c r="O5" s="30">
        <f t="shared" si="0"/>
        <v>629.5</v>
      </c>
      <c r="P5" s="30">
        <f t="shared" si="0"/>
        <v>698.6</v>
      </c>
      <c r="Q5" s="30">
        <f t="shared" si="0"/>
        <v>672</v>
      </c>
      <c r="R5" s="30">
        <f t="shared" si="0"/>
        <v>820.4</v>
      </c>
      <c r="S5" s="30">
        <f t="shared" si="0"/>
        <v>816.90000000000009</v>
      </c>
      <c r="T5" s="30">
        <f t="shared" si="0"/>
        <v>872.80000000000007</v>
      </c>
      <c r="U5" s="30">
        <f t="shared" si="0"/>
        <v>755.2</v>
      </c>
      <c r="V5" s="30">
        <f t="shared" si="0"/>
        <v>743.3</v>
      </c>
      <c r="W5" s="30">
        <f t="shared" si="0"/>
        <v>627.1</v>
      </c>
      <c r="X5" s="30">
        <f t="shared" si="0"/>
        <v>815.8</v>
      </c>
      <c r="Y5" s="30">
        <f t="shared" si="0"/>
        <v>525.40000000000009</v>
      </c>
      <c r="Z5" s="30">
        <f t="shared" si="0"/>
        <v>348.3</v>
      </c>
      <c r="AA5" s="30">
        <f t="shared" si="0"/>
        <v>395.5</v>
      </c>
      <c r="AB5" s="30">
        <f t="shared" si="0"/>
        <v>392</v>
      </c>
      <c r="AC5" s="30">
        <f t="shared" si="0"/>
        <v>602</v>
      </c>
      <c r="AD5" s="30">
        <f t="shared" si="0"/>
        <v>621.70000000000005</v>
      </c>
      <c r="AE5" s="30">
        <f t="shared" si="0"/>
        <v>654</v>
      </c>
      <c r="AF5" s="30">
        <f>B92</f>
        <v>637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1784MW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Load=1186</v>
      </c>
      <c r="B7" s="35">
        <f>B100</f>
        <v>1222.19</v>
      </c>
      <c r="C7" s="35">
        <f t="shared" ref="C7:AF7" si="1">C100</f>
        <v>1243.8900000000001</v>
      </c>
      <c r="D7" s="35">
        <f t="shared" si="1"/>
        <v>1223.19</v>
      </c>
      <c r="E7" s="35">
        <f t="shared" si="1"/>
        <v>1185.8900000000001</v>
      </c>
      <c r="F7" s="35">
        <f t="shared" si="1"/>
        <v>1205.29</v>
      </c>
      <c r="G7" s="35">
        <f t="shared" si="1"/>
        <v>1222.99</v>
      </c>
      <c r="H7" s="35">
        <f t="shared" si="1"/>
        <v>1262.19</v>
      </c>
      <c r="I7" s="35">
        <f t="shared" si="1"/>
        <v>1364.5900000000001</v>
      </c>
      <c r="J7" s="35">
        <f t="shared" si="1"/>
        <v>1499.59</v>
      </c>
      <c r="K7" s="35">
        <f t="shared" si="1"/>
        <v>1527.0900000000001</v>
      </c>
      <c r="L7" s="35">
        <f t="shared" si="1"/>
        <v>1649.29</v>
      </c>
      <c r="M7" s="35">
        <f t="shared" si="1"/>
        <v>1646.19</v>
      </c>
      <c r="N7" s="35">
        <f t="shared" si="1"/>
        <v>1783.99</v>
      </c>
      <c r="O7" s="35">
        <f t="shared" si="1"/>
        <v>1546.59</v>
      </c>
      <c r="P7" s="35">
        <f t="shared" si="1"/>
        <v>1650.59</v>
      </c>
      <c r="Q7" s="35">
        <f t="shared" si="1"/>
        <v>1495.9899999999998</v>
      </c>
      <c r="R7" s="35">
        <f t="shared" si="1"/>
        <v>1436.4899999999998</v>
      </c>
      <c r="S7" s="35">
        <f t="shared" si="1"/>
        <v>1522.59</v>
      </c>
      <c r="T7" s="35">
        <f t="shared" si="1"/>
        <v>1530.8899999999999</v>
      </c>
      <c r="U7" s="35">
        <f t="shared" si="1"/>
        <v>1567.49</v>
      </c>
      <c r="V7" s="35">
        <f t="shared" si="1"/>
        <v>1559.49</v>
      </c>
      <c r="W7" s="35">
        <f t="shared" si="1"/>
        <v>1578.9899999999998</v>
      </c>
      <c r="X7" s="35">
        <f t="shared" si="1"/>
        <v>1538.49</v>
      </c>
      <c r="Y7" s="35">
        <f t="shared" si="1"/>
        <v>1823.29</v>
      </c>
      <c r="Z7" s="35">
        <f t="shared" si="1"/>
        <v>2025.39</v>
      </c>
      <c r="AA7" s="35">
        <f t="shared" si="1"/>
        <v>1971.6899999999998</v>
      </c>
      <c r="AB7" s="35">
        <f t="shared" si="1"/>
        <v>1682.9900000000002</v>
      </c>
      <c r="AC7" s="35">
        <f t="shared" si="1"/>
        <v>1560.89</v>
      </c>
      <c r="AD7" s="35">
        <f t="shared" si="1"/>
        <v>1414.29</v>
      </c>
      <c r="AE7" s="35">
        <f t="shared" si="1"/>
        <v>1353.99</v>
      </c>
      <c r="AF7" s="35">
        <f t="shared" si="1"/>
        <v>1259.29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1783.99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1783.99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25.4</v>
      </c>
      <c r="C11" s="45">
        <v>25.4</v>
      </c>
      <c r="D11" s="45">
        <v>25.4</v>
      </c>
      <c r="E11" s="45">
        <v>25.4</v>
      </c>
      <c r="F11" s="45">
        <v>25.4</v>
      </c>
      <c r="G11" s="45">
        <v>25.4</v>
      </c>
      <c r="H11" s="45">
        <v>25.4</v>
      </c>
      <c r="I11" s="45">
        <v>25.4</v>
      </c>
      <c r="J11" s="45">
        <v>25.4</v>
      </c>
      <c r="K11" s="45">
        <v>25.4</v>
      </c>
      <c r="L11" s="45">
        <v>25.4</v>
      </c>
      <c r="M11" s="45">
        <v>25.5</v>
      </c>
      <c r="N11" s="45">
        <v>25.5</v>
      </c>
      <c r="O11" s="45">
        <v>25.5</v>
      </c>
      <c r="P11" s="45">
        <v>25.5</v>
      </c>
      <c r="Q11" s="45">
        <v>25.4</v>
      </c>
      <c r="R11" s="45">
        <v>25.4</v>
      </c>
      <c r="S11" s="45">
        <v>25.4</v>
      </c>
      <c r="T11" s="45">
        <v>25.4</v>
      </c>
      <c r="U11" s="45">
        <v>25.4</v>
      </c>
      <c r="V11" s="45">
        <v>25.4</v>
      </c>
      <c r="W11" s="45">
        <v>25.4</v>
      </c>
      <c r="X11" s="45">
        <v>25.4</v>
      </c>
      <c r="Y11" s="45">
        <v>25.4</v>
      </c>
      <c r="Z11" s="45">
        <v>25.4</v>
      </c>
      <c r="AA11" s="45">
        <v>25.4</v>
      </c>
      <c r="AB11" s="45">
        <v>24.4</v>
      </c>
      <c r="AC11" s="45">
        <v>24.4</v>
      </c>
      <c r="AD11" s="45">
        <v>24.4</v>
      </c>
      <c r="AE11" s="45">
        <v>24.4</v>
      </c>
      <c r="AF11" s="45">
        <v>24.4</v>
      </c>
      <c r="AG11" s="46">
        <v>86</v>
      </c>
      <c r="AH11" s="47">
        <f t="shared" ref="AH11:AH16" si="2">MAX(B11:AF11)</f>
        <v>25.5</v>
      </c>
      <c r="AI11" s="48">
        <f t="shared" ref="AI11:AI16" si="3">MIN(B11:AF11)</f>
        <v>24.4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29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9.9</v>
      </c>
      <c r="C13" s="45">
        <v>9.9</v>
      </c>
      <c r="D13" s="45">
        <v>9.9</v>
      </c>
      <c r="E13" s="45">
        <v>9.9</v>
      </c>
      <c r="F13" s="45">
        <v>9.9</v>
      </c>
      <c r="G13" s="45">
        <v>9.9</v>
      </c>
      <c r="H13" s="45">
        <v>9.9</v>
      </c>
      <c r="I13" s="45">
        <v>9.9</v>
      </c>
      <c r="J13" s="45">
        <v>9.9</v>
      </c>
      <c r="K13" s="45">
        <v>9.9</v>
      </c>
      <c r="L13" s="45">
        <v>9.9</v>
      </c>
      <c r="M13" s="45">
        <v>9.8000000000000007</v>
      </c>
      <c r="N13" s="45">
        <v>9.8000000000000007</v>
      </c>
      <c r="O13" s="45">
        <v>9.8000000000000007</v>
      </c>
      <c r="P13" s="45">
        <v>9.8000000000000007</v>
      </c>
      <c r="Q13" s="45">
        <v>9.8000000000000007</v>
      </c>
      <c r="R13" s="45">
        <v>9.8000000000000007</v>
      </c>
      <c r="S13" s="45">
        <v>9.8000000000000007</v>
      </c>
      <c r="T13" s="45">
        <v>9.8000000000000007</v>
      </c>
      <c r="U13" s="45">
        <v>9.8000000000000007</v>
      </c>
      <c r="V13" s="45">
        <v>9.8000000000000007</v>
      </c>
      <c r="W13" s="45">
        <v>9.8000000000000007</v>
      </c>
      <c r="X13" s="45">
        <v>9.8000000000000007</v>
      </c>
      <c r="Y13" s="45">
        <v>9.8000000000000007</v>
      </c>
      <c r="Z13" s="45">
        <v>9.8000000000000007</v>
      </c>
      <c r="AA13" s="45">
        <v>9.8000000000000007</v>
      </c>
      <c r="AB13" s="45">
        <v>10.1</v>
      </c>
      <c r="AC13" s="45">
        <v>10.1</v>
      </c>
      <c r="AD13" s="45">
        <v>10.1</v>
      </c>
      <c r="AE13" s="45">
        <v>10.1</v>
      </c>
      <c r="AF13" s="45">
        <v>10.1</v>
      </c>
      <c r="AG13" s="49">
        <v>54</v>
      </c>
      <c r="AH13" s="47">
        <f t="shared" si="2"/>
        <v>10.1</v>
      </c>
      <c r="AI13" s="48">
        <f t="shared" si="3"/>
        <v>9.8000000000000007</v>
      </c>
      <c r="AK13" s="50"/>
      <c r="AL13" s="157" t="str">
        <f ca="1">"Daily Load Curve(Excluding of Export) of Nepal ("&amp;A4&amp;" "&amp;B4&amp;")"</f>
        <v>Daily Load Curve(Excluding of Export) of Nepal (Nepali Date: 2080/10/29)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13.5</v>
      </c>
      <c r="C14" s="45">
        <v>13.5</v>
      </c>
      <c r="D14" s="45">
        <v>13.5</v>
      </c>
      <c r="E14" s="45">
        <v>13.5</v>
      </c>
      <c r="F14" s="45">
        <v>13.5</v>
      </c>
      <c r="G14" s="45">
        <v>13.5</v>
      </c>
      <c r="H14" s="45">
        <v>13.5</v>
      </c>
      <c r="I14" s="45">
        <v>13.5</v>
      </c>
      <c r="J14" s="45">
        <v>13.5</v>
      </c>
      <c r="K14" s="45">
        <v>13.5</v>
      </c>
      <c r="L14" s="45">
        <v>13.5</v>
      </c>
      <c r="M14" s="45">
        <v>12.3</v>
      </c>
      <c r="N14" s="45">
        <v>12.3</v>
      </c>
      <c r="O14" s="45">
        <v>12.3</v>
      </c>
      <c r="P14" s="45">
        <v>12.3</v>
      </c>
      <c r="Q14" s="45">
        <v>13.1</v>
      </c>
      <c r="R14" s="45">
        <v>13.1</v>
      </c>
      <c r="S14" s="45">
        <v>13.1</v>
      </c>
      <c r="T14" s="45">
        <v>13.1</v>
      </c>
      <c r="U14" s="45">
        <v>13.1</v>
      </c>
      <c r="V14" s="45">
        <v>13.1</v>
      </c>
      <c r="W14" s="45">
        <v>13.1</v>
      </c>
      <c r="X14" s="45">
        <v>13.1</v>
      </c>
      <c r="Y14" s="45">
        <v>13.1</v>
      </c>
      <c r="Z14" s="45">
        <v>13.1</v>
      </c>
      <c r="AA14" s="45">
        <v>13.1</v>
      </c>
      <c r="AB14" s="45">
        <v>11.2</v>
      </c>
      <c r="AC14" s="45">
        <v>11.2</v>
      </c>
      <c r="AD14" s="45">
        <v>11.2</v>
      </c>
      <c r="AE14" s="45">
        <v>11.2</v>
      </c>
      <c r="AF14" s="45">
        <v>11.2</v>
      </c>
      <c r="AG14" s="46">
        <v>52.4</v>
      </c>
      <c r="AH14" s="47">
        <f t="shared" si="2"/>
        <v>13.5</v>
      </c>
      <c r="AI14" s="48">
        <f t="shared" si="3"/>
        <v>11.2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</v>
      </c>
      <c r="C15" s="45">
        <v>25</v>
      </c>
      <c r="D15" s="45">
        <v>25</v>
      </c>
      <c r="E15" s="45">
        <v>25</v>
      </c>
      <c r="F15" s="45">
        <v>25</v>
      </c>
      <c r="G15" s="45">
        <v>25</v>
      </c>
      <c r="H15" s="45">
        <v>25</v>
      </c>
      <c r="I15" s="45">
        <v>25</v>
      </c>
      <c r="J15" s="45">
        <v>25</v>
      </c>
      <c r="K15" s="45">
        <v>25</v>
      </c>
      <c r="L15" s="45">
        <v>25</v>
      </c>
      <c r="M15" s="45">
        <v>25.3</v>
      </c>
      <c r="N15" s="45">
        <v>25.3</v>
      </c>
      <c r="O15" s="45">
        <v>25.3</v>
      </c>
      <c r="P15" s="45">
        <v>25.3</v>
      </c>
      <c r="Q15" s="45">
        <v>25.3</v>
      </c>
      <c r="R15" s="45">
        <v>25.3</v>
      </c>
      <c r="S15" s="45">
        <v>25.3</v>
      </c>
      <c r="T15" s="45">
        <v>25.3</v>
      </c>
      <c r="U15" s="45">
        <v>25.3</v>
      </c>
      <c r="V15" s="45">
        <v>25.3</v>
      </c>
      <c r="W15" s="45">
        <v>25.3</v>
      </c>
      <c r="X15" s="45">
        <v>25.3</v>
      </c>
      <c r="Y15" s="45">
        <v>25.3</v>
      </c>
      <c r="Z15" s="51">
        <v>25.3</v>
      </c>
      <c r="AA15" s="51">
        <v>25.3</v>
      </c>
      <c r="AB15" s="51">
        <v>25.2</v>
      </c>
      <c r="AC15" s="51">
        <v>25.2</v>
      </c>
      <c r="AD15" s="51">
        <v>25.2</v>
      </c>
      <c r="AE15" s="51">
        <v>25.2</v>
      </c>
      <c r="AF15" s="51">
        <v>25.2</v>
      </c>
      <c r="AG15" s="49">
        <v>50</v>
      </c>
      <c r="AH15" s="47">
        <f t="shared" si="2"/>
        <v>25.3</v>
      </c>
      <c r="AI15" s="48">
        <f t="shared" si="3"/>
        <v>25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16.899999999999999</v>
      </c>
      <c r="C16" s="45">
        <v>16.899999999999999</v>
      </c>
      <c r="D16" s="45">
        <v>16.899999999999999</v>
      </c>
      <c r="E16" s="45">
        <v>16.899999999999999</v>
      </c>
      <c r="F16" s="45">
        <v>16.899999999999999</v>
      </c>
      <c r="G16" s="45">
        <v>16.899999999999999</v>
      </c>
      <c r="H16" s="45">
        <v>16.899999999999999</v>
      </c>
      <c r="I16" s="45">
        <v>16.899999999999999</v>
      </c>
      <c r="J16" s="45">
        <v>16.899999999999999</v>
      </c>
      <c r="K16" s="45">
        <v>16.899999999999999</v>
      </c>
      <c r="L16" s="45">
        <v>16.899999999999999</v>
      </c>
      <c r="M16" s="45">
        <v>15.2</v>
      </c>
      <c r="N16" s="45">
        <v>15.2</v>
      </c>
      <c r="O16" s="45">
        <v>15.2</v>
      </c>
      <c r="P16" s="45">
        <v>15.2</v>
      </c>
      <c r="Q16" s="45">
        <v>13.8</v>
      </c>
      <c r="R16" s="45">
        <v>13.8</v>
      </c>
      <c r="S16" s="45">
        <v>13.8</v>
      </c>
      <c r="T16" s="45">
        <v>13.8</v>
      </c>
      <c r="U16" s="45">
        <v>13.8</v>
      </c>
      <c r="V16" s="45">
        <v>13.8</v>
      </c>
      <c r="W16" s="45">
        <v>13.8</v>
      </c>
      <c r="X16" s="45">
        <v>13.8</v>
      </c>
      <c r="Y16" s="45">
        <v>13.8</v>
      </c>
      <c r="Z16" s="45">
        <v>13.8</v>
      </c>
      <c r="AA16" s="45">
        <v>13.8</v>
      </c>
      <c r="AB16" s="45">
        <v>15</v>
      </c>
      <c r="AC16" s="45">
        <v>15</v>
      </c>
      <c r="AD16" s="45">
        <v>15</v>
      </c>
      <c r="AE16" s="45">
        <v>15</v>
      </c>
      <c r="AF16" s="45">
        <v>15</v>
      </c>
      <c r="AG16" s="49">
        <v>45</v>
      </c>
      <c r="AH16" s="47">
        <f t="shared" si="2"/>
        <v>16.899999999999999</v>
      </c>
      <c r="AI16" s="48">
        <f t="shared" si="3"/>
        <v>13.8</v>
      </c>
      <c r="AK16" s="50"/>
      <c r="AL16" s="160" t="s">
        <v>7</v>
      </c>
      <c r="AM16" s="227">
        <f>B58</f>
        <v>466.15000000000003</v>
      </c>
      <c r="AN16" s="227">
        <f t="shared" ref="AN16:AR16" si="4">C58</f>
        <v>466.15000000000003</v>
      </c>
      <c r="AO16" s="227">
        <f t="shared" si="4"/>
        <v>466.15000000000003</v>
      </c>
      <c r="AP16" s="227">
        <f t="shared" si="4"/>
        <v>466.15000000000003</v>
      </c>
      <c r="AQ16" s="227">
        <f t="shared" si="4"/>
        <v>466.15000000000003</v>
      </c>
      <c r="AR16" s="227">
        <f t="shared" si="4"/>
        <v>466.15000000000003</v>
      </c>
      <c r="AS16" s="227">
        <f>I58</f>
        <v>466.15000000000003</v>
      </c>
      <c r="AT16" s="227">
        <f>K58</f>
        <v>466.15000000000003</v>
      </c>
      <c r="AU16" s="227">
        <f t="shared" ref="AU16:AX16" si="5">M58</f>
        <v>463.45</v>
      </c>
      <c r="AV16" s="227">
        <f t="shared" si="5"/>
        <v>463.45</v>
      </c>
      <c r="AW16" s="227">
        <f t="shared" si="5"/>
        <v>463.45</v>
      </c>
      <c r="AX16" s="227">
        <f t="shared" si="5"/>
        <v>463.45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</v>
      </c>
      <c r="C17" s="45">
        <v>16</v>
      </c>
      <c r="D17" s="45">
        <v>16</v>
      </c>
      <c r="E17" s="45">
        <v>16</v>
      </c>
      <c r="F17" s="45">
        <v>16</v>
      </c>
      <c r="G17" s="45">
        <v>16</v>
      </c>
      <c r="H17" s="45">
        <v>16</v>
      </c>
      <c r="I17" s="45">
        <v>16</v>
      </c>
      <c r="J17" s="45">
        <v>16</v>
      </c>
      <c r="K17" s="45">
        <v>16</v>
      </c>
      <c r="L17" s="45">
        <v>16</v>
      </c>
      <c r="M17" s="45">
        <v>16</v>
      </c>
      <c r="N17" s="45">
        <v>16</v>
      </c>
      <c r="O17" s="45">
        <v>16</v>
      </c>
      <c r="P17" s="45">
        <v>16</v>
      </c>
      <c r="Q17" s="45">
        <v>16</v>
      </c>
      <c r="R17" s="45">
        <v>16</v>
      </c>
      <c r="S17" s="45">
        <v>16</v>
      </c>
      <c r="T17" s="45">
        <v>16</v>
      </c>
      <c r="U17" s="45">
        <v>16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45">
        <v>16</v>
      </c>
      <c r="AC17" s="45">
        <v>16</v>
      </c>
      <c r="AD17" s="45">
        <v>16</v>
      </c>
      <c r="AE17" s="45">
        <v>16</v>
      </c>
      <c r="AF17" s="45">
        <v>16</v>
      </c>
      <c r="AG17" s="49">
        <v>44</v>
      </c>
      <c r="AH17" s="47">
        <f>MAX(B17:AG17)</f>
        <v>44</v>
      </c>
      <c r="AI17" s="48">
        <f>MIN(B17:AG17)</f>
        <v>16</v>
      </c>
      <c r="AK17" s="50"/>
      <c r="AL17" s="160" t="s">
        <v>592</v>
      </c>
      <c r="AM17" s="227">
        <f>B62</f>
        <v>41</v>
      </c>
      <c r="AN17" s="227">
        <f t="shared" ref="AN17:AR17" si="6">C62</f>
        <v>41</v>
      </c>
      <c r="AO17" s="227">
        <f t="shared" si="6"/>
        <v>41</v>
      </c>
      <c r="AP17" s="227">
        <f t="shared" si="6"/>
        <v>42</v>
      </c>
      <c r="AQ17" s="227">
        <f t="shared" si="6"/>
        <v>42</v>
      </c>
      <c r="AR17" s="227">
        <f t="shared" si="6"/>
        <v>38.200000000000003</v>
      </c>
      <c r="AS17" s="227">
        <f>I62</f>
        <v>53.2</v>
      </c>
      <c r="AT17" s="227">
        <f>K62</f>
        <v>198.1</v>
      </c>
      <c r="AU17" s="227">
        <f t="shared" ref="AU17:AX17" si="7">M62</f>
        <v>473.2</v>
      </c>
      <c r="AV17" s="227">
        <f t="shared" si="7"/>
        <v>473.2</v>
      </c>
      <c r="AW17" s="227">
        <f t="shared" si="7"/>
        <v>58.2</v>
      </c>
      <c r="AX17" s="227">
        <f t="shared" si="7"/>
        <v>58.2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6.5</v>
      </c>
      <c r="C18" s="45">
        <v>6.5</v>
      </c>
      <c r="D18" s="45">
        <v>6.5</v>
      </c>
      <c r="E18" s="45">
        <v>6.5</v>
      </c>
      <c r="F18" s="45">
        <v>6.5</v>
      </c>
      <c r="G18" s="45">
        <v>6.5</v>
      </c>
      <c r="H18" s="45">
        <v>6.5</v>
      </c>
      <c r="I18" s="45">
        <v>6.5</v>
      </c>
      <c r="J18" s="45">
        <v>6.5</v>
      </c>
      <c r="K18" s="45">
        <v>6.5</v>
      </c>
      <c r="L18" s="45">
        <v>6.5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7</v>
      </c>
      <c r="S18" s="45">
        <v>7</v>
      </c>
      <c r="T18" s="45">
        <v>7</v>
      </c>
      <c r="U18" s="45">
        <v>7</v>
      </c>
      <c r="V18" s="45">
        <v>7</v>
      </c>
      <c r="W18" s="45">
        <v>7</v>
      </c>
      <c r="X18" s="45">
        <v>7</v>
      </c>
      <c r="Y18" s="45">
        <v>7</v>
      </c>
      <c r="Z18" s="45">
        <v>7</v>
      </c>
      <c r="AA18" s="45">
        <v>7</v>
      </c>
      <c r="AB18" s="45">
        <v>7</v>
      </c>
      <c r="AC18" s="45">
        <v>7</v>
      </c>
      <c r="AD18" s="45">
        <v>7</v>
      </c>
      <c r="AE18" s="45">
        <v>7</v>
      </c>
      <c r="AF18" s="45">
        <v>7</v>
      </c>
      <c r="AG18" s="49">
        <v>42</v>
      </c>
      <c r="AH18" s="47">
        <f t="shared" ref="AH18:AH81" si="8">MAX(B18:AF18)</f>
        <v>7</v>
      </c>
      <c r="AI18" s="48">
        <f t="shared" ref="AI18:AI81" si="9">MIN(B18:AF18)</f>
        <v>6.5</v>
      </c>
      <c r="AK18" s="50"/>
      <c r="AL18" s="160" t="s">
        <v>593</v>
      </c>
      <c r="AM18" s="227">
        <f>B76</f>
        <v>78.040000000000006</v>
      </c>
      <c r="AN18" s="227">
        <f t="shared" ref="AN18:AR18" si="10">C76</f>
        <v>78.040000000000006</v>
      </c>
      <c r="AO18" s="227">
        <f t="shared" si="10"/>
        <v>78.040000000000006</v>
      </c>
      <c r="AP18" s="227">
        <f t="shared" si="10"/>
        <v>78.040000000000006</v>
      </c>
      <c r="AQ18" s="227">
        <f t="shared" si="10"/>
        <v>78.040000000000006</v>
      </c>
      <c r="AR18" s="227">
        <f t="shared" si="10"/>
        <v>106.04</v>
      </c>
      <c r="AS18" s="227">
        <f>I76</f>
        <v>214.23999999999998</v>
      </c>
      <c r="AT18" s="227">
        <f>K76</f>
        <v>275.74</v>
      </c>
      <c r="AU18" s="227">
        <f t="shared" ref="AU18:AX18" si="11">M76</f>
        <v>336.74000000000007</v>
      </c>
      <c r="AV18" s="227">
        <f t="shared" si="11"/>
        <v>319.54000000000002</v>
      </c>
      <c r="AW18" s="227">
        <f t="shared" si="11"/>
        <v>248.04</v>
      </c>
      <c r="AX18" s="227">
        <f t="shared" si="11"/>
        <v>249.44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11.8</v>
      </c>
      <c r="C19" s="45">
        <v>11.8</v>
      </c>
      <c r="D19" s="45">
        <v>11.8</v>
      </c>
      <c r="E19" s="45">
        <v>11.8</v>
      </c>
      <c r="F19" s="45">
        <v>11.8</v>
      </c>
      <c r="G19" s="45">
        <v>11.8</v>
      </c>
      <c r="H19" s="45">
        <v>11.8</v>
      </c>
      <c r="I19" s="45">
        <v>11.8</v>
      </c>
      <c r="J19" s="45">
        <v>11.8</v>
      </c>
      <c r="K19" s="45">
        <v>11.8</v>
      </c>
      <c r="L19" s="45">
        <v>11.8</v>
      </c>
      <c r="M19" s="45">
        <v>11</v>
      </c>
      <c r="N19" s="45">
        <v>11</v>
      </c>
      <c r="O19" s="45">
        <v>11</v>
      </c>
      <c r="P19" s="45">
        <v>11</v>
      </c>
      <c r="Q19" s="45">
        <v>11</v>
      </c>
      <c r="R19" s="45">
        <v>11</v>
      </c>
      <c r="S19" s="45">
        <v>11</v>
      </c>
      <c r="T19" s="45">
        <v>11</v>
      </c>
      <c r="U19" s="45">
        <v>11</v>
      </c>
      <c r="V19" s="45">
        <v>11</v>
      </c>
      <c r="W19" s="45">
        <v>11</v>
      </c>
      <c r="X19" s="45">
        <v>11</v>
      </c>
      <c r="Y19" s="45">
        <v>11</v>
      </c>
      <c r="Z19" s="45">
        <v>11</v>
      </c>
      <c r="AA19" s="45">
        <v>11</v>
      </c>
      <c r="AB19" s="45">
        <v>11</v>
      </c>
      <c r="AC19" s="45">
        <v>11</v>
      </c>
      <c r="AD19" s="45">
        <v>11</v>
      </c>
      <c r="AE19" s="45">
        <v>11</v>
      </c>
      <c r="AF19" s="45">
        <v>11</v>
      </c>
      <c r="AG19" s="49">
        <v>38.46</v>
      </c>
      <c r="AH19" s="47">
        <f t="shared" si="8"/>
        <v>11.8</v>
      </c>
      <c r="AI19" s="48">
        <f t="shared" si="9"/>
        <v>11</v>
      </c>
      <c r="AK19" s="50"/>
      <c r="AL19" s="160" t="s">
        <v>594</v>
      </c>
      <c r="AM19" s="227">
        <f>B92</f>
        <v>637</v>
      </c>
      <c r="AN19" s="227">
        <f t="shared" ref="AN19:AR19" si="12">C92</f>
        <v>658.7</v>
      </c>
      <c r="AO19" s="227">
        <f t="shared" si="12"/>
        <v>638</v>
      </c>
      <c r="AP19" s="227">
        <f t="shared" si="12"/>
        <v>599.70000000000005</v>
      </c>
      <c r="AQ19" s="227">
        <f t="shared" si="12"/>
        <v>619.1</v>
      </c>
      <c r="AR19" s="227">
        <f t="shared" si="12"/>
        <v>612.6</v>
      </c>
      <c r="AS19" s="227">
        <f>I92</f>
        <v>631</v>
      </c>
      <c r="AT19" s="227">
        <f>K92</f>
        <v>537.1</v>
      </c>
      <c r="AU19" s="227">
        <f t="shared" ref="AU19:AX19" si="13">M92</f>
        <v>122.8</v>
      </c>
      <c r="AV19" s="227">
        <f t="shared" si="13"/>
        <v>277.8</v>
      </c>
      <c r="AW19" s="227">
        <f t="shared" si="13"/>
        <v>526.9</v>
      </c>
      <c r="AX19" s="227">
        <f t="shared" si="13"/>
        <v>629.5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50</v>
      </c>
      <c r="AU21" s="227">
        <f t="shared" ref="AU21:AX21" si="17">M98</f>
        <v>250</v>
      </c>
      <c r="AV21" s="227">
        <f t="shared" si="17"/>
        <v>250</v>
      </c>
      <c r="AW21" s="227">
        <f t="shared" si="17"/>
        <v>250</v>
      </c>
      <c r="AX21" s="227">
        <f t="shared" si="17"/>
        <v>250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7.6</v>
      </c>
      <c r="C22" s="45">
        <v>7.6</v>
      </c>
      <c r="D22" s="45">
        <v>7.6</v>
      </c>
      <c r="E22" s="45">
        <v>7.6</v>
      </c>
      <c r="F22" s="45">
        <v>7.6</v>
      </c>
      <c r="G22" s="45">
        <v>7.6</v>
      </c>
      <c r="H22" s="45">
        <v>7.6</v>
      </c>
      <c r="I22" s="45">
        <v>7.6</v>
      </c>
      <c r="J22" s="45">
        <v>7.6</v>
      </c>
      <c r="K22" s="45">
        <v>7.6</v>
      </c>
      <c r="L22" s="45">
        <v>7.6</v>
      </c>
      <c r="M22" s="45">
        <v>7.6</v>
      </c>
      <c r="N22" s="45">
        <v>7.6</v>
      </c>
      <c r="O22" s="45">
        <v>7.6</v>
      </c>
      <c r="P22" s="45">
        <v>7.6</v>
      </c>
      <c r="Q22" s="45">
        <v>7.6</v>
      </c>
      <c r="R22" s="45">
        <v>7.6</v>
      </c>
      <c r="S22" s="45">
        <v>7.6</v>
      </c>
      <c r="T22" s="45">
        <v>7.6</v>
      </c>
      <c r="U22" s="45">
        <v>7.6</v>
      </c>
      <c r="V22" s="45">
        <v>7.6</v>
      </c>
      <c r="W22" s="45">
        <v>7.6</v>
      </c>
      <c r="X22" s="45">
        <v>7.6</v>
      </c>
      <c r="Y22" s="45">
        <v>7.6</v>
      </c>
      <c r="Z22" s="45">
        <v>7.6</v>
      </c>
      <c r="AA22" s="45">
        <v>7.6</v>
      </c>
      <c r="AB22" s="45">
        <v>7.6</v>
      </c>
      <c r="AC22" s="45">
        <v>7.6</v>
      </c>
      <c r="AD22" s="45">
        <v>7.6</v>
      </c>
      <c r="AE22" s="45">
        <v>7.6</v>
      </c>
      <c r="AF22" s="45">
        <v>7.6</v>
      </c>
      <c r="AG22" s="52">
        <v>30</v>
      </c>
      <c r="AH22" s="47">
        <f t="shared" si="8"/>
        <v>7.6</v>
      </c>
      <c r="AI22" s="48">
        <f t="shared" si="9"/>
        <v>7.6</v>
      </c>
      <c r="AK22" s="50"/>
      <c r="AL22" s="229" t="s">
        <v>597</v>
      </c>
      <c r="AM22" s="228">
        <f>SUM(AM16:AM21)</f>
        <v>1222.19</v>
      </c>
      <c r="AN22" s="228">
        <f t="shared" ref="AN22:AX22" si="18">SUM(AN16:AN21)</f>
        <v>1243.8900000000001</v>
      </c>
      <c r="AO22" s="228">
        <f t="shared" si="18"/>
        <v>1223.19</v>
      </c>
      <c r="AP22" s="228">
        <f t="shared" si="18"/>
        <v>1185.8900000000001</v>
      </c>
      <c r="AQ22" s="228">
        <f t="shared" si="18"/>
        <v>1205.29</v>
      </c>
      <c r="AR22" s="228">
        <f t="shared" si="18"/>
        <v>1222.99</v>
      </c>
      <c r="AS22" s="228">
        <f t="shared" si="18"/>
        <v>1364.5900000000001</v>
      </c>
      <c r="AT22" s="228">
        <f t="shared" si="18"/>
        <v>1527.0900000000001</v>
      </c>
      <c r="AU22" s="228">
        <f t="shared" si="18"/>
        <v>1646.19</v>
      </c>
      <c r="AV22" s="228">
        <f t="shared" si="18"/>
        <v>1783.99</v>
      </c>
      <c r="AW22" s="228">
        <f t="shared" si="18"/>
        <v>1546.59</v>
      </c>
      <c r="AX22" s="228">
        <f t="shared" si="18"/>
        <v>1650.59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6.3</v>
      </c>
      <c r="C24" s="45">
        <v>6.3</v>
      </c>
      <c r="D24" s="45">
        <v>6.3</v>
      </c>
      <c r="E24" s="45">
        <v>6.3</v>
      </c>
      <c r="F24" s="45">
        <v>6.3</v>
      </c>
      <c r="G24" s="45">
        <v>6.3</v>
      </c>
      <c r="H24" s="45">
        <v>6.3</v>
      </c>
      <c r="I24" s="45">
        <v>6.3</v>
      </c>
      <c r="J24" s="45">
        <v>6.3</v>
      </c>
      <c r="K24" s="45">
        <v>6.3</v>
      </c>
      <c r="L24" s="45">
        <v>6.3</v>
      </c>
      <c r="M24" s="45">
        <v>6.3</v>
      </c>
      <c r="N24" s="45">
        <v>6.3</v>
      </c>
      <c r="O24" s="45">
        <v>6.3</v>
      </c>
      <c r="P24" s="45">
        <v>6.3</v>
      </c>
      <c r="Q24" s="45">
        <v>6.3</v>
      </c>
      <c r="R24" s="45">
        <v>6.3</v>
      </c>
      <c r="S24" s="45">
        <v>6.3</v>
      </c>
      <c r="T24" s="45">
        <v>6.3</v>
      </c>
      <c r="U24" s="45">
        <v>6.3</v>
      </c>
      <c r="V24" s="45">
        <v>6.3</v>
      </c>
      <c r="W24" s="45">
        <v>6.3</v>
      </c>
      <c r="X24" s="45">
        <v>6.3</v>
      </c>
      <c r="Y24" s="45">
        <v>6.3</v>
      </c>
      <c r="Z24" s="45">
        <v>6.3</v>
      </c>
      <c r="AA24" s="45">
        <v>6.3</v>
      </c>
      <c r="AB24" s="45">
        <v>6.3</v>
      </c>
      <c r="AC24" s="45">
        <v>6.3</v>
      </c>
      <c r="AD24" s="45">
        <v>6.3</v>
      </c>
      <c r="AE24" s="45">
        <v>6.3</v>
      </c>
      <c r="AF24" s="45">
        <v>6.3</v>
      </c>
      <c r="AG24" s="49">
        <v>28</v>
      </c>
      <c r="AH24" s="47">
        <f t="shared" si="8"/>
        <v>6.3</v>
      </c>
      <c r="AI24" s="48">
        <f t="shared" si="9"/>
        <v>6.3</v>
      </c>
      <c r="AK24" s="50"/>
      <c r="AL24" s="229" t="s">
        <v>598</v>
      </c>
      <c r="AM24" s="228">
        <f>AM22+AM23</f>
        <v>1222.19</v>
      </c>
      <c r="AN24" s="228">
        <f t="shared" ref="AN24:AX24" si="21">AN22+AN23</f>
        <v>1243.8900000000001</v>
      </c>
      <c r="AO24" s="228">
        <f t="shared" si="21"/>
        <v>1223.19</v>
      </c>
      <c r="AP24" s="228">
        <f t="shared" si="21"/>
        <v>1185.8900000000001</v>
      </c>
      <c r="AQ24" s="228">
        <f t="shared" si="21"/>
        <v>1205.29</v>
      </c>
      <c r="AR24" s="228">
        <f t="shared" si="21"/>
        <v>1222.99</v>
      </c>
      <c r="AS24" s="228">
        <f t="shared" si="21"/>
        <v>1364.5900000000001</v>
      </c>
      <c r="AT24" s="228">
        <f t="shared" si="21"/>
        <v>1527.0900000000001</v>
      </c>
      <c r="AU24" s="228">
        <f t="shared" si="21"/>
        <v>1646.19</v>
      </c>
      <c r="AV24" s="228">
        <f t="shared" si="21"/>
        <v>1783.99</v>
      </c>
      <c r="AW24" s="228">
        <f t="shared" si="21"/>
        <v>1546.59</v>
      </c>
      <c r="AX24" s="228">
        <f t="shared" si="21"/>
        <v>1650.59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9.3000000000000007</v>
      </c>
      <c r="C25" s="45">
        <v>9.3000000000000007</v>
      </c>
      <c r="D25" s="45">
        <v>9.3000000000000007</v>
      </c>
      <c r="E25" s="45">
        <v>9.3000000000000007</v>
      </c>
      <c r="F25" s="45">
        <v>9.3000000000000007</v>
      </c>
      <c r="G25" s="45">
        <v>9.3000000000000007</v>
      </c>
      <c r="H25" s="45">
        <v>9.3000000000000007</v>
      </c>
      <c r="I25" s="45">
        <v>9.3000000000000007</v>
      </c>
      <c r="J25" s="45">
        <v>9.3000000000000007</v>
      </c>
      <c r="K25" s="45">
        <v>9.3000000000000007</v>
      </c>
      <c r="L25" s="45">
        <v>9.3000000000000007</v>
      </c>
      <c r="M25" s="45">
        <v>9.3000000000000007</v>
      </c>
      <c r="N25" s="45">
        <v>9.3000000000000007</v>
      </c>
      <c r="O25" s="45">
        <v>9.3000000000000007</v>
      </c>
      <c r="P25" s="45">
        <v>9.3000000000000007</v>
      </c>
      <c r="Q25" s="45">
        <v>9.3000000000000007</v>
      </c>
      <c r="R25" s="45">
        <v>9.3000000000000007</v>
      </c>
      <c r="S25" s="45">
        <v>9.3000000000000007</v>
      </c>
      <c r="T25" s="45">
        <v>9.3000000000000007</v>
      </c>
      <c r="U25" s="45">
        <v>9.3000000000000007</v>
      </c>
      <c r="V25" s="45">
        <v>9.3000000000000007</v>
      </c>
      <c r="W25" s="45">
        <v>9.3000000000000007</v>
      </c>
      <c r="X25" s="45">
        <v>9.3000000000000007</v>
      </c>
      <c r="Y25" s="45">
        <v>9.3000000000000007</v>
      </c>
      <c r="Z25" s="45">
        <v>9.3000000000000007</v>
      </c>
      <c r="AA25" s="45">
        <v>9.3000000000000007</v>
      </c>
      <c r="AB25" s="45">
        <v>9.3000000000000007</v>
      </c>
      <c r="AC25" s="45">
        <v>9.3000000000000007</v>
      </c>
      <c r="AD25" s="45">
        <v>9.3000000000000007</v>
      </c>
      <c r="AE25" s="45">
        <v>9.3000000000000007</v>
      </c>
      <c r="AF25" s="45">
        <v>9.3000000000000007</v>
      </c>
      <c r="AG25" s="52">
        <v>30</v>
      </c>
      <c r="AH25" s="47">
        <f t="shared" si="8"/>
        <v>9.3000000000000007</v>
      </c>
      <c r="AI25" s="48">
        <f t="shared" si="9"/>
        <v>9.3000000000000007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8.6999999999999993</v>
      </c>
      <c r="C26" s="45">
        <v>8.6999999999999993</v>
      </c>
      <c r="D26" s="45">
        <v>8.6999999999999993</v>
      </c>
      <c r="E26" s="45">
        <v>8.6999999999999993</v>
      </c>
      <c r="F26" s="45">
        <v>8.6999999999999993</v>
      </c>
      <c r="G26" s="45">
        <v>8.6999999999999993</v>
      </c>
      <c r="H26" s="45">
        <v>8.6999999999999993</v>
      </c>
      <c r="I26" s="45">
        <v>8.6999999999999993</v>
      </c>
      <c r="J26" s="45">
        <v>8.6999999999999993</v>
      </c>
      <c r="K26" s="45">
        <v>8.6999999999999993</v>
      </c>
      <c r="L26" s="45">
        <v>8.6999999999999993</v>
      </c>
      <c r="M26" s="45">
        <v>8.6999999999999993</v>
      </c>
      <c r="N26" s="45">
        <v>8.6999999999999993</v>
      </c>
      <c r="O26" s="45">
        <v>8.6999999999999993</v>
      </c>
      <c r="P26" s="45">
        <v>8.6999999999999993</v>
      </c>
      <c r="Q26" s="45">
        <v>8.6999999999999993</v>
      </c>
      <c r="R26" s="45">
        <v>8.6999999999999993</v>
      </c>
      <c r="S26" s="45">
        <v>8.6999999999999993</v>
      </c>
      <c r="T26" s="45">
        <v>8.6999999999999993</v>
      </c>
      <c r="U26" s="45">
        <v>8.6999999999999993</v>
      </c>
      <c r="V26" s="45">
        <v>8.6999999999999993</v>
      </c>
      <c r="W26" s="45">
        <v>8.6999999999999993</v>
      </c>
      <c r="X26" s="45">
        <v>8.6999999999999993</v>
      </c>
      <c r="Y26" s="45">
        <v>8.6999999999999993</v>
      </c>
      <c r="Z26" s="45">
        <v>8.6999999999999993</v>
      </c>
      <c r="AA26" s="45">
        <v>8.6999999999999993</v>
      </c>
      <c r="AB26" s="45">
        <v>8.6999999999999993</v>
      </c>
      <c r="AC26" s="45">
        <v>8.6999999999999993</v>
      </c>
      <c r="AD26" s="45">
        <v>8.6999999999999993</v>
      </c>
      <c r="AE26" s="45">
        <v>8.6999999999999993</v>
      </c>
      <c r="AF26" s="45">
        <v>8.6999999999999993</v>
      </c>
      <c r="AG26" s="49">
        <v>25</v>
      </c>
      <c r="AH26" s="47">
        <f t="shared" si="8"/>
        <v>8.6999999999999993</v>
      </c>
      <c r="AI26" s="48">
        <f t="shared" si="9"/>
        <v>8.6999999999999993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6.4</v>
      </c>
      <c r="C29" s="45">
        <v>6.4</v>
      </c>
      <c r="D29" s="45">
        <v>6.4</v>
      </c>
      <c r="E29" s="45">
        <v>6.4</v>
      </c>
      <c r="F29" s="45">
        <v>6.4</v>
      </c>
      <c r="G29" s="45">
        <v>6.4</v>
      </c>
      <c r="H29" s="45">
        <v>6.4</v>
      </c>
      <c r="I29" s="45">
        <v>6.4</v>
      </c>
      <c r="J29" s="45">
        <v>6.4</v>
      </c>
      <c r="K29" s="45">
        <v>6.4</v>
      </c>
      <c r="L29" s="45">
        <v>6.4</v>
      </c>
      <c r="M29" s="45">
        <v>6.6</v>
      </c>
      <c r="N29" s="45">
        <v>6.6</v>
      </c>
      <c r="O29" s="45">
        <v>6.6</v>
      </c>
      <c r="P29" s="45">
        <v>6.6</v>
      </c>
      <c r="Q29" s="45">
        <v>6.6</v>
      </c>
      <c r="R29" s="45">
        <v>6.6</v>
      </c>
      <c r="S29" s="45">
        <v>6.6</v>
      </c>
      <c r="T29" s="45">
        <v>6.6</v>
      </c>
      <c r="U29" s="45">
        <v>6.6</v>
      </c>
      <c r="V29" s="45">
        <v>6.6</v>
      </c>
      <c r="W29" s="45">
        <v>6.6</v>
      </c>
      <c r="X29" s="45">
        <v>6.6</v>
      </c>
      <c r="Y29" s="45">
        <v>6.6</v>
      </c>
      <c r="Z29" s="45">
        <v>6.6</v>
      </c>
      <c r="AA29" s="45">
        <v>6.6</v>
      </c>
      <c r="AB29" s="45">
        <v>6.6</v>
      </c>
      <c r="AC29" s="45">
        <v>6.6</v>
      </c>
      <c r="AD29" s="45">
        <v>6.6</v>
      </c>
      <c r="AE29" s="45">
        <v>6.6</v>
      </c>
      <c r="AF29" s="45">
        <v>6.6</v>
      </c>
      <c r="AG29" s="49">
        <v>25</v>
      </c>
      <c r="AH29" s="47">
        <f t="shared" si="8"/>
        <v>6.6</v>
      </c>
      <c r="AI29" s="48">
        <f t="shared" si="9"/>
        <v>6.4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6.5</v>
      </c>
      <c r="N30" s="45">
        <v>6.5</v>
      </c>
      <c r="O30" s="45">
        <v>6.5</v>
      </c>
      <c r="P30" s="45">
        <v>6.5</v>
      </c>
      <c r="Q30" s="45">
        <v>6.5</v>
      </c>
      <c r="R30" s="45">
        <v>6.5</v>
      </c>
      <c r="S30" s="45">
        <v>6.5</v>
      </c>
      <c r="T30" s="45">
        <v>6.5</v>
      </c>
      <c r="U30" s="45">
        <v>6.5</v>
      </c>
      <c r="V30" s="45">
        <v>6.5</v>
      </c>
      <c r="W30" s="45">
        <v>6.5</v>
      </c>
      <c r="X30" s="45">
        <v>6.5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8"/>
        <v>6.5</v>
      </c>
      <c r="AI30" s="48">
        <f t="shared" si="9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6.1</v>
      </c>
      <c r="C34" s="45">
        <v>6.1</v>
      </c>
      <c r="D34" s="45">
        <v>6.1</v>
      </c>
      <c r="E34" s="45">
        <v>6.1</v>
      </c>
      <c r="F34" s="45">
        <v>6.1</v>
      </c>
      <c r="G34" s="45">
        <v>6.1</v>
      </c>
      <c r="H34" s="45">
        <v>6.1</v>
      </c>
      <c r="I34" s="45">
        <v>6.1</v>
      </c>
      <c r="J34" s="45">
        <v>6.1</v>
      </c>
      <c r="K34" s="45">
        <v>6.1</v>
      </c>
      <c r="L34" s="45">
        <v>6.1</v>
      </c>
      <c r="M34" s="45">
        <v>6.1</v>
      </c>
      <c r="N34" s="45">
        <v>6.1</v>
      </c>
      <c r="O34" s="45">
        <v>6.1</v>
      </c>
      <c r="P34" s="45">
        <v>6.1</v>
      </c>
      <c r="Q34" s="45">
        <v>6.1</v>
      </c>
      <c r="R34" s="45">
        <v>6.1</v>
      </c>
      <c r="S34" s="45">
        <v>6.1</v>
      </c>
      <c r="T34" s="45">
        <v>6.1</v>
      </c>
      <c r="U34" s="45">
        <v>6.1</v>
      </c>
      <c r="V34" s="45">
        <v>6.1</v>
      </c>
      <c r="W34" s="45">
        <v>6.1</v>
      </c>
      <c r="X34" s="45">
        <v>6.1</v>
      </c>
      <c r="Y34" s="45">
        <v>6.1</v>
      </c>
      <c r="Z34" s="45">
        <v>6.1</v>
      </c>
      <c r="AA34" s="45">
        <v>6.1</v>
      </c>
      <c r="AB34" s="45">
        <v>6.1</v>
      </c>
      <c r="AC34" s="45">
        <v>6.1</v>
      </c>
      <c r="AD34" s="45">
        <v>6.1</v>
      </c>
      <c r="AE34" s="45">
        <v>6.1</v>
      </c>
      <c r="AF34" s="45">
        <v>6.1</v>
      </c>
      <c r="AG34" s="49">
        <v>22</v>
      </c>
      <c r="AH34" s="47">
        <f t="shared" si="8"/>
        <v>6.1</v>
      </c>
      <c r="AI34" s="48">
        <f t="shared" si="9"/>
        <v>6.1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7.5</v>
      </c>
      <c r="C44" s="45">
        <v>7.5</v>
      </c>
      <c r="D44" s="45">
        <v>7.5</v>
      </c>
      <c r="E44" s="45">
        <v>7.5</v>
      </c>
      <c r="F44" s="45">
        <v>7.5</v>
      </c>
      <c r="G44" s="45">
        <v>7.5</v>
      </c>
      <c r="H44" s="45">
        <v>7.5</v>
      </c>
      <c r="I44" s="45">
        <v>7.5</v>
      </c>
      <c r="J44" s="45">
        <v>7.5</v>
      </c>
      <c r="K44" s="45">
        <v>7.5</v>
      </c>
      <c r="L44" s="45">
        <v>7.5</v>
      </c>
      <c r="M44" s="45">
        <v>7.5</v>
      </c>
      <c r="N44" s="45">
        <v>7.5</v>
      </c>
      <c r="O44" s="45">
        <v>7.5</v>
      </c>
      <c r="P44" s="45">
        <v>7.5</v>
      </c>
      <c r="Q44" s="45">
        <v>7.5</v>
      </c>
      <c r="R44" s="45">
        <v>7.5</v>
      </c>
      <c r="S44" s="45">
        <v>7.5</v>
      </c>
      <c r="T44" s="45">
        <v>7.5</v>
      </c>
      <c r="U44" s="45">
        <v>7.5</v>
      </c>
      <c r="V44" s="45">
        <v>7.5</v>
      </c>
      <c r="W44" s="45">
        <v>7.5</v>
      </c>
      <c r="X44" s="45">
        <v>7.5</v>
      </c>
      <c r="Y44" s="45">
        <v>7.5</v>
      </c>
      <c r="Z44" s="45">
        <v>7.5</v>
      </c>
      <c r="AA44" s="45">
        <v>7.5</v>
      </c>
      <c r="AB44" s="45">
        <v>7.5</v>
      </c>
      <c r="AC44" s="45">
        <v>7.5</v>
      </c>
      <c r="AD44" s="45">
        <v>7.5</v>
      </c>
      <c r="AE44" s="45">
        <v>7.5</v>
      </c>
      <c r="AF44" s="45">
        <v>7.5</v>
      </c>
      <c r="AG44" s="49">
        <v>12</v>
      </c>
      <c r="AH44" s="47">
        <f t="shared" si="8"/>
        <v>7.5</v>
      </c>
      <c r="AI44" s="48">
        <f t="shared" si="9"/>
        <v>7.5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20.5</v>
      </c>
      <c r="C57" s="57">
        <v>20.5</v>
      </c>
      <c r="D57" s="57">
        <v>18.5</v>
      </c>
      <c r="E57" s="57">
        <v>20.3</v>
      </c>
      <c r="F57" s="57">
        <v>20.3</v>
      </c>
      <c r="G57" s="57">
        <v>20.399999999999999</v>
      </c>
      <c r="H57" s="57">
        <v>20.3</v>
      </c>
      <c r="I57" s="57">
        <v>17</v>
      </c>
      <c r="J57" s="57">
        <v>15.5</v>
      </c>
      <c r="K57" s="57">
        <v>15.6</v>
      </c>
      <c r="L57" s="57">
        <v>16.7</v>
      </c>
      <c r="M57" s="51">
        <v>17.100000000000001</v>
      </c>
      <c r="N57" s="51">
        <v>17.100000000000001</v>
      </c>
      <c r="O57" s="51">
        <v>17.8</v>
      </c>
      <c r="P57" s="51">
        <v>19.2</v>
      </c>
      <c r="Q57" s="51">
        <v>21</v>
      </c>
      <c r="R57" s="51">
        <v>21</v>
      </c>
      <c r="S57" s="51">
        <v>21</v>
      </c>
      <c r="T57" s="51">
        <v>21</v>
      </c>
      <c r="U57" s="51">
        <v>21</v>
      </c>
      <c r="V57" s="51">
        <v>21</v>
      </c>
      <c r="W57" s="51">
        <v>21</v>
      </c>
      <c r="X57" s="51">
        <v>21</v>
      </c>
      <c r="Y57" s="51">
        <v>21</v>
      </c>
      <c r="Z57" s="57">
        <v>21</v>
      </c>
      <c r="AA57" s="57">
        <v>21</v>
      </c>
      <c r="AB57" s="57">
        <v>15.6</v>
      </c>
      <c r="AC57" s="57">
        <v>15.6</v>
      </c>
      <c r="AD57" s="57">
        <v>15.6</v>
      </c>
      <c r="AE57" s="57">
        <v>15.6</v>
      </c>
      <c r="AF57" s="57">
        <v>15.6</v>
      </c>
      <c r="AG57" s="55">
        <v>240</v>
      </c>
      <c r="AH57" s="47">
        <f t="shared" si="8"/>
        <v>21</v>
      </c>
      <c r="AI57" s="48">
        <f t="shared" si="9"/>
        <v>15.5</v>
      </c>
      <c r="AK57" s="50"/>
    </row>
    <row r="58" spans="1:88" ht="15.75" thickBot="1" x14ac:dyDescent="0.3">
      <c r="A58" s="59" t="s">
        <v>58</v>
      </c>
      <c r="B58" s="60">
        <f t="shared" ref="B58:AB58" si="22">SUM(B11:B56)</f>
        <v>466.15000000000003</v>
      </c>
      <c r="C58" s="60">
        <f t="shared" si="22"/>
        <v>466.15000000000003</v>
      </c>
      <c r="D58" s="60">
        <f t="shared" si="22"/>
        <v>466.15000000000003</v>
      </c>
      <c r="E58" s="60">
        <f t="shared" si="22"/>
        <v>466.15000000000003</v>
      </c>
      <c r="F58" s="60">
        <f t="shared" si="22"/>
        <v>466.15000000000003</v>
      </c>
      <c r="G58" s="60">
        <f t="shared" si="22"/>
        <v>466.15000000000003</v>
      </c>
      <c r="H58" s="60">
        <f t="shared" si="22"/>
        <v>466.15000000000003</v>
      </c>
      <c r="I58" s="60">
        <f t="shared" si="22"/>
        <v>466.15000000000003</v>
      </c>
      <c r="J58" s="60">
        <f t="shared" si="22"/>
        <v>466.15000000000003</v>
      </c>
      <c r="K58" s="60">
        <f t="shared" si="22"/>
        <v>466.15000000000003</v>
      </c>
      <c r="L58" s="60">
        <f t="shared" si="22"/>
        <v>466.15000000000003</v>
      </c>
      <c r="M58" s="60">
        <f t="shared" si="22"/>
        <v>463.45</v>
      </c>
      <c r="N58" s="60">
        <f t="shared" si="22"/>
        <v>463.45</v>
      </c>
      <c r="O58" s="60">
        <f t="shared" si="22"/>
        <v>463.45</v>
      </c>
      <c r="P58" s="60">
        <f t="shared" si="22"/>
        <v>463.45</v>
      </c>
      <c r="Q58" s="60">
        <f t="shared" si="22"/>
        <v>462.75</v>
      </c>
      <c r="R58" s="60">
        <f t="shared" si="22"/>
        <v>462.75</v>
      </c>
      <c r="S58" s="60">
        <f t="shared" ref="S58:T58" si="23">SUM(S11:S56)</f>
        <v>462.75</v>
      </c>
      <c r="T58" s="60">
        <f t="shared" si="23"/>
        <v>462.75</v>
      </c>
      <c r="U58" s="60">
        <f t="shared" ref="U58:V58" si="24">SUM(U11:U56)</f>
        <v>462.75</v>
      </c>
      <c r="V58" s="60">
        <f t="shared" si="24"/>
        <v>462.75</v>
      </c>
      <c r="W58" s="60">
        <f t="shared" ref="W58:X58" si="25">SUM(W11:W56)</f>
        <v>462.75</v>
      </c>
      <c r="X58" s="60">
        <f t="shared" si="25"/>
        <v>462.75</v>
      </c>
      <c r="Y58" s="60">
        <f t="shared" ref="Y58:Z58" si="26">SUM(Y11:Y56)</f>
        <v>462.75</v>
      </c>
      <c r="Z58" s="60">
        <f t="shared" si="26"/>
        <v>462.75</v>
      </c>
      <c r="AA58" s="60">
        <f t="shared" ref="AA58" si="27">SUM(AA11:AA56)</f>
        <v>462.75</v>
      </c>
      <c r="AB58" s="60">
        <f t="shared" si="22"/>
        <v>461.25</v>
      </c>
      <c r="AC58" s="60">
        <f t="shared" ref="AC58:AD58" si="28">SUM(AC11:AC56)</f>
        <v>461.25</v>
      </c>
      <c r="AD58" s="60">
        <f t="shared" si="28"/>
        <v>461.25</v>
      </c>
      <c r="AE58" s="60">
        <f t="shared" ref="AE58:AF58" si="29">SUM(AE11:AE56)</f>
        <v>461.25</v>
      </c>
      <c r="AF58" s="60">
        <f t="shared" si="29"/>
        <v>461.25</v>
      </c>
      <c r="AG58" s="61">
        <f>SUM(AG14:AG56)</f>
        <v>1042.4000000000001</v>
      </c>
      <c r="AH58" s="47">
        <f t="shared" si="8"/>
        <v>466.15000000000003</v>
      </c>
      <c r="AI58" s="48">
        <f t="shared" si="9"/>
        <v>461.25</v>
      </c>
      <c r="AK58" s="50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15</v>
      </c>
      <c r="J59" s="45">
        <v>110</v>
      </c>
      <c r="K59" s="45">
        <v>160</v>
      </c>
      <c r="L59" s="45">
        <v>456</v>
      </c>
      <c r="M59" s="45">
        <v>435</v>
      </c>
      <c r="N59" s="45">
        <v>435</v>
      </c>
      <c r="O59" s="63">
        <v>20</v>
      </c>
      <c r="P59" s="63">
        <v>20</v>
      </c>
      <c r="Q59" s="63">
        <v>60</v>
      </c>
      <c r="R59" s="63">
        <v>20</v>
      </c>
      <c r="S59" s="63">
        <v>20</v>
      </c>
      <c r="T59" s="63">
        <v>30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45">
        <v>228</v>
      </c>
      <c r="AA59" s="45">
        <v>300</v>
      </c>
      <c r="AB59" s="45">
        <v>180</v>
      </c>
      <c r="AC59" s="45">
        <v>160</v>
      </c>
      <c r="AD59" s="45">
        <v>40</v>
      </c>
      <c r="AE59" s="45">
        <v>0</v>
      </c>
      <c r="AF59" s="45">
        <v>0</v>
      </c>
      <c r="AG59" s="52">
        <v>456</v>
      </c>
      <c r="AH59" s="47">
        <f t="shared" si="8"/>
        <v>456</v>
      </c>
      <c r="AI59" s="48">
        <f t="shared" si="9"/>
        <v>0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14</v>
      </c>
      <c r="C61" s="67">
        <v>14</v>
      </c>
      <c r="D61" s="67">
        <v>14</v>
      </c>
      <c r="E61" s="67">
        <v>15</v>
      </c>
      <c r="F61" s="67">
        <v>15</v>
      </c>
      <c r="G61" s="67">
        <v>11.2</v>
      </c>
      <c r="H61" s="67">
        <v>11.2</v>
      </c>
      <c r="I61" s="67">
        <v>11.2</v>
      </c>
      <c r="J61" s="67">
        <v>11.2</v>
      </c>
      <c r="K61" s="67">
        <v>11.1</v>
      </c>
      <c r="L61" s="67">
        <v>11</v>
      </c>
      <c r="M61" s="67">
        <v>11.2</v>
      </c>
      <c r="N61" s="67">
        <v>11.2</v>
      </c>
      <c r="O61" s="67">
        <v>11.2</v>
      </c>
      <c r="P61" s="67">
        <v>11.2</v>
      </c>
      <c r="Q61" s="67">
        <v>9.3000000000000007</v>
      </c>
      <c r="R61" s="67">
        <v>9.3000000000000007</v>
      </c>
      <c r="S61" s="67">
        <v>9.3000000000000007</v>
      </c>
      <c r="T61" s="67">
        <v>9.3000000000000007</v>
      </c>
      <c r="U61" s="67">
        <v>9.3000000000000007</v>
      </c>
      <c r="V61" s="67">
        <v>9.3000000000000007</v>
      </c>
      <c r="W61" s="67">
        <v>9.3000000000000007</v>
      </c>
      <c r="X61" s="67">
        <v>9.3000000000000007</v>
      </c>
      <c r="Y61" s="67">
        <v>9.3000000000000007</v>
      </c>
      <c r="Z61" s="67">
        <v>9.3000000000000007</v>
      </c>
      <c r="AA61" s="67">
        <v>9.3000000000000007</v>
      </c>
      <c r="AB61" s="67">
        <v>9.1999999999999993</v>
      </c>
      <c r="AC61" s="67">
        <v>9.1999999999999993</v>
      </c>
      <c r="AD61" s="67">
        <v>9.1999999999999993</v>
      </c>
      <c r="AE61" s="67">
        <v>9.1999999999999993</v>
      </c>
      <c r="AF61" s="67">
        <v>9.1999999999999993</v>
      </c>
      <c r="AG61" s="68">
        <v>22.1</v>
      </c>
      <c r="AH61" s="47">
        <f t="shared" si="8"/>
        <v>15</v>
      </c>
      <c r="AI61" s="48">
        <f t="shared" si="9"/>
        <v>9.1999999999999993</v>
      </c>
      <c r="AK61" s="50"/>
    </row>
    <row r="62" spans="1:88" ht="15.75" thickBot="1" x14ac:dyDescent="0.3">
      <c r="A62" s="69" t="s">
        <v>62</v>
      </c>
      <c r="B62" s="60">
        <f t="shared" ref="B62:AG62" si="30">SUM(B59:B61)</f>
        <v>41</v>
      </c>
      <c r="C62" s="60">
        <f t="shared" si="30"/>
        <v>41</v>
      </c>
      <c r="D62" s="60">
        <f t="shared" si="30"/>
        <v>41</v>
      </c>
      <c r="E62" s="60">
        <f t="shared" si="30"/>
        <v>42</v>
      </c>
      <c r="F62" s="60">
        <f t="shared" si="30"/>
        <v>42</v>
      </c>
      <c r="G62" s="60">
        <f t="shared" si="30"/>
        <v>38.200000000000003</v>
      </c>
      <c r="H62" s="60">
        <f t="shared" si="30"/>
        <v>38.200000000000003</v>
      </c>
      <c r="I62" s="60">
        <f t="shared" si="30"/>
        <v>53.2</v>
      </c>
      <c r="J62" s="60">
        <f t="shared" si="30"/>
        <v>148.19999999999999</v>
      </c>
      <c r="K62" s="60">
        <f t="shared" si="30"/>
        <v>198.1</v>
      </c>
      <c r="L62" s="60">
        <f t="shared" si="30"/>
        <v>494</v>
      </c>
      <c r="M62" s="60">
        <f t="shared" si="30"/>
        <v>473.2</v>
      </c>
      <c r="N62" s="60">
        <f t="shared" si="30"/>
        <v>473.2</v>
      </c>
      <c r="O62" s="60">
        <f t="shared" si="30"/>
        <v>58.2</v>
      </c>
      <c r="P62" s="60">
        <f t="shared" si="30"/>
        <v>58.2</v>
      </c>
      <c r="Q62" s="60">
        <f t="shared" si="30"/>
        <v>96.3</v>
      </c>
      <c r="R62" s="60">
        <f t="shared" si="30"/>
        <v>56.3</v>
      </c>
      <c r="S62" s="60">
        <f t="shared" ref="S62:T62" si="31">SUM(S59:S61)</f>
        <v>56.3</v>
      </c>
      <c r="T62" s="60">
        <f t="shared" si="31"/>
        <v>66.3</v>
      </c>
      <c r="U62" s="60">
        <f t="shared" ref="U62:V62" si="32">SUM(U59:U61)</f>
        <v>36.299999999999997</v>
      </c>
      <c r="V62" s="60">
        <f t="shared" si="32"/>
        <v>36.299999999999997</v>
      </c>
      <c r="W62" s="60">
        <f t="shared" ref="W62:X62" si="33">SUM(W59:W61)</f>
        <v>36.299999999999997</v>
      </c>
      <c r="X62" s="60">
        <f t="shared" si="33"/>
        <v>36.299999999999997</v>
      </c>
      <c r="Y62" s="60">
        <f t="shared" ref="Y62:Z62" si="34">SUM(Y59:Y61)</f>
        <v>36.299999999999997</v>
      </c>
      <c r="Z62" s="60">
        <f t="shared" si="34"/>
        <v>264.3</v>
      </c>
      <c r="AA62" s="60">
        <f t="shared" ref="AA62" si="35">SUM(AA59:AA61)</f>
        <v>336.3</v>
      </c>
      <c r="AB62" s="60">
        <f t="shared" si="30"/>
        <v>216.2</v>
      </c>
      <c r="AC62" s="60">
        <f t="shared" ref="AC62:AD62" si="36">SUM(AC59:AC61)</f>
        <v>196.2</v>
      </c>
      <c r="AD62" s="60">
        <f t="shared" si="36"/>
        <v>76.2</v>
      </c>
      <c r="AE62" s="60">
        <f t="shared" ref="AE62:AF62" si="37">SUM(AE59:AE61)</f>
        <v>36.200000000000003</v>
      </c>
      <c r="AF62" s="60">
        <f t="shared" si="37"/>
        <v>36.200000000000003</v>
      </c>
      <c r="AG62" s="61">
        <f t="shared" si="30"/>
        <v>538.1</v>
      </c>
      <c r="AH62" s="47">
        <f t="shared" si="8"/>
        <v>494</v>
      </c>
      <c r="AI62" s="48">
        <f t="shared" si="9"/>
        <v>36.200000000000003</v>
      </c>
      <c r="AK62" s="50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28</v>
      </c>
      <c r="H63" s="45">
        <v>40.700000000000003</v>
      </c>
      <c r="I63" s="45">
        <v>73</v>
      </c>
      <c r="J63" s="45">
        <v>81.2</v>
      </c>
      <c r="K63" s="45">
        <v>91.3</v>
      </c>
      <c r="L63" s="45">
        <v>113.8</v>
      </c>
      <c r="M63" s="45">
        <v>116.1</v>
      </c>
      <c r="N63" s="45">
        <v>116.1</v>
      </c>
      <c r="O63" s="45">
        <v>70</v>
      </c>
      <c r="P63" s="45">
        <v>61.8</v>
      </c>
      <c r="Q63" s="45">
        <v>61.7</v>
      </c>
      <c r="R63" s="45">
        <v>60.1</v>
      </c>
      <c r="S63" s="45">
        <v>31</v>
      </c>
      <c r="T63" s="45">
        <v>31</v>
      </c>
      <c r="U63" s="45">
        <v>45.2</v>
      </c>
      <c r="V63" s="45">
        <v>45.2</v>
      </c>
      <c r="W63" s="45">
        <v>30.8</v>
      </c>
      <c r="X63" s="45">
        <v>62.2</v>
      </c>
      <c r="Y63" s="45">
        <v>97.8</v>
      </c>
      <c r="Z63" s="45">
        <v>142.80000000000001</v>
      </c>
      <c r="AA63" s="45">
        <v>142.80000000000001</v>
      </c>
      <c r="AB63" s="45">
        <v>141.4</v>
      </c>
      <c r="AC63" s="45">
        <v>141.4</v>
      </c>
      <c r="AD63" s="45">
        <v>121</v>
      </c>
      <c r="AE63" s="45">
        <v>81</v>
      </c>
      <c r="AF63" s="45">
        <v>0</v>
      </c>
      <c r="AG63" s="52">
        <v>144</v>
      </c>
      <c r="AH63" s="47">
        <f t="shared" si="8"/>
        <v>142.80000000000001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30</v>
      </c>
      <c r="K64" s="65">
        <v>29.9</v>
      </c>
      <c r="L64" s="65">
        <v>54.4</v>
      </c>
      <c r="M64" s="65">
        <v>58.5</v>
      </c>
      <c r="N64" s="65">
        <v>54.9</v>
      </c>
      <c r="O64" s="65">
        <v>46</v>
      </c>
      <c r="P64" s="65">
        <v>44</v>
      </c>
      <c r="Q64" s="65">
        <v>45.9</v>
      </c>
      <c r="R64" s="65">
        <v>43</v>
      </c>
      <c r="S64" s="65">
        <v>24.8</v>
      </c>
      <c r="T64" s="65">
        <v>24.8</v>
      </c>
      <c r="U64" s="65">
        <v>24.8</v>
      </c>
      <c r="V64" s="65">
        <v>25.1</v>
      </c>
      <c r="W64" s="65">
        <v>24.9</v>
      </c>
      <c r="X64" s="65">
        <v>24.9</v>
      </c>
      <c r="Y64" s="65">
        <v>34.799999999999997</v>
      </c>
      <c r="Z64" s="45">
        <v>34.799999999999997</v>
      </c>
      <c r="AA64" s="45">
        <v>67.599999999999994</v>
      </c>
      <c r="AB64" s="45">
        <v>65.2</v>
      </c>
      <c r="AC64" s="45">
        <v>65.2</v>
      </c>
      <c r="AD64" s="45">
        <v>30</v>
      </c>
      <c r="AE64" s="45">
        <v>30</v>
      </c>
      <c r="AF64" s="45">
        <v>0</v>
      </c>
      <c r="AG64" s="55">
        <v>70</v>
      </c>
      <c r="AH64" s="47">
        <f t="shared" si="8"/>
        <v>67.599999999999994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46.9</v>
      </c>
      <c r="J65" s="65">
        <v>46</v>
      </c>
      <c r="K65" s="65">
        <v>46.2</v>
      </c>
      <c r="L65" s="65">
        <v>46.2</v>
      </c>
      <c r="M65" s="65">
        <v>63.2</v>
      </c>
      <c r="N65" s="65">
        <v>50.9</v>
      </c>
      <c r="O65" s="65">
        <v>34</v>
      </c>
      <c r="P65" s="65">
        <v>33</v>
      </c>
      <c r="Q65" s="65">
        <v>34.4</v>
      </c>
      <c r="R65" s="65">
        <v>46</v>
      </c>
      <c r="S65" s="65">
        <v>23.6</v>
      </c>
      <c r="T65" s="65">
        <v>23.6</v>
      </c>
      <c r="U65" s="65">
        <v>23.6</v>
      </c>
      <c r="V65" s="65">
        <v>23.6</v>
      </c>
      <c r="W65" s="65">
        <v>16.399999999999999</v>
      </c>
      <c r="X65" s="65">
        <v>16.5</v>
      </c>
      <c r="Y65" s="65">
        <v>67</v>
      </c>
      <c r="Z65" s="45">
        <v>69.3</v>
      </c>
      <c r="AA65" s="45">
        <v>69.3</v>
      </c>
      <c r="AB65" s="45">
        <v>68.900000000000006</v>
      </c>
      <c r="AC65" s="45">
        <v>68.900000000000006</v>
      </c>
      <c r="AD65" s="45">
        <v>51</v>
      </c>
      <c r="AE65" s="45">
        <v>51</v>
      </c>
      <c r="AF65" s="45">
        <v>35</v>
      </c>
      <c r="AG65" s="55">
        <v>69</v>
      </c>
      <c r="AH65" s="47">
        <f t="shared" si="8"/>
        <v>69.3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36.299999999999997</v>
      </c>
      <c r="C66" s="65">
        <v>36.299999999999997</v>
      </c>
      <c r="D66" s="65">
        <v>36.299999999999997</v>
      </c>
      <c r="E66" s="65">
        <v>36.299999999999997</v>
      </c>
      <c r="F66" s="65">
        <v>36.299999999999997</v>
      </c>
      <c r="G66" s="65">
        <v>36.299999999999997</v>
      </c>
      <c r="H66" s="65">
        <v>38</v>
      </c>
      <c r="I66" s="65">
        <v>38.299999999999997</v>
      </c>
      <c r="J66" s="65">
        <v>37.299999999999997</v>
      </c>
      <c r="K66" s="57">
        <v>37.299999999999997</v>
      </c>
      <c r="L66" s="57">
        <v>36.5</v>
      </c>
      <c r="M66" s="65">
        <v>36.799999999999997</v>
      </c>
      <c r="N66" s="65">
        <v>36.799999999999997</v>
      </c>
      <c r="O66" s="65">
        <v>34.299999999999997</v>
      </c>
      <c r="P66" s="65">
        <v>36.5</v>
      </c>
      <c r="Q66" s="65">
        <v>36.5</v>
      </c>
      <c r="R66" s="65">
        <v>36.5</v>
      </c>
      <c r="S66" s="65">
        <v>36.5</v>
      </c>
      <c r="T66" s="65">
        <v>36.5</v>
      </c>
      <c r="U66" s="65">
        <v>36.5</v>
      </c>
      <c r="V66" s="65">
        <v>36.5</v>
      </c>
      <c r="W66" s="65">
        <v>36.5</v>
      </c>
      <c r="X66" s="65">
        <v>36.5</v>
      </c>
      <c r="Y66" s="65">
        <v>36.5</v>
      </c>
      <c r="Z66" s="45">
        <v>36.5</v>
      </c>
      <c r="AA66" s="45">
        <v>36.5</v>
      </c>
      <c r="AB66" s="45">
        <v>31.3</v>
      </c>
      <c r="AC66" s="45">
        <v>31.3</v>
      </c>
      <c r="AD66" s="45">
        <v>31.3</v>
      </c>
      <c r="AE66" s="45">
        <v>31.3</v>
      </c>
      <c r="AF66" s="45">
        <v>31.3</v>
      </c>
      <c r="AG66" s="55">
        <v>60</v>
      </c>
      <c r="AH66" s="47">
        <f t="shared" si="8"/>
        <v>38.299999999999997</v>
      </c>
      <c r="AI66" s="48">
        <f t="shared" si="9"/>
        <v>31.3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65">
        <v>10</v>
      </c>
      <c r="I67" s="65">
        <v>14.3</v>
      </c>
      <c r="J67" s="65">
        <v>28.7</v>
      </c>
      <c r="K67" s="65">
        <v>28.6</v>
      </c>
      <c r="L67" s="57">
        <v>22.9</v>
      </c>
      <c r="M67" s="65">
        <v>14.8</v>
      </c>
      <c r="N67" s="65">
        <v>10</v>
      </c>
      <c r="O67" s="65">
        <v>9.4</v>
      </c>
      <c r="P67" s="65">
        <v>15</v>
      </c>
      <c r="Q67" s="65">
        <v>0</v>
      </c>
      <c r="R67" s="65">
        <v>0</v>
      </c>
      <c r="S67" s="65">
        <v>9.5</v>
      </c>
      <c r="T67" s="65">
        <v>14.6</v>
      </c>
      <c r="U67" s="65">
        <v>14.6</v>
      </c>
      <c r="V67" s="65">
        <v>14.6</v>
      </c>
      <c r="W67" s="65">
        <v>10.5</v>
      </c>
      <c r="X67" s="65">
        <v>14.8</v>
      </c>
      <c r="Y67" s="65">
        <v>14.8</v>
      </c>
      <c r="Z67" s="45">
        <v>28</v>
      </c>
      <c r="AA67" s="45">
        <v>28</v>
      </c>
      <c r="AB67" s="45">
        <v>14.1</v>
      </c>
      <c r="AC67" s="45">
        <v>14.1</v>
      </c>
      <c r="AD67" s="45">
        <v>0</v>
      </c>
      <c r="AE67" s="45">
        <v>0</v>
      </c>
      <c r="AF67" s="45">
        <v>0</v>
      </c>
      <c r="AG67" s="55">
        <v>30</v>
      </c>
      <c r="AH67" s="47">
        <f t="shared" si="8"/>
        <v>28.7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0.7</v>
      </c>
      <c r="L68" s="65">
        <v>2.8</v>
      </c>
      <c r="M68" s="65">
        <v>5.6</v>
      </c>
      <c r="N68" s="65">
        <v>9.1</v>
      </c>
      <c r="O68" s="65">
        <v>12.6</v>
      </c>
      <c r="P68" s="65">
        <v>17.399999999999999</v>
      </c>
      <c r="Q68" s="65">
        <v>17.5</v>
      </c>
      <c r="R68" s="65">
        <v>17.5</v>
      </c>
      <c r="S68" s="65">
        <v>15.4</v>
      </c>
      <c r="T68" s="65">
        <v>12.1</v>
      </c>
      <c r="U68" s="65">
        <v>8.6</v>
      </c>
      <c r="V68" s="65">
        <v>1.5</v>
      </c>
      <c r="W68" s="65">
        <v>0.6</v>
      </c>
      <c r="X68" s="65">
        <v>0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8"/>
        <v>17.5</v>
      </c>
      <c r="AI68" s="48">
        <f t="shared" si="9"/>
        <v>0</v>
      </c>
      <c r="AK68" s="50"/>
      <c r="AY68" s="1" t="s">
        <v>377</v>
      </c>
      <c r="AZ68" s="233">
        <f>ROUND(C81,0)</f>
        <v>54</v>
      </c>
      <c r="BA68" s="232">
        <f t="shared" ref="BA68:BD72" si="38">D81</f>
        <v>58</v>
      </c>
      <c r="BB68" s="232">
        <f t="shared" si="38"/>
        <v>62</v>
      </c>
      <c r="BC68" s="232">
        <f t="shared" si="38"/>
        <v>49</v>
      </c>
      <c r="BD68" s="232">
        <f t="shared" si="38"/>
        <v>43</v>
      </c>
      <c r="BE68" s="233">
        <f>I81</f>
        <v>72</v>
      </c>
      <c r="BF68" s="233">
        <f>K81</f>
        <v>59.5</v>
      </c>
      <c r="BG68" s="233">
        <f t="shared" ref="BG68:BP72" si="39">M81</f>
        <v>54.3</v>
      </c>
      <c r="BH68" s="233">
        <f t="shared" si="39"/>
        <v>58.8</v>
      </c>
      <c r="BI68" s="233">
        <f t="shared" si="39"/>
        <v>53.9</v>
      </c>
      <c r="BJ68" s="233">
        <f t="shared" si="39"/>
        <v>52.3</v>
      </c>
      <c r="BK68" s="233">
        <f t="shared" si="39"/>
        <v>52.6</v>
      </c>
      <c r="BL68" s="233">
        <f t="shared" si="39"/>
        <v>53</v>
      </c>
      <c r="BM68" s="233">
        <f t="shared" si="39"/>
        <v>63.9</v>
      </c>
      <c r="BN68" s="233">
        <f t="shared" si="39"/>
        <v>69.900000000000006</v>
      </c>
      <c r="BO68" s="233">
        <f t="shared" si="39"/>
        <v>71.7</v>
      </c>
      <c r="BP68" s="233">
        <f t="shared" si="39"/>
        <v>67</v>
      </c>
      <c r="BQ68" s="233">
        <f>X81</f>
        <v>65.599999999999994</v>
      </c>
      <c r="BR68" s="233">
        <f>Z81</f>
        <v>69</v>
      </c>
      <c r="BS68" s="232">
        <f>AB81</f>
        <v>69.099999999999994</v>
      </c>
      <c r="BT68" s="232">
        <f>AD81</f>
        <v>68</v>
      </c>
      <c r="BU68" s="232">
        <f>AE81</f>
        <v>60.7</v>
      </c>
      <c r="BV68" s="232">
        <f>AF81</f>
        <v>55</v>
      </c>
      <c r="BW68" s="232">
        <f>B81</f>
        <v>41</v>
      </c>
    </row>
    <row r="69" spans="1:75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15</v>
      </c>
      <c r="S69" s="65">
        <v>15</v>
      </c>
      <c r="T69" s="65">
        <v>15</v>
      </c>
      <c r="U69" s="65">
        <v>15</v>
      </c>
      <c r="V69" s="65">
        <v>15</v>
      </c>
      <c r="W69" s="65">
        <v>15</v>
      </c>
      <c r="X69" s="65">
        <v>15</v>
      </c>
      <c r="Y69" s="65">
        <v>15</v>
      </c>
      <c r="Z69" s="65">
        <v>15</v>
      </c>
      <c r="AA69" s="65">
        <v>15</v>
      </c>
      <c r="AB69" s="65">
        <v>15</v>
      </c>
      <c r="AC69" s="65">
        <v>15</v>
      </c>
      <c r="AD69" s="65">
        <v>15</v>
      </c>
      <c r="AE69" s="65">
        <v>15</v>
      </c>
      <c r="AF69" s="65">
        <v>15</v>
      </c>
      <c r="AG69" s="55">
        <v>24</v>
      </c>
      <c r="AH69" s="47">
        <f t="shared" si="8"/>
        <v>15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38"/>
        <v>0</v>
      </c>
      <c r="BB69" s="232">
        <f t="shared" si="38"/>
        <v>0</v>
      </c>
      <c r="BC69" s="232">
        <f t="shared" si="38"/>
        <v>0</v>
      </c>
      <c r="BD69" s="232">
        <f t="shared" si="38"/>
        <v>0</v>
      </c>
      <c r="BE69" s="233">
        <f t="shared" ref="BE69:BE72" si="40">I82</f>
        <v>0</v>
      </c>
      <c r="BF69" s="233">
        <f t="shared" ref="BF69:BF72" si="41">K82</f>
        <v>0</v>
      </c>
      <c r="BG69" s="233">
        <f t="shared" si="39"/>
        <v>0</v>
      </c>
      <c r="BH69" s="233">
        <f t="shared" si="39"/>
        <v>0</v>
      </c>
      <c r="BI69" s="233">
        <f t="shared" si="39"/>
        <v>0</v>
      </c>
      <c r="BJ69" s="233">
        <f t="shared" si="39"/>
        <v>0</v>
      </c>
      <c r="BK69" s="233">
        <f t="shared" si="39"/>
        <v>0</v>
      </c>
      <c r="BL69" s="233">
        <f t="shared" si="39"/>
        <v>0</v>
      </c>
      <c r="BM69" s="233">
        <f t="shared" si="39"/>
        <v>0</v>
      </c>
      <c r="BN69" s="233">
        <f t="shared" si="39"/>
        <v>0</v>
      </c>
      <c r="BO69" s="233">
        <f t="shared" si="39"/>
        <v>0</v>
      </c>
      <c r="BP69" s="233">
        <f t="shared" si="39"/>
        <v>0</v>
      </c>
      <c r="BQ69" s="233">
        <f t="shared" ref="BQ69:BQ72" si="42">X82</f>
        <v>0</v>
      </c>
      <c r="BR69" s="233">
        <f t="shared" ref="BR69:BR72" si="43">Z82</f>
        <v>0</v>
      </c>
      <c r="BS69" s="232">
        <f t="shared" ref="BS69:BS72" si="44">AB82</f>
        <v>0</v>
      </c>
      <c r="BT69" s="232">
        <f t="shared" ref="BT69:BV72" si="45">AD82</f>
        <v>0</v>
      </c>
      <c r="BU69" s="232">
        <f t="shared" si="45"/>
        <v>0</v>
      </c>
      <c r="BV69" s="232">
        <f t="shared" si="45"/>
        <v>0</v>
      </c>
      <c r="BW69" s="232">
        <f t="shared" ref="BW69:BW72" si="46">B82</f>
        <v>0</v>
      </c>
    </row>
    <row r="70" spans="1:75" x14ac:dyDescent="0.25">
      <c r="A70" s="54" t="s">
        <v>70</v>
      </c>
      <c r="B70" s="65">
        <v>5</v>
      </c>
      <c r="C70" s="65">
        <v>5</v>
      </c>
      <c r="D70" s="65">
        <v>5</v>
      </c>
      <c r="E70" s="65">
        <v>5</v>
      </c>
      <c r="F70" s="65">
        <v>5</v>
      </c>
      <c r="G70" s="65">
        <v>5</v>
      </c>
      <c r="H70" s="65">
        <v>5</v>
      </c>
      <c r="I70" s="65">
        <v>5</v>
      </c>
      <c r="J70" s="65">
        <v>5</v>
      </c>
      <c r="K70" s="65">
        <v>5</v>
      </c>
      <c r="L70" s="65">
        <v>5</v>
      </c>
      <c r="M70" s="65">
        <v>5</v>
      </c>
      <c r="N70" s="65">
        <v>5</v>
      </c>
      <c r="O70" s="65">
        <v>5</v>
      </c>
      <c r="P70" s="65">
        <v>5</v>
      </c>
      <c r="Q70" s="65">
        <v>5</v>
      </c>
      <c r="R70" s="65">
        <v>5</v>
      </c>
      <c r="S70" s="65">
        <v>5</v>
      </c>
      <c r="T70" s="65">
        <v>5</v>
      </c>
      <c r="U70" s="65">
        <v>5</v>
      </c>
      <c r="V70" s="65">
        <v>5</v>
      </c>
      <c r="W70" s="65">
        <v>5</v>
      </c>
      <c r="X70" s="65">
        <v>5</v>
      </c>
      <c r="Y70" s="65">
        <v>5</v>
      </c>
      <c r="Z70" s="65">
        <v>5</v>
      </c>
      <c r="AA70" s="65">
        <v>5</v>
      </c>
      <c r="AB70" s="65">
        <v>5</v>
      </c>
      <c r="AC70" s="65">
        <v>5</v>
      </c>
      <c r="AD70" s="65">
        <v>5</v>
      </c>
      <c r="AE70" s="65">
        <v>5</v>
      </c>
      <c r="AF70" s="65">
        <v>5</v>
      </c>
      <c r="AG70" s="55">
        <v>15</v>
      </c>
      <c r="AH70" s="47">
        <f t="shared" si="8"/>
        <v>5</v>
      </c>
      <c r="AI70" s="48">
        <f t="shared" si="9"/>
        <v>5</v>
      </c>
      <c r="AK70" s="50"/>
      <c r="AL70" s="70"/>
      <c r="AO70" s="70"/>
      <c r="AY70" s="1" t="s">
        <v>605</v>
      </c>
      <c r="AZ70" s="233">
        <f>ROUND(C83,0)</f>
        <v>397</v>
      </c>
      <c r="BA70" s="232">
        <f t="shared" si="38"/>
        <v>386</v>
      </c>
      <c r="BB70" s="232">
        <f t="shared" si="38"/>
        <v>376</v>
      </c>
      <c r="BC70" s="232">
        <f t="shared" si="38"/>
        <v>403.8</v>
      </c>
      <c r="BD70" s="232">
        <f t="shared" si="38"/>
        <v>440</v>
      </c>
      <c r="BE70" s="233">
        <f t="shared" si="40"/>
        <v>454</v>
      </c>
      <c r="BF70" s="233">
        <f t="shared" si="41"/>
        <v>345</v>
      </c>
      <c r="BG70" s="233">
        <f t="shared" si="39"/>
        <v>6.2</v>
      </c>
      <c r="BH70" s="233">
        <f t="shared" si="39"/>
        <v>155</v>
      </c>
      <c r="BI70" s="233">
        <f t="shared" si="39"/>
        <v>408</v>
      </c>
      <c r="BJ70" s="233">
        <f t="shared" si="39"/>
        <v>412</v>
      </c>
      <c r="BK70" s="233">
        <f t="shared" si="39"/>
        <v>460</v>
      </c>
      <c r="BL70" s="233">
        <f t="shared" si="39"/>
        <v>427</v>
      </c>
      <c r="BM70" s="233">
        <f t="shared" si="39"/>
        <v>515.79999999999995</v>
      </c>
      <c r="BN70" s="233">
        <f t="shared" si="39"/>
        <v>507.8</v>
      </c>
      <c r="BO70" s="233">
        <f t="shared" si="39"/>
        <v>567.70000000000005</v>
      </c>
      <c r="BP70" s="233">
        <f t="shared" si="39"/>
        <v>477.5</v>
      </c>
      <c r="BQ70" s="233">
        <f t="shared" si="42"/>
        <v>338.9</v>
      </c>
      <c r="BR70" s="233">
        <f t="shared" si="43"/>
        <v>237.8</v>
      </c>
      <c r="BS70" s="232">
        <f t="shared" si="44"/>
        <v>123</v>
      </c>
      <c r="BT70" s="232">
        <f t="shared" si="45"/>
        <v>308</v>
      </c>
      <c r="BU70" s="232">
        <f t="shared" si="45"/>
        <v>355</v>
      </c>
      <c r="BV70" s="232">
        <f t="shared" si="45"/>
        <v>388</v>
      </c>
      <c r="BW70" s="232">
        <f t="shared" si="46"/>
        <v>374</v>
      </c>
    </row>
    <row r="71" spans="1:75" s="70" customFormat="1" x14ac:dyDescent="0.25">
      <c r="A71" s="54" t="s">
        <v>71</v>
      </c>
      <c r="B71" s="65">
        <v>10</v>
      </c>
      <c r="C71" s="65">
        <v>10</v>
      </c>
      <c r="D71" s="65">
        <v>10</v>
      </c>
      <c r="E71" s="65">
        <v>10</v>
      </c>
      <c r="F71" s="65">
        <v>10</v>
      </c>
      <c r="G71" s="65">
        <v>10</v>
      </c>
      <c r="H71" s="65">
        <v>10</v>
      </c>
      <c r="I71" s="65">
        <v>10</v>
      </c>
      <c r="J71" s="65">
        <v>10</v>
      </c>
      <c r="K71" s="65">
        <v>10</v>
      </c>
      <c r="L71" s="65">
        <v>10</v>
      </c>
      <c r="M71" s="65">
        <v>10</v>
      </c>
      <c r="N71" s="65">
        <v>10</v>
      </c>
      <c r="O71" s="65">
        <v>10</v>
      </c>
      <c r="P71" s="65">
        <v>10</v>
      </c>
      <c r="Q71" s="65">
        <v>10.6</v>
      </c>
      <c r="R71" s="65">
        <v>10.6</v>
      </c>
      <c r="S71" s="65">
        <v>10.6</v>
      </c>
      <c r="T71" s="65">
        <v>10.6</v>
      </c>
      <c r="U71" s="65">
        <v>10.6</v>
      </c>
      <c r="V71" s="65">
        <v>10.6</v>
      </c>
      <c r="W71" s="65">
        <v>10.6</v>
      </c>
      <c r="X71" s="65">
        <v>10.6</v>
      </c>
      <c r="Y71" s="65">
        <v>10.6</v>
      </c>
      <c r="Z71" s="65">
        <v>10.6</v>
      </c>
      <c r="AA71" s="65">
        <v>10.6</v>
      </c>
      <c r="AB71" s="65">
        <v>9</v>
      </c>
      <c r="AC71" s="65">
        <v>9</v>
      </c>
      <c r="AD71" s="65">
        <v>9</v>
      </c>
      <c r="AE71" s="65">
        <v>9</v>
      </c>
      <c r="AF71" s="65">
        <v>9</v>
      </c>
      <c r="AG71" s="55">
        <v>14.1</v>
      </c>
      <c r="AH71" s="47">
        <f t="shared" si="8"/>
        <v>10.6</v>
      </c>
      <c r="AI71" s="48">
        <f t="shared" si="9"/>
        <v>9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36</v>
      </c>
      <c r="BA71" s="232">
        <f t="shared" si="38"/>
        <v>33</v>
      </c>
      <c r="BB71" s="232">
        <f t="shared" si="38"/>
        <v>5.7</v>
      </c>
      <c r="BC71" s="232">
        <f t="shared" si="38"/>
        <v>5.3</v>
      </c>
      <c r="BD71" s="232">
        <f t="shared" si="38"/>
        <v>5.6</v>
      </c>
      <c r="BE71" s="233">
        <f t="shared" si="40"/>
        <v>7</v>
      </c>
      <c r="BF71" s="233">
        <f t="shared" si="41"/>
        <v>8.6</v>
      </c>
      <c r="BG71" s="233">
        <f t="shared" si="39"/>
        <v>0</v>
      </c>
      <c r="BH71" s="233">
        <f t="shared" si="39"/>
        <v>0</v>
      </c>
      <c r="BI71" s="233">
        <f t="shared" si="39"/>
        <v>0</v>
      </c>
      <c r="BJ71" s="233">
        <f t="shared" si="39"/>
        <v>0</v>
      </c>
      <c r="BK71" s="233">
        <f t="shared" si="39"/>
        <v>0</v>
      </c>
      <c r="BL71" s="233">
        <f t="shared" si="39"/>
        <v>0</v>
      </c>
      <c r="BM71" s="233">
        <f t="shared" si="39"/>
        <v>41.7</v>
      </c>
      <c r="BN71" s="233">
        <f t="shared" si="39"/>
        <v>40.200000000000003</v>
      </c>
      <c r="BO71" s="233">
        <f t="shared" si="39"/>
        <v>43.4</v>
      </c>
      <c r="BP71" s="233">
        <f t="shared" si="39"/>
        <v>37.700000000000003</v>
      </c>
      <c r="BQ71" s="233">
        <f t="shared" si="42"/>
        <v>41.2</v>
      </c>
      <c r="BR71" s="233">
        <f t="shared" si="43"/>
        <v>43.1</v>
      </c>
      <c r="BS71" s="232">
        <f t="shared" si="44"/>
        <v>37.799999999999997</v>
      </c>
      <c r="BT71" s="232">
        <f t="shared" si="45"/>
        <v>40</v>
      </c>
      <c r="BU71" s="232">
        <f t="shared" si="45"/>
        <v>36</v>
      </c>
      <c r="BV71" s="232">
        <f t="shared" si="45"/>
        <v>39</v>
      </c>
      <c r="BW71" s="232">
        <f t="shared" si="46"/>
        <v>32</v>
      </c>
    </row>
    <row r="72" spans="1:75" x14ac:dyDescent="0.25">
      <c r="A72" s="71" t="s">
        <v>72</v>
      </c>
      <c r="B72" s="65">
        <v>2</v>
      </c>
      <c r="C72" s="65">
        <v>2</v>
      </c>
      <c r="D72" s="65">
        <v>2</v>
      </c>
      <c r="E72" s="65">
        <v>2</v>
      </c>
      <c r="F72" s="65">
        <v>2</v>
      </c>
      <c r="G72" s="65">
        <v>2</v>
      </c>
      <c r="H72" s="65">
        <v>2</v>
      </c>
      <c r="I72" s="65">
        <v>2</v>
      </c>
      <c r="J72" s="65">
        <v>2</v>
      </c>
      <c r="K72" s="65">
        <v>2</v>
      </c>
      <c r="L72" s="65">
        <v>2</v>
      </c>
      <c r="M72" s="65">
        <v>2</v>
      </c>
      <c r="N72" s="65">
        <v>2</v>
      </c>
      <c r="O72" s="65">
        <v>2</v>
      </c>
      <c r="P72" s="65">
        <v>2</v>
      </c>
      <c r="Q72" s="65">
        <v>2</v>
      </c>
      <c r="R72" s="65">
        <v>2</v>
      </c>
      <c r="S72" s="65">
        <v>2</v>
      </c>
      <c r="T72" s="65">
        <v>2</v>
      </c>
      <c r="U72" s="65">
        <v>2</v>
      </c>
      <c r="V72" s="65">
        <v>2</v>
      </c>
      <c r="W72" s="65">
        <v>2</v>
      </c>
      <c r="X72" s="65">
        <v>2</v>
      </c>
      <c r="Y72" s="65">
        <v>2</v>
      </c>
      <c r="Z72" s="65">
        <v>2</v>
      </c>
      <c r="AA72" s="65">
        <v>2</v>
      </c>
      <c r="AB72" s="65">
        <v>2.8</v>
      </c>
      <c r="AC72" s="65">
        <v>2.8</v>
      </c>
      <c r="AD72" s="65">
        <v>2.8</v>
      </c>
      <c r="AE72" s="65">
        <v>2.8</v>
      </c>
      <c r="AF72" s="65">
        <v>2.8</v>
      </c>
      <c r="AG72" s="55">
        <v>14</v>
      </c>
      <c r="AH72" s="47">
        <f t="shared" si="8"/>
        <v>2.8</v>
      </c>
      <c r="AI72" s="48">
        <f t="shared" si="9"/>
        <v>2</v>
      </c>
      <c r="AK72" s="50"/>
      <c r="AY72" s="1" t="s">
        <v>607</v>
      </c>
      <c r="AZ72" s="233">
        <f>ROUND(C85,0)</f>
        <v>120</v>
      </c>
      <c r="BA72" s="232">
        <f t="shared" si="38"/>
        <v>111</v>
      </c>
      <c r="BB72" s="232">
        <f t="shared" si="38"/>
        <v>106</v>
      </c>
      <c r="BC72" s="232">
        <f t="shared" si="38"/>
        <v>111</v>
      </c>
      <c r="BD72" s="232">
        <f t="shared" si="38"/>
        <v>124</v>
      </c>
      <c r="BE72" s="233">
        <f t="shared" si="40"/>
        <v>98</v>
      </c>
      <c r="BF72" s="233">
        <f t="shared" si="41"/>
        <v>75</v>
      </c>
      <c r="BG72" s="233">
        <f t="shared" si="39"/>
        <v>0</v>
      </c>
      <c r="BH72" s="233">
        <f t="shared" si="39"/>
        <v>0</v>
      </c>
      <c r="BI72" s="233">
        <f t="shared" si="39"/>
        <v>0</v>
      </c>
      <c r="BJ72" s="233">
        <f t="shared" si="39"/>
        <v>97.2</v>
      </c>
      <c r="BK72" s="233">
        <f t="shared" si="39"/>
        <v>108</v>
      </c>
      <c r="BL72" s="233">
        <f t="shared" si="39"/>
        <v>120</v>
      </c>
      <c r="BM72" s="233">
        <f t="shared" si="39"/>
        <v>120</v>
      </c>
      <c r="BN72" s="233">
        <f t="shared" si="39"/>
        <v>114</v>
      </c>
      <c r="BO72" s="233">
        <f t="shared" si="39"/>
        <v>107</v>
      </c>
      <c r="BP72" s="233">
        <f t="shared" si="39"/>
        <v>106</v>
      </c>
      <c r="BQ72" s="233">
        <f t="shared" si="42"/>
        <v>106.4</v>
      </c>
      <c r="BR72" s="233">
        <f t="shared" si="43"/>
        <v>104.5</v>
      </c>
      <c r="BS72" s="232">
        <f t="shared" si="44"/>
        <v>103.6</v>
      </c>
      <c r="BT72" s="232">
        <f t="shared" si="45"/>
        <v>124</v>
      </c>
      <c r="BU72" s="232">
        <f t="shared" si="45"/>
        <v>108</v>
      </c>
      <c r="BV72" s="232">
        <f t="shared" si="45"/>
        <v>110</v>
      </c>
      <c r="BW72" s="232">
        <f t="shared" si="46"/>
        <v>120</v>
      </c>
    </row>
    <row r="73" spans="1:75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4.5</v>
      </c>
      <c r="S73" s="65">
        <v>4.5</v>
      </c>
      <c r="T73" s="65">
        <v>4.5</v>
      </c>
      <c r="U73" s="65">
        <v>4.5</v>
      </c>
      <c r="V73" s="65">
        <v>4.5</v>
      </c>
      <c r="W73" s="65">
        <v>4.5</v>
      </c>
      <c r="X73" s="65">
        <v>4.5</v>
      </c>
      <c r="Y73" s="65">
        <v>4.5</v>
      </c>
      <c r="Z73" s="65">
        <v>4.5</v>
      </c>
      <c r="AA73" s="65">
        <v>4.5</v>
      </c>
      <c r="AB73" s="65">
        <v>4.5</v>
      </c>
      <c r="AC73" s="65">
        <v>4.5</v>
      </c>
      <c r="AD73" s="65">
        <v>4.5</v>
      </c>
      <c r="AE73" s="65">
        <v>4.5</v>
      </c>
      <c r="AF73" s="65">
        <v>4.5</v>
      </c>
      <c r="AG73" s="55">
        <v>10.050000000000001</v>
      </c>
      <c r="AH73" s="47">
        <f t="shared" si="8"/>
        <v>4.5</v>
      </c>
      <c r="AI73" s="48">
        <f t="shared" si="9"/>
        <v>4.5</v>
      </c>
      <c r="AK73" s="50"/>
      <c r="AY73" s="1" t="s">
        <v>608</v>
      </c>
      <c r="AZ73" s="233">
        <f>ROUND(C91,0)</f>
        <v>52</v>
      </c>
      <c r="BA73" s="233">
        <f>D91</f>
        <v>50</v>
      </c>
      <c r="BB73" s="233">
        <f>E91</f>
        <v>50</v>
      </c>
      <c r="BC73" s="233">
        <f>F91</f>
        <v>50</v>
      </c>
      <c r="BD73" s="233">
        <f>G91</f>
        <v>0</v>
      </c>
      <c r="BE73" s="233">
        <f>I91</f>
        <v>0</v>
      </c>
      <c r="BF73" s="233">
        <f>K91</f>
        <v>49</v>
      </c>
      <c r="BG73" s="233">
        <f t="shared" ref="BG73:BP73" si="47">M91</f>
        <v>62.3</v>
      </c>
      <c r="BH73" s="233">
        <f t="shared" si="47"/>
        <v>64</v>
      </c>
      <c r="BI73" s="233">
        <f t="shared" si="47"/>
        <v>65</v>
      </c>
      <c r="BJ73" s="233">
        <f t="shared" si="47"/>
        <v>68</v>
      </c>
      <c r="BK73" s="233">
        <f t="shared" si="47"/>
        <v>78</v>
      </c>
      <c r="BL73" s="233">
        <f t="shared" si="47"/>
        <v>72</v>
      </c>
      <c r="BM73" s="233">
        <f t="shared" si="47"/>
        <v>79</v>
      </c>
      <c r="BN73" s="233">
        <f t="shared" si="47"/>
        <v>85</v>
      </c>
      <c r="BO73" s="233">
        <f t="shared" si="47"/>
        <v>83</v>
      </c>
      <c r="BP73" s="233">
        <f t="shared" si="47"/>
        <v>67</v>
      </c>
      <c r="BQ73" s="233">
        <f>X91</f>
        <v>75</v>
      </c>
      <c r="BR73" s="233">
        <f>Z91</f>
        <v>71</v>
      </c>
      <c r="BS73" s="233">
        <f>AB91</f>
        <v>62</v>
      </c>
      <c r="BT73" s="233">
        <f>AD91</f>
        <v>62</v>
      </c>
      <c r="BU73" s="233">
        <f>AE91</f>
        <v>62</v>
      </c>
      <c r="BV73" s="233">
        <f>AF91</f>
        <v>62</v>
      </c>
      <c r="BW73" s="233">
        <f>B91</f>
        <v>70</v>
      </c>
    </row>
    <row r="74" spans="1:75" x14ac:dyDescent="0.25">
      <c r="A74" s="54" t="s">
        <v>74</v>
      </c>
      <c r="B74" s="65">
        <v>1.7</v>
      </c>
      <c r="C74" s="65">
        <v>1.7</v>
      </c>
      <c r="D74" s="65">
        <v>1.7</v>
      </c>
      <c r="E74" s="65">
        <v>1.7</v>
      </c>
      <c r="F74" s="65">
        <v>1.7</v>
      </c>
      <c r="G74" s="65">
        <v>1.7</v>
      </c>
      <c r="H74" s="65">
        <v>1.7</v>
      </c>
      <c r="I74" s="65">
        <v>1.7</v>
      </c>
      <c r="J74" s="65">
        <v>1.7</v>
      </c>
      <c r="K74" s="65">
        <v>1.7</v>
      </c>
      <c r="L74" s="65">
        <v>1.7</v>
      </c>
      <c r="M74" s="65">
        <v>1.7</v>
      </c>
      <c r="N74" s="65">
        <v>1.7</v>
      </c>
      <c r="O74" s="65">
        <v>1.7</v>
      </c>
      <c r="P74" s="65">
        <v>1.7</v>
      </c>
      <c r="Q74" s="65">
        <v>1.7</v>
      </c>
      <c r="R74" s="65">
        <v>1.7</v>
      </c>
      <c r="S74" s="65">
        <v>1.7</v>
      </c>
      <c r="T74" s="65">
        <v>1.7</v>
      </c>
      <c r="U74" s="65">
        <v>1.7</v>
      </c>
      <c r="V74" s="65">
        <v>1.7</v>
      </c>
      <c r="W74" s="65">
        <v>1.7</v>
      </c>
      <c r="X74" s="65">
        <v>1.7</v>
      </c>
      <c r="Y74" s="65">
        <v>1.7</v>
      </c>
      <c r="Z74" s="65">
        <v>1.7</v>
      </c>
      <c r="AA74" s="65">
        <v>1.7</v>
      </c>
      <c r="AB74" s="65">
        <v>1.7</v>
      </c>
      <c r="AC74" s="65">
        <v>1.7</v>
      </c>
      <c r="AD74" s="65">
        <v>1.7</v>
      </c>
      <c r="AE74" s="65">
        <v>1.7</v>
      </c>
      <c r="AF74" s="65">
        <v>1.7</v>
      </c>
      <c r="AG74" s="55">
        <v>6.2</v>
      </c>
      <c r="AH74" s="47">
        <f t="shared" si="8"/>
        <v>1.7</v>
      </c>
      <c r="AI74" s="48">
        <f t="shared" si="9"/>
        <v>1.7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3.54</v>
      </c>
      <c r="AI75" s="48">
        <f t="shared" si="9"/>
        <v>3.54</v>
      </c>
      <c r="AK75" s="50"/>
      <c r="AZ75" s="233">
        <f>VALUE(AZ68)</f>
        <v>54</v>
      </c>
      <c r="BA75" s="233">
        <f t="shared" ref="BA75:BW75" si="48">VALUE(BA68)</f>
        <v>58</v>
      </c>
      <c r="BB75" s="233">
        <f t="shared" si="48"/>
        <v>62</v>
      </c>
      <c r="BC75" s="233">
        <f t="shared" si="48"/>
        <v>49</v>
      </c>
      <c r="BD75" s="233">
        <f t="shared" si="48"/>
        <v>43</v>
      </c>
      <c r="BE75" s="233">
        <f t="shared" si="48"/>
        <v>72</v>
      </c>
      <c r="BF75" s="233">
        <f t="shared" si="48"/>
        <v>59.5</v>
      </c>
      <c r="BG75" s="233">
        <f t="shared" si="48"/>
        <v>54.3</v>
      </c>
      <c r="BH75" s="233">
        <f t="shared" si="48"/>
        <v>58.8</v>
      </c>
      <c r="BI75" s="233">
        <f t="shared" si="48"/>
        <v>53.9</v>
      </c>
      <c r="BJ75" s="233">
        <f t="shared" si="48"/>
        <v>52.3</v>
      </c>
      <c r="BK75" s="233">
        <f t="shared" si="48"/>
        <v>52.6</v>
      </c>
      <c r="BL75" s="233">
        <f t="shared" si="48"/>
        <v>53</v>
      </c>
      <c r="BM75" s="233">
        <f t="shared" si="48"/>
        <v>63.9</v>
      </c>
      <c r="BN75" s="233">
        <f t="shared" si="48"/>
        <v>69.900000000000006</v>
      </c>
      <c r="BO75" s="233">
        <f t="shared" si="48"/>
        <v>71.7</v>
      </c>
      <c r="BP75" s="233">
        <f t="shared" si="48"/>
        <v>67</v>
      </c>
      <c r="BQ75" s="233">
        <f t="shared" si="48"/>
        <v>65.599999999999994</v>
      </c>
      <c r="BR75" s="233">
        <f t="shared" si="48"/>
        <v>69</v>
      </c>
      <c r="BS75" s="233">
        <f t="shared" si="48"/>
        <v>69.099999999999994</v>
      </c>
      <c r="BT75" s="233">
        <f t="shared" si="48"/>
        <v>68</v>
      </c>
      <c r="BU75" s="233">
        <f t="shared" si="48"/>
        <v>60.7</v>
      </c>
      <c r="BV75" s="233">
        <f t="shared" si="48"/>
        <v>55</v>
      </c>
      <c r="BW75" s="233">
        <f t="shared" si="48"/>
        <v>41</v>
      </c>
    </row>
    <row r="76" spans="1:75" ht="15.75" thickBot="1" x14ac:dyDescent="0.3">
      <c r="A76" s="74" t="s">
        <v>76</v>
      </c>
      <c r="B76" s="60">
        <f t="shared" ref="B76:AG76" si="49">SUM(B63:B75)</f>
        <v>78.040000000000006</v>
      </c>
      <c r="C76" s="60">
        <f t="shared" si="49"/>
        <v>78.040000000000006</v>
      </c>
      <c r="D76" s="60">
        <f t="shared" si="49"/>
        <v>78.040000000000006</v>
      </c>
      <c r="E76" s="60">
        <f t="shared" si="49"/>
        <v>78.040000000000006</v>
      </c>
      <c r="F76" s="60">
        <f t="shared" si="49"/>
        <v>78.040000000000006</v>
      </c>
      <c r="G76" s="60">
        <f t="shared" si="49"/>
        <v>106.04</v>
      </c>
      <c r="H76" s="60">
        <f t="shared" si="49"/>
        <v>130.44</v>
      </c>
      <c r="I76" s="60">
        <f t="shared" si="49"/>
        <v>214.23999999999998</v>
      </c>
      <c r="J76" s="60">
        <f t="shared" si="49"/>
        <v>264.94</v>
      </c>
      <c r="K76" s="60">
        <f t="shared" si="49"/>
        <v>275.74</v>
      </c>
      <c r="L76" s="60">
        <f t="shared" si="49"/>
        <v>318.33999999999997</v>
      </c>
      <c r="M76" s="60">
        <f t="shared" si="49"/>
        <v>336.74000000000007</v>
      </c>
      <c r="N76" s="60">
        <f t="shared" si="49"/>
        <v>319.54000000000002</v>
      </c>
      <c r="O76" s="60">
        <f t="shared" si="49"/>
        <v>248.04</v>
      </c>
      <c r="P76" s="60">
        <f t="shared" si="49"/>
        <v>249.44</v>
      </c>
      <c r="Q76" s="60">
        <f t="shared" si="49"/>
        <v>238.33999999999997</v>
      </c>
      <c r="R76" s="60">
        <f t="shared" si="49"/>
        <v>245.43999999999997</v>
      </c>
      <c r="S76" s="60">
        <f t="shared" ref="S76:T76" si="50">SUM(S63:S75)</f>
        <v>183.14</v>
      </c>
      <c r="T76" s="60">
        <f t="shared" si="50"/>
        <v>184.93999999999997</v>
      </c>
      <c r="U76" s="60">
        <f t="shared" ref="U76:V76" si="51">SUM(U63:U75)</f>
        <v>195.63999999999996</v>
      </c>
      <c r="V76" s="60">
        <f t="shared" si="51"/>
        <v>188.83999999999997</v>
      </c>
      <c r="W76" s="60">
        <f t="shared" ref="W76:X76" si="52">SUM(W63:W75)</f>
        <v>162.03999999999996</v>
      </c>
      <c r="X76" s="60">
        <f t="shared" si="52"/>
        <v>197.23999999999998</v>
      </c>
      <c r="Y76" s="60">
        <f t="shared" ref="Y76:Z76" si="53">SUM(Y63:Y75)</f>
        <v>293.24</v>
      </c>
      <c r="Z76" s="60">
        <f t="shared" si="53"/>
        <v>353.74000000000007</v>
      </c>
      <c r="AA76" s="60">
        <f t="shared" ref="AA76" si="54">SUM(AA63:AA75)</f>
        <v>386.54</v>
      </c>
      <c r="AB76" s="60">
        <f t="shared" si="49"/>
        <v>362.44000000000005</v>
      </c>
      <c r="AC76" s="60">
        <f t="shared" ref="AC76:AD76" si="55">SUM(AC63:AC75)</f>
        <v>362.44000000000005</v>
      </c>
      <c r="AD76" s="60">
        <f t="shared" si="55"/>
        <v>274.84000000000003</v>
      </c>
      <c r="AE76" s="60">
        <f t="shared" ref="AE76:AF76" si="56">SUM(AE63:AE75)</f>
        <v>234.84</v>
      </c>
      <c r="AF76" s="60">
        <f t="shared" si="56"/>
        <v>107.84</v>
      </c>
      <c r="AG76" s="61">
        <f t="shared" si="49"/>
        <v>489.91</v>
      </c>
      <c r="AH76" s="47">
        <f t="shared" si="8"/>
        <v>386.54</v>
      </c>
      <c r="AI76" s="48">
        <f t="shared" si="9"/>
        <v>78.040000000000006</v>
      </c>
      <c r="AK76" s="50"/>
      <c r="AZ76" s="233">
        <f t="shared" ref="AZ76:BW80" si="57">VALUE(AZ69)</f>
        <v>0</v>
      </c>
      <c r="BA76" s="233">
        <f t="shared" si="57"/>
        <v>0</v>
      </c>
      <c r="BB76" s="233">
        <f t="shared" si="57"/>
        <v>0</v>
      </c>
      <c r="BC76" s="233">
        <f t="shared" si="57"/>
        <v>0</v>
      </c>
      <c r="BD76" s="233">
        <f t="shared" si="57"/>
        <v>0</v>
      </c>
      <c r="BE76" s="233">
        <f t="shared" si="57"/>
        <v>0</v>
      </c>
      <c r="BF76" s="233">
        <f t="shared" si="57"/>
        <v>0</v>
      </c>
      <c r="BG76" s="233">
        <f t="shared" si="57"/>
        <v>0</v>
      </c>
      <c r="BH76" s="233">
        <f t="shared" si="57"/>
        <v>0</v>
      </c>
      <c r="BI76" s="233">
        <f t="shared" si="57"/>
        <v>0</v>
      </c>
      <c r="BJ76" s="233">
        <f t="shared" si="57"/>
        <v>0</v>
      </c>
      <c r="BK76" s="233">
        <f t="shared" si="57"/>
        <v>0</v>
      </c>
      <c r="BL76" s="233">
        <f t="shared" si="57"/>
        <v>0</v>
      </c>
      <c r="BM76" s="233">
        <f t="shared" si="57"/>
        <v>0</v>
      </c>
      <c r="BN76" s="233">
        <f t="shared" si="57"/>
        <v>0</v>
      </c>
      <c r="BO76" s="233">
        <f t="shared" si="57"/>
        <v>0</v>
      </c>
      <c r="BP76" s="233">
        <f t="shared" si="57"/>
        <v>0</v>
      </c>
      <c r="BQ76" s="233">
        <f t="shared" si="57"/>
        <v>0</v>
      </c>
      <c r="BR76" s="233">
        <f t="shared" si="57"/>
        <v>0</v>
      </c>
      <c r="BS76" s="233">
        <f t="shared" si="57"/>
        <v>0</v>
      </c>
      <c r="BT76" s="233">
        <f t="shared" si="57"/>
        <v>0</v>
      </c>
      <c r="BU76" s="233">
        <f t="shared" si="57"/>
        <v>0</v>
      </c>
      <c r="BV76" s="233">
        <f t="shared" si="57"/>
        <v>0</v>
      </c>
      <c r="BW76" s="233">
        <f t="shared" si="57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>
        <v>10</v>
      </c>
      <c r="W77" s="45">
        <v>14</v>
      </c>
      <c r="X77" s="45">
        <v>10</v>
      </c>
      <c r="Y77" s="45">
        <v>10</v>
      </c>
      <c r="Z77" s="45">
        <v>14</v>
      </c>
      <c r="AA77" s="45">
        <v>30</v>
      </c>
      <c r="AB77" s="45">
        <v>30</v>
      </c>
      <c r="AC77" s="45">
        <v>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8"/>
        <v>30</v>
      </c>
      <c r="AI77" s="48">
        <f t="shared" si="9"/>
        <v>0</v>
      </c>
      <c r="AK77" s="50"/>
      <c r="AZ77" s="233">
        <f t="shared" si="57"/>
        <v>397</v>
      </c>
      <c r="BA77" s="233">
        <f t="shared" si="57"/>
        <v>386</v>
      </c>
      <c r="BB77" s="233">
        <f t="shared" si="57"/>
        <v>376</v>
      </c>
      <c r="BC77" s="233">
        <f t="shared" si="57"/>
        <v>403.8</v>
      </c>
      <c r="BD77" s="233">
        <f t="shared" si="57"/>
        <v>440</v>
      </c>
      <c r="BE77" s="233">
        <f t="shared" si="57"/>
        <v>454</v>
      </c>
      <c r="BF77" s="233">
        <f t="shared" si="57"/>
        <v>345</v>
      </c>
      <c r="BG77" s="233">
        <f t="shared" si="57"/>
        <v>6.2</v>
      </c>
      <c r="BH77" s="233">
        <f t="shared" si="57"/>
        <v>155</v>
      </c>
      <c r="BI77" s="233">
        <f t="shared" si="57"/>
        <v>408</v>
      </c>
      <c r="BJ77" s="233">
        <f t="shared" si="57"/>
        <v>412</v>
      </c>
      <c r="BK77" s="233">
        <f t="shared" si="57"/>
        <v>460</v>
      </c>
      <c r="BL77" s="233">
        <f t="shared" si="57"/>
        <v>427</v>
      </c>
      <c r="BM77" s="233">
        <f t="shared" si="57"/>
        <v>515.79999999999995</v>
      </c>
      <c r="BN77" s="233">
        <f t="shared" si="57"/>
        <v>507.8</v>
      </c>
      <c r="BO77" s="233">
        <f t="shared" si="57"/>
        <v>567.70000000000005</v>
      </c>
      <c r="BP77" s="233">
        <f t="shared" si="57"/>
        <v>477.5</v>
      </c>
      <c r="BQ77" s="233">
        <f t="shared" si="57"/>
        <v>338.9</v>
      </c>
      <c r="BR77" s="233">
        <f t="shared" si="57"/>
        <v>237.8</v>
      </c>
      <c r="BS77" s="233">
        <f t="shared" si="57"/>
        <v>123</v>
      </c>
      <c r="BT77" s="233">
        <f t="shared" si="57"/>
        <v>308</v>
      </c>
      <c r="BU77" s="233">
        <f t="shared" si="57"/>
        <v>355</v>
      </c>
      <c r="BV77" s="233">
        <f t="shared" si="57"/>
        <v>388</v>
      </c>
      <c r="BW77" s="233">
        <f t="shared" si="57"/>
        <v>374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>
        <v>4.7</v>
      </c>
      <c r="W78" s="65">
        <v>8.1</v>
      </c>
      <c r="X78" s="65">
        <v>3.7</v>
      </c>
      <c r="Y78" s="65">
        <v>3.8</v>
      </c>
      <c r="Z78" s="65">
        <v>3.8</v>
      </c>
      <c r="AA78" s="65">
        <v>5.7</v>
      </c>
      <c r="AB78" s="65">
        <v>12.9</v>
      </c>
      <c r="AC78" s="65">
        <v>7</v>
      </c>
      <c r="AD78" s="65">
        <v>0</v>
      </c>
      <c r="AE78" s="65">
        <v>0</v>
      </c>
      <c r="AF78" s="65">
        <v>0</v>
      </c>
      <c r="AG78" s="55">
        <v>32</v>
      </c>
      <c r="AH78" s="47">
        <f t="shared" si="8"/>
        <v>12.9</v>
      </c>
      <c r="AI78" s="48">
        <f t="shared" si="9"/>
        <v>0</v>
      </c>
      <c r="AK78" s="50"/>
      <c r="AZ78" s="233">
        <f t="shared" si="57"/>
        <v>36</v>
      </c>
      <c r="BA78" s="233">
        <f t="shared" si="57"/>
        <v>33</v>
      </c>
      <c r="BB78" s="233">
        <f t="shared" si="57"/>
        <v>5.7</v>
      </c>
      <c r="BC78" s="233">
        <f t="shared" si="57"/>
        <v>5.3</v>
      </c>
      <c r="BD78" s="233">
        <f t="shared" si="57"/>
        <v>5.6</v>
      </c>
      <c r="BE78" s="233">
        <f t="shared" si="57"/>
        <v>7</v>
      </c>
      <c r="BF78" s="233">
        <f t="shared" si="57"/>
        <v>8.6</v>
      </c>
      <c r="BG78" s="233">
        <f t="shared" si="57"/>
        <v>0</v>
      </c>
      <c r="BH78" s="233">
        <f t="shared" si="57"/>
        <v>0</v>
      </c>
      <c r="BI78" s="233">
        <f t="shared" si="57"/>
        <v>0</v>
      </c>
      <c r="BJ78" s="233">
        <f t="shared" si="57"/>
        <v>0</v>
      </c>
      <c r="BK78" s="233">
        <f t="shared" si="57"/>
        <v>0</v>
      </c>
      <c r="BL78" s="233">
        <f t="shared" si="57"/>
        <v>0</v>
      </c>
      <c r="BM78" s="233">
        <f t="shared" si="57"/>
        <v>41.7</v>
      </c>
      <c r="BN78" s="233">
        <f t="shared" si="57"/>
        <v>40.200000000000003</v>
      </c>
      <c r="BO78" s="233">
        <f t="shared" si="57"/>
        <v>43.4</v>
      </c>
      <c r="BP78" s="233">
        <f t="shared" si="57"/>
        <v>37.700000000000003</v>
      </c>
      <c r="BQ78" s="233">
        <f t="shared" si="57"/>
        <v>41.2</v>
      </c>
      <c r="BR78" s="233">
        <f t="shared" si="57"/>
        <v>43.1</v>
      </c>
      <c r="BS78" s="233">
        <f t="shared" si="57"/>
        <v>37.799999999999997</v>
      </c>
      <c r="BT78" s="233">
        <f t="shared" si="57"/>
        <v>40</v>
      </c>
      <c r="BU78" s="233">
        <f t="shared" si="57"/>
        <v>36</v>
      </c>
      <c r="BV78" s="233">
        <f t="shared" si="57"/>
        <v>39</v>
      </c>
      <c r="BW78" s="233">
        <f t="shared" si="57"/>
        <v>32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>
        <v>1.7</v>
      </c>
      <c r="W79" s="67">
        <v>2.5</v>
      </c>
      <c r="X79" s="67">
        <v>1.4</v>
      </c>
      <c r="Y79" s="67">
        <v>1.4</v>
      </c>
      <c r="Z79" s="67">
        <v>1.4</v>
      </c>
      <c r="AA79" s="67">
        <v>2.1</v>
      </c>
      <c r="AB79" s="67">
        <v>4.7</v>
      </c>
      <c r="AC79" s="67">
        <v>2</v>
      </c>
      <c r="AD79" s="67">
        <v>0</v>
      </c>
      <c r="AE79" s="67">
        <v>0</v>
      </c>
      <c r="AF79" s="67">
        <v>0</v>
      </c>
      <c r="AG79" s="68">
        <v>14</v>
      </c>
      <c r="AH79" s="47">
        <f t="shared" si="8"/>
        <v>4.7</v>
      </c>
      <c r="AI79" s="48">
        <f t="shared" si="9"/>
        <v>0</v>
      </c>
      <c r="AK79" s="50"/>
      <c r="AZ79" s="233">
        <f t="shared" si="57"/>
        <v>120</v>
      </c>
      <c r="BA79" s="233">
        <f t="shared" si="57"/>
        <v>111</v>
      </c>
      <c r="BB79" s="233">
        <f t="shared" si="57"/>
        <v>106</v>
      </c>
      <c r="BC79" s="233">
        <f t="shared" si="57"/>
        <v>111</v>
      </c>
      <c r="BD79" s="233">
        <f t="shared" si="57"/>
        <v>124</v>
      </c>
      <c r="BE79" s="233">
        <f t="shared" si="57"/>
        <v>98</v>
      </c>
      <c r="BF79" s="233">
        <f t="shared" si="57"/>
        <v>75</v>
      </c>
      <c r="BG79" s="233">
        <f t="shared" si="57"/>
        <v>0</v>
      </c>
      <c r="BH79" s="233">
        <f t="shared" si="57"/>
        <v>0</v>
      </c>
      <c r="BI79" s="233">
        <f t="shared" si="57"/>
        <v>0</v>
      </c>
      <c r="BJ79" s="233">
        <f t="shared" si="57"/>
        <v>97.2</v>
      </c>
      <c r="BK79" s="233">
        <f t="shared" si="57"/>
        <v>108</v>
      </c>
      <c r="BL79" s="233">
        <f t="shared" si="57"/>
        <v>120</v>
      </c>
      <c r="BM79" s="233">
        <f t="shared" si="57"/>
        <v>120</v>
      </c>
      <c r="BN79" s="233">
        <f t="shared" si="57"/>
        <v>114</v>
      </c>
      <c r="BO79" s="233">
        <f t="shared" si="57"/>
        <v>107</v>
      </c>
      <c r="BP79" s="233">
        <f t="shared" si="57"/>
        <v>106</v>
      </c>
      <c r="BQ79" s="233">
        <f t="shared" si="57"/>
        <v>106.4</v>
      </c>
      <c r="BR79" s="233">
        <f t="shared" si="57"/>
        <v>104.5</v>
      </c>
      <c r="BS79" s="233">
        <f t="shared" si="57"/>
        <v>103.6</v>
      </c>
      <c r="BT79" s="233">
        <f t="shared" si="57"/>
        <v>124</v>
      </c>
      <c r="BU79" s="233">
        <f t="shared" si="57"/>
        <v>108</v>
      </c>
      <c r="BV79" s="233">
        <f t="shared" si="57"/>
        <v>110</v>
      </c>
      <c r="BW79" s="233">
        <f t="shared" si="57"/>
        <v>120</v>
      </c>
    </row>
    <row r="80" spans="1:75" ht="15.75" thickBot="1" x14ac:dyDescent="0.3">
      <c r="A80" s="74" t="s">
        <v>80</v>
      </c>
      <c r="B80" s="60">
        <f t="shared" ref="B80:AB80" si="58">B77+B78+B79</f>
        <v>0</v>
      </c>
      <c r="C80" s="60">
        <f t="shared" si="58"/>
        <v>0</v>
      </c>
      <c r="D80" s="60">
        <f t="shared" si="58"/>
        <v>0</v>
      </c>
      <c r="E80" s="60">
        <f t="shared" si="58"/>
        <v>0</v>
      </c>
      <c r="F80" s="60">
        <f t="shared" si="58"/>
        <v>0</v>
      </c>
      <c r="G80" s="60">
        <f t="shared" si="58"/>
        <v>0</v>
      </c>
      <c r="H80" s="60">
        <f t="shared" si="58"/>
        <v>0</v>
      </c>
      <c r="I80" s="60">
        <f t="shared" si="58"/>
        <v>0</v>
      </c>
      <c r="J80" s="60">
        <f t="shared" si="58"/>
        <v>0</v>
      </c>
      <c r="K80" s="60">
        <f t="shared" si="58"/>
        <v>0</v>
      </c>
      <c r="L80" s="60">
        <f t="shared" si="58"/>
        <v>0</v>
      </c>
      <c r="M80" s="60">
        <f t="shared" si="58"/>
        <v>0</v>
      </c>
      <c r="N80" s="60">
        <f t="shared" si="58"/>
        <v>0</v>
      </c>
      <c r="O80" s="60">
        <f t="shared" si="58"/>
        <v>0</v>
      </c>
      <c r="P80" s="60">
        <f t="shared" si="58"/>
        <v>0</v>
      </c>
      <c r="Q80" s="60">
        <f t="shared" si="58"/>
        <v>0</v>
      </c>
      <c r="R80" s="60">
        <f t="shared" si="58"/>
        <v>0</v>
      </c>
      <c r="S80" s="60">
        <f t="shared" ref="S80:T80" si="59">S77+S78+S79</f>
        <v>0</v>
      </c>
      <c r="T80" s="60">
        <f t="shared" si="59"/>
        <v>0</v>
      </c>
      <c r="U80" s="60">
        <f t="shared" ref="U80:V80" si="60">U77+U78+U79</f>
        <v>0</v>
      </c>
      <c r="V80" s="60">
        <f t="shared" si="60"/>
        <v>16.399999999999999</v>
      </c>
      <c r="W80" s="60">
        <f t="shared" ref="W80:X80" si="61">W77+W78+W79</f>
        <v>24.6</v>
      </c>
      <c r="X80" s="60">
        <f t="shared" si="61"/>
        <v>15.1</v>
      </c>
      <c r="Y80" s="60">
        <f t="shared" ref="Y80:Z80" si="62">Y77+Y78+Y79</f>
        <v>15.200000000000001</v>
      </c>
      <c r="Z80" s="60">
        <f t="shared" si="62"/>
        <v>19.2</v>
      </c>
      <c r="AA80" s="60">
        <f t="shared" ref="AA80" si="63">AA77+AA78+AA79</f>
        <v>37.800000000000004</v>
      </c>
      <c r="AB80" s="60">
        <f t="shared" si="58"/>
        <v>47.6</v>
      </c>
      <c r="AC80" s="60">
        <f t="shared" ref="AC80:AD80" si="64">AC77+AC78+AC79</f>
        <v>9</v>
      </c>
      <c r="AD80" s="60">
        <f t="shared" si="64"/>
        <v>0</v>
      </c>
      <c r="AE80" s="60">
        <f t="shared" ref="AE80:AF80" si="65">AE77+AE78+AE79</f>
        <v>0</v>
      </c>
      <c r="AF80" s="60">
        <f t="shared" si="65"/>
        <v>0</v>
      </c>
      <c r="AG80" s="61">
        <f>SUM(AG77:AG79)</f>
        <v>106</v>
      </c>
      <c r="AH80" s="47">
        <f t="shared" si="8"/>
        <v>47.6</v>
      </c>
      <c r="AI80" s="48">
        <f t="shared" si="9"/>
        <v>0</v>
      </c>
      <c r="AK80" s="50"/>
      <c r="AZ80" s="233">
        <f t="shared" si="57"/>
        <v>52</v>
      </c>
      <c r="BA80" s="233">
        <f t="shared" si="57"/>
        <v>50</v>
      </c>
      <c r="BB80" s="233">
        <f t="shared" si="57"/>
        <v>50</v>
      </c>
      <c r="BC80" s="233">
        <f t="shared" si="57"/>
        <v>50</v>
      </c>
      <c r="BD80" s="233">
        <f t="shared" si="57"/>
        <v>0</v>
      </c>
      <c r="BE80" s="233">
        <f t="shared" si="57"/>
        <v>0</v>
      </c>
      <c r="BF80" s="233">
        <f t="shared" si="57"/>
        <v>49</v>
      </c>
      <c r="BG80" s="233">
        <f t="shared" si="57"/>
        <v>62.3</v>
      </c>
      <c r="BH80" s="233">
        <f t="shared" si="57"/>
        <v>64</v>
      </c>
      <c r="BI80" s="233">
        <f t="shared" si="57"/>
        <v>65</v>
      </c>
      <c r="BJ80" s="233">
        <f t="shared" si="57"/>
        <v>68</v>
      </c>
      <c r="BK80" s="233">
        <f t="shared" si="57"/>
        <v>78</v>
      </c>
      <c r="BL80" s="233">
        <f t="shared" si="57"/>
        <v>72</v>
      </c>
      <c r="BM80" s="233">
        <f t="shared" si="57"/>
        <v>79</v>
      </c>
      <c r="BN80" s="233">
        <f t="shared" si="57"/>
        <v>85</v>
      </c>
      <c r="BO80" s="233">
        <f t="shared" si="57"/>
        <v>83</v>
      </c>
      <c r="BP80" s="233">
        <f t="shared" si="57"/>
        <v>67</v>
      </c>
      <c r="BQ80" s="233">
        <f t="shared" si="57"/>
        <v>75</v>
      </c>
      <c r="BR80" s="233">
        <f t="shared" si="57"/>
        <v>71</v>
      </c>
      <c r="BS80" s="233">
        <f t="shared" si="57"/>
        <v>62</v>
      </c>
      <c r="BT80" s="233">
        <f t="shared" si="57"/>
        <v>62</v>
      </c>
      <c r="BU80" s="233">
        <f t="shared" si="57"/>
        <v>62</v>
      </c>
      <c r="BV80" s="233">
        <f t="shared" si="57"/>
        <v>62</v>
      </c>
      <c r="BW80" s="233">
        <f t="shared" si="57"/>
        <v>70</v>
      </c>
    </row>
    <row r="81" spans="1:64" x14ac:dyDescent="0.25">
      <c r="A81" s="44" t="s">
        <v>81</v>
      </c>
      <c r="B81" s="45">
        <v>41</v>
      </c>
      <c r="C81" s="45">
        <v>54.1</v>
      </c>
      <c r="D81" s="45">
        <v>58</v>
      </c>
      <c r="E81" s="45">
        <v>62</v>
      </c>
      <c r="F81" s="45">
        <v>49</v>
      </c>
      <c r="G81" s="45">
        <v>43</v>
      </c>
      <c r="H81" s="45">
        <v>49.5</v>
      </c>
      <c r="I81" s="45">
        <v>72</v>
      </c>
      <c r="J81" s="45">
        <v>66</v>
      </c>
      <c r="K81" s="45">
        <v>59.5</v>
      </c>
      <c r="L81" s="45">
        <v>55</v>
      </c>
      <c r="M81" s="45">
        <v>54.3</v>
      </c>
      <c r="N81" s="45">
        <v>58.8</v>
      </c>
      <c r="O81" s="45">
        <v>53.9</v>
      </c>
      <c r="P81" s="45">
        <v>52.3</v>
      </c>
      <c r="Q81" s="45">
        <v>52.6</v>
      </c>
      <c r="R81" s="45">
        <v>53</v>
      </c>
      <c r="S81" s="45">
        <v>63.9</v>
      </c>
      <c r="T81" s="45">
        <v>69.900000000000006</v>
      </c>
      <c r="U81" s="45">
        <v>71.7</v>
      </c>
      <c r="V81" s="45">
        <v>67</v>
      </c>
      <c r="W81" s="45">
        <v>65.400000000000006</v>
      </c>
      <c r="X81" s="45">
        <v>65.599999999999994</v>
      </c>
      <c r="Y81" s="45">
        <v>68.900000000000006</v>
      </c>
      <c r="Z81" s="45">
        <v>69</v>
      </c>
      <c r="AA81" s="45">
        <v>64.900000000000006</v>
      </c>
      <c r="AB81" s="45">
        <v>69.099999999999994</v>
      </c>
      <c r="AC81" s="45">
        <v>67</v>
      </c>
      <c r="AD81" s="45">
        <v>68</v>
      </c>
      <c r="AE81" s="45">
        <v>60.7</v>
      </c>
      <c r="AF81" s="45">
        <v>55</v>
      </c>
      <c r="AG81" s="52"/>
      <c r="AH81" s="47">
        <f t="shared" si="8"/>
        <v>72</v>
      </c>
      <c r="AI81" s="48">
        <f t="shared" si="9"/>
        <v>41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66">MAX(B82:AF82)</f>
        <v>0</v>
      </c>
      <c r="AI82" s="48">
        <f t="shared" ref="AI82:AI123" si="67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374</v>
      </c>
      <c r="C83" s="65">
        <v>397</v>
      </c>
      <c r="D83" s="65">
        <v>386</v>
      </c>
      <c r="E83" s="65">
        <v>376</v>
      </c>
      <c r="F83" s="65">
        <v>403.8</v>
      </c>
      <c r="G83" s="65">
        <v>440</v>
      </c>
      <c r="H83" s="65">
        <v>452</v>
      </c>
      <c r="I83" s="65">
        <v>454</v>
      </c>
      <c r="J83" s="65">
        <v>408</v>
      </c>
      <c r="K83" s="65">
        <v>345</v>
      </c>
      <c r="L83" s="65">
        <v>10.8</v>
      </c>
      <c r="M83" s="65">
        <v>6.2</v>
      </c>
      <c r="N83" s="65">
        <v>155</v>
      </c>
      <c r="O83" s="65">
        <v>408</v>
      </c>
      <c r="P83" s="65">
        <v>412</v>
      </c>
      <c r="Q83" s="65">
        <v>460</v>
      </c>
      <c r="R83" s="65">
        <v>427</v>
      </c>
      <c r="S83" s="65">
        <v>515.79999999999995</v>
      </c>
      <c r="T83" s="65">
        <v>507.8</v>
      </c>
      <c r="U83" s="65">
        <v>567.70000000000005</v>
      </c>
      <c r="V83" s="65">
        <v>477.5</v>
      </c>
      <c r="W83" s="65">
        <v>465</v>
      </c>
      <c r="X83" s="65">
        <v>338.9</v>
      </c>
      <c r="Y83" s="65">
        <v>515</v>
      </c>
      <c r="Z83" s="65">
        <v>237.8</v>
      </c>
      <c r="AA83" s="65">
        <v>75.7</v>
      </c>
      <c r="AB83" s="65">
        <v>123</v>
      </c>
      <c r="AC83" s="65">
        <v>105</v>
      </c>
      <c r="AD83" s="65">
        <v>308</v>
      </c>
      <c r="AE83" s="65">
        <v>355</v>
      </c>
      <c r="AF83" s="65">
        <v>388</v>
      </c>
      <c r="AG83" s="75"/>
      <c r="AH83" s="47">
        <f t="shared" si="66"/>
        <v>567.70000000000005</v>
      </c>
      <c r="AI83" s="48">
        <f t="shared" si="67"/>
        <v>6.2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32</v>
      </c>
      <c r="C84" s="65">
        <v>35.6</v>
      </c>
      <c r="D84" s="65">
        <v>33</v>
      </c>
      <c r="E84" s="76">
        <v>5.7</v>
      </c>
      <c r="F84" s="76">
        <v>5.3</v>
      </c>
      <c r="G84" s="76">
        <v>5.6</v>
      </c>
      <c r="H84" s="76">
        <v>5.9</v>
      </c>
      <c r="I84" s="76">
        <v>7</v>
      </c>
      <c r="J84" s="76">
        <v>8.3000000000000007</v>
      </c>
      <c r="K84" s="76">
        <v>8.6</v>
      </c>
      <c r="L84" s="76">
        <v>0</v>
      </c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41.7</v>
      </c>
      <c r="T84" s="76">
        <v>40.200000000000003</v>
      </c>
      <c r="U84" s="76">
        <v>43.4</v>
      </c>
      <c r="V84" s="76">
        <v>37.700000000000003</v>
      </c>
      <c r="W84" s="76">
        <v>37.1</v>
      </c>
      <c r="X84" s="76">
        <v>41.2</v>
      </c>
      <c r="Y84" s="76">
        <v>44.9</v>
      </c>
      <c r="Z84" s="76">
        <v>43.1</v>
      </c>
      <c r="AA84" s="76">
        <v>42.1</v>
      </c>
      <c r="AB84" s="76">
        <v>37.799999999999997</v>
      </c>
      <c r="AC84" s="76">
        <v>41</v>
      </c>
      <c r="AD84" s="76">
        <v>40</v>
      </c>
      <c r="AE84" s="76">
        <v>36</v>
      </c>
      <c r="AF84" s="76">
        <v>39</v>
      </c>
      <c r="AG84" s="75"/>
      <c r="AH84" s="47">
        <f t="shared" si="66"/>
        <v>44.9</v>
      </c>
      <c r="AI84" s="48">
        <f t="shared" si="67"/>
        <v>0</v>
      </c>
      <c r="AK84" s="50"/>
      <c r="AY84" s="233"/>
      <c r="BF84" s="232"/>
      <c r="BG84" s="233">
        <f t="array" ref="BG84:BL107">TRANSPOSE(AZ68:BW73)</f>
        <v>54</v>
      </c>
      <c r="BH84" s="233">
        <v>0</v>
      </c>
      <c r="BI84" s="233">
        <v>397</v>
      </c>
      <c r="BJ84" s="233">
        <v>36</v>
      </c>
      <c r="BK84" s="233">
        <v>120</v>
      </c>
      <c r="BL84" s="233">
        <v>52</v>
      </c>
    </row>
    <row r="85" spans="1:64" x14ac:dyDescent="0.25">
      <c r="A85" s="54" t="s">
        <v>85</v>
      </c>
      <c r="B85" s="45">
        <v>120</v>
      </c>
      <c r="C85" s="45">
        <v>120</v>
      </c>
      <c r="D85" s="45">
        <v>111</v>
      </c>
      <c r="E85" s="45">
        <v>106</v>
      </c>
      <c r="F85" s="45">
        <v>111</v>
      </c>
      <c r="G85" s="45">
        <v>124</v>
      </c>
      <c r="H85" s="45">
        <v>120</v>
      </c>
      <c r="I85" s="45">
        <v>98</v>
      </c>
      <c r="J85" s="45">
        <v>89</v>
      </c>
      <c r="K85" s="45">
        <v>75</v>
      </c>
      <c r="L85" s="45">
        <v>0</v>
      </c>
      <c r="M85" s="45">
        <v>0</v>
      </c>
      <c r="N85" s="45">
        <v>0</v>
      </c>
      <c r="O85" s="45">
        <v>0</v>
      </c>
      <c r="P85" s="45">
        <v>97.2</v>
      </c>
      <c r="Q85" s="45">
        <v>108</v>
      </c>
      <c r="R85" s="45">
        <v>120</v>
      </c>
      <c r="S85" s="45">
        <v>120</v>
      </c>
      <c r="T85" s="45">
        <v>114</v>
      </c>
      <c r="U85" s="45">
        <v>107</v>
      </c>
      <c r="V85" s="45">
        <v>106</v>
      </c>
      <c r="W85" s="45">
        <v>100.8</v>
      </c>
      <c r="X85" s="45">
        <v>106.4</v>
      </c>
      <c r="Y85" s="45">
        <v>108</v>
      </c>
      <c r="Z85" s="45">
        <v>104.5</v>
      </c>
      <c r="AA85" s="45">
        <v>108.6</v>
      </c>
      <c r="AB85" s="45">
        <v>103.6</v>
      </c>
      <c r="AC85" s="45">
        <v>117</v>
      </c>
      <c r="AD85" s="45">
        <v>124</v>
      </c>
      <c r="AE85" s="45">
        <v>108</v>
      </c>
      <c r="AF85" s="45">
        <v>110</v>
      </c>
      <c r="AG85" s="75"/>
      <c r="AH85" s="47">
        <f t="shared" si="66"/>
        <v>124</v>
      </c>
      <c r="AI85" s="48">
        <f t="shared" si="67"/>
        <v>0</v>
      </c>
      <c r="AK85" s="50"/>
      <c r="AY85" s="233"/>
      <c r="BF85" s="232"/>
      <c r="BG85" s="233">
        <v>58</v>
      </c>
      <c r="BH85" s="233">
        <v>0</v>
      </c>
      <c r="BI85" s="233">
        <v>386</v>
      </c>
      <c r="BJ85" s="233">
        <v>33</v>
      </c>
      <c r="BK85" s="233">
        <v>111</v>
      </c>
      <c r="BL85" s="233">
        <v>50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66"/>
        <v>0</v>
      </c>
      <c r="AI86" s="48">
        <f t="shared" si="67"/>
        <v>0</v>
      </c>
      <c r="AK86" s="50"/>
      <c r="AY86" s="233"/>
      <c r="BF86" s="232"/>
      <c r="BG86" s="233">
        <v>62</v>
      </c>
      <c r="BH86" s="233">
        <v>0</v>
      </c>
      <c r="BI86" s="233">
        <v>376</v>
      </c>
      <c r="BJ86" s="233">
        <v>5.7</v>
      </c>
      <c r="BK86" s="233">
        <v>106</v>
      </c>
      <c r="BL86" s="233">
        <v>50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66"/>
        <v>0</v>
      </c>
      <c r="AI87" s="48">
        <f t="shared" si="67"/>
        <v>0</v>
      </c>
      <c r="AK87" s="50"/>
      <c r="AL87" s="78" t="s">
        <v>88</v>
      </c>
      <c r="AM87" s="78"/>
      <c r="AY87" s="233"/>
      <c r="BF87" s="233"/>
      <c r="BG87" s="233">
        <v>49</v>
      </c>
      <c r="BH87" s="233">
        <v>0</v>
      </c>
      <c r="BI87" s="233">
        <v>403.8</v>
      </c>
      <c r="BJ87" s="233">
        <v>5.3</v>
      </c>
      <c r="BK87" s="233">
        <v>111</v>
      </c>
      <c r="BL87" s="233">
        <v>50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66"/>
        <v>0</v>
      </c>
      <c r="AI88" s="48">
        <f t="shared" si="67"/>
        <v>0</v>
      </c>
      <c r="AK88" s="79"/>
      <c r="AL88" s="80"/>
      <c r="AM88" s="80"/>
      <c r="AN88" s="81"/>
      <c r="AY88" s="233"/>
      <c r="BF88" s="233"/>
      <c r="BG88" s="233">
        <v>43</v>
      </c>
      <c r="BH88" s="233">
        <v>0</v>
      </c>
      <c r="BI88" s="233">
        <v>440</v>
      </c>
      <c r="BJ88" s="233">
        <v>5.6</v>
      </c>
      <c r="BK88" s="233">
        <v>124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66"/>
        <v>0</v>
      </c>
      <c r="AI89" s="48">
        <f t="shared" si="67"/>
        <v>0</v>
      </c>
      <c r="AK89" s="82" t="s">
        <v>91</v>
      </c>
      <c r="AL89" s="65"/>
      <c r="AM89" s="76"/>
      <c r="AN89" s="83"/>
      <c r="AY89" s="233"/>
      <c r="BF89" s="233"/>
      <c r="BG89" s="233">
        <v>72</v>
      </c>
      <c r="BH89" s="233">
        <v>0</v>
      </c>
      <c r="BI89" s="233">
        <v>454</v>
      </c>
      <c r="BJ89" s="233">
        <v>7</v>
      </c>
      <c r="BK89" s="233">
        <v>98</v>
      </c>
      <c r="BL89" s="233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66"/>
        <v>0</v>
      </c>
      <c r="AI90" s="48">
        <f t="shared" si="67"/>
        <v>0</v>
      </c>
      <c r="AK90" s="82" t="s">
        <v>93</v>
      </c>
      <c r="AL90" s="76"/>
      <c r="AM90" s="76"/>
      <c r="AN90" s="83"/>
      <c r="AY90" s="233"/>
      <c r="BF90" s="233"/>
      <c r="BG90" s="233">
        <v>59.5</v>
      </c>
      <c r="BH90" s="233">
        <v>0</v>
      </c>
      <c r="BI90" s="233">
        <v>345</v>
      </c>
      <c r="BJ90" s="233">
        <v>8.6</v>
      </c>
      <c r="BK90" s="233">
        <v>75</v>
      </c>
      <c r="BL90" s="233">
        <v>49</v>
      </c>
    </row>
    <row r="91" spans="1:64" ht="15.75" thickBot="1" x14ac:dyDescent="0.3">
      <c r="A91" s="84" t="s">
        <v>394</v>
      </c>
      <c r="B91" s="77">
        <v>70</v>
      </c>
      <c r="C91" s="77">
        <v>52</v>
      </c>
      <c r="D91" s="77">
        <v>50</v>
      </c>
      <c r="E91" s="77">
        <v>50</v>
      </c>
      <c r="F91" s="77">
        <v>50</v>
      </c>
      <c r="G91" s="77">
        <v>0</v>
      </c>
      <c r="H91" s="77">
        <v>0</v>
      </c>
      <c r="I91" s="77">
        <v>0</v>
      </c>
      <c r="J91" s="77">
        <v>49</v>
      </c>
      <c r="K91" s="77">
        <v>49</v>
      </c>
      <c r="L91" s="77">
        <v>55</v>
      </c>
      <c r="M91" s="77">
        <v>62.3</v>
      </c>
      <c r="N91" s="77">
        <v>64</v>
      </c>
      <c r="O91" s="77">
        <v>65</v>
      </c>
      <c r="P91" s="77">
        <v>68</v>
      </c>
      <c r="Q91" s="77">
        <v>78</v>
      </c>
      <c r="R91" s="77">
        <v>72</v>
      </c>
      <c r="S91" s="77">
        <v>79</v>
      </c>
      <c r="T91" s="77">
        <v>85</v>
      </c>
      <c r="U91" s="77">
        <v>83</v>
      </c>
      <c r="V91" s="77">
        <v>67</v>
      </c>
      <c r="W91" s="77">
        <v>75</v>
      </c>
      <c r="X91" s="77">
        <v>75</v>
      </c>
      <c r="Y91" s="77">
        <v>79</v>
      </c>
      <c r="Z91" s="77">
        <v>71</v>
      </c>
      <c r="AA91" s="77">
        <v>57</v>
      </c>
      <c r="AB91" s="77">
        <v>62</v>
      </c>
      <c r="AC91" s="77">
        <v>62</v>
      </c>
      <c r="AD91" s="77">
        <v>62</v>
      </c>
      <c r="AE91" s="77">
        <v>62</v>
      </c>
      <c r="AF91" s="77">
        <v>62</v>
      </c>
      <c r="AG91" s="85"/>
      <c r="AH91" s="47">
        <f t="shared" si="66"/>
        <v>85</v>
      </c>
      <c r="AI91" s="48">
        <f t="shared" si="67"/>
        <v>0</v>
      </c>
      <c r="AK91" s="86"/>
      <c r="AL91" s="45"/>
      <c r="AM91" s="45"/>
      <c r="AN91" s="87"/>
      <c r="AY91" s="233"/>
      <c r="BF91" s="233"/>
      <c r="BG91" s="233">
        <v>54.3</v>
      </c>
      <c r="BH91" s="233">
        <v>0</v>
      </c>
      <c r="BI91" s="233">
        <v>6.2</v>
      </c>
      <c r="BJ91" s="233">
        <v>0</v>
      </c>
      <c r="BK91" s="233">
        <v>0</v>
      </c>
      <c r="BL91" s="233">
        <v>62.3</v>
      </c>
    </row>
    <row r="92" spans="1:64" ht="15.75" thickBot="1" x14ac:dyDescent="0.3">
      <c r="A92" s="74" t="s">
        <v>94</v>
      </c>
      <c r="B92" s="60">
        <f t="shared" ref="B92:AB92" si="68">SUMIF(B81:B91,"&gt;0")</f>
        <v>637</v>
      </c>
      <c r="C92" s="60">
        <f t="shared" si="68"/>
        <v>658.7</v>
      </c>
      <c r="D92" s="60">
        <f t="shared" si="68"/>
        <v>638</v>
      </c>
      <c r="E92" s="60">
        <f t="shared" si="68"/>
        <v>599.70000000000005</v>
      </c>
      <c r="F92" s="60">
        <f t="shared" si="68"/>
        <v>619.1</v>
      </c>
      <c r="G92" s="60">
        <f t="shared" si="68"/>
        <v>612.6</v>
      </c>
      <c r="H92" s="60">
        <f t="shared" si="68"/>
        <v>627.4</v>
      </c>
      <c r="I92" s="60">
        <f t="shared" si="68"/>
        <v>631</v>
      </c>
      <c r="J92" s="60">
        <f t="shared" si="68"/>
        <v>620.29999999999995</v>
      </c>
      <c r="K92" s="60">
        <f t="shared" si="68"/>
        <v>537.1</v>
      </c>
      <c r="L92" s="60">
        <f t="shared" si="68"/>
        <v>120.8</v>
      </c>
      <c r="M92" s="60">
        <f t="shared" si="68"/>
        <v>122.8</v>
      </c>
      <c r="N92" s="60">
        <f t="shared" si="68"/>
        <v>277.8</v>
      </c>
      <c r="O92" s="60">
        <f t="shared" si="68"/>
        <v>526.9</v>
      </c>
      <c r="P92" s="60">
        <f t="shared" si="68"/>
        <v>629.5</v>
      </c>
      <c r="Q92" s="60">
        <f t="shared" si="68"/>
        <v>698.6</v>
      </c>
      <c r="R92" s="60">
        <f t="shared" si="68"/>
        <v>672</v>
      </c>
      <c r="S92" s="60">
        <f t="shared" ref="S92:T92" si="69">SUMIF(S81:S91,"&gt;0")</f>
        <v>820.4</v>
      </c>
      <c r="T92" s="60">
        <f t="shared" si="69"/>
        <v>816.90000000000009</v>
      </c>
      <c r="U92" s="60">
        <f t="shared" ref="U92:V92" si="70">SUMIF(U81:U91,"&gt;0")</f>
        <v>872.80000000000007</v>
      </c>
      <c r="V92" s="60">
        <f t="shared" si="70"/>
        <v>755.2</v>
      </c>
      <c r="W92" s="60">
        <f t="shared" ref="W92:X92" si="71">SUMIF(W81:W91,"&gt;0")</f>
        <v>743.3</v>
      </c>
      <c r="X92" s="60">
        <f t="shared" si="71"/>
        <v>627.1</v>
      </c>
      <c r="Y92" s="60">
        <f t="shared" ref="Y92:Z92" si="72">SUMIF(Y81:Y91,"&gt;0")</f>
        <v>815.8</v>
      </c>
      <c r="Z92" s="60">
        <f t="shared" si="72"/>
        <v>525.40000000000009</v>
      </c>
      <c r="AA92" s="60">
        <f t="shared" ref="AA92" si="73">SUMIF(AA81:AA91,"&gt;0")</f>
        <v>348.3</v>
      </c>
      <c r="AB92" s="60">
        <f t="shared" si="68"/>
        <v>395.5</v>
      </c>
      <c r="AC92" s="60">
        <f t="shared" ref="AC92:AD92" si="74">SUMIF(AC81:AC91,"&gt;0")</f>
        <v>392</v>
      </c>
      <c r="AD92" s="60">
        <f t="shared" si="74"/>
        <v>602</v>
      </c>
      <c r="AE92" s="60">
        <f t="shared" ref="AE92:AF92" si="75">SUMIF(AE81:AE91,"&gt;0")</f>
        <v>621.70000000000005</v>
      </c>
      <c r="AF92" s="60">
        <f t="shared" si="75"/>
        <v>654</v>
      </c>
      <c r="AG92" s="88">
        <f>SUM(AG81:AG91)</f>
        <v>0</v>
      </c>
      <c r="AH92" s="47">
        <f t="shared" si="66"/>
        <v>872.80000000000007</v>
      </c>
      <c r="AI92" s="48">
        <f t="shared" si="67"/>
        <v>120.8</v>
      </c>
      <c r="AK92" s="86"/>
      <c r="AL92" s="77"/>
      <c r="AM92" s="89"/>
      <c r="AN92" s="257"/>
      <c r="AY92" s="233"/>
      <c r="BF92" s="233"/>
      <c r="BG92" s="233">
        <v>58.8</v>
      </c>
      <c r="BH92" s="233">
        <v>0</v>
      </c>
      <c r="BI92" s="233">
        <v>155</v>
      </c>
      <c r="BJ92" s="233">
        <v>0</v>
      </c>
      <c r="BK92" s="233">
        <v>0</v>
      </c>
      <c r="BL92" s="233">
        <v>64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66"/>
        <v>0</v>
      </c>
      <c r="AI93" s="48">
        <f t="shared" si="67"/>
        <v>0</v>
      </c>
      <c r="AK93" s="86"/>
      <c r="AL93" s="77"/>
      <c r="AM93" s="77"/>
      <c r="AN93" s="258"/>
      <c r="BF93" s="233"/>
      <c r="BG93" s="233">
        <v>53.9</v>
      </c>
      <c r="BH93" s="233">
        <v>0</v>
      </c>
      <c r="BI93" s="233">
        <v>408</v>
      </c>
      <c r="BJ93" s="233">
        <v>0</v>
      </c>
      <c r="BK93" s="233">
        <v>0</v>
      </c>
      <c r="BL93" s="233">
        <v>65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66"/>
        <v>0</v>
      </c>
      <c r="AI94" s="48">
        <f t="shared" si="67"/>
        <v>0</v>
      </c>
      <c r="AK94" s="91"/>
      <c r="AL94" s="92"/>
      <c r="AM94" s="92"/>
      <c r="AN94" s="93"/>
      <c r="BF94" s="233"/>
      <c r="BG94" s="233">
        <v>52.3</v>
      </c>
      <c r="BH94" s="233">
        <v>0</v>
      </c>
      <c r="BI94" s="233">
        <v>412</v>
      </c>
      <c r="BJ94" s="233">
        <v>0</v>
      </c>
      <c r="BK94" s="233">
        <v>97.2</v>
      </c>
      <c r="BL94" s="233">
        <v>68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66"/>
        <v>0</v>
      </c>
      <c r="AI95" s="48">
        <f t="shared" si="67"/>
        <v>0</v>
      </c>
      <c r="BF95" s="233"/>
      <c r="BG95" s="233">
        <v>52.6</v>
      </c>
      <c r="BH95" s="233">
        <v>0</v>
      </c>
      <c r="BI95" s="233">
        <v>460</v>
      </c>
      <c r="BJ95" s="233">
        <v>0</v>
      </c>
      <c r="BK95" s="233">
        <v>108</v>
      </c>
      <c r="BL95" s="233">
        <v>78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>
        <v>100</v>
      </c>
      <c r="W96" s="60">
        <v>150</v>
      </c>
      <c r="X96" s="60">
        <v>200</v>
      </c>
      <c r="Y96" s="60">
        <v>200</v>
      </c>
      <c r="Z96" s="60">
        <v>200</v>
      </c>
      <c r="AA96" s="60">
        <v>200</v>
      </c>
      <c r="AB96" s="60">
        <v>100</v>
      </c>
      <c r="AC96" s="60">
        <v>70</v>
      </c>
      <c r="AD96" s="60">
        <v>0</v>
      </c>
      <c r="AE96" s="60">
        <v>0</v>
      </c>
      <c r="AF96" s="60">
        <v>0</v>
      </c>
      <c r="AG96" s="88">
        <f>SUM(AG93:AG95)</f>
        <v>55.4</v>
      </c>
      <c r="AH96" s="47">
        <f t="shared" si="66"/>
        <v>200</v>
      </c>
      <c r="AI96" s="48">
        <f t="shared" si="67"/>
        <v>0</v>
      </c>
      <c r="BF96" s="233"/>
      <c r="BG96" s="233">
        <v>53</v>
      </c>
      <c r="BH96" s="233">
        <v>0</v>
      </c>
      <c r="BI96" s="233">
        <v>427</v>
      </c>
      <c r="BJ96" s="233">
        <v>0</v>
      </c>
      <c r="BK96" s="233">
        <v>120</v>
      </c>
      <c r="BL96" s="233">
        <v>72</v>
      </c>
    </row>
    <row r="97" spans="1:64" ht="15.75" thickBot="1" x14ac:dyDescent="0.3">
      <c r="A97" s="74" t="s">
        <v>99</v>
      </c>
      <c r="B97" s="95">
        <f t="shared" ref="B97:AG97" si="76">B58+B62+B80+B76+B92+B96</f>
        <v>1222.19</v>
      </c>
      <c r="C97" s="95">
        <f t="shared" si="76"/>
        <v>1243.8900000000001</v>
      </c>
      <c r="D97" s="95">
        <f t="shared" si="76"/>
        <v>1223.19</v>
      </c>
      <c r="E97" s="95">
        <f t="shared" si="76"/>
        <v>1185.8900000000001</v>
      </c>
      <c r="F97" s="95">
        <f t="shared" si="76"/>
        <v>1205.29</v>
      </c>
      <c r="G97" s="95">
        <f t="shared" si="76"/>
        <v>1222.99</v>
      </c>
      <c r="H97" s="95">
        <f t="shared" si="76"/>
        <v>1262.19</v>
      </c>
      <c r="I97" s="95">
        <f t="shared" si="76"/>
        <v>1364.5900000000001</v>
      </c>
      <c r="J97" s="95">
        <f t="shared" si="76"/>
        <v>1499.59</v>
      </c>
      <c r="K97" s="95">
        <f t="shared" si="76"/>
        <v>1477.0900000000001</v>
      </c>
      <c r="L97" s="95">
        <f t="shared" si="76"/>
        <v>1399.29</v>
      </c>
      <c r="M97" s="95">
        <f t="shared" si="76"/>
        <v>1396.19</v>
      </c>
      <c r="N97" s="95">
        <f t="shared" si="76"/>
        <v>1533.99</v>
      </c>
      <c r="O97" s="95">
        <f t="shared" si="76"/>
        <v>1296.5899999999999</v>
      </c>
      <c r="P97" s="95">
        <f t="shared" si="76"/>
        <v>1400.59</v>
      </c>
      <c r="Q97" s="95">
        <f t="shared" si="76"/>
        <v>1495.9899999999998</v>
      </c>
      <c r="R97" s="95">
        <f t="shared" si="76"/>
        <v>1436.4899999999998</v>
      </c>
      <c r="S97" s="95">
        <f t="shared" ref="S97:T97" si="77">S58+S62+S80+S76+S92+S96</f>
        <v>1522.59</v>
      </c>
      <c r="T97" s="95">
        <f t="shared" si="77"/>
        <v>1530.8899999999999</v>
      </c>
      <c r="U97" s="95">
        <f t="shared" ref="U97:V97" si="78">U58+U62+U80+U76+U92+U96</f>
        <v>1567.49</v>
      </c>
      <c r="V97" s="95">
        <f t="shared" si="78"/>
        <v>1559.49</v>
      </c>
      <c r="W97" s="95">
        <f t="shared" ref="W97:X97" si="79">W58+W62+W80+W76+W92+W96</f>
        <v>1578.9899999999998</v>
      </c>
      <c r="X97" s="95">
        <f t="shared" si="79"/>
        <v>1538.49</v>
      </c>
      <c r="Y97" s="95">
        <f t="shared" ref="Y97:Z97" si="80">Y58+Y62+Y80+Y76+Y92+Y96</f>
        <v>1823.29</v>
      </c>
      <c r="Z97" s="95">
        <f t="shared" si="80"/>
        <v>1825.39</v>
      </c>
      <c r="AA97" s="95">
        <f t="shared" ref="AA97" si="81">AA58+AA62+AA80+AA76+AA92+AA96</f>
        <v>1771.6899999999998</v>
      </c>
      <c r="AB97" s="95">
        <f t="shared" si="76"/>
        <v>1582.9900000000002</v>
      </c>
      <c r="AC97" s="95">
        <f t="shared" ref="AC97:AD97" si="82">AC58+AC62+AC80+AC76+AC92+AC96</f>
        <v>1490.89</v>
      </c>
      <c r="AD97" s="95">
        <f t="shared" si="82"/>
        <v>1414.29</v>
      </c>
      <c r="AE97" s="95">
        <f t="shared" ref="AE97:AF97" si="83">AE58+AE62+AE80+AE76+AE92+AE96</f>
        <v>1353.99</v>
      </c>
      <c r="AF97" s="95">
        <f t="shared" si="83"/>
        <v>1259.29</v>
      </c>
      <c r="AG97" s="61">
        <f t="shared" si="76"/>
        <v>2231.81</v>
      </c>
      <c r="AH97" s="47">
        <f t="shared" si="66"/>
        <v>1825.39</v>
      </c>
      <c r="AI97" s="48">
        <f t="shared" si="67"/>
        <v>1185.8900000000001</v>
      </c>
      <c r="BF97" s="233"/>
      <c r="BG97" s="233">
        <v>63.9</v>
      </c>
      <c r="BH97" s="233">
        <v>0</v>
      </c>
      <c r="BI97" s="233">
        <v>515.79999999999995</v>
      </c>
      <c r="BJ97" s="233">
        <v>41.7</v>
      </c>
      <c r="BK97" s="233">
        <v>120</v>
      </c>
      <c r="BL97" s="233">
        <v>79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>
        <v>50</v>
      </c>
      <c r="L98" s="97">
        <v>250</v>
      </c>
      <c r="M98" s="97">
        <v>250</v>
      </c>
      <c r="N98" s="97">
        <v>250</v>
      </c>
      <c r="O98" s="97">
        <v>250</v>
      </c>
      <c r="P98" s="97">
        <v>250</v>
      </c>
      <c r="Q98" s="97"/>
      <c r="R98" s="97"/>
      <c r="S98" s="97"/>
      <c r="T98" s="97"/>
      <c r="U98" s="97"/>
      <c r="V98" s="97"/>
      <c r="W98" s="97"/>
      <c r="X98" s="97"/>
      <c r="Y98" s="97"/>
      <c r="Z98" s="97">
        <v>200</v>
      </c>
      <c r="AA98" s="97">
        <v>200</v>
      </c>
      <c r="AB98" s="97">
        <v>100</v>
      </c>
      <c r="AC98" s="97">
        <v>70</v>
      </c>
      <c r="AD98" s="97">
        <v>0</v>
      </c>
      <c r="AE98" s="97">
        <v>0</v>
      </c>
      <c r="AF98" s="97">
        <v>0</v>
      </c>
      <c r="AG98" s="88"/>
      <c r="AH98" s="47">
        <f t="shared" si="66"/>
        <v>250</v>
      </c>
      <c r="AI98" s="48">
        <f t="shared" si="67"/>
        <v>0</v>
      </c>
      <c r="BF98" s="233"/>
      <c r="BG98" s="233">
        <v>69.900000000000006</v>
      </c>
      <c r="BH98" s="233">
        <v>0</v>
      </c>
      <c r="BI98" s="233">
        <v>507.8</v>
      </c>
      <c r="BJ98" s="233">
        <v>40.200000000000003</v>
      </c>
      <c r="BK98" s="233">
        <v>114</v>
      </c>
      <c r="BL98" s="233">
        <v>85</v>
      </c>
    </row>
    <row r="99" spans="1:64" ht="15.75" thickBot="1" x14ac:dyDescent="0.3">
      <c r="A99" s="74" t="s">
        <v>101</v>
      </c>
      <c r="B99" s="95">
        <f t="shared" ref="B99:AB99" si="84">B97+B98</f>
        <v>1222.19</v>
      </c>
      <c r="C99" s="95">
        <f t="shared" si="84"/>
        <v>1243.8900000000001</v>
      </c>
      <c r="D99" s="95">
        <f t="shared" si="84"/>
        <v>1223.19</v>
      </c>
      <c r="E99" s="95">
        <f t="shared" si="84"/>
        <v>1185.8900000000001</v>
      </c>
      <c r="F99" s="95">
        <f t="shared" si="84"/>
        <v>1205.29</v>
      </c>
      <c r="G99" s="95">
        <f t="shared" si="84"/>
        <v>1222.99</v>
      </c>
      <c r="H99" s="95">
        <f t="shared" si="84"/>
        <v>1262.19</v>
      </c>
      <c r="I99" s="95">
        <f t="shared" si="84"/>
        <v>1364.5900000000001</v>
      </c>
      <c r="J99" s="95">
        <f t="shared" si="84"/>
        <v>1499.59</v>
      </c>
      <c r="K99" s="95">
        <f t="shared" si="84"/>
        <v>1527.0900000000001</v>
      </c>
      <c r="L99" s="95">
        <f t="shared" si="84"/>
        <v>1649.29</v>
      </c>
      <c r="M99" s="95">
        <f t="shared" si="84"/>
        <v>1646.19</v>
      </c>
      <c r="N99" s="95">
        <f t="shared" si="84"/>
        <v>1783.99</v>
      </c>
      <c r="O99" s="95">
        <f t="shared" si="84"/>
        <v>1546.59</v>
      </c>
      <c r="P99" s="95">
        <f t="shared" si="84"/>
        <v>1650.59</v>
      </c>
      <c r="Q99" s="95">
        <f t="shared" si="84"/>
        <v>1495.9899999999998</v>
      </c>
      <c r="R99" s="95">
        <f t="shared" si="84"/>
        <v>1436.4899999999998</v>
      </c>
      <c r="S99" s="95">
        <f t="shared" ref="S99:T99" si="85">S97+S98</f>
        <v>1522.59</v>
      </c>
      <c r="T99" s="95">
        <f t="shared" si="85"/>
        <v>1530.8899999999999</v>
      </c>
      <c r="U99" s="95">
        <f t="shared" ref="U99:V99" si="86">U97+U98</f>
        <v>1567.49</v>
      </c>
      <c r="V99" s="95">
        <f t="shared" si="86"/>
        <v>1559.49</v>
      </c>
      <c r="W99" s="95">
        <f t="shared" ref="W99:X99" si="87">W97+W98</f>
        <v>1578.9899999999998</v>
      </c>
      <c r="X99" s="95">
        <f t="shared" si="87"/>
        <v>1538.49</v>
      </c>
      <c r="Y99" s="95">
        <f t="shared" ref="Y99:Z99" si="88">Y97+Y98</f>
        <v>1823.29</v>
      </c>
      <c r="Z99" s="95">
        <f t="shared" si="88"/>
        <v>2025.39</v>
      </c>
      <c r="AA99" s="95">
        <f t="shared" ref="AA99" si="89">AA97+AA98</f>
        <v>1971.6899999999998</v>
      </c>
      <c r="AB99" s="95">
        <f t="shared" si="84"/>
        <v>1682.9900000000002</v>
      </c>
      <c r="AC99" s="95">
        <f t="shared" ref="AC99:AD99" si="90">AC97+AC98</f>
        <v>1560.89</v>
      </c>
      <c r="AD99" s="95">
        <f t="shared" si="90"/>
        <v>1414.29</v>
      </c>
      <c r="AE99" s="95">
        <f t="shared" ref="AE99:AF99" si="91">AE97+AE98</f>
        <v>1353.99</v>
      </c>
      <c r="AF99" s="95">
        <f t="shared" si="91"/>
        <v>1259.29</v>
      </c>
      <c r="AG99" s="88">
        <f>AG96+AG92+AG80+AG76+AG58+AG98</f>
        <v>1693.71</v>
      </c>
      <c r="AH99" s="47">
        <f t="shared" si="66"/>
        <v>2025.39</v>
      </c>
      <c r="AI99" s="48">
        <f t="shared" si="67"/>
        <v>1185.8900000000001</v>
      </c>
      <c r="BF99" s="233"/>
      <c r="BG99" s="233">
        <v>71.7</v>
      </c>
      <c r="BH99" s="233">
        <v>0</v>
      </c>
      <c r="BI99" s="233">
        <v>567.70000000000005</v>
      </c>
      <c r="BJ99" s="233">
        <v>43.4</v>
      </c>
      <c r="BK99" s="233">
        <v>107</v>
      </c>
      <c r="BL99" s="233">
        <v>83</v>
      </c>
    </row>
    <row r="100" spans="1:64" ht="15.75" thickBot="1" x14ac:dyDescent="0.3">
      <c r="A100" s="74" t="s">
        <v>102</v>
      </c>
      <c r="B100" s="95">
        <f t="shared" ref="B100:M100" si="92">B99-(B107)</f>
        <v>1222.19</v>
      </c>
      <c r="C100" s="95">
        <f t="shared" si="92"/>
        <v>1243.8900000000001</v>
      </c>
      <c r="D100" s="95">
        <f t="shared" si="92"/>
        <v>1223.19</v>
      </c>
      <c r="E100" s="95">
        <f t="shared" si="92"/>
        <v>1185.8900000000001</v>
      </c>
      <c r="F100" s="95">
        <f t="shared" si="92"/>
        <v>1205.29</v>
      </c>
      <c r="G100" s="95">
        <f t="shared" si="92"/>
        <v>1222.99</v>
      </c>
      <c r="H100" s="95">
        <f t="shared" si="92"/>
        <v>1262.19</v>
      </c>
      <c r="I100" s="95">
        <f t="shared" si="92"/>
        <v>1364.5900000000001</v>
      </c>
      <c r="J100" s="95">
        <f t="shared" si="92"/>
        <v>1499.59</v>
      </c>
      <c r="K100" s="95">
        <f t="shared" si="92"/>
        <v>1527.0900000000001</v>
      </c>
      <c r="L100" s="95">
        <f t="shared" si="92"/>
        <v>1649.29</v>
      </c>
      <c r="M100" s="95">
        <f t="shared" si="92"/>
        <v>1646.19</v>
      </c>
      <c r="N100" s="95">
        <f>N99-(N107)</f>
        <v>1783.99</v>
      </c>
      <c r="O100" s="95">
        <f t="shared" ref="O100:AB100" si="93">O99-(O107)</f>
        <v>1546.59</v>
      </c>
      <c r="P100" s="95">
        <f t="shared" si="93"/>
        <v>1650.59</v>
      </c>
      <c r="Q100" s="95">
        <f t="shared" si="93"/>
        <v>1495.9899999999998</v>
      </c>
      <c r="R100" s="95">
        <f t="shared" si="93"/>
        <v>1436.4899999999998</v>
      </c>
      <c r="S100" s="95">
        <f t="shared" ref="S100:T100" si="94">S99-(S107)</f>
        <v>1522.59</v>
      </c>
      <c r="T100" s="95">
        <f t="shared" si="94"/>
        <v>1530.8899999999999</v>
      </c>
      <c r="U100" s="95">
        <f t="shared" ref="U100:V100" si="95">U99-(U107)</f>
        <v>1567.49</v>
      </c>
      <c r="V100" s="95">
        <f t="shared" si="95"/>
        <v>1559.49</v>
      </c>
      <c r="W100" s="95">
        <f t="shared" ref="W100:X100" si="96">W99-(W107)</f>
        <v>1578.9899999999998</v>
      </c>
      <c r="X100" s="95">
        <f t="shared" si="96"/>
        <v>1538.49</v>
      </c>
      <c r="Y100" s="95">
        <f t="shared" ref="Y100:Z100" si="97">Y99-(Y107)</f>
        <v>1823.29</v>
      </c>
      <c r="Z100" s="95">
        <f t="shared" si="97"/>
        <v>2025.39</v>
      </c>
      <c r="AA100" s="95">
        <f t="shared" ref="AA100" si="98">AA99-(AA107)</f>
        <v>1971.6899999999998</v>
      </c>
      <c r="AB100" s="95">
        <f t="shared" si="93"/>
        <v>1682.9900000000002</v>
      </c>
      <c r="AC100" s="95">
        <f t="shared" ref="AC100:AD100" si="99">AC99-(AC107)</f>
        <v>1560.89</v>
      </c>
      <c r="AD100" s="95">
        <f t="shared" si="99"/>
        <v>1414.29</v>
      </c>
      <c r="AE100" s="95">
        <f t="shared" ref="AE100:AF100" si="100">AE99-(AE107)</f>
        <v>1353.99</v>
      </c>
      <c r="AF100" s="95">
        <f t="shared" si="100"/>
        <v>1259.29</v>
      </c>
      <c r="AG100" s="88"/>
      <c r="AH100" s="47">
        <f t="shared" si="66"/>
        <v>2025.39</v>
      </c>
      <c r="AI100" s="48">
        <f t="shared" si="67"/>
        <v>1185.8900000000001</v>
      </c>
      <c r="BF100" s="233"/>
      <c r="BG100" s="233">
        <v>67</v>
      </c>
      <c r="BH100" s="233">
        <v>0</v>
      </c>
      <c r="BI100" s="233">
        <v>477.5</v>
      </c>
      <c r="BJ100" s="233">
        <v>37.700000000000003</v>
      </c>
      <c r="BK100" s="233">
        <v>106</v>
      </c>
      <c r="BL100" s="233">
        <v>67</v>
      </c>
    </row>
    <row r="101" spans="1:64" x14ac:dyDescent="0.25">
      <c r="A101" s="44" t="s">
        <v>84</v>
      </c>
      <c r="B101" s="76">
        <f t="shared" ref="B101:AB101" si="101">IF(B84&lt;0,B84*-1,0)</f>
        <v>0</v>
      </c>
      <c r="C101" s="76">
        <f t="shared" si="101"/>
        <v>0</v>
      </c>
      <c r="D101" s="76">
        <f t="shared" si="101"/>
        <v>0</v>
      </c>
      <c r="E101" s="76">
        <f t="shared" si="101"/>
        <v>0</v>
      </c>
      <c r="F101" s="76">
        <f t="shared" si="101"/>
        <v>0</v>
      </c>
      <c r="G101" s="76">
        <f t="shared" si="101"/>
        <v>0</v>
      </c>
      <c r="H101" s="76">
        <f t="shared" si="101"/>
        <v>0</v>
      </c>
      <c r="I101" s="76">
        <f t="shared" si="101"/>
        <v>0</v>
      </c>
      <c r="J101" s="76">
        <f t="shared" si="101"/>
        <v>0</v>
      </c>
      <c r="K101" s="76">
        <f t="shared" si="101"/>
        <v>0</v>
      </c>
      <c r="L101" s="76">
        <f t="shared" si="101"/>
        <v>0</v>
      </c>
      <c r="M101" s="76">
        <f t="shared" si="101"/>
        <v>0</v>
      </c>
      <c r="N101" s="76">
        <f t="shared" si="101"/>
        <v>0</v>
      </c>
      <c r="O101" s="76">
        <f t="shared" si="101"/>
        <v>0</v>
      </c>
      <c r="P101" s="76">
        <f t="shared" si="101"/>
        <v>0</v>
      </c>
      <c r="Q101" s="76">
        <f t="shared" si="101"/>
        <v>0</v>
      </c>
      <c r="R101" s="76">
        <f t="shared" si="101"/>
        <v>0</v>
      </c>
      <c r="S101" s="76">
        <f t="shared" ref="S101:T101" si="102">IF(S84&lt;0,S84*-1,0)</f>
        <v>0</v>
      </c>
      <c r="T101" s="76">
        <f t="shared" si="102"/>
        <v>0</v>
      </c>
      <c r="U101" s="76">
        <f t="shared" ref="U101:V101" si="103">IF(U84&lt;0,U84*-1,0)</f>
        <v>0</v>
      </c>
      <c r="V101" s="76">
        <f t="shared" si="103"/>
        <v>0</v>
      </c>
      <c r="W101" s="76">
        <f t="shared" ref="W101:X101" si="104">IF(W84&lt;0,W84*-1,0)</f>
        <v>0</v>
      </c>
      <c r="X101" s="76">
        <f t="shared" si="104"/>
        <v>0</v>
      </c>
      <c r="Y101" s="76">
        <f t="shared" ref="Y101:Z101" si="105">IF(Y84&lt;0,Y84*-1,0)</f>
        <v>0</v>
      </c>
      <c r="Z101" s="76">
        <f t="shared" si="105"/>
        <v>0</v>
      </c>
      <c r="AA101" s="76">
        <f t="shared" ref="AA101" si="106">IF(AA84&lt;0,AA84*-1,0)</f>
        <v>0</v>
      </c>
      <c r="AB101" s="76">
        <f t="shared" si="101"/>
        <v>0</v>
      </c>
      <c r="AC101" s="76">
        <f t="shared" ref="AC101:AD101" si="107">IF(AC84&lt;0,AC84*-1,0)</f>
        <v>0</v>
      </c>
      <c r="AD101" s="76">
        <f t="shared" si="107"/>
        <v>0</v>
      </c>
      <c r="AE101" s="76">
        <f t="shared" ref="AE101:AF101" si="108">IF(AE84&lt;0,AE84*-1,0)</f>
        <v>0</v>
      </c>
      <c r="AF101" s="76">
        <f t="shared" si="108"/>
        <v>0</v>
      </c>
      <c r="AG101" s="52"/>
      <c r="AH101" s="47">
        <f t="shared" si="66"/>
        <v>0</v>
      </c>
      <c r="AI101" s="48">
        <f t="shared" si="67"/>
        <v>0</v>
      </c>
      <c r="BF101" s="232"/>
      <c r="BG101" s="233">
        <v>65.599999999999994</v>
      </c>
      <c r="BH101" s="233">
        <v>0</v>
      </c>
      <c r="BI101" s="233">
        <v>338.9</v>
      </c>
      <c r="BJ101" s="233">
        <v>41.2</v>
      </c>
      <c r="BK101" s="233">
        <v>106.4</v>
      </c>
      <c r="BL101" s="233">
        <v>75</v>
      </c>
    </row>
    <row r="102" spans="1:64" x14ac:dyDescent="0.25">
      <c r="A102" s="54" t="s">
        <v>82</v>
      </c>
      <c r="B102" s="76">
        <f t="shared" ref="B102:AB102" si="109">IF(B82&lt;0,B82*-1,0)</f>
        <v>0</v>
      </c>
      <c r="C102" s="76">
        <f t="shared" si="109"/>
        <v>0</v>
      </c>
      <c r="D102" s="76">
        <f t="shared" si="109"/>
        <v>0</v>
      </c>
      <c r="E102" s="76">
        <f t="shared" si="109"/>
        <v>0</v>
      </c>
      <c r="F102" s="76">
        <f t="shared" si="109"/>
        <v>0</v>
      </c>
      <c r="G102" s="76">
        <f t="shared" si="109"/>
        <v>0</v>
      </c>
      <c r="H102" s="76">
        <f t="shared" si="109"/>
        <v>0</v>
      </c>
      <c r="I102" s="76">
        <f t="shared" si="109"/>
        <v>0</v>
      </c>
      <c r="J102" s="76">
        <f t="shared" si="109"/>
        <v>0</v>
      </c>
      <c r="K102" s="76">
        <f t="shared" si="109"/>
        <v>0</v>
      </c>
      <c r="L102" s="76">
        <f t="shared" si="109"/>
        <v>0</v>
      </c>
      <c r="M102" s="76">
        <f t="shared" si="109"/>
        <v>0</v>
      </c>
      <c r="N102" s="76">
        <f t="shared" si="109"/>
        <v>0</v>
      </c>
      <c r="O102" s="76">
        <f t="shared" si="109"/>
        <v>0</v>
      </c>
      <c r="P102" s="76">
        <f t="shared" si="109"/>
        <v>0</v>
      </c>
      <c r="Q102" s="76">
        <f t="shared" si="109"/>
        <v>0</v>
      </c>
      <c r="R102" s="76">
        <f t="shared" si="109"/>
        <v>0</v>
      </c>
      <c r="S102" s="76">
        <f t="shared" ref="S102:T102" si="110">IF(S82&lt;0,S82*-1,0)</f>
        <v>0</v>
      </c>
      <c r="T102" s="76">
        <f t="shared" si="110"/>
        <v>0</v>
      </c>
      <c r="U102" s="76">
        <f t="shared" ref="U102:V102" si="111">IF(U82&lt;0,U82*-1,0)</f>
        <v>0</v>
      </c>
      <c r="V102" s="76">
        <f t="shared" si="111"/>
        <v>0</v>
      </c>
      <c r="W102" s="76">
        <f t="shared" ref="W102:X102" si="112">IF(W82&lt;0,W82*-1,0)</f>
        <v>0</v>
      </c>
      <c r="X102" s="76">
        <f t="shared" si="112"/>
        <v>0</v>
      </c>
      <c r="Y102" s="76">
        <f t="shared" ref="Y102:Z102" si="113">IF(Y82&lt;0,Y82*-1,0)</f>
        <v>0</v>
      </c>
      <c r="Z102" s="76">
        <f t="shared" si="113"/>
        <v>0</v>
      </c>
      <c r="AA102" s="76">
        <f t="shared" ref="AA102" si="114">IF(AA82&lt;0,AA82*-1,0)</f>
        <v>0</v>
      </c>
      <c r="AB102" s="76">
        <f t="shared" si="109"/>
        <v>0</v>
      </c>
      <c r="AC102" s="76">
        <f t="shared" ref="AC102:AD102" si="115">IF(AC82&lt;0,AC82*-1,0)</f>
        <v>0</v>
      </c>
      <c r="AD102" s="76">
        <f t="shared" si="115"/>
        <v>0</v>
      </c>
      <c r="AE102" s="76">
        <f t="shared" ref="AE102:AF102" si="116">IF(AE82&lt;0,AE82*-1,0)</f>
        <v>0</v>
      </c>
      <c r="AF102" s="76">
        <f t="shared" si="116"/>
        <v>0</v>
      </c>
      <c r="AG102" s="55"/>
      <c r="AH102" s="47">
        <f t="shared" si="66"/>
        <v>0</v>
      </c>
      <c r="AI102" s="48">
        <f t="shared" si="67"/>
        <v>0</v>
      </c>
      <c r="BF102" s="232"/>
      <c r="BG102" s="233">
        <v>69</v>
      </c>
      <c r="BH102" s="233">
        <v>0</v>
      </c>
      <c r="BI102" s="233">
        <v>237.8</v>
      </c>
      <c r="BJ102" s="233">
        <v>43.1</v>
      </c>
      <c r="BK102" s="233">
        <v>104.5</v>
      </c>
      <c r="BL102" s="233">
        <v>71</v>
      </c>
    </row>
    <row r="103" spans="1:64" x14ac:dyDescent="0.25">
      <c r="A103" s="84" t="s">
        <v>103</v>
      </c>
      <c r="B103" s="76">
        <f t="shared" ref="B103:AB103" si="117">IF(B85&lt;0,B85*-1,0)</f>
        <v>0</v>
      </c>
      <c r="C103" s="76">
        <f t="shared" si="117"/>
        <v>0</v>
      </c>
      <c r="D103" s="76">
        <f t="shared" si="117"/>
        <v>0</v>
      </c>
      <c r="E103" s="76">
        <f t="shared" si="117"/>
        <v>0</v>
      </c>
      <c r="F103" s="76">
        <f t="shared" si="117"/>
        <v>0</v>
      </c>
      <c r="G103" s="76">
        <f t="shared" si="117"/>
        <v>0</v>
      </c>
      <c r="H103" s="76">
        <f t="shared" si="117"/>
        <v>0</v>
      </c>
      <c r="I103" s="76">
        <f t="shared" si="117"/>
        <v>0</v>
      </c>
      <c r="J103" s="76">
        <f t="shared" si="117"/>
        <v>0</v>
      </c>
      <c r="K103" s="76">
        <f t="shared" si="117"/>
        <v>0</v>
      </c>
      <c r="L103" s="76">
        <f t="shared" si="117"/>
        <v>0</v>
      </c>
      <c r="M103" s="76">
        <f t="shared" si="117"/>
        <v>0</v>
      </c>
      <c r="N103" s="76">
        <f t="shared" si="117"/>
        <v>0</v>
      </c>
      <c r="O103" s="76">
        <f t="shared" si="117"/>
        <v>0</v>
      </c>
      <c r="P103" s="76">
        <f t="shared" si="117"/>
        <v>0</v>
      </c>
      <c r="Q103" s="76">
        <f t="shared" si="117"/>
        <v>0</v>
      </c>
      <c r="R103" s="76">
        <f t="shared" si="117"/>
        <v>0</v>
      </c>
      <c r="S103" s="76">
        <f t="shared" ref="S103:T103" si="118">IF(S85&lt;0,S85*-1,0)</f>
        <v>0</v>
      </c>
      <c r="T103" s="76">
        <f t="shared" si="118"/>
        <v>0</v>
      </c>
      <c r="U103" s="76">
        <f t="shared" ref="U103:V103" si="119">IF(U85&lt;0,U85*-1,0)</f>
        <v>0</v>
      </c>
      <c r="V103" s="76">
        <f t="shared" si="119"/>
        <v>0</v>
      </c>
      <c r="W103" s="76">
        <f t="shared" ref="W103:X103" si="120">IF(W85&lt;0,W85*-1,0)</f>
        <v>0</v>
      </c>
      <c r="X103" s="76">
        <f t="shared" si="120"/>
        <v>0</v>
      </c>
      <c r="Y103" s="76">
        <f t="shared" ref="Y103:Z103" si="121">IF(Y85&lt;0,Y85*-1,0)</f>
        <v>0</v>
      </c>
      <c r="Z103" s="76">
        <f t="shared" si="121"/>
        <v>0</v>
      </c>
      <c r="AA103" s="76">
        <f t="shared" ref="AA103" si="122">IF(AA85&lt;0,AA85*-1,0)</f>
        <v>0</v>
      </c>
      <c r="AB103" s="76">
        <f t="shared" si="117"/>
        <v>0</v>
      </c>
      <c r="AC103" s="76">
        <f t="shared" ref="AC103:AD103" si="123">IF(AC85&lt;0,AC85*-1,0)</f>
        <v>0</v>
      </c>
      <c r="AD103" s="76">
        <f t="shared" si="123"/>
        <v>0</v>
      </c>
      <c r="AE103" s="76">
        <f t="shared" ref="AE103:AF103" si="124">IF(AE85&lt;0,AE85*-1,0)</f>
        <v>0</v>
      </c>
      <c r="AF103" s="76">
        <f t="shared" si="124"/>
        <v>0</v>
      </c>
      <c r="AG103" s="98"/>
      <c r="AH103" s="47">
        <f t="shared" si="66"/>
        <v>0</v>
      </c>
      <c r="AI103" s="48">
        <f t="shared" si="67"/>
        <v>0</v>
      </c>
      <c r="BF103" s="232"/>
      <c r="BG103" s="233">
        <v>69.099999999999994</v>
      </c>
      <c r="BH103" s="233">
        <v>0</v>
      </c>
      <c r="BI103" s="233">
        <v>123</v>
      </c>
      <c r="BJ103" s="233">
        <v>37.799999999999997</v>
      </c>
      <c r="BK103" s="233">
        <v>103.6</v>
      </c>
      <c r="BL103" s="233">
        <v>62</v>
      </c>
    </row>
    <row r="104" spans="1:64" x14ac:dyDescent="0.25">
      <c r="A104" s="84" t="s">
        <v>104</v>
      </c>
      <c r="B104" s="76">
        <f t="shared" ref="B104:AB104" si="125">IF(B83&lt;0,B83*-1,0)</f>
        <v>0</v>
      </c>
      <c r="C104" s="76">
        <f t="shared" si="125"/>
        <v>0</v>
      </c>
      <c r="D104" s="76">
        <f t="shared" si="125"/>
        <v>0</v>
      </c>
      <c r="E104" s="76">
        <f t="shared" si="125"/>
        <v>0</v>
      </c>
      <c r="F104" s="76">
        <f t="shared" si="125"/>
        <v>0</v>
      </c>
      <c r="G104" s="76">
        <f t="shared" si="125"/>
        <v>0</v>
      </c>
      <c r="H104" s="76">
        <f t="shared" si="125"/>
        <v>0</v>
      </c>
      <c r="I104" s="76">
        <f t="shared" si="125"/>
        <v>0</v>
      </c>
      <c r="J104" s="76">
        <f t="shared" si="125"/>
        <v>0</v>
      </c>
      <c r="K104" s="76">
        <f t="shared" si="125"/>
        <v>0</v>
      </c>
      <c r="L104" s="76">
        <f t="shared" si="125"/>
        <v>0</v>
      </c>
      <c r="M104" s="76">
        <f t="shared" si="125"/>
        <v>0</v>
      </c>
      <c r="N104" s="76">
        <f t="shared" si="125"/>
        <v>0</v>
      </c>
      <c r="O104" s="76">
        <f t="shared" si="125"/>
        <v>0</v>
      </c>
      <c r="P104" s="76">
        <f t="shared" si="125"/>
        <v>0</v>
      </c>
      <c r="Q104" s="76">
        <f t="shared" si="125"/>
        <v>0</v>
      </c>
      <c r="R104" s="76">
        <f t="shared" si="125"/>
        <v>0</v>
      </c>
      <c r="S104" s="76">
        <f t="shared" ref="S104:T104" si="126">IF(S83&lt;0,S83*-1,0)</f>
        <v>0</v>
      </c>
      <c r="T104" s="76">
        <f t="shared" si="126"/>
        <v>0</v>
      </c>
      <c r="U104" s="76">
        <f t="shared" ref="U104:V104" si="127">IF(U83&lt;0,U83*-1,0)</f>
        <v>0</v>
      </c>
      <c r="V104" s="76">
        <f t="shared" si="127"/>
        <v>0</v>
      </c>
      <c r="W104" s="76">
        <f t="shared" ref="W104:X104" si="128">IF(W83&lt;0,W83*-1,0)</f>
        <v>0</v>
      </c>
      <c r="X104" s="76">
        <f t="shared" si="128"/>
        <v>0</v>
      </c>
      <c r="Y104" s="76">
        <f t="shared" ref="Y104:Z104" si="129">IF(Y83&lt;0,Y83*-1,0)</f>
        <v>0</v>
      </c>
      <c r="Z104" s="76">
        <f t="shared" si="129"/>
        <v>0</v>
      </c>
      <c r="AA104" s="76">
        <f t="shared" ref="AA104" si="130">IF(AA83&lt;0,AA83*-1,0)</f>
        <v>0</v>
      </c>
      <c r="AB104" s="76">
        <f t="shared" si="125"/>
        <v>0</v>
      </c>
      <c r="AC104" s="76">
        <f t="shared" ref="AC104:AD104" si="131">IF(AC83&lt;0,AC83*-1,0)</f>
        <v>0</v>
      </c>
      <c r="AD104" s="76">
        <f t="shared" si="131"/>
        <v>0</v>
      </c>
      <c r="AE104" s="76">
        <f t="shared" ref="AE104:AF104" si="132">IF(AE83&lt;0,AE83*-1,0)</f>
        <v>0</v>
      </c>
      <c r="AF104" s="76">
        <f t="shared" si="132"/>
        <v>0</v>
      </c>
      <c r="AG104" s="98"/>
      <c r="AH104" s="47">
        <f t="shared" si="66"/>
        <v>0</v>
      </c>
      <c r="AI104" s="48">
        <f t="shared" si="67"/>
        <v>0</v>
      </c>
      <c r="BF104" s="232"/>
      <c r="BG104" s="233">
        <v>68</v>
      </c>
      <c r="BH104" s="233">
        <v>0</v>
      </c>
      <c r="BI104" s="233">
        <v>308</v>
      </c>
      <c r="BJ104" s="233">
        <v>40</v>
      </c>
      <c r="BK104" s="233">
        <v>124</v>
      </c>
      <c r="BL104" s="233">
        <v>62</v>
      </c>
    </row>
    <row r="105" spans="1:64" x14ac:dyDescent="0.25">
      <c r="A105" s="84" t="s">
        <v>81</v>
      </c>
      <c r="B105" s="76">
        <f t="shared" ref="B105:AB105" si="133">IF(B81&lt;0,B81*-1,0)</f>
        <v>0</v>
      </c>
      <c r="C105" s="76">
        <f t="shared" si="133"/>
        <v>0</v>
      </c>
      <c r="D105" s="76">
        <f t="shared" si="133"/>
        <v>0</v>
      </c>
      <c r="E105" s="76">
        <f t="shared" si="133"/>
        <v>0</v>
      </c>
      <c r="F105" s="76">
        <f t="shared" si="133"/>
        <v>0</v>
      </c>
      <c r="G105" s="76">
        <f t="shared" si="133"/>
        <v>0</v>
      </c>
      <c r="H105" s="76">
        <f t="shared" si="133"/>
        <v>0</v>
      </c>
      <c r="I105" s="76">
        <f t="shared" si="133"/>
        <v>0</v>
      </c>
      <c r="J105" s="76">
        <f t="shared" si="133"/>
        <v>0</v>
      </c>
      <c r="K105" s="76">
        <f t="shared" si="133"/>
        <v>0</v>
      </c>
      <c r="L105" s="76">
        <f t="shared" si="133"/>
        <v>0</v>
      </c>
      <c r="M105" s="76">
        <f t="shared" si="133"/>
        <v>0</v>
      </c>
      <c r="N105" s="76">
        <f t="shared" si="133"/>
        <v>0</v>
      </c>
      <c r="O105" s="76">
        <f t="shared" si="133"/>
        <v>0</v>
      </c>
      <c r="P105" s="76">
        <f t="shared" si="133"/>
        <v>0</v>
      </c>
      <c r="Q105" s="76">
        <f t="shared" si="133"/>
        <v>0</v>
      </c>
      <c r="R105" s="76">
        <f t="shared" si="133"/>
        <v>0</v>
      </c>
      <c r="S105" s="76">
        <f t="shared" ref="S105:T105" si="134">IF(S81&lt;0,S81*-1,0)</f>
        <v>0</v>
      </c>
      <c r="T105" s="76">
        <f t="shared" si="134"/>
        <v>0</v>
      </c>
      <c r="U105" s="76">
        <f t="shared" ref="U105:V105" si="135">IF(U81&lt;0,U81*-1,0)</f>
        <v>0</v>
      </c>
      <c r="V105" s="76">
        <f t="shared" si="135"/>
        <v>0</v>
      </c>
      <c r="W105" s="76">
        <f t="shared" ref="W105:X105" si="136">IF(W81&lt;0,W81*-1,0)</f>
        <v>0</v>
      </c>
      <c r="X105" s="76">
        <f t="shared" si="136"/>
        <v>0</v>
      </c>
      <c r="Y105" s="76">
        <f t="shared" ref="Y105:Z105" si="137">IF(Y81&lt;0,Y81*-1,0)</f>
        <v>0</v>
      </c>
      <c r="Z105" s="76">
        <f t="shared" si="137"/>
        <v>0</v>
      </c>
      <c r="AA105" s="76">
        <f t="shared" ref="AA105" si="138">IF(AA81&lt;0,AA81*-1,0)</f>
        <v>0</v>
      </c>
      <c r="AB105" s="76">
        <f t="shared" si="133"/>
        <v>0</v>
      </c>
      <c r="AC105" s="76">
        <f t="shared" ref="AC105:AD105" si="139">IF(AC81&lt;0,AC81*-1,0)</f>
        <v>0</v>
      </c>
      <c r="AD105" s="76">
        <f t="shared" si="139"/>
        <v>0</v>
      </c>
      <c r="AE105" s="76">
        <f t="shared" ref="AE105:AF105" si="140">IF(AE81&lt;0,AE81*-1,0)</f>
        <v>0</v>
      </c>
      <c r="AF105" s="76">
        <f t="shared" si="140"/>
        <v>0</v>
      </c>
      <c r="AG105" s="98"/>
      <c r="AH105" s="47">
        <f t="shared" si="66"/>
        <v>0</v>
      </c>
      <c r="AI105" s="48">
        <f t="shared" si="67"/>
        <v>0</v>
      </c>
      <c r="BF105" s="232"/>
      <c r="BG105" s="233">
        <v>60.7</v>
      </c>
      <c r="BH105" s="233">
        <v>0</v>
      </c>
      <c r="BI105" s="233">
        <v>355</v>
      </c>
      <c r="BJ105" s="233">
        <v>36</v>
      </c>
      <c r="BK105" s="233">
        <v>108</v>
      </c>
      <c r="BL105" s="233">
        <v>62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66"/>
        <v>0</v>
      </c>
      <c r="AI106" s="48">
        <f t="shared" si="67"/>
        <v>0</v>
      </c>
      <c r="BG106" s="233">
        <v>55</v>
      </c>
      <c r="BH106" s="233">
        <v>0</v>
      </c>
      <c r="BI106" s="233">
        <v>388</v>
      </c>
      <c r="BJ106" s="233">
        <v>39</v>
      </c>
      <c r="BK106" s="233">
        <v>110</v>
      </c>
      <c r="BL106" s="233">
        <v>62</v>
      </c>
    </row>
    <row r="107" spans="1:64" ht="15.75" thickBot="1" x14ac:dyDescent="0.3">
      <c r="A107" s="99" t="s">
        <v>106</v>
      </c>
      <c r="B107" s="60">
        <f t="shared" ref="B107:C107" si="141">SUM(B101:B106)</f>
        <v>0</v>
      </c>
      <c r="C107" s="60">
        <f t="shared" si="141"/>
        <v>0</v>
      </c>
      <c r="D107" s="60">
        <f t="shared" ref="D107:AB107" si="142">SUM(D101:D106)</f>
        <v>0</v>
      </c>
      <c r="E107" s="60">
        <f t="shared" si="142"/>
        <v>0</v>
      </c>
      <c r="F107" s="60">
        <f t="shared" si="142"/>
        <v>0</v>
      </c>
      <c r="G107" s="60">
        <f t="shared" si="142"/>
        <v>0</v>
      </c>
      <c r="H107" s="60">
        <f t="shared" si="142"/>
        <v>0</v>
      </c>
      <c r="I107" s="60">
        <f t="shared" si="142"/>
        <v>0</v>
      </c>
      <c r="J107" s="60">
        <f t="shared" si="142"/>
        <v>0</v>
      </c>
      <c r="K107" s="60">
        <f t="shared" si="142"/>
        <v>0</v>
      </c>
      <c r="L107" s="60">
        <f t="shared" si="142"/>
        <v>0</v>
      </c>
      <c r="M107" s="60">
        <f t="shared" si="142"/>
        <v>0</v>
      </c>
      <c r="N107" s="60">
        <f t="shared" si="142"/>
        <v>0</v>
      </c>
      <c r="O107" s="60">
        <f t="shared" si="142"/>
        <v>0</v>
      </c>
      <c r="P107" s="60">
        <f t="shared" si="142"/>
        <v>0</v>
      </c>
      <c r="Q107" s="60">
        <f t="shared" si="142"/>
        <v>0</v>
      </c>
      <c r="R107" s="60">
        <f t="shared" si="142"/>
        <v>0</v>
      </c>
      <c r="S107" s="60">
        <f t="shared" ref="S107:T107" si="143">SUM(S101:S106)</f>
        <v>0</v>
      </c>
      <c r="T107" s="60">
        <f t="shared" si="143"/>
        <v>0</v>
      </c>
      <c r="U107" s="60">
        <f t="shared" ref="U107:V107" si="144">SUM(U101:U106)</f>
        <v>0</v>
      </c>
      <c r="V107" s="60">
        <f t="shared" si="144"/>
        <v>0</v>
      </c>
      <c r="W107" s="60">
        <f t="shared" ref="W107:X107" si="145">SUM(W101:W106)</f>
        <v>0</v>
      </c>
      <c r="X107" s="60">
        <f t="shared" si="145"/>
        <v>0</v>
      </c>
      <c r="Y107" s="60">
        <f t="shared" ref="Y107:Z107" si="146">SUM(Y101:Y106)</f>
        <v>0</v>
      </c>
      <c r="Z107" s="60">
        <f t="shared" si="146"/>
        <v>0</v>
      </c>
      <c r="AA107" s="60">
        <f t="shared" ref="AA107" si="147">SUM(AA101:AA106)</f>
        <v>0</v>
      </c>
      <c r="AB107" s="60">
        <f t="shared" si="142"/>
        <v>0</v>
      </c>
      <c r="AC107" s="60">
        <f t="shared" ref="AC107:AD107" si="148">SUM(AC101:AC106)</f>
        <v>0</v>
      </c>
      <c r="AD107" s="60">
        <f t="shared" si="148"/>
        <v>0</v>
      </c>
      <c r="AE107" s="60">
        <f t="shared" ref="AE107:AF107" si="149">SUM(AE101:AE106)</f>
        <v>0</v>
      </c>
      <c r="AF107" s="60">
        <f t="shared" si="149"/>
        <v>0</v>
      </c>
      <c r="AG107" s="88"/>
      <c r="AH107" s="47">
        <f t="shared" si="66"/>
        <v>0</v>
      </c>
      <c r="AI107" s="48">
        <f t="shared" si="67"/>
        <v>0</v>
      </c>
      <c r="AK107" s="50"/>
      <c r="BG107" s="233">
        <v>41</v>
      </c>
      <c r="BH107" s="233">
        <v>0</v>
      </c>
      <c r="BI107" s="233">
        <v>374</v>
      </c>
      <c r="BJ107" s="233">
        <v>32</v>
      </c>
      <c r="BK107" s="233">
        <v>120</v>
      </c>
      <c r="BL107" s="233">
        <v>70</v>
      </c>
    </row>
    <row r="108" spans="1:64" ht="15.75" thickBot="1" x14ac:dyDescent="0.3">
      <c r="A108" s="74" t="s">
        <v>107</v>
      </c>
      <c r="B108" s="60">
        <f t="shared" ref="B108:AB108" si="150">B92-B107</f>
        <v>637</v>
      </c>
      <c r="C108" s="60">
        <f t="shared" si="150"/>
        <v>658.7</v>
      </c>
      <c r="D108" s="60">
        <f t="shared" si="150"/>
        <v>638</v>
      </c>
      <c r="E108" s="60">
        <f t="shared" si="150"/>
        <v>599.70000000000005</v>
      </c>
      <c r="F108" s="60">
        <f t="shared" si="150"/>
        <v>619.1</v>
      </c>
      <c r="G108" s="60">
        <f t="shared" si="150"/>
        <v>612.6</v>
      </c>
      <c r="H108" s="60">
        <f t="shared" si="150"/>
        <v>627.4</v>
      </c>
      <c r="I108" s="60">
        <f t="shared" si="150"/>
        <v>631</v>
      </c>
      <c r="J108" s="60">
        <f t="shared" si="150"/>
        <v>620.29999999999995</v>
      </c>
      <c r="K108" s="60">
        <f t="shared" si="150"/>
        <v>537.1</v>
      </c>
      <c r="L108" s="60">
        <f t="shared" si="150"/>
        <v>120.8</v>
      </c>
      <c r="M108" s="60">
        <f t="shared" si="150"/>
        <v>122.8</v>
      </c>
      <c r="N108" s="60">
        <f t="shared" si="150"/>
        <v>277.8</v>
      </c>
      <c r="O108" s="60">
        <f t="shared" si="150"/>
        <v>526.9</v>
      </c>
      <c r="P108" s="60">
        <f t="shared" si="150"/>
        <v>629.5</v>
      </c>
      <c r="Q108" s="60">
        <f t="shared" si="150"/>
        <v>698.6</v>
      </c>
      <c r="R108" s="60">
        <f t="shared" si="150"/>
        <v>672</v>
      </c>
      <c r="S108" s="60">
        <f t="shared" ref="S108:T108" si="151">S92-S107</f>
        <v>820.4</v>
      </c>
      <c r="T108" s="60">
        <f t="shared" si="151"/>
        <v>816.90000000000009</v>
      </c>
      <c r="U108" s="60">
        <f t="shared" ref="U108:V108" si="152">U92-U107</f>
        <v>872.80000000000007</v>
      </c>
      <c r="V108" s="60">
        <f t="shared" si="152"/>
        <v>755.2</v>
      </c>
      <c r="W108" s="60">
        <f t="shared" ref="W108:X108" si="153">W92-W107</f>
        <v>743.3</v>
      </c>
      <c r="X108" s="60">
        <f t="shared" si="153"/>
        <v>627.1</v>
      </c>
      <c r="Y108" s="60">
        <f t="shared" ref="Y108:Z108" si="154">Y92-Y107</f>
        <v>815.8</v>
      </c>
      <c r="Z108" s="60">
        <f t="shared" si="154"/>
        <v>525.40000000000009</v>
      </c>
      <c r="AA108" s="60">
        <f t="shared" ref="AA108" si="155">AA92-AA107</f>
        <v>348.3</v>
      </c>
      <c r="AB108" s="60">
        <f t="shared" si="150"/>
        <v>395.5</v>
      </c>
      <c r="AC108" s="60">
        <f t="shared" ref="AC108:AD108" si="156">AC92-AC107</f>
        <v>392</v>
      </c>
      <c r="AD108" s="60">
        <f t="shared" si="156"/>
        <v>602</v>
      </c>
      <c r="AE108" s="60">
        <f t="shared" ref="AE108:AF108" si="157">AE92-AE107</f>
        <v>621.70000000000005</v>
      </c>
      <c r="AF108" s="60">
        <f t="shared" si="157"/>
        <v>654</v>
      </c>
      <c r="AG108" s="88"/>
      <c r="AH108" s="47">
        <f t="shared" si="66"/>
        <v>872.80000000000007</v>
      </c>
      <c r="AI108" s="48">
        <f t="shared" si="67"/>
        <v>120.8</v>
      </c>
    </row>
    <row r="109" spans="1:64" x14ac:dyDescent="0.25">
      <c r="A109" s="100" t="s">
        <v>108</v>
      </c>
      <c r="B109" s="101">
        <v>50</v>
      </c>
      <c r="C109" s="101">
        <v>49.97</v>
      </c>
      <c r="D109" s="101">
        <v>49.96</v>
      </c>
      <c r="E109" s="101">
        <v>49.945</v>
      </c>
      <c r="F109" s="101">
        <v>49.902000000000001</v>
      </c>
      <c r="G109" s="101">
        <v>50.04</v>
      </c>
      <c r="H109" s="101">
        <v>50.012</v>
      </c>
      <c r="I109" s="101">
        <v>50.031999999999996</v>
      </c>
      <c r="J109" s="101">
        <v>50.088000000000001</v>
      </c>
      <c r="K109" s="101">
        <v>50</v>
      </c>
      <c r="L109" s="101">
        <v>50</v>
      </c>
      <c r="M109" s="101">
        <v>50.11</v>
      </c>
      <c r="N109" s="101">
        <v>49.957999999999998</v>
      </c>
      <c r="O109" s="101">
        <v>49.954000000000001</v>
      </c>
      <c r="P109" s="101">
        <v>50.027000000000001</v>
      </c>
      <c r="Q109" s="101">
        <v>50.021999999999998</v>
      </c>
      <c r="R109" s="101">
        <v>50.057000000000002</v>
      </c>
      <c r="S109" s="101">
        <v>49.95</v>
      </c>
      <c r="T109" s="101">
        <v>49.84</v>
      </c>
      <c r="U109" s="101">
        <v>49.93</v>
      </c>
      <c r="V109" s="101">
        <v>50.03</v>
      </c>
      <c r="W109" s="101">
        <v>50.09</v>
      </c>
      <c r="X109" s="101">
        <v>50.07</v>
      </c>
      <c r="Y109" s="101">
        <v>50.07</v>
      </c>
      <c r="Z109" s="101">
        <v>49.84</v>
      </c>
      <c r="AA109" s="101">
        <v>49.99</v>
      </c>
      <c r="AB109" s="101">
        <v>50.051000000000002</v>
      </c>
      <c r="AC109" s="101">
        <v>50.04</v>
      </c>
      <c r="AD109" s="101">
        <v>50.07</v>
      </c>
      <c r="AE109" s="101">
        <v>50.04</v>
      </c>
      <c r="AF109" s="101">
        <v>49.85</v>
      </c>
      <c r="AG109" s="102"/>
      <c r="AH109" s="47">
        <f t="shared" si="66"/>
        <v>50.11</v>
      </c>
      <c r="AI109" s="48">
        <f t="shared" si="67"/>
        <v>49.84</v>
      </c>
    </row>
    <row r="110" spans="1:64" x14ac:dyDescent="0.25">
      <c r="A110" s="103" t="s">
        <v>109</v>
      </c>
      <c r="B110" s="65">
        <v>130.30000000000001</v>
      </c>
      <c r="C110" s="65">
        <v>128</v>
      </c>
      <c r="D110" s="65">
        <v>128.19999999999999</v>
      </c>
      <c r="E110" s="65">
        <v>128.19999999999999</v>
      </c>
      <c r="F110" s="65">
        <v>128.19999999999999</v>
      </c>
      <c r="G110" s="65">
        <v>126.5</v>
      </c>
      <c r="H110" s="65">
        <v>126.5</v>
      </c>
      <c r="I110" s="65">
        <v>126</v>
      </c>
      <c r="J110" s="65">
        <v>124</v>
      </c>
      <c r="K110" s="65">
        <v>124</v>
      </c>
      <c r="L110" s="65">
        <v>125.5</v>
      </c>
      <c r="M110" s="65">
        <v>124.8</v>
      </c>
      <c r="N110" s="65">
        <v>125</v>
      </c>
      <c r="O110" s="65">
        <v>123.8</v>
      </c>
      <c r="P110" s="65">
        <v>122.7</v>
      </c>
      <c r="Q110" s="65">
        <v>122.1</v>
      </c>
      <c r="R110" s="65">
        <v>126.5</v>
      </c>
      <c r="S110" s="65">
        <v>126.5</v>
      </c>
      <c r="T110" s="65">
        <v>123.9</v>
      </c>
      <c r="U110" s="65">
        <v>123.2</v>
      </c>
      <c r="V110" s="65">
        <v>123.2</v>
      </c>
      <c r="W110" s="65">
        <v>128.1</v>
      </c>
      <c r="X110" s="65">
        <v>128.5</v>
      </c>
      <c r="Y110" s="65">
        <v>126.9</v>
      </c>
      <c r="Z110" s="65">
        <v>128.19999999999999</v>
      </c>
      <c r="AA110" s="65">
        <v>128.19999999999999</v>
      </c>
      <c r="AB110" s="65">
        <v>130.4</v>
      </c>
      <c r="AC110" s="65">
        <v>130.4</v>
      </c>
      <c r="AD110" s="65">
        <v>130.4</v>
      </c>
      <c r="AE110" s="65">
        <v>130.4</v>
      </c>
      <c r="AF110" s="65">
        <v>130.4</v>
      </c>
      <c r="AG110" s="104"/>
      <c r="AH110" s="47">
        <f t="shared" si="66"/>
        <v>130.4</v>
      </c>
      <c r="AI110" s="48">
        <f t="shared" si="67"/>
        <v>122.1</v>
      </c>
    </row>
    <row r="111" spans="1:64" x14ac:dyDescent="0.25">
      <c r="A111" s="103" t="s">
        <v>110</v>
      </c>
      <c r="B111" s="65">
        <v>134.69999999999999</v>
      </c>
      <c r="C111" s="65">
        <v>132.6</v>
      </c>
      <c r="D111" s="65">
        <v>132.69999999999999</v>
      </c>
      <c r="E111" s="65">
        <v>132.69999999999999</v>
      </c>
      <c r="F111" s="65">
        <v>132.69999999999999</v>
      </c>
      <c r="G111" s="65">
        <v>130.9</v>
      </c>
      <c r="H111" s="65">
        <v>130.9</v>
      </c>
      <c r="I111" s="65">
        <v>129.9</v>
      </c>
      <c r="J111" s="65">
        <v>128</v>
      </c>
      <c r="K111" s="65">
        <v>128</v>
      </c>
      <c r="L111" s="65">
        <v>128</v>
      </c>
      <c r="M111" s="65">
        <v>127.3</v>
      </c>
      <c r="N111" s="65">
        <v>127.5</v>
      </c>
      <c r="O111" s="65">
        <v>126.8</v>
      </c>
      <c r="P111" s="65">
        <v>126.2</v>
      </c>
      <c r="Q111" s="65">
        <v>125.8</v>
      </c>
      <c r="R111" s="65">
        <v>129.80000000000001</v>
      </c>
      <c r="S111" s="65">
        <v>129.80000000000001</v>
      </c>
      <c r="T111" s="65">
        <v>127.2</v>
      </c>
      <c r="U111" s="65">
        <v>127</v>
      </c>
      <c r="V111" s="65">
        <v>127</v>
      </c>
      <c r="W111" s="65">
        <v>130.69999999999999</v>
      </c>
      <c r="X111" s="65">
        <v>130.69999999999999</v>
      </c>
      <c r="Y111" s="65">
        <v>129.1</v>
      </c>
      <c r="Z111" s="65">
        <v>128.5</v>
      </c>
      <c r="AA111" s="65">
        <v>128.5</v>
      </c>
      <c r="AB111" s="65">
        <v>132</v>
      </c>
      <c r="AC111" s="65">
        <v>132</v>
      </c>
      <c r="AD111" s="65">
        <v>132</v>
      </c>
      <c r="AE111" s="65">
        <v>133</v>
      </c>
      <c r="AF111" s="65">
        <v>133</v>
      </c>
      <c r="AG111" s="104"/>
      <c r="AH111" s="47">
        <f t="shared" si="66"/>
        <v>134.69999999999999</v>
      </c>
      <c r="AI111" s="48">
        <f t="shared" si="67"/>
        <v>125.8</v>
      </c>
    </row>
    <row r="112" spans="1:64" x14ac:dyDescent="0.25">
      <c r="A112" s="103" t="s">
        <v>111</v>
      </c>
      <c r="B112" s="65">
        <v>129</v>
      </c>
      <c r="C112" s="65">
        <v>126.6</v>
      </c>
      <c r="D112" s="65">
        <v>130.30000000000001</v>
      </c>
      <c r="E112" s="65">
        <v>130.30000000000001</v>
      </c>
      <c r="F112" s="65">
        <v>130.30000000000001</v>
      </c>
      <c r="G112" s="65">
        <v>128.6</v>
      </c>
      <c r="H112" s="65">
        <v>128.6</v>
      </c>
      <c r="I112" s="65">
        <v>126.8</v>
      </c>
      <c r="J112" s="65">
        <v>123</v>
      </c>
      <c r="K112" s="65">
        <v>123</v>
      </c>
      <c r="L112" s="65">
        <v>123</v>
      </c>
      <c r="M112" s="65">
        <v>124.2</v>
      </c>
      <c r="N112" s="65">
        <v>126.1</v>
      </c>
      <c r="O112" s="65">
        <v>124.1</v>
      </c>
      <c r="P112" s="65">
        <v>125.1</v>
      </c>
      <c r="Q112" s="65">
        <v>127.7</v>
      </c>
      <c r="R112" s="65">
        <v>125.7</v>
      </c>
      <c r="S112" s="65">
        <v>125.7</v>
      </c>
      <c r="T112" s="65">
        <v>123</v>
      </c>
      <c r="U112" s="65">
        <v>122.6</v>
      </c>
      <c r="V112" s="65">
        <v>122.6</v>
      </c>
      <c r="W112" s="65">
        <v>129.30000000000001</v>
      </c>
      <c r="X112" s="65">
        <v>129.30000000000001</v>
      </c>
      <c r="Y112" s="65">
        <v>129.30000000000001</v>
      </c>
      <c r="Z112" s="65"/>
      <c r="AA112" s="65"/>
      <c r="AB112" s="65"/>
      <c r="AC112" s="65"/>
      <c r="AD112" s="65"/>
      <c r="AE112" s="65"/>
      <c r="AF112" s="65"/>
      <c r="AG112" s="104"/>
      <c r="AH112" s="47">
        <f t="shared" si="66"/>
        <v>130.30000000000001</v>
      </c>
      <c r="AI112" s="48">
        <f t="shared" si="67"/>
        <v>122.6</v>
      </c>
    </row>
    <row r="113" spans="1:35" x14ac:dyDescent="0.25">
      <c r="A113" s="105" t="s">
        <v>112</v>
      </c>
      <c r="B113" s="65">
        <v>131</v>
      </c>
      <c r="C113" s="65">
        <v>129.9</v>
      </c>
      <c r="D113" s="65">
        <v>133</v>
      </c>
      <c r="E113" s="65">
        <v>133</v>
      </c>
      <c r="F113" s="65">
        <v>133</v>
      </c>
      <c r="G113" s="65">
        <v>130</v>
      </c>
      <c r="H113" s="65">
        <v>130</v>
      </c>
      <c r="I113" s="65">
        <v>127.4</v>
      </c>
      <c r="J113" s="65">
        <v>122</v>
      </c>
      <c r="K113" s="65">
        <v>122</v>
      </c>
      <c r="L113" s="65">
        <v>122</v>
      </c>
      <c r="M113" s="65">
        <v>121.8</v>
      </c>
      <c r="N113" s="65">
        <v>123.3</v>
      </c>
      <c r="O113" s="65">
        <v>123.5</v>
      </c>
      <c r="P113" s="65">
        <v>126</v>
      </c>
      <c r="Q113" s="65">
        <v>127.9</v>
      </c>
      <c r="R113" s="65">
        <v>126.6</v>
      </c>
      <c r="S113" s="65">
        <v>126.6</v>
      </c>
      <c r="T113" s="65">
        <v>123.2</v>
      </c>
      <c r="U113" s="65">
        <v>122.4</v>
      </c>
      <c r="V113" s="65">
        <v>122.4</v>
      </c>
      <c r="W113" s="65">
        <v>126.6</v>
      </c>
      <c r="X113" s="65">
        <v>135.69999999999999</v>
      </c>
      <c r="Y113" s="65">
        <v>122.9</v>
      </c>
      <c r="Z113" s="65">
        <v>125.9</v>
      </c>
      <c r="AA113" s="65">
        <v>125.9</v>
      </c>
      <c r="AB113" s="65">
        <v>129.5</v>
      </c>
      <c r="AC113" s="65">
        <v>129.5</v>
      </c>
      <c r="AD113" s="65">
        <v>129</v>
      </c>
      <c r="AE113" s="65">
        <v>130</v>
      </c>
      <c r="AF113" s="65">
        <v>130</v>
      </c>
      <c r="AG113" s="104"/>
      <c r="AH113" s="47">
        <f t="shared" si="66"/>
        <v>135.69999999999999</v>
      </c>
      <c r="AI113" s="48">
        <f t="shared" si="67"/>
        <v>121.8</v>
      </c>
    </row>
    <row r="114" spans="1:35" x14ac:dyDescent="0.25">
      <c r="A114" s="105" t="s">
        <v>113</v>
      </c>
      <c r="B114" s="106">
        <v>136</v>
      </c>
      <c r="C114" s="106">
        <v>130</v>
      </c>
      <c r="D114" s="106">
        <v>129</v>
      </c>
      <c r="E114" s="106">
        <v>129</v>
      </c>
      <c r="F114" s="106">
        <v>129</v>
      </c>
      <c r="G114" s="106">
        <v>129.4</v>
      </c>
      <c r="H114" s="106">
        <v>129.4</v>
      </c>
      <c r="I114" s="106">
        <v>131.69999999999999</v>
      </c>
      <c r="J114" s="106">
        <v>133</v>
      </c>
      <c r="K114" s="106">
        <v>133</v>
      </c>
      <c r="L114" s="106">
        <v>133</v>
      </c>
      <c r="M114" s="106">
        <v>134.80000000000001</v>
      </c>
      <c r="N114" s="106">
        <v>133.30000000000001</v>
      </c>
      <c r="O114" s="106">
        <v>132.5</v>
      </c>
      <c r="P114" s="106">
        <v>131.6</v>
      </c>
      <c r="Q114" s="106">
        <v>130.6</v>
      </c>
      <c r="R114" s="106">
        <v>137</v>
      </c>
      <c r="S114" s="106">
        <v>137</v>
      </c>
      <c r="T114" s="106">
        <v>133.69999999999999</v>
      </c>
      <c r="U114" s="106">
        <v>134.5</v>
      </c>
      <c r="V114" s="106">
        <v>134.5</v>
      </c>
      <c r="W114" s="106">
        <v>135.69999999999999</v>
      </c>
      <c r="X114" s="106">
        <v>136.30000000000001</v>
      </c>
      <c r="Y114" s="106">
        <v>135.4</v>
      </c>
      <c r="Z114" s="106">
        <v>135.30000000000001</v>
      </c>
      <c r="AA114" s="106">
        <v>135.30000000000001</v>
      </c>
      <c r="AB114" s="106">
        <v>137.19999999999999</v>
      </c>
      <c r="AC114" s="106">
        <v>137.19999999999999</v>
      </c>
      <c r="AD114" s="106">
        <v>135</v>
      </c>
      <c r="AE114" s="106">
        <v>134.6</v>
      </c>
      <c r="AF114" s="106">
        <v>133</v>
      </c>
      <c r="AG114" s="107"/>
      <c r="AH114" s="47">
        <f t="shared" si="66"/>
        <v>137.19999999999999</v>
      </c>
      <c r="AI114" s="48">
        <f t="shared" si="67"/>
        <v>129</v>
      </c>
    </row>
    <row r="115" spans="1:35" x14ac:dyDescent="0.25">
      <c r="A115" s="103" t="s">
        <v>114</v>
      </c>
      <c r="B115" s="65">
        <v>135.4</v>
      </c>
      <c r="C115" s="65">
        <v>138</v>
      </c>
      <c r="D115" s="65">
        <v>134.30000000000001</v>
      </c>
      <c r="E115" s="65">
        <v>134.30000000000001</v>
      </c>
      <c r="F115" s="65">
        <v>134.30000000000001</v>
      </c>
      <c r="G115" s="65">
        <v>134</v>
      </c>
      <c r="H115" s="65">
        <v>134</v>
      </c>
      <c r="I115" s="65">
        <v>132</v>
      </c>
      <c r="J115" s="65">
        <v>133</v>
      </c>
      <c r="K115" s="65">
        <v>133</v>
      </c>
      <c r="L115" s="65">
        <v>133</v>
      </c>
      <c r="M115" s="65">
        <v>131.80000000000001</v>
      </c>
      <c r="N115" s="65">
        <v>131.30000000000001</v>
      </c>
      <c r="O115" s="65">
        <v>129.9</v>
      </c>
      <c r="P115" s="65">
        <v>131.1</v>
      </c>
      <c r="Q115" s="65">
        <v>133.4</v>
      </c>
      <c r="R115" s="65">
        <v>128.6</v>
      </c>
      <c r="S115" s="65">
        <v>128.6</v>
      </c>
      <c r="T115" s="65">
        <v>123.7</v>
      </c>
      <c r="U115" s="65">
        <v>122.4</v>
      </c>
      <c r="V115" s="65">
        <v>122.4</v>
      </c>
      <c r="W115" s="65">
        <v>130.6</v>
      </c>
      <c r="X115" s="65">
        <v>132.30000000000001</v>
      </c>
      <c r="Y115" s="65">
        <v>130.1</v>
      </c>
      <c r="Z115" s="65">
        <v>123.3</v>
      </c>
      <c r="AA115" s="65">
        <v>123.3</v>
      </c>
      <c r="AB115" s="65">
        <v>133.4</v>
      </c>
      <c r="AC115" s="65">
        <v>133.4</v>
      </c>
      <c r="AD115" s="65">
        <v>134</v>
      </c>
      <c r="AE115" s="65">
        <v>1344</v>
      </c>
      <c r="AF115" s="65">
        <v>132</v>
      </c>
      <c r="AG115" s="104"/>
      <c r="AH115" s="47">
        <f t="shared" si="66"/>
        <v>1344</v>
      </c>
      <c r="AI115" s="48">
        <f t="shared" si="67"/>
        <v>122.4</v>
      </c>
    </row>
    <row r="116" spans="1:35" ht="15.75" thickBot="1" x14ac:dyDescent="0.3">
      <c r="A116" s="103" t="s">
        <v>115</v>
      </c>
      <c r="B116" s="92">
        <v>67.5</v>
      </c>
      <c r="C116" s="92">
        <v>67</v>
      </c>
      <c r="D116" s="92">
        <v>67</v>
      </c>
      <c r="E116" s="92">
        <v>67</v>
      </c>
      <c r="F116" s="92">
        <v>67</v>
      </c>
      <c r="G116" s="92">
        <v>65.900000000000006</v>
      </c>
      <c r="H116" s="92">
        <v>65.5</v>
      </c>
      <c r="I116" s="92">
        <v>65.2</v>
      </c>
      <c r="J116" s="92">
        <v>64.3</v>
      </c>
      <c r="K116" s="92">
        <v>64.3</v>
      </c>
      <c r="L116" s="92">
        <v>64</v>
      </c>
      <c r="M116" s="92">
        <v>63.8</v>
      </c>
      <c r="N116" s="92">
        <v>64.3</v>
      </c>
      <c r="O116" s="92">
        <v>63.6</v>
      </c>
      <c r="P116" s="92">
        <v>63.4</v>
      </c>
      <c r="Q116" s="92">
        <v>63</v>
      </c>
      <c r="R116" s="92">
        <v>65.099999999999994</v>
      </c>
      <c r="S116" s="92">
        <v>65.099999999999994</v>
      </c>
      <c r="T116" s="92">
        <v>63.9</v>
      </c>
      <c r="U116" s="92">
        <v>63.7</v>
      </c>
      <c r="V116" s="92">
        <v>63.7</v>
      </c>
      <c r="W116" s="92">
        <v>65.8</v>
      </c>
      <c r="X116" s="92">
        <v>65.7</v>
      </c>
      <c r="Y116" s="92">
        <v>64.900000000000006</v>
      </c>
      <c r="Z116" s="92">
        <v>64.900000000000006</v>
      </c>
      <c r="AA116" s="92">
        <v>64.900000000000006</v>
      </c>
      <c r="AB116" s="92">
        <v>66.099999999999994</v>
      </c>
      <c r="AC116" s="92">
        <v>66.099999999999994</v>
      </c>
      <c r="AD116" s="92">
        <v>66.5</v>
      </c>
      <c r="AE116" s="92">
        <v>67</v>
      </c>
      <c r="AF116" s="92">
        <v>67</v>
      </c>
      <c r="AG116" s="108"/>
      <c r="AH116" s="47">
        <f t="shared" si="66"/>
        <v>67.5</v>
      </c>
      <c r="AI116" s="48">
        <f t="shared" si="67"/>
        <v>63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66"/>
        <v>0</v>
      </c>
      <c r="AI117" s="48">
        <f t="shared" si="67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130.04000000000002</v>
      </c>
      <c r="C118" s="111">
        <f>SUM(C22,C28,C31:C32,C66,C68:C69,C71,C73,C119:C123,C155,C161,C167,C176,C178,C190,C197,C200:C201,C208,C210,C212,C216:C218,C220:C222,C227,C233:C234,C236:C238,C246,C251)</f>
        <v>122.64000000000001</v>
      </c>
      <c r="D118" s="111">
        <f t="shared" ref="D118:O118" si="158">SUM(D22,D28,D31:D32,D66,D68:D69,D71,D73,D119:D123,D155,D161,D167,D176,D178,D190,D197,D200:D201,D208,D210,D212,D216:D218,D220:D222,D227,D233:D234,D236:D238,D246,D251)</f>
        <v>115.84</v>
      </c>
      <c r="E118" s="111">
        <f t="shared" si="158"/>
        <v>129.54000000000002</v>
      </c>
      <c r="F118" s="111">
        <f t="shared" si="158"/>
        <v>123.14</v>
      </c>
      <c r="G118" s="111">
        <f t="shared" si="158"/>
        <v>150.84</v>
      </c>
      <c r="H118" s="111">
        <f t="shared" si="158"/>
        <v>183.64</v>
      </c>
      <c r="I118" s="111">
        <f t="shared" si="158"/>
        <v>232.14000000000001</v>
      </c>
      <c r="J118" s="111">
        <f t="shared" si="158"/>
        <v>293.14</v>
      </c>
      <c r="K118" s="111">
        <f t="shared" si="158"/>
        <v>320.83999999999997</v>
      </c>
      <c r="L118" s="111">
        <f t="shared" si="158"/>
        <v>349.04</v>
      </c>
      <c r="M118" s="111">
        <f t="shared" si="158"/>
        <v>346.72399999999999</v>
      </c>
      <c r="N118" s="111">
        <f t="shared" si="158"/>
        <v>319.08</v>
      </c>
      <c r="O118" s="111">
        <f t="shared" si="158"/>
        <v>303.58</v>
      </c>
      <c r="P118" s="111">
        <v>42</v>
      </c>
      <c r="Q118" s="111">
        <f t="shared" ref="Q118:AF118" si="159">SUM(Q22,Q28,Q31:Q32,Q66,Q68:Q69,Q71,Q73,Q119:Q123,Q155,Q161,Q167,Q176,Q178,Q190,Q197,Q200:Q201,Q208,Q210,Q212,Q216:Q218,Q220:Q222,Q227,Q233:Q234,Q236:Q238,Q246,Q251)</f>
        <v>296.11199999999997</v>
      </c>
      <c r="R118" s="111">
        <f t="shared" si="159"/>
        <v>290.61999999999995</v>
      </c>
      <c r="S118" s="111">
        <f t="shared" ref="S118:T118" si="160">SUM(S22,S28,S31:S32,S66,S68:S69,S71,S73,S119:S123,S155,S161,S167,S176,S178,S190,S197,S200:S201,S208,S210,S212,S216:S218,S220:S222,S227,S233:S234,S236:S238,S246,S251)</f>
        <v>278.75</v>
      </c>
      <c r="T118" s="111">
        <f t="shared" si="160"/>
        <v>286.3</v>
      </c>
      <c r="U118" s="111">
        <f t="shared" ref="U118:V118" si="161">SUM(U22,U28,U31:U32,U66,U68:U69,U71,U73,U119:U123,U155,U161,U167,U176,U178,U190,U197,U200:U201,U208,U210,U212,U216:U218,U220:U222,U227,U233:U234,U236:U238,U246,U251)</f>
        <v>291.54000000000002</v>
      </c>
      <c r="V118" s="111">
        <f t="shared" si="161"/>
        <v>286.04000000000002</v>
      </c>
      <c r="W118" s="111">
        <f t="shared" ref="W118:X118" si="162">SUM(W22,W28,W31:W32,W66,W68:W69,W71,W73,W119:W123,W155,W161,W167,W176,W178,W190,W197,W200:W201,W208,W210,W212,W216:W218,W220:W222,W227,W233:W234,W236:W238,W246,W251)</f>
        <v>281.82</v>
      </c>
      <c r="X118" s="111">
        <f t="shared" si="162"/>
        <v>312.34000000000003</v>
      </c>
      <c r="Y118" s="111">
        <f t="shared" ref="Y118:Z118" si="163">SUM(Y22,Y28,Y31:Y32,Y66,Y68:Y69,Y71,Y73,Y119:Y123,Y155,Y161,Y167,Y176,Y178,Y190,Y197,Y200:Y201,Y208,Y210,Y212,Y216:Y218,Y220:Y222,Y227,Y233:Y234,Y236:Y238,Y246,Y251)</f>
        <v>363.84</v>
      </c>
      <c r="Z118" s="111">
        <f t="shared" si="163"/>
        <v>403.14</v>
      </c>
      <c r="AA118" s="111">
        <f t="shared" ref="AA118" si="164">SUM(AA22,AA28,AA31:AA32,AA66,AA68:AA69,AA71,AA73,AA119:AA123,AA155,AA161,AA167,AA176,AA178,AA190,AA197,AA200:AA201,AA208,AA210,AA212,AA216:AA218,AA220:AA222,AA227,AA233:AA234,AA236:AA238,AA246,AA251)</f>
        <v>377.73999999999995</v>
      </c>
      <c r="AB118" s="111">
        <f t="shared" si="159"/>
        <v>318.21599999999995</v>
      </c>
      <c r="AC118" s="111">
        <f t="shared" ref="AC118" si="165">SUM(AC22,AC28,AC31:AC32,AC66,AC68:AC69,AC71,AC73,AC119:AC123,AC155,AC161,AC167,AC176,AC178,AC190,AC197,AC200:AC201,AC208,AC210,AC212,AC216:AC218,AC220:AC222,AC227,AC233:AC234,AC236:AC238,AC246,AC251)</f>
        <v>292.83999999999997</v>
      </c>
      <c r="AD118" s="111">
        <f t="shared" si="159"/>
        <v>265.83999999999997</v>
      </c>
      <c r="AE118" s="111">
        <f t="shared" ref="AE118" si="166">SUM(AE22,AE28,AE31:AE32,AE66,AE68:AE69,AE71,AE73,AE119:AE123,AE155,AE161,AE167,AE176,AE178,AE190,AE197,AE200:AE201,AE208,AE210,AE212,AE216:AE218,AE220:AE222,AE227,AE233:AE234,AE236:AE238,AE246,AE251)</f>
        <v>213.84</v>
      </c>
      <c r="AF118" s="111">
        <f t="shared" si="159"/>
        <v>147.84</v>
      </c>
      <c r="AG118" s="112"/>
      <c r="AH118" s="47">
        <f t="shared" si="66"/>
        <v>403.14</v>
      </c>
      <c r="AI118" s="48">
        <f t="shared" si="67"/>
        <v>42</v>
      </c>
    </row>
    <row r="119" spans="1:35" x14ac:dyDescent="0.25">
      <c r="A119" s="172" t="s">
        <v>118</v>
      </c>
      <c r="B119" s="113">
        <v>-5</v>
      </c>
      <c r="C119" s="113">
        <v>-10.1</v>
      </c>
      <c r="D119" s="113">
        <v>-12</v>
      </c>
      <c r="E119" s="113">
        <v>-6.5</v>
      </c>
      <c r="F119" s="113">
        <v>-13.5</v>
      </c>
      <c r="G119" s="113">
        <v>-19.399999999999999</v>
      </c>
      <c r="H119" s="113">
        <v>-8.8000000000000007</v>
      </c>
      <c r="I119" s="113">
        <v>0.5</v>
      </c>
      <c r="J119" s="113">
        <v>18.100000000000001</v>
      </c>
      <c r="K119" s="113">
        <v>23</v>
      </c>
      <c r="L119" s="113">
        <v>38.6</v>
      </c>
      <c r="M119" s="113">
        <v>42.6</v>
      </c>
      <c r="N119" s="113">
        <v>45.6</v>
      </c>
      <c r="O119" s="113">
        <v>29.8</v>
      </c>
      <c r="P119" s="113">
        <v>16.3</v>
      </c>
      <c r="Q119" s="113">
        <v>12</v>
      </c>
      <c r="R119" s="113">
        <v>23.7</v>
      </c>
      <c r="S119" s="113">
        <v>12.5</v>
      </c>
      <c r="T119" s="113">
        <v>12.9</v>
      </c>
      <c r="U119" s="113">
        <v>16.399999999999999</v>
      </c>
      <c r="V119" s="113">
        <v>19.5</v>
      </c>
      <c r="W119" s="113">
        <v>12.3</v>
      </c>
      <c r="X119" s="113">
        <v>16.899999999999999</v>
      </c>
      <c r="Y119" s="113">
        <v>35.9</v>
      </c>
      <c r="Z119" s="113">
        <v>44.8</v>
      </c>
      <c r="AA119" s="113">
        <v>54.9</v>
      </c>
      <c r="AB119" s="113">
        <v>59.3</v>
      </c>
      <c r="AC119" s="113">
        <v>49</v>
      </c>
      <c r="AD119" s="113">
        <v>44</v>
      </c>
      <c r="AE119" s="113">
        <v>34</v>
      </c>
      <c r="AF119" s="113">
        <v>6</v>
      </c>
      <c r="AG119" s="114">
        <v>75</v>
      </c>
      <c r="AH119" s="47">
        <f t="shared" si="66"/>
        <v>59.3</v>
      </c>
      <c r="AI119" s="48">
        <f t="shared" si="67"/>
        <v>-19.399999999999999</v>
      </c>
    </row>
    <row r="120" spans="1:35" x14ac:dyDescent="0.25">
      <c r="A120" s="173" t="s">
        <v>119</v>
      </c>
      <c r="B120" s="115">
        <v>-13.4</v>
      </c>
      <c r="C120" s="115">
        <v>-18.100000000000001</v>
      </c>
      <c r="D120" s="115">
        <v>-20</v>
      </c>
      <c r="E120" s="115">
        <v>-13.6</v>
      </c>
      <c r="F120" s="115">
        <v>-21.6</v>
      </c>
      <c r="G120" s="115">
        <v>-30.5</v>
      </c>
      <c r="H120" s="115">
        <v>-16.7</v>
      </c>
      <c r="I120" s="115">
        <v>-6</v>
      </c>
      <c r="J120" s="115">
        <v>19.5</v>
      </c>
      <c r="K120" s="115">
        <v>27.3</v>
      </c>
      <c r="L120" s="115">
        <v>56.7</v>
      </c>
      <c r="M120" s="115">
        <v>59.7</v>
      </c>
      <c r="N120" s="115">
        <v>65.099999999999994</v>
      </c>
      <c r="O120" s="115">
        <v>44.1</v>
      </c>
      <c r="P120" s="115">
        <v>17.2</v>
      </c>
      <c r="Q120" s="115">
        <v>12.1</v>
      </c>
      <c r="R120" s="115">
        <v>28</v>
      </c>
      <c r="S120" s="115">
        <v>12.5</v>
      </c>
      <c r="T120" s="115">
        <v>12.5</v>
      </c>
      <c r="U120" s="115">
        <v>15.9</v>
      </c>
      <c r="V120" s="115">
        <v>25</v>
      </c>
      <c r="W120" s="115">
        <v>14.5</v>
      </c>
      <c r="X120" s="115">
        <v>20.2</v>
      </c>
      <c r="Y120" s="115">
        <v>43.9</v>
      </c>
      <c r="Z120" s="115">
        <v>55.8</v>
      </c>
      <c r="AA120" s="115">
        <v>71.5</v>
      </c>
      <c r="AB120" s="115">
        <v>77.8</v>
      </c>
      <c r="AC120" s="115">
        <v>63</v>
      </c>
      <c r="AD120" s="115">
        <v>54</v>
      </c>
      <c r="AE120" s="115">
        <v>41</v>
      </c>
      <c r="AF120" s="115">
        <v>1</v>
      </c>
      <c r="AG120" s="114">
        <v>240</v>
      </c>
      <c r="AH120" s="47">
        <f t="shared" si="66"/>
        <v>77.8</v>
      </c>
      <c r="AI120" s="48">
        <f t="shared" si="67"/>
        <v>-30.5</v>
      </c>
    </row>
    <row r="121" spans="1:35" x14ac:dyDescent="0.25">
      <c r="A121" s="173" t="s">
        <v>120</v>
      </c>
      <c r="B121" s="115">
        <v>-16</v>
      </c>
      <c r="C121" s="115">
        <v>-17</v>
      </c>
      <c r="D121" s="115">
        <v>-19</v>
      </c>
      <c r="E121" s="115">
        <v>-19.8</v>
      </c>
      <c r="F121" s="115">
        <v>-14</v>
      </c>
      <c r="G121" s="115">
        <v>-4</v>
      </c>
      <c r="H121" s="115">
        <v>1.6</v>
      </c>
      <c r="I121" s="115">
        <v>10.4</v>
      </c>
      <c r="J121" s="115">
        <v>19.100000000000001</v>
      </c>
      <c r="K121" s="115">
        <v>25.8</v>
      </c>
      <c r="L121" s="115">
        <v>9.5</v>
      </c>
      <c r="M121" s="115">
        <v>10.4</v>
      </c>
      <c r="N121" s="115">
        <v>4.8</v>
      </c>
      <c r="O121" s="115">
        <v>10</v>
      </c>
      <c r="P121" s="115">
        <v>13.2</v>
      </c>
      <c r="Q121" s="115">
        <v>17.600000000000001</v>
      </c>
      <c r="R121" s="115">
        <v>12</v>
      </c>
      <c r="S121" s="115">
        <v>16</v>
      </c>
      <c r="T121" s="115">
        <v>18</v>
      </c>
      <c r="U121" s="115">
        <v>24</v>
      </c>
      <c r="V121" s="115">
        <v>26</v>
      </c>
      <c r="W121" s="115">
        <v>29</v>
      </c>
      <c r="X121" s="115">
        <v>43</v>
      </c>
      <c r="Y121" s="115">
        <v>44</v>
      </c>
      <c r="Z121" s="115">
        <v>43</v>
      </c>
      <c r="AA121" s="115">
        <v>32.1</v>
      </c>
      <c r="AB121" s="115">
        <v>3.2</v>
      </c>
      <c r="AC121" s="115">
        <v>10</v>
      </c>
      <c r="AD121" s="115">
        <v>6</v>
      </c>
      <c r="AE121" s="115">
        <v>-9</v>
      </c>
      <c r="AF121" s="115">
        <v>-10</v>
      </c>
      <c r="AG121" s="114">
        <v>240</v>
      </c>
      <c r="AH121" s="47">
        <f t="shared" si="66"/>
        <v>44</v>
      </c>
      <c r="AI121" s="48">
        <f t="shared" si="67"/>
        <v>-19.8</v>
      </c>
    </row>
    <row r="122" spans="1:35" ht="15.75" thickBot="1" x14ac:dyDescent="0.3">
      <c r="A122" s="173" t="s">
        <v>121</v>
      </c>
      <c r="B122" s="115">
        <v>-6</v>
      </c>
      <c r="C122" s="115">
        <v>-9</v>
      </c>
      <c r="D122" s="115">
        <v>-10</v>
      </c>
      <c r="E122" s="115">
        <v>-9.4</v>
      </c>
      <c r="F122" s="115">
        <v>-4.5999999999999996</v>
      </c>
      <c r="G122" s="115">
        <v>-4.0999999999999996</v>
      </c>
      <c r="H122" s="115">
        <v>-5</v>
      </c>
      <c r="I122" s="115">
        <v>1.4</v>
      </c>
      <c r="J122" s="115">
        <v>1.6</v>
      </c>
      <c r="K122" s="115">
        <v>4.2</v>
      </c>
      <c r="L122" s="115">
        <v>17.399999999999999</v>
      </c>
      <c r="M122" s="115">
        <v>15.1</v>
      </c>
      <c r="N122" s="115">
        <v>13.3</v>
      </c>
      <c r="O122" s="115">
        <v>12</v>
      </c>
      <c r="P122" s="115">
        <v>1.6</v>
      </c>
      <c r="Q122" s="115">
        <v>0</v>
      </c>
      <c r="R122" s="115">
        <v>1.7</v>
      </c>
      <c r="S122" s="115">
        <v>-0.41</v>
      </c>
      <c r="T122" s="115">
        <v>1.8</v>
      </c>
      <c r="U122" s="115">
        <v>-0.6</v>
      </c>
      <c r="V122" s="115">
        <v>7.6</v>
      </c>
      <c r="W122" s="115">
        <v>12.9</v>
      </c>
      <c r="X122" s="115">
        <v>19.399999999999999</v>
      </c>
      <c r="Y122" s="115">
        <v>23.2</v>
      </c>
      <c r="Z122" s="115">
        <v>49.9</v>
      </c>
      <c r="AA122" s="115">
        <v>23.2</v>
      </c>
      <c r="AB122" s="115">
        <v>28</v>
      </c>
      <c r="AC122" s="115">
        <v>8</v>
      </c>
      <c r="AD122" s="115">
        <v>4</v>
      </c>
      <c r="AE122" s="115">
        <v>0</v>
      </c>
      <c r="AF122" s="115">
        <v>-2</v>
      </c>
      <c r="AG122" s="114">
        <v>60</v>
      </c>
      <c r="AH122" s="47">
        <f t="shared" si="66"/>
        <v>49.9</v>
      </c>
      <c r="AI122" s="48">
        <f t="shared" si="67"/>
        <v>-10</v>
      </c>
    </row>
    <row r="123" spans="1:35" x14ac:dyDescent="0.25">
      <c r="A123" s="172" t="s">
        <v>259</v>
      </c>
      <c r="B123" s="117">
        <f>51*1.6</f>
        <v>81.600000000000009</v>
      </c>
      <c r="C123" s="117">
        <f>55*1.6</f>
        <v>88</v>
      </c>
      <c r="D123" s="117">
        <f>55*1.6</f>
        <v>88</v>
      </c>
      <c r="E123" s="117">
        <v>90</v>
      </c>
      <c r="F123" s="117">
        <v>88</v>
      </c>
      <c r="G123" s="117">
        <v>120</v>
      </c>
      <c r="H123" s="117">
        <v>122</v>
      </c>
      <c r="I123" s="117">
        <v>135</v>
      </c>
      <c r="J123" s="117">
        <v>145</v>
      </c>
      <c r="K123" s="117">
        <v>150</v>
      </c>
      <c r="L123" s="117">
        <v>135</v>
      </c>
      <c r="M123" s="117">
        <f>1.64*75.6</f>
        <v>123.98399999999998</v>
      </c>
      <c r="N123" s="117">
        <f>56*1.64</f>
        <v>91.839999999999989</v>
      </c>
      <c r="O123" s="117">
        <f>66*1.64</f>
        <v>108.24</v>
      </c>
      <c r="P123" s="117">
        <f>1.64*83.3</f>
        <v>136.61199999999999</v>
      </c>
      <c r="Q123" s="117">
        <f>1.64*89.8</f>
        <v>147.27199999999999</v>
      </c>
      <c r="R123" s="117">
        <f>72*1.64</f>
        <v>118.08</v>
      </c>
      <c r="S123" s="117">
        <f>83.2*1.6</f>
        <v>133.12</v>
      </c>
      <c r="T123" s="117">
        <f>87.1*1.6</f>
        <v>139.35999999999999</v>
      </c>
      <c r="U123" s="117">
        <f>86*1.6</f>
        <v>137.6</v>
      </c>
      <c r="V123" s="117">
        <f>73*1.6</f>
        <v>116.80000000000001</v>
      </c>
      <c r="W123" s="117">
        <f>76.8*1.6</f>
        <v>122.88</v>
      </c>
      <c r="X123" s="117">
        <f>77*1.6</f>
        <v>123.2</v>
      </c>
      <c r="Y123" s="117">
        <f>79.5*1.6</f>
        <v>127.2</v>
      </c>
      <c r="Z123" s="117">
        <f>75*1.6</f>
        <v>120</v>
      </c>
      <c r="AA123" s="117">
        <f>66.5*1.6</f>
        <v>106.4</v>
      </c>
      <c r="AB123" s="117">
        <f>1.64*40.9</f>
        <v>67.075999999999993</v>
      </c>
      <c r="AC123" s="117">
        <v>80</v>
      </c>
      <c r="AD123" s="117">
        <v>75</v>
      </c>
      <c r="AE123" s="117">
        <v>65</v>
      </c>
      <c r="AF123" s="117">
        <v>70</v>
      </c>
      <c r="AG123" s="118">
        <v>120</v>
      </c>
      <c r="AH123" s="47">
        <f t="shared" si="66"/>
        <v>150</v>
      </c>
      <c r="AI123" s="48">
        <f t="shared" si="67"/>
        <v>65</v>
      </c>
    </row>
    <row r="124" spans="1:35" x14ac:dyDescent="0.25">
      <c r="A124" s="173" t="s">
        <v>258</v>
      </c>
      <c r="B124" s="117">
        <v>66</v>
      </c>
      <c r="C124" s="117">
        <v>68</v>
      </c>
      <c r="D124" s="117">
        <v>69</v>
      </c>
      <c r="E124" s="117">
        <v>63.6</v>
      </c>
      <c r="F124" s="117">
        <v>69</v>
      </c>
      <c r="G124" s="117">
        <v>83.3</v>
      </c>
      <c r="H124" s="117">
        <v>83.8</v>
      </c>
      <c r="I124" s="117">
        <v>87.5</v>
      </c>
      <c r="J124" s="117">
        <v>90.4</v>
      </c>
      <c r="K124" s="117">
        <v>91.6</v>
      </c>
      <c r="L124" s="117">
        <v>83.6</v>
      </c>
      <c r="M124" s="117">
        <v>82.7</v>
      </c>
      <c r="N124" s="117">
        <v>66.8</v>
      </c>
      <c r="O124" s="117">
        <v>75</v>
      </c>
      <c r="P124" s="117">
        <v>87.9</v>
      </c>
      <c r="Q124" s="117">
        <v>92.9</v>
      </c>
      <c r="R124" s="117">
        <v>83</v>
      </c>
      <c r="S124" s="117">
        <v>87.5</v>
      </c>
      <c r="T124" s="117">
        <v>89.5</v>
      </c>
      <c r="U124" s="117">
        <v>90.9</v>
      </c>
      <c r="V124" s="117">
        <v>79.7</v>
      </c>
      <c r="W124" s="117">
        <v>82.9</v>
      </c>
      <c r="X124" s="117">
        <v>84</v>
      </c>
      <c r="Y124" s="117">
        <v>84.9</v>
      </c>
      <c r="Z124" s="117">
        <v>-38.799999999999997</v>
      </c>
      <c r="AA124" s="117">
        <v>74.2</v>
      </c>
      <c r="AB124" s="117">
        <v>54</v>
      </c>
      <c r="AC124" s="117">
        <v>59</v>
      </c>
      <c r="AD124" s="117">
        <v>59</v>
      </c>
      <c r="AE124" s="117">
        <v>54</v>
      </c>
      <c r="AF124" s="117">
        <v>65</v>
      </c>
      <c r="AG124" s="118"/>
      <c r="AH124" s="47"/>
      <c r="AI124" s="48"/>
    </row>
    <row r="125" spans="1:35" x14ac:dyDescent="0.25">
      <c r="A125" s="173" t="s">
        <v>255</v>
      </c>
      <c r="B125" s="117">
        <v>50</v>
      </c>
      <c r="C125" s="117">
        <v>58</v>
      </c>
      <c r="D125" s="117">
        <v>62</v>
      </c>
      <c r="E125" s="117">
        <v>54</v>
      </c>
      <c r="F125" s="117">
        <v>62</v>
      </c>
      <c r="G125" s="117">
        <v>71.7</v>
      </c>
      <c r="H125" s="117">
        <v>56.9</v>
      </c>
      <c r="I125" s="117">
        <v>43.4</v>
      </c>
      <c r="J125" s="117">
        <v>18.399999999999999</v>
      </c>
      <c r="K125" s="117">
        <v>5.3</v>
      </c>
      <c r="L125" s="117">
        <v>-21.8</v>
      </c>
      <c r="M125" s="117">
        <v>-22.2</v>
      </c>
      <c r="N125" s="117">
        <v>-29</v>
      </c>
      <c r="O125" s="117">
        <v>-6</v>
      </c>
      <c r="P125" s="117">
        <v>26.1</v>
      </c>
      <c r="Q125" s="117">
        <v>34</v>
      </c>
      <c r="R125" s="117">
        <v>23.9</v>
      </c>
      <c r="S125" s="117">
        <v>34.1</v>
      </c>
      <c r="T125" s="117">
        <v>34.5</v>
      </c>
      <c r="U125" s="117">
        <v>25.5</v>
      </c>
      <c r="V125" s="117">
        <v>9.1999999999999993</v>
      </c>
      <c r="W125" s="117">
        <v>13</v>
      </c>
      <c r="X125" s="117">
        <v>-0.7</v>
      </c>
      <c r="Y125" s="117">
        <v>-24.1</v>
      </c>
      <c r="Z125" s="117">
        <v>66.099999999999994</v>
      </c>
      <c r="AA125" s="117">
        <v>-47</v>
      </c>
      <c r="AB125" s="117">
        <v>-59</v>
      </c>
      <c r="AC125" s="117">
        <v>-44</v>
      </c>
      <c r="AD125" s="117">
        <v>-24</v>
      </c>
      <c r="AE125" s="117">
        <v>-8</v>
      </c>
      <c r="AF125" s="117">
        <v>37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69</v>
      </c>
      <c r="C126" s="117">
        <v>72</v>
      </c>
      <c r="D126" s="117">
        <v>79</v>
      </c>
      <c r="E126" s="117">
        <v>74.400000000000006</v>
      </c>
      <c r="F126" s="117">
        <v>79.2</v>
      </c>
      <c r="G126" s="117">
        <v>98</v>
      </c>
      <c r="H126" s="117">
        <v>99.3</v>
      </c>
      <c r="I126" s="117">
        <v>101</v>
      </c>
      <c r="J126" s="117">
        <v>90</v>
      </c>
      <c r="K126" s="117">
        <v>94.1</v>
      </c>
      <c r="L126" s="117">
        <v>63.6</v>
      </c>
      <c r="M126" s="117">
        <v>66.099999999999994</v>
      </c>
      <c r="N126" s="117">
        <v>58</v>
      </c>
      <c r="O126" s="117">
        <v>84</v>
      </c>
      <c r="P126" s="117">
        <v>94</v>
      </c>
      <c r="Q126" s="117">
        <v>98.8</v>
      </c>
      <c r="R126" s="117">
        <v>90</v>
      </c>
      <c r="S126" s="117">
        <v>94.4</v>
      </c>
      <c r="T126" s="117">
        <v>94.7</v>
      </c>
      <c r="U126" s="117">
        <v>94.3</v>
      </c>
      <c r="V126" s="117">
        <v>79.2</v>
      </c>
      <c r="W126" s="117">
        <v>84.2</v>
      </c>
      <c r="X126" s="117">
        <v>88.3</v>
      </c>
      <c r="Y126" s="117">
        <v>88.1</v>
      </c>
      <c r="Z126" s="117">
        <v>65.099999999999994</v>
      </c>
      <c r="AA126" s="117">
        <v>50.3</v>
      </c>
      <c r="AB126" s="117">
        <v>31.6</v>
      </c>
      <c r="AC126" s="117">
        <v>54</v>
      </c>
      <c r="AD126" s="117">
        <v>51</v>
      </c>
      <c r="AE126" s="117">
        <v>47</v>
      </c>
      <c r="AF126" s="117">
        <v>68</v>
      </c>
      <c r="AG126" s="114"/>
      <c r="AH126" s="47">
        <f>MAX(B126:AF126)</f>
        <v>101</v>
      </c>
      <c r="AI126" s="48">
        <f>MIN(B126:AF126)</f>
        <v>31.6</v>
      </c>
    </row>
    <row r="127" spans="1:35" x14ac:dyDescent="0.25">
      <c r="A127" s="172" t="s">
        <v>587</v>
      </c>
      <c r="B127" s="117">
        <v>14</v>
      </c>
      <c r="C127" s="117">
        <v>19</v>
      </c>
      <c r="D127" s="117">
        <v>19</v>
      </c>
      <c r="E127" s="117">
        <v>9.1999999999999993</v>
      </c>
      <c r="F127" s="117">
        <v>15</v>
      </c>
      <c r="G127" s="117">
        <v>21.4</v>
      </c>
      <c r="H127" s="117">
        <v>14</v>
      </c>
      <c r="I127" s="117">
        <v>13</v>
      </c>
      <c r="J127" s="117">
        <v>0</v>
      </c>
      <c r="K127" s="117">
        <v>1.2</v>
      </c>
      <c r="L127" s="117">
        <v>-13.8</v>
      </c>
      <c r="M127" s="117">
        <v>-11.4</v>
      </c>
      <c r="N127" s="117">
        <v>-18</v>
      </c>
      <c r="O127" s="117">
        <v>-7</v>
      </c>
      <c r="P127" s="117">
        <v>0</v>
      </c>
      <c r="Q127" s="117">
        <v>6.2</v>
      </c>
      <c r="R127" s="117">
        <v>-4</v>
      </c>
      <c r="S127" s="117">
        <v>-1.1000000000000001</v>
      </c>
      <c r="T127" s="117">
        <v>0</v>
      </c>
      <c r="U127" s="117">
        <v>-3.1</v>
      </c>
      <c r="V127" s="117">
        <v>0</v>
      </c>
      <c r="W127" s="117">
        <v>2.2999999999999998</v>
      </c>
      <c r="X127" s="117">
        <v>-4.2</v>
      </c>
      <c r="Y127" s="117">
        <v>-10</v>
      </c>
      <c r="Z127" s="117">
        <v>-18.5</v>
      </c>
      <c r="AA127" s="117">
        <v>-21.6</v>
      </c>
      <c r="AB127" s="117">
        <v>-24.3</v>
      </c>
      <c r="AC127" s="117">
        <v>-23</v>
      </c>
      <c r="AD127" s="117">
        <v>-21</v>
      </c>
      <c r="AE127" s="117">
        <v>-13</v>
      </c>
      <c r="AF127" s="117">
        <v>11</v>
      </c>
      <c r="AG127" s="114"/>
      <c r="AH127" s="47">
        <f>MAX(B127:AF127)</f>
        <v>21.4</v>
      </c>
      <c r="AI127" s="48">
        <f>MIN(B127:AF127)</f>
        <v>-24.3</v>
      </c>
    </row>
    <row r="128" spans="1:35" x14ac:dyDescent="0.25">
      <c r="A128" s="173" t="s">
        <v>123</v>
      </c>
      <c r="B128" s="106">
        <v>-15</v>
      </c>
      <c r="C128" s="106">
        <v>-15</v>
      </c>
      <c r="D128" s="106">
        <v>-16</v>
      </c>
      <c r="E128" s="106">
        <v>-13</v>
      </c>
      <c r="F128" s="106">
        <v>-14.5</v>
      </c>
      <c r="G128" s="106">
        <v>-17.5</v>
      </c>
      <c r="H128" s="106">
        <v>-24.3</v>
      </c>
      <c r="I128" s="106">
        <v>-36.4</v>
      </c>
      <c r="J128" s="106">
        <v>-47.3</v>
      </c>
      <c r="K128" s="106">
        <v>-52.5</v>
      </c>
      <c r="L128" s="106">
        <v>-49.4</v>
      </c>
      <c r="M128" s="106">
        <v>-49.5</v>
      </c>
      <c r="N128" s="106">
        <v>-44</v>
      </c>
      <c r="O128" s="106">
        <v>-40</v>
      </c>
      <c r="P128" s="106">
        <v>-34.4</v>
      </c>
      <c r="Q128" s="106">
        <v>-32.200000000000003</v>
      </c>
      <c r="R128" s="106">
        <v>-31</v>
      </c>
      <c r="S128" s="106">
        <v>-31.2</v>
      </c>
      <c r="T128" s="106">
        <v>-35.4</v>
      </c>
      <c r="U128" s="106">
        <v>-41.4</v>
      </c>
      <c r="V128" s="106">
        <v>-45.8</v>
      </c>
      <c r="W128" s="106">
        <v>-51.1</v>
      </c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>MAX(B128:AF128)</f>
        <v>-13</v>
      </c>
      <c r="AI128" s="48">
        <f>MIN(B128:AF128)</f>
        <v>-52.5</v>
      </c>
    </row>
    <row r="129" spans="1:37" x14ac:dyDescent="0.25">
      <c r="A129" s="173" t="s">
        <v>260</v>
      </c>
      <c r="B129" s="106">
        <v>-12</v>
      </c>
      <c r="C129" s="106">
        <v>-15.2</v>
      </c>
      <c r="D129" s="106">
        <v>-15</v>
      </c>
      <c r="E129" s="106">
        <v>-11</v>
      </c>
      <c r="F129" s="106">
        <v>-17.8</v>
      </c>
      <c r="G129" s="106">
        <v>-32</v>
      </c>
      <c r="H129" s="106">
        <v>-31.4</v>
      </c>
      <c r="I129" s="106">
        <v>-31.8</v>
      </c>
      <c r="J129" s="106">
        <v>-27</v>
      </c>
      <c r="K129" s="106">
        <v>-31.5</v>
      </c>
      <c r="L129" s="106">
        <v>3.2</v>
      </c>
      <c r="M129" s="106">
        <v>2.7</v>
      </c>
      <c r="N129" s="106">
        <v>10.6</v>
      </c>
      <c r="O129" s="106">
        <v>-6</v>
      </c>
      <c r="P129" s="106">
        <v>-31.8</v>
      </c>
      <c r="Q129" s="106">
        <v>-37</v>
      </c>
      <c r="R129" s="106">
        <v>-24</v>
      </c>
      <c r="S129" s="106">
        <v>-27.4</v>
      </c>
      <c r="T129" s="106">
        <v>-27.4</v>
      </c>
      <c r="U129" s="106">
        <v>-30.9</v>
      </c>
      <c r="V129" s="106">
        <v>-29.1</v>
      </c>
      <c r="W129" s="106">
        <v>-32.9</v>
      </c>
      <c r="X129" s="106">
        <v>-35.799999999999997</v>
      </c>
      <c r="Y129" s="106">
        <v>-26.6</v>
      </c>
      <c r="Z129" s="106">
        <v>-5.6</v>
      </c>
      <c r="AA129" s="106">
        <v>-1.4</v>
      </c>
      <c r="AB129" s="106">
        <v>20.7</v>
      </c>
      <c r="AC129" s="106">
        <v>-19</v>
      </c>
      <c r="AD129" s="106">
        <v>-2</v>
      </c>
      <c r="AE129" s="106">
        <v>12</v>
      </c>
      <c r="AF129" s="106">
        <v>-10</v>
      </c>
      <c r="AG129" s="114"/>
      <c r="AH129" s="47">
        <f>MAX(B129:AF129)</f>
        <v>20.7</v>
      </c>
      <c r="AI129" s="48">
        <f>MIN(B129:AF129)</f>
        <v>-37</v>
      </c>
    </row>
    <row r="130" spans="1:37" ht="15.75" thickBot="1" x14ac:dyDescent="0.3">
      <c r="A130" s="173" t="s">
        <v>257</v>
      </c>
      <c r="B130" s="106">
        <v>97</v>
      </c>
      <c r="C130" s="106">
        <v>99</v>
      </c>
      <c r="D130" s="106">
        <v>94</v>
      </c>
      <c r="E130" s="106">
        <v>93</v>
      </c>
      <c r="F130" s="106">
        <v>94.2</v>
      </c>
      <c r="G130" s="106">
        <v>94.3</v>
      </c>
      <c r="H130" s="106">
        <v>95.2</v>
      </c>
      <c r="I130" s="106">
        <v>99.5</v>
      </c>
      <c r="J130" s="106">
        <v>110</v>
      </c>
      <c r="K130" s="106">
        <v>109</v>
      </c>
      <c r="L130" s="106">
        <v>111.6</v>
      </c>
      <c r="M130" s="106">
        <v>105.4</v>
      </c>
      <c r="N130" s="106">
        <v>103</v>
      </c>
      <c r="O130" s="106">
        <v>100</v>
      </c>
      <c r="P130" s="106">
        <v>120.3</v>
      </c>
      <c r="Q130" s="106">
        <v>116.5</v>
      </c>
      <c r="R130" s="106">
        <v>117</v>
      </c>
      <c r="S130" s="106">
        <v>125.6</v>
      </c>
      <c r="T130" s="106">
        <v>124.1</v>
      </c>
      <c r="U130" s="106">
        <v>126.9</v>
      </c>
      <c r="V130" s="106">
        <v>113.6</v>
      </c>
      <c r="W130" s="106">
        <v>107.6</v>
      </c>
      <c r="X130" s="106">
        <v>37.700000000000003</v>
      </c>
      <c r="Y130" s="106">
        <v>107.4</v>
      </c>
      <c r="Z130" s="106">
        <v>108.6</v>
      </c>
      <c r="AA130" s="106">
        <v>109.2</v>
      </c>
      <c r="AB130" s="106">
        <v>103.4</v>
      </c>
      <c r="AC130" s="106">
        <v>101</v>
      </c>
      <c r="AD130" s="106">
        <v>106</v>
      </c>
      <c r="AE130" s="106">
        <v>110</v>
      </c>
      <c r="AF130" s="106">
        <v>102</v>
      </c>
      <c r="AG130" s="114"/>
      <c r="AH130" s="47">
        <f>MAX(B130:AF130)</f>
        <v>126.9</v>
      </c>
      <c r="AI130" s="48">
        <f>MIN(B130:AF130)</f>
        <v>37.700000000000003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86">
        <v>1983.81</v>
      </c>
      <c r="C132" s="186">
        <v>1984.02</v>
      </c>
      <c r="D132" s="186">
        <v>1984.3</v>
      </c>
      <c r="E132" s="186">
        <v>1984.5</v>
      </c>
      <c r="F132" s="186">
        <v>1984.71</v>
      </c>
      <c r="G132" s="186">
        <v>1984.93</v>
      </c>
      <c r="H132" s="186"/>
      <c r="I132" s="186">
        <v>1985.1</v>
      </c>
      <c r="J132" s="186"/>
      <c r="K132" s="186">
        <v>1985.03</v>
      </c>
      <c r="L132" s="186"/>
      <c r="M132" s="147">
        <v>1984.18</v>
      </c>
      <c r="N132" s="147">
        <v>1982.95</v>
      </c>
      <c r="O132" s="147">
        <v>1982.53</v>
      </c>
      <c r="P132" s="147">
        <v>1982.7</v>
      </c>
      <c r="Q132" s="147">
        <v>1982.79</v>
      </c>
      <c r="R132" s="147">
        <v>1982.9</v>
      </c>
      <c r="S132" s="147">
        <v>1983.09</v>
      </c>
      <c r="T132" s="147">
        <v>1983.2</v>
      </c>
      <c r="U132" s="147">
        <v>1983.4</v>
      </c>
      <c r="V132" s="147">
        <v>1983.62</v>
      </c>
      <c r="W132" s="147"/>
      <c r="X132" s="147">
        <v>1983.81</v>
      </c>
      <c r="Y132" s="147"/>
      <c r="Z132" s="147">
        <v>1983.85</v>
      </c>
      <c r="AA132" s="147"/>
      <c r="AB132" s="147">
        <v>1982.95</v>
      </c>
      <c r="AC132" s="147"/>
      <c r="AD132" s="147">
        <v>1982.89</v>
      </c>
      <c r="AE132" s="147"/>
      <c r="AF132" s="148">
        <v>1983.4</v>
      </c>
      <c r="AG132" s="149"/>
      <c r="AH132" s="47"/>
      <c r="AI132" s="48"/>
    </row>
    <row r="133" spans="1:37" x14ac:dyDescent="0.25">
      <c r="A133" s="185" t="s">
        <v>238</v>
      </c>
      <c r="B133" s="187">
        <v>520.6</v>
      </c>
      <c r="C133" s="187">
        <v>520.96</v>
      </c>
      <c r="D133" s="187">
        <v>521.29999999999995</v>
      </c>
      <c r="E133" s="187">
        <v>521.64</v>
      </c>
      <c r="F133" s="187">
        <v>521.91999999999996</v>
      </c>
      <c r="G133" s="187">
        <v>522.22</v>
      </c>
      <c r="H133" s="187"/>
      <c r="I133" s="187">
        <v>522.26</v>
      </c>
      <c r="J133" s="187"/>
      <c r="K133" s="187">
        <v>522.1</v>
      </c>
      <c r="L133" s="187"/>
      <c r="M133" s="150">
        <v>521.79999999999995</v>
      </c>
      <c r="N133" s="150">
        <v>521.41999999999996</v>
      </c>
      <c r="O133" s="150">
        <v>521.12</v>
      </c>
      <c r="P133" s="150">
        <v>521.04</v>
      </c>
      <c r="Q133" s="150">
        <v>520.97</v>
      </c>
      <c r="R133" s="150">
        <v>520.91999999999996</v>
      </c>
      <c r="S133" s="150">
        <v>520.97</v>
      </c>
      <c r="T133" s="150">
        <v>521.1</v>
      </c>
      <c r="U133" s="150">
        <v>521.20000000000005</v>
      </c>
      <c r="V133" s="150">
        <v>521.26</v>
      </c>
      <c r="W133" s="150"/>
      <c r="X133" s="150">
        <v>521.35</v>
      </c>
      <c r="Y133" s="150"/>
      <c r="Z133" s="150">
        <v>521.02</v>
      </c>
      <c r="AA133" s="150"/>
      <c r="AB133" s="150">
        <v>520.34</v>
      </c>
      <c r="AC133" s="150"/>
      <c r="AD133" s="150"/>
      <c r="AE133" s="150">
        <v>519.226</v>
      </c>
      <c r="AF133" s="151">
        <v>519.35</v>
      </c>
      <c r="AG133" s="149"/>
      <c r="AH133" s="47"/>
      <c r="AI133" s="48"/>
    </row>
    <row r="134" spans="1:37" x14ac:dyDescent="0.25">
      <c r="A134" s="185" t="s">
        <v>239</v>
      </c>
      <c r="B134" s="187">
        <v>622.76</v>
      </c>
      <c r="C134" s="187">
        <v>623.23</v>
      </c>
      <c r="D134" s="187">
        <v>623.5</v>
      </c>
      <c r="E134" s="187">
        <v>623.9</v>
      </c>
      <c r="F134" s="187">
        <v>624.35</v>
      </c>
      <c r="G134" s="187">
        <v>624.55999999999995</v>
      </c>
      <c r="H134" s="187"/>
      <c r="I134" s="187">
        <v>624.83000000000004</v>
      </c>
      <c r="J134" s="187"/>
      <c r="K134" s="187">
        <v>624.87</v>
      </c>
      <c r="L134" s="187"/>
      <c r="M134" s="150">
        <v>624.32000000000005</v>
      </c>
      <c r="N134" s="150">
        <v>624.27</v>
      </c>
      <c r="O134" s="150">
        <v>623.9</v>
      </c>
      <c r="P134" s="150">
        <v>622.46</v>
      </c>
      <c r="Q134" s="150">
        <v>623.41999999999996</v>
      </c>
      <c r="R134" s="150">
        <v>623.09</v>
      </c>
      <c r="S134" s="150">
        <v>623.04999999999995</v>
      </c>
      <c r="T134" s="150">
        <v>623.09</v>
      </c>
      <c r="U134" s="150">
        <v>623.14</v>
      </c>
      <c r="V134" s="150">
        <v>623.16</v>
      </c>
      <c r="W134" s="150"/>
      <c r="X134" s="150">
        <v>623.17999999999995</v>
      </c>
      <c r="Y134" s="150"/>
      <c r="Z134" s="150">
        <v>623.17999999999995</v>
      </c>
      <c r="AA134" s="150"/>
      <c r="AB134" s="150">
        <v>622.46</v>
      </c>
      <c r="AC134" s="150"/>
      <c r="AD134" s="150">
        <v>622.05999999999995</v>
      </c>
      <c r="AE134" s="150">
        <v>622.05999999999995</v>
      </c>
      <c r="AF134" s="151">
        <v>622.20000000000005</v>
      </c>
      <c r="AG134" s="149"/>
      <c r="AH134" s="47"/>
      <c r="AI134" s="48"/>
    </row>
    <row r="135" spans="1:37" x14ac:dyDescent="0.25">
      <c r="A135" s="185" t="s">
        <v>240</v>
      </c>
      <c r="B135" s="187">
        <v>335.51</v>
      </c>
      <c r="C135" s="187">
        <v>335.9</v>
      </c>
      <c r="D135" s="187">
        <v>336.21</v>
      </c>
      <c r="E135" s="187">
        <v>336.54</v>
      </c>
      <c r="F135" s="187">
        <v>336.77</v>
      </c>
      <c r="G135" s="187">
        <v>337.03</v>
      </c>
      <c r="H135" s="187"/>
      <c r="I135" s="187">
        <v>337</v>
      </c>
      <c r="J135" s="187"/>
      <c r="K135" s="187">
        <v>336.88</v>
      </c>
      <c r="L135" s="187"/>
      <c r="M135" s="150">
        <v>336.58</v>
      </c>
      <c r="N135" s="150">
        <v>336.17</v>
      </c>
      <c r="O135" s="150">
        <v>335.81</v>
      </c>
      <c r="P135" s="150">
        <v>335.58</v>
      </c>
      <c r="Q135" s="150">
        <v>335.34</v>
      </c>
      <c r="R135" s="150">
        <v>335.03</v>
      </c>
      <c r="S135" s="150">
        <v>335.03</v>
      </c>
      <c r="T135" s="150">
        <v>335.37</v>
      </c>
      <c r="U135" s="150">
        <v>335.6</v>
      </c>
      <c r="V135" s="150">
        <v>335.83</v>
      </c>
      <c r="W135" s="150"/>
      <c r="X135" s="150">
        <v>336.07</v>
      </c>
      <c r="Y135" s="150"/>
      <c r="Z135" s="150">
        <v>336.03</v>
      </c>
      <c r="AA135" s="150"/>
      <c r="AB135" s="150">
        <v>335.64</v>
      </c>
      <c r="AC135" s="150"/>
      <c r="AD135" s="150"/>
      <c r="AE135" s="150">
        <v>335.05</v>
      </c>
      <c r="AF135" s="151"/>
      <c r="AG135" s="149"/>
      <c r="AH135" s="47"/>
      <c r="AI135" s="48"/>
    </row>
    <row r="136" spans="1:37" x14ac:dyDescent="0.25">
      <c r="A136" s="185" t="s">
        <v>384</v>
      </c>
      <c r="B136" s="187">
        <v>884.4</v>
      </c>
      <c r="C136" s="187">
        <v>885.2</v>
      </c>
      <c r="D136" s="187">
        <v>885.7</v>
      </c>
      <c r="E136" s="187">
        <v>886.2</v>
      </c>
      <c r="F136" s="187">
        <v>886.8</v>
      </c>
      <c r="G136" s="187">
        <v>887.1</v>
      </c>
      <c r="H136" s="187"/>
      <c r="I136" s="187">
        <v>887.2</v>
      </c>
      <c r="J136" s="187"/>
      <c r="K136" s="187">
        <v>886.4</v>
      </c>
      <c r="L136" s="187"/>
      <c r="M136" s="150">
        <v>885.4</v>
      </c>
      <c r="N136" s="150">
        <v>885.2</v>
      </c>
      <c r="O136" s="150">
        <v>885.1</v>
      </c>
      <c r="P136" s="150">
        <v>885.1</v>
      </c>
      <c r="Q136" s="150">
        <v>885.5</v>
      </c>
      <c r="R136" s="150">
        <v>886</v>
      </c>
      <c r="S136" s="150">
        <v>886</v>
      </c>
      <c r="T136" s="150">
        <v>886.1</v>
      </c>
      <c r="U136" s="150">
        <v>885.8</v>
      </c>
      <c r="V136" s="150">
        <v>885.4</v>
      </c>
      <c r="W136" s="150"/>
      <c r="X136" s="150">
        <v>885.3</v>
      </c>
      <c r="Y136" s="150"/>
      <c r="Z136" s="150">
        <v>884.5</v>
      </c>
      <c r="AA136" s="150"/>
      <c r="AB136" s="150">
        <v>882.8</v>
      </c>
      <c r="AC136" s="150"/>
      <c r="AD136" s="150"/>
      <c r="AE136" s="150"/>
      <c r="AF136" s="151"/>
      <c r="AG136" s="149"/>
      <c r="AH136" s="47"/>
      <c r="AI136" s="48"/>
    </row>
    <row r="137" spans="1:37" ht="15.75" thickBot="1" x14ac:dyDescent="0.3">
      <c r="A137" s="185" t="s">
        <v>241</v>
      </c>
      <c r="B137" s="188"/>
      <c r="C137" s="188"/>
      <c r="D137" s="188"/>
      <c r="E137" s="188"/>
      <c r="F137" s="188"/>
      <c r="G137" s="188"/>
      <c r="H137" s="188"/>
      <c r="I137" s="188"/>
      <c r="J137" s="188"/>
      <c r="K137" s="188">
        <v>1519.76</v>
      </c>
      <c r="L137" s="188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167">SUM(B139:B243)</f>
        <v>0</v>
      </c>
      <c r="C244" s="134">
        <f t="shared" si="167"/>
        <v>0</v>
      </c>
      <c r="D244" s="134">
        <f t="shared" si="167"/>
        <v>0</v>
      </c>
      <c r="E244" s="134">
        <f t="shared" si="167"/>
        <v>0</v>
      </c>
      <c r="F244" s="134">
        <f t="shared" si="167"/>
        <v>0</v>
      </c>
      <c r="G244" s="134">
        <f t="shared" si="167"/>
        <v>0</v>
      </c>
      <c r="H244" s="134">
        <f t="shared" si="167"/>
        <v>0</v>
      </c>
      <c r="I244" s="134">
        <f t="shared" si="167"/>
        <v>0</v>
      </c>
      <c r="J244" s="134">
        <f t="shared" si="167"/>
        <v>0</v>
      </c>
      <c r="K244" s="134">
        <f t="shared" si="167"/>
        <v>0</v>
      </c>
      <c r="L244" s="134">
        <f t="shared" si="167"/>
        <v>0</v>
      </c>
      <c r="M244" s="134">
        <f t="shared" si="167"/>
        <v>0</v>
      </c>
      <c r="N244" s="134">
        <f t="shared" si="167"/>
        <v>0</v>
      </c>
      <c r="O244" s="134">
        <f t="shared" si="167"/>
        <v>0</v>
      </c>
      <c r="P244" s="134">
        <f t="shared" si="167"/>
        <v>0</v>
      </c>
      <c r="Q244" s="134">
        <f t="shared" si="167"/>
        <v>0</v>
      </c>
      <c r="R244" s="134">
        <f t="shared" si="167"/>
        <v>0</v>
      </c>
      <c r="S244" s="134">
        <f t="shared" si="167"/>
        <v>0</v>
      </c>
      <c r="T244" s="134">
        <f t="shared" si="167"/>
        <v>0</v>
      </c>
      <c r="U244" s="134">
        <f t="shared" si="167"/>
        <v>0</v>
      </c>
      <c r="V244" s="134">
        <f t="shared" si="167"/>
        <v>0</v>
      </c>
      <c r="W244" s="134">
        <f t="shared" si="167"/>
        <v>0</v>
      </c>
      <c r="X244" s="134">
        <f t="shared" si="167"/>
        <v>0</v>
      </c>
      <c r="Y244" s="134">
        <f t="shared" si="167"/>
        <v>0</v>
      </c>
      <c r="Z244" s="134">
        <f t="shared" si="167"/>
        <v>0</v>
      </c>
      <c r="AA244" s="134">
        <f t="shared" si="167"/>
        <v>0</v>
      </c>
      <c r="AB244" s="134">
        <f t="shared" si="167"/>
        <v>0</v>
      </c>
      <c r="AC244" s="134">
        <f t="shared" si="167"/>
        <v>0</v>
      </c>
      <c r="AD244" s="134">
        <f t="shared" si="167"/>
        <v>0</v>
      </c>
      <c r="AE244" s="134">
        <f t="shared" si="167"/>
        <v>0</v>
      </c>
      <c r="AF244" s="135">
        <f t="shared" si="167"/>
        <v>0</v>
      </c>
      <c r="AG244" s="136">
        <f t="shared" si="167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168">AF246</f>
        <v>0.3</v>
      </c>
      <c r="C246" s="138">
        <v>0.3</v>
      </c>
      <c r="D246" s="138">
        <f t="shared" ref="D246:S251" si="169">C246</f>
        <v>0.3</v>
      </c>
      <c r="E246" s="138">
        <f t="shared" si="169"/>
        <v>0.3</v>
      </c>
      <c r="F246" s="138">
        <f t="shared" si="169"/>
        <v>0.3</v>
      </c>
      <c r="G246" s="138">
        <f t="shared" si="169"/>
        <v>0.3</v>
      </c>
      <c r="H246" s="138">
        <f t="shared" si="169"/>
        <v>0.3</v>
      </c>
      <c r="I246" s="138">
        <f t="shared" si="169"/>
        <v>0.3</v>
      </c>
      <c r="J246" s="138">
        <f t="shared" si="169"/>
        <v>0.3</v>
      </c>
      <c r="K246" s="138">
        <f t="shared" si="169"/>
        <v>0.3</v>
      </c>
      <c r="L246" s="138">
        <f t="shared" si="169"/>
        <v>0.3</v>
      </c>
      <c r="M246" s="138">
        <f t="shared" si="169"/>
        <v>0.3</v>
      </c>
      <c r="N246" s="138">
        <f t="shared" si="169"/>
        <v>0.3</v>
      </c>
      <c r="O246" s="138">
        <f t="shared" si="169"/>
        <v>0.3</v>
      </c>
      <c r="P246" s="138">
        <f t="shared" si="169"/>
        <v>0.3</v>
      </c>
      <c r="Q246" s="138">
        <f t="shared" si="169"/>
        <v>0.3</v>
      </c>
      <c r="R246" s="138">
        <f t="shared" si="169"/>
        <v>0.3</v>
      </c>
      <c r="S246" s="138">
        <f t="shared" si="169"/>
        <v>0.3</v>
      </c>
      <c r="T246" s="138">
        <f t="shared" ref="T246:AF251" si="170">S246</f>
        <v>0.3</v>
      </c>
      <c r="U246" s="138">
        <f t="shared" si="170"/>
        <v>0.3</v>
      </c>
      <c r="V246" s="138">
        <f t="shared" si="170"/>
        <v>0.3</v>
      </c>
      <c r="W246" s="138">
        <f t="shared" si="170"/>
        <v>0.3</v>
      </c>
      <c r="X246" s="138">
        <f t="shared" si="170"/>
        <v>0.3</v>
      </c>
      <c r="Y246" s="138">
        <f t="shared" si="170"/>
        <v>0.3</v>
      </c>
      <c r="Z246" s="138">
        <f t="shared" si="170"/>
        <v>0.3</v>
      </c>
      <c r="AA246" s="138">
        <f t="shared" si="170"/>
        <v>0.3</v>
      </c>
      <c r="AB246" s="138">
        <f t="shared" si="170"/>
        <v>0.3</v>
      </c>
      <c r="AC246" s="138">
        <f t="shared" si="170"/>
        <v>0.3</v>
      </c>
      <c r="AD246" s="138">
        <f t="shared" si="170"/>
        <v>0.3</v>
      </c>
      <c r="AE246" s="138">
        <f t="shared" si="170"/>
        <v>0.3</v>
      </c>
      <c r="AF246" s="138">
        <f t="shared" si="170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168"/>
        <v>0.4</v>
      </c>
      <c r="C247" s="126">
        <v>0.4</v>
      </c>
      <c r="D247" s="126">
        <f t="shared" si="169"/>
        <v>0.4</v>
      </c>
      <c r="E247" s="126">
        <f t="shared" si="169"/>
        <v>0.4</v>
      </c>
      <c r="F247" s="126">
        <f t="shared" si="169"/>
        <v>0.4</v>
      </c>
      <c r="G247" s="126">
        <f t="shared" si="169"/>
        <v>0.4</v>
      </c>
      <c r="H247" s="126">
        <f t="shared" si="169"/>
        <v>0.4</v>
      </c>
      <c r="I247" s="126">
        <f t="shared" si="169"/>
        <v>0.4</v>
      </c>
      <c r="J247" s="126">
        <f t="shared" si="169"/>
        <v>0.4</v>
      </c>
      <c r="K247" s="126">
        <f t="shared" si="169"/>
        <v>0.4</v>
      </c>
      <c r="L247" s="126">
        <f t="shared" si="169"/>
        <v>0.4</v>
      </c>
      <c r="M247" s="126">
        <f t="shared" si="169"/>
        <v>0.4</v>
      </c>
      <c r="N247" s="126">
        <f t="shared" si="169"/>
        <v>0.4</v>
      </c>
      <c r="O247" s="126">
        <f t="shared" si="169"/>
        <v>0.4</v>
      </c>
      <c r="P247" s="126">
        <f t="shared" si="169"/>
        <v>0.4</v>
      </c>
      <c r="Q247" s="126">
        <f t="shared" si="169"/>
        <v>0.4</v>
      </c>
      <c r="R247" s="126">
        <f t="shared" si="169"/>
        <v>0.4</v>
      </c>
      <c r="S247" s="126">
        <f t="shared" si="169"/>
        <v>0.4</v>
      </c>
      <c r="T247" s="126">
        <f t="shared" si="170"/>
        <v>0.4</v>
      </c>
      <c r="U247" s="126">
        <f t="shared" si="170"/>
        <v>0.4</v>
      </c>
      <c r="V247" s="126">
        <f t="shared" si="170"/>
        <v>0.4</v>
      </c>
      <c r="W247" s="126">
        <f t="shared" si="170"/>
        <v>0.4</v>
      </c>
      <c r="X247" s="126">
        <f t="shared" si="170"/>
        <v>0.4</v>
      </c>
      <c r="Y247" s="126">
        <f t="shared" si="170"/>
        <v>0.4</v>
      </c>
      <c r="Z247" s="126">
        <f t="shared" si="170"/>
        <v>0.4</v>
      </c>
      <c r="AA247" s="126">
        <f t="shared" si="170"/>
        <v>0.4</v>
      </c>
      <c r="AB247" s="126">
        <f t="shared" si="170"/>
        <v>0.4</v>
      </c>
      <c r="AC247" s="126">
        <f t="shared" si="170"/>
        <v>0.4</v>
      </c>
      <c r="AD247" s="126">
        <f t="shared" si="170"/>
        <v>0.4</v>
      </c>
      <c r="AE247" s="126">
        <f t="shared" si="170"/>
        <v>0.4</v>
      </c>
      <c r="AF247" s="126">
        <f t="shared" si="170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168"/>
        <v>1.5</v>
      </c>
      <c r="C248" s="126">
        <v>1.5</v>
      </c>
      <c r="D248" s="126">
        <f t="shared" si="169"/>
        <v>1.5</v>
      </c>
      <c r="E248" s="126">
        <f t="shared" si="169"/>
        <v>1.5</v>
      </c>
      <c r="F248" s="126">
        <f t="shared" si="169"/>
        <v>1.5</v>
      </c>
      <c r="G248" s="126">
        <f t="shared" si="169"/>
        <v>1.5</v>
      </c>
      <c r="H248" s="126">
        <f t="shared" si="169"/>
        <v>1.5</v>
      </c>
      <c r="I248" s="126">
        <f t="shared" si="169"/>
        <v>1.5</v>
      </c>
      <c r="J248" s="126">
        <f t="shared" si="169"/>
        <v>1.5</v>
      </c>
      <c r="K248" s="126">
        <f t="shared" si="169"/>
        <v>1.5</v>
      </c>
      <c r="L248" s="126">
        <f t="shared" si="169"/>
        <v>1.5</v>
      </c>
      <c r="M248" s="126">
        <f t="shared" si="169"/>
        <v>1.5</v>
      </c>
      <c r="N248" s="126">
        <f t="shared" si="169"/>
        <v>1.5</v>
      </c>
      <c r="O248" s="126">
        <f t="shared" si="169"/>
        <v>1.5</v>
      </c>
      <c r="P248" s="126">
        <f t="shared" si="169"/>
        <v>1.5</v>
      </c>
      <c r="Q248" s="126">
        <f t="shared" si="169"/>
        <v>1.5</v>
      </c>
      <c r="R248" s="126">
        <f t="shared" si="169"/>
        <v>1.5</v>
      </c>
      <c r="S248" s="126">
        <f t="shared" si="169"/>
        <v>1.5</v>
      </c>
      <c r="T248" s="126">
        <f t="shared" si="170"/>
        <v>1.5</v>
      </c>
      <c r="U248" s="126">
        <f t="shared" si="170"/>
        <v>1.5</v>
      </c>
      <c r="V248" s="126">
        <f t="shared" si="170"/>
        <v>1.5</v>
      </c>
      <c r="W248" s="126">
        <f t="shared" si="170"/>
        <v>1.5</v>
      </c>
      <c r="X248" s="126">
        <f t="shared" si="170"/>
        <v>1.5</v>
      </c>
      <c r="Y248" s="126">
        <f t="shared" si="170"/>
        <v>1.5</v>
      </c>
      <c r="Z248" s="126">
        <f t="shared" si="170"/>
        <v>1.5</v>
      </c>
      <c r="AA248" s="126">
        <f t="shared" si="170"/>
        <v>1.5</v>
      </c>
      <c r="AB248" s="126">
        <f t="shared" si="170"/>
        <v>1.5</v>
      </c>
      <c r="AC248" s="126">
        <f t="shared" si="170"/>
        <v>1.5</v>
      </c>
      <c r="AD248" s="126">
        <f t="shared" si="170"/>
        <v>1.5</v>
      </c>
      <c r="AE248" s="126">
        <f t="shared" si="170"/>
        <v>1.5</v>
      </c>
      <c r="AF248" s="126">
        <f t="shared" si="170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168"/>
        <v>0.3</v>
      </c>
      <c r="C249" s="126">
        <v>0.3</v>
      </c>
      <c r="D249" s="126">
        <f t="shared" si="169"/>
        <v>0.3</v>
      </c>
      <c r="E249" s="126">
        <f t="shared" si="169"/>
        <v>0.3</v>
      </c>
      <c r="F249" s="126">
        <f t="shared" si="169"/>
        <v>0.3</v>
      </c>
      <c r="G249" s="126">
        <f t="shared" si="169"/>
        <v>0.3</v>
      </c>
      <c r="H249" s="126">
        <f t="shared" si="169"/>
        <v>0.3</v>
      </c>
      <c r="I249" s="126">
        <f t="shared" si="169"/>
        <v>0.3</v>
      </c>
      <c r="J249" s="126">
        <f t="shared" si="169"/>
        <v>0.3</v>
      </c>
      <c r="K249" s="126">
        <f t="shared" si="169"/>
        <v>0.3</v>
      </c>
      <c r="L249" s="126">
        <f t="shared" si="169"/>
        <v>0.3</v>
      </c>
      <c r="M249" s="126">
        <f t="shared" si="169"/>
        <v>0.3</v>
      </c>
      <c r="N249" s="126">
        <f t="shared" si="169"/>
        <v>0.3</v>
      </c>
      <c r="O249" s="126">
        <f t="shared" si="169"/>
        <v>0.3</v>
      </c>
      <c r="P249" s="126">
        <f t="shared" si="169"/>
        <v>0.3</v>
      </c>
      <c r="Q249" s="126">
        <f t="shared" si="169"/>
        <v>0.3</v>
      </c>
      <c r="R249" s="126">
        <f t="shared" si="169"/>
        <v>0.3</v>
      </c>
      <c r="S249" s="126">
        <f t="shared" si="169"/>
        <v>0.3</v>
      </c>
      <c r="T249" s="126">
        <f t="shared" si="170"/>
        <v>0.3</v>
      </c>
      <c r="U249" s="126">
        <f t="shared" si="170"/>
        <v>0.3</v>
      </c>
      <c r="V249" s="126">
        <f t="shared" si="170"/>
        <v>0.3</v>
      </c>
      <c r="W249" s="126">
        <f t="shared" si="170"/>
        <v>0.3</v>
      </c>
      <c r="X249" s="126">
        <f t="shared" si="170"/>
        <v>0.3</v>
      </c>
      <c r="Y249" s="126">
        <f t="shared" si="170"/>
        <v>0.3</v>
      </c>
      <c r="Z249" s="126">
        <f t="shared" si="170"/>
        <v>0.3</v>
      </c>
      <c r="AA249" s="126">
        <f t="shared" si="170"/>
        <v>0.3</v>
      </c>
      <c r="AB249" s="126">
        <f t="shared" si="170"/>
        <v>0.3</v>
      </c>
      <c r="AC249" s="126">
        <f t="shared" si="170"/>
        <v>0.3</v>
      </c>
      <c r="AD249" s="126">
        <f t="shared" si="170"/>
        <v>0.3</v>
      </c>
      <c r="AE249" s="126">
        <f t="shared" si="170"/>
        <v>0.3</v>
      </c>
      <c r="AF249" s="126">
        <f t="shared" si="170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168"/>
        <v>0.4</v>
      </c>
      <c r="C250" s="126">
        <v>0.4</v>
      </c>
      <c r="D250" s="126">
        <f t="shared" si="169"/>
        <v>0.4</v>
      </c>
      <c r="E250" s="126">
        <f t="shared" si="169"/>
        <v>0.4</v>
      </c>
      <c r="F250" s="126">
        <f t="shared" si="169"/>
        <v>0.4</v>
      </c>
      <c r="G250" s="126">
        <f t="shared" si="169"/>
        <v>0.4</v>
      </c>
      <c r="H250" s="126">
        <f t="shared" si="169"/>
        <v>0.4</v>
      </c>
      <c r="I250" s="126">
        <f t="shared" si="169"/>
        <v>0.4</v>
      </c>
      <c r="J250" s="126">
        <f t="shared" si="169"/>
        <v>0.4</v>
      </c>
      <c r="K250" s="126">
        <f t="shared" si="169"/>
        <v>0.4</v>
      </c>
      <c r="L250" s="126">
        <f t="shared" si="169"/>
        <v>0.4</v>
      </c>
      <c r="M250" s="126">
        <f t="shared" si="169"/>
        <v>0.4</v>
      </c>
      <c r="N250" s="126">
        <f t="shared" si="169"/>
        <v>0.4</v>
      </c>
      <c r="O250" s="126">
        <f t="shared" si="169"/>
        <v>0.4</v>
      </c>
      <c r="P250" s="126">
        <f t="shared" si="169"/>
        <v>0.4</v>
      </c>
      <c r="Q250" s="126">
        <f t="shared" si="169"/>
        <v>0.4</v>
      </c>
      <c r="R250" s="126">
        <f t="shared" si="169"/>
        <v>0.4</v>
      </c>
      <c r="S250" s="126">
        <f t="shared" si="169"/>
        <v>0.4</v>
      </c>
      <c r="T250" s="126">
        <f t="shared" si="170"/>
        <v>0.4</v>
      </c>
      <c r="U250" s="126">
        <f t="shared" si="170"/>
        <v>0.4</v>
      </c>
      <c r="V250" s="126">
        <f t="shared" si="170"/>
        <v>0.4</v>
      </c>
      <c r="W250" s="126">
        <f t="shared" si="170"/>
        <v>0.4</v>
      </c>
      <c r="X250" s="126">
        <f t="shared" si="170"/>
        <v>0.4</v>
      </c>
      <c r="Y250" s="126">
        <f t="shared" si="170"/>
        <v>0.4</v>
      </c>
      <c r="Z250" s="126">
        <f t="shared" si="170"/>
        <v>0.4</v>
      </c>
      <c r="AA250" s="126">
        <f t="shared" si="170"/>
        <v>0.4</v>
      </c>
      <c r="AB250" s="126">
        <f t="shared" si="170"/>
        <v>0.4</v>
      </c>
      <c r="AC250" s="126">
        <f t="shared" si="170"/>
        <v>0.4</v>
      </c>
      <c r="AD250" s="126">
        <f t="shared" si="170"/>
        <v>0.4</v>
      </c>
      <c r="AE250" s="126">
        <f t="shared" si="170"/>
        <v>0.4</v>
      </c>
      <c r="AF250" s="126">
        <f t="shared" si="170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168"/>
        <v>0.64</v>
      </c>
      <c r="C251" s="130">
        <v>0.64</v>
      </c>
      <c r="D251" s="130">
        <f t="shared" si="169"/>
        <v>0.64</v>
      </c>
      <c r="E251" s="130">
        <f t="shared" si="169"/>
        <v>0.64</v>
      </c>
      <c r="F251" s="130">
        <f t="shared" si="169"/>
        <v>0.64</v>
      </c>
      <c r="G251" s="130">
        <f t="shared" si="169"/>
        <v>0.64</v>
      </c>
      <c r="H251" s="130">
        <f t="shared" si="169"/>
        <v>0.64</v>
      </c>
      <c r="I251" s="130">
        <f t="shared" si="169"/>
        <v>0.64</v>
      </c>
      <c r="J251" s="130">
        <f t="shared" si="169"/>
        <v>0.64</v>
      </c>
      <c r="K251" s="130">
        <f t="shared" si="169"/>
        <v>0.64</v>
      </c>
      <c r="L251" s="130">
        <f t="shared" si="169"/>
        <v>0.64</v>
      </c>
      <c r="M251" s="130">
        <f t="shared" si="169"/>
        <v>0.64</v>
      </c>
      <c r="N251" s="130">
        <f t="shared" si="169"/>
        <v>0.64</v>
      </c>
      <c r="O251" s="130">
        <f t="shared" si="169"/>
        <v>0.64</v>
      </c>
      <c r="P251" s="130">
        <f t="shared" si="169"/>
        <v>0.64</v>
      </c>
      <c r="Q251" s="130">
        <f t="shared" si="169"/>
        <v>0.64</v>
      </c>
      <c r="R251" s="130">
        <f t="shared" si="169"/>
        <v>0.64</v>
      </c>
      <c r="S251" s="130">
        <f t="shared" si="169"/>
        <v>0.64</v>
      </c>
      <c r="T251" s="130">
        <f t="shared" si="170"/>
        <v>0.64</v>
      </c>
      <c r="U251" s="130">
        <f t="shared" si="170"/>
        <v>0.64</v>
      </c>
      <c r="V251" s="130">
        <f t="shared" si="170"/>
        <v>0.64</v>
      </c>
      <c r="W251" s="130">
        <f t="shared" si="170"/>
        <v>0.64</v>
      </c>
      <c r="X251" s="130">
        <f t="shared" si="170"/>
        <v>0.64</v>
      </c>
      <c r="Y251" s="130">
        <f t="shared" si="170"/>
        <v>0.64</v>
      </c>
      <c r="Z251" s="130">
        <f t="shared" si="170"/>
        <v>0.64</v>
      </c>
      <c r="AA251" s="130">
        <f t="shared" si="170"/>
        <v>0.64</v>
      </c>
      <c r="AB251" s="130">
        <f t="shared" si="170"/>
        <v>0.64</v>
      </c>
      <c r="AC251" s="130">
        <f t="shared" si="170"/>
        <v>0.64</v>
      </c>
      <c r="AD251" s="130">
        <f t="shared" si="170"/>
        <v>0.64</v>
      </c>
      <c r="AE251" s="130">
        <f t="shared" si="170"/>
        <v>0.64</v>
      </c>
      <c r="AF251" s="130">
        <f t="shared" si="170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171">SUM(B246:B251)</f>
        <v>3.54</v>
      </c>
      <c r="C252" s="134">
        <f t="shared" si="171"/>
        <v>3.54</v>
      </c>
      <c r="D252" s="134">
        <f t="shared" si="171"/>
        <v>3.54</v>
      </c>
      <c r="E252" s="134">
        <f t="shared" si="171"/>
        <v>3.54</v>
      </c>
      <c r="F252" s="134">
        <f t="shared" si="171"/>
        <v>3.54</v>
      </c>
      <c r="G252" s="134">
        <f t="shared" si="171"/>
        <v>3.54</v>
      </c>
      <c r="H252" s="134">
        <f t="shared" si="171"/>
        <v>3.54</v>
      </c>
      <c r="I252" s="134">
        <f t="shared" si="171"/>
        <v>3.54</v>
      </c>
      <c r="J252" s="134">
        <f t="shared" si="171"/>
        <v>3.54</v>
      </c>
      <c r="K252" s="134">
        <f t="shared" si="171"/>
        <v>3.54</v>
      </c>
      <c r="L252" s="134">
        <f t="shared" si="171"/>
        <v>3.54</v>
      </c>
      <c r="M252" s="134">
        <f t="shared" si="171"/>
        <v>3.54</v>
      </c>
      <c r="N252" s="134">
        <f t="shared" si="171"/>
        <v>3.54</v>
      </c>
      <c r="O252" s="134">
        <f t="shared" si="171"/>
        <v>3.54</v>
      </c>
      <c r="P252" s="134">
        <f t="shared" si="171"/>
        <v>3.54</v>
      </c>
      <c r="Q252" s="134">
        <f t="shared" si="171"/>
        <v>3.54</v>
      </c>
      <c r="R252" s="134">
        <f t="shared" si="171"/>
        <v>3.54</v>
      </c>
      <c r="S252" s="134">
        <f t="shared" si="171"/>
        <v>3.54</v>
      </c>
      <c r="T252" s="134">
        <f t="shared" si="171"/>
        <v>3.54</v>
      </c>
      <c r="U252" s="134">
        <f t="shared" si="171"/>
        <v>3.54</v>
      </c>
      <c r="V252" s="134">
        <f t="shared" si="171"/>
        <v>3.54</v>
      </c>
      <c r="W252" s="134">
        <f t="shared" si="171"/>
        <v>3.54</v>
      </c>
      <c r="X252" s="134">
        <f t="shared" si="171"/>
        <v>3.54</v>
      </c>
      <c r="Y252" s="134">
        <f t="shared" si="171"/>
        <v>3.54</v>
      </c>
      <c r="Z252" s="134">
        <f t="shared" si="171"/>
        <v>3.54</v>
      </c>
      <c r="AA252" s="134">
        <f t="shared" si="171"/>
        <v>3.54</v>
      </c>
      <c r="AB252" s="134">
        <f t="shared" si="171"/>
        <v>3.54</v>
      </c>
      <c r="AC252" s="134">
        <f t="shared" si="171"/>
        <v>3.54</v>
      </c>
      <c r="AD252" s="134">
        <f t="shared" si="171"/>
        <v>3.54</v>
      </c>
      <c r="AE252" s="134">
        <f t="shared" si="171"/>
        <v>3.54</v>
      </c>
      <c r="AF252" s="134">
        <f t="shared" si="171"/>
        <v>3.54</v>
      </c>
      <c r="AG252" s="143">
        <f t="shared" si="171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1783.99</v>
      </c>
      <c r="C256" s="156">
        <f>INDEX(G9:N9,1,MATCH(MAX(G99:N99),G99:N99,0))</f>
        <v>0.375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2080/10/29)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536" priority="90">
      <formula>$AH11=0</formula>
    </cfRule>
  </conditionalFormatting>
  <conditionalFormatting sqref="A132:A253">
    <cfRule type="expression" dxfId="535" priority="91">
      <formula>$AH132=0</formula>
    </cfRule>
  </conditionalFormatting>
  <conditionalFormatting sqref="B8">
    <cfRule type="expression" dxfId="534" priority="150">
      <formula>AND(C$9&gt;=8/24,C$9&lt;14/24)</formula>
    </cfRule>
    <cfRule type="expression" dxfId="533" priority="151">
      <formula>C$9&lt;8/24</formula>
    </cfRule>
    <cfRule type="expression" dxfId="532" priority="149">
      <formula>AND(C$9&gt;=14/24,C$9&lt;20/24)</formula>
    </cfRule>
    <cfRule type="expression" dxfId="531" priority="152">
      <formula>C$9&gt;=20/24</formula>
    </cfRule>
  </conditionalFormatting>
  <conditionalFormatting sqref="B11:Y52 B59:D68 C63:G74 B69:AF74 B77:AF99 B9:AF10 B101:AF117 B119:AF137 B244:AF244 B246:B252">
    <cfRule type="expression" dxfId="530" priority="41">
      <formula>B$9&gt;=20/24</formula>
    </cfRule>
  </conditionalFormatting>
  <conditionalFormatting sqref="B53:Y57">
    <cfRule type="expression" dxfId="529" priority="53">
      <formula>B$9&lt;8/24</formula>
    </cfRule>
  </conditionalFormatting>
  <conditionalFormatting sqref="B9:AF10 B11:Y52 B59:D68 C63:G74 B69:AF74 B77:AF99 B101:AF117 B119:AF137 B244:AF244 B246:B252">
    <cfRule type="expression" dxfId="528" priority="43">
      <formula>AND(B$9&gt;=8/24,B$9&lt;14/24)</formula>
    </cfRule>
    <cfRule type="expression" dxfId="527" priority="42">
      <formula>AND(B$9&gt;=14/24,B$9&lt;20/24)</formula>
    </cfRule>
    <cfRule type="expression" dxfId="526" priority="44">
      <formula>B$9&lt;8/24</formula>
    </cfRule>
  </conditionalFormatting>
  <conditionalFormatting sqref="D246:AF252">
    <cfRule type="expression" dxfId="525" priority="137">
      <formula>D$9&lt;8/24</formula>
    </cfRule>
    <cfRule type="expression" dxfId="524" priority="136">
      <formula>AND(D$9&gt;=8/24,D$9&lt;14/24)</formula>
    </cfRule>
    <cfRule type="expression" dxfId="523" priority="135">
      <formula>AND(D$9&gt;=14/24,D$9&lt;20/24)</formula>
    </cfRule>
    <cfRule type="expression" dxfId="522" priority="134">
      <formula>D$9&gt;=20/24</formula>
    </cfRule>
  </conditionalFormatting>
  <conditionalFormatting sqref="E63:I67 J64:J67 K67">
    <cfRule type="expression" dxfId="521" priority="57">
      <formula>E$9&lt;8/24</formula>
    </cfRule>
    <cfRule type="expression" dxfId="520" priority="55">
      <formula>AND(E$9&gt;=14/24,E$9&lt;20/24)</formula>
    </cfRule>
    <cfRule type="expression" dxfId="519" priority="54">
      <formula>E$9&gt;=20/24</formula>
    </cfRule>
    <cfRule type="expression" dxfId="518" priority="56">
      <formula>AND(E$9&gt;=8/24,E$9&lt;14/24)</formula>
    </cfRule>
  </conditionalFormatting>
  <conditionalFormatting sqref="E68:Y68">
    <cfRule type="expression" dxfId="517" priority="49">
      <formula>E$9&gt;=20/24</formula>
    </cfRule>
    <cfRule type="expression" dxfId="516" priority="52">
      <formula>E$9&lt;8/24</formula>
    </cfRule>
    <cfRule type="expression" dxfId="515" priority="51">
      <formula>AND(E$9&gt;=8/24,E$9&lt;14/24)</formula>
    </cfRule>
    <cfRule type="expression" dxfId="514" priority="50">
      <formula>AND(E$9&gt;=14/24,E$9&lt;20/24)</formula>
    </cfRule>
  </conditionalFormatting>
  <conditionalFormatting sqref="E59:AF62">
    <cfRule type="expression" dxfId="513" priority="68">
      <formula>E$9&gt;=20/24</formula>
    </cfRule>
    <cfRule type="expression" dxfId="512" priority="69">
      <formula>AND(E$9&gt;=14/24,E$9&lt;20/24)</formula>
    </cfRule>
    <cfRule type="expression" dxfId="511" priority="70">
      <formula>AND(E$9&gt;=8/24,E$9&lt;14/24)</formula>
    </cfRule>
    <cfRule type="expression" dxfId="510" priority="71">
      <formula>E$9&lt;8/24</formula>
    </cfRule>
  </conditionalFormatting>
  <conditionalFormatting sqref="F63:L65">
    <cfRule type="expression" dxfId="509" priority="84">
      <formula>AND(F$9&gt;=8/24,F$9&lt;14/24)</formula>
    </cfRule>
    <cfRule type="expression" dxfId="508" priority="83">
      <formula>AND(F$9&gt;=14/24,F$9&lt;20/24)</formula>
    </cfRule>
    <cfRule type="expression" dxfId="507" priority="82">
      <formula>F$9&gt;=20/24</formula>
    </cfRule>
    <cfRule type="expression" dxfId="506" priority="85">
      <formula>F$9&lt;8/24</formula>
    </cfRule>
  </conditionalFormatting>
  <conditionalFormatting sqref="M8 S8 AB8">
    <cfRule type="expression" dxfId="505" priority="143">
      <formula>N$9&lt;8/24</formula>
    </cfRule>
    <cfRule type="expression" dxfId="504" priority="142">
      <formula>AND(N$9&gt;=8/24,N$9&lt;14/24)</formula>
    </cfRule>
    <cfRule type="expression" dxfId="503" priority="141">
      <formula>AND(N$9&gt;=14/24,N$9&lt;20/24)</formula>
    </cfRule>
  </conditionalFormatting>
  <conditionalFormatting sqref="M11:Y56 E11:L57 B11:D61 Z56:AF80 M57:R57 S57:Y80 E58:R61 AG62 B62:R80 AG80">
    <cfRule type="expression" dxfId="502" priority="40">
      <formula>B11&gt;$AG11</formula>
    </cfRule>
  </conditionalFormatting>
  <conditionalFormatting sqref="M56:Y57">
    <cfRule type="expression" dxfId="501" priority="46">
      <formula>M$9&gt;=20/24</formula>
    </cfRule>
    <cfRule type="expression" dxfId="500" priority="47">
      <formula>AND(M$9&gt;=14/24,M$9&lt;20/24)</formula>
    </cfRule>
    <cfRule type="expression" dxfId="499" priority="48">
      <formula>AND(M$9&gt;=8/24,M$9&lt;14/24)</formula>
    </cfRule>
  </conditionalFormatting>
  <conditionalFormatting sqref="M63:Y67">
    <cfRule type="expression" dxfId="498" priority="86">
      <formula>M$9&gt;=20/24</formula>
    </cfRule>
    <cfRule type="expression" dxfId="497" priority="87">
      <formula>AND(M$9&gt;=14/24,M$9&lt;20/24)</formula>
    </cfRule>
    <cfRule type="expression" dxfId="496" priority="88">
      <formula>AND(M$9&gt;=8/24,M$9&lt;14/24)</formula>
    </cfRule>
    <cfRule type="expression" dxfId="495" priority="89">
      <formula>M$9&lt;8/24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94" priority="140">
      <formula>N$9&gt;=20/24</formula>
    </cfRule>
  </conditionalFormatting>
  <conditionalFormatting sqref="S8">
    <cfRule type="expression" dxfId="493" priority="127">
      <formula>U$9&gt;=20/24</formula>
    </cfRule>
    <cfRule type="expression" dxfId="492" priority="128">
      <formula>AND(U$9&gt;=14/24,U$9&lt;20/24)</formula>
    </cfRule>
    <cfRule type="expression" dxfId="491" priority="129">
      <formula>AND(U$9&gt;=8/24,U$9&lt;14/24)</formula>
    </cfRule>
    <cfRule type="expression" dxfId="490" priority="130">
      <formula>U$9&lt;8/24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489" priority="58">
      <formula>Z11&gt;$AG11</formula>
    </cfRule>
    <cfRule type="expression" dxfId="488" priority="59">
      <formula>Z$9&gt;=20/24</formula>
    </cfRule>
    <cfRule type="expression" dxfId="487" priority="60">
      <formula>AND(Z$9&gt;=14/24,Z$9&lt;20/24)</formula>
    </cfRule>
    <cfRule type="expression" dxfId="486" priority="61">
      <formula>AND(Z$9&gt;=8/24,Z$9&lt;14/24)</formula>
    </cfRule>
    <cfRule type="expression" dxfId="485" priority="62">
      <formula>Z$9&lt;8/24</formula>
    </cfRule>
  </conditionalFormatting>
  <conditionalFormatting sqref="Z53:AF54 M53:Y55 B53:L57">
    <cfRule type="expression" dxfId="484" priority="37">
      <formula>B$9&gt;=20/24</formula>
    </cfRule>
    <cfRule type="expression" dxfId="483" priority="38">
      <formula>AND(B$9&gt;=14/24,B$9&lt;20/24)</formula>
    </cfRule>
    <cfRule type="expression" dxfId="482" priority="39">
      <formula>AND(B$9&gt;=8/24,B$9&lt;14/24)</formula>
    </cfRule>
  </conditionalFormatting>
  <conditionalFormatting sqref="Z53:AF55">
    <cfRule type="expression" dxfId="481" priority="77">
      <formula>Z53&gt;$AG53</formula>
    </cfRule>
  </conditionalFormatting>
  <conditionalFormatting sqref="Z53:AF57">
    <cfRule type="expression" dxfId="480" priority="76">
      <formula>Z$9&lt;8/24</formula>
    </cfRule>
  </conditionalFormatting>
  <conditionalFormatting sqref="Z55:AF57">
    <cfRule type="expression" dxfId="479" priority="66">
      <formula>AND(Z$9&gt;=8/24,Z$9&lt;14/24)</formula>
    </cfRule>
    <cfRule type="expression" dxfId="478" priority="65">
      <formula>AND(Z$9&gt;=14/24,Z$9&lt;20/24)</formula>
    </cfRule>
    <cfRule type="expression" dxfId="477" priority="64">
      <formula>Z$9&gt;=20/24</formula>
    </cfRule>
  </conditionalFormatting>
  <conditionalFormatting sqref="Z63:AF68">
    <cfRule type="expression" dxfId="476" priority="74">
      <formula>AND(Z$9&gt;=8/24,Z$9&lt;14/24)</formula>
    </cfRule>
    <cfRule type="expression" dxfId="475" priority="75">
      <formula>Z$9&lt;8/24</formula>
    </cfRule>
    <cfRule type="expression" dxfId="474" priority="72">
      <formula>Z$9&gt;=20/24</formula>
    </cfRule>
    <cfRule type="expression" dxfId="473" priority="73">
      <formula>AND(Z$9&gt;=14/24,Z$9&lt;20/24)</formula>
    </cfRule>
  </conditionalFormatting>
  <conditionalFormatting sqref="AB8">
    <cfRule type="expression" dxfId="472" priority="125">
      <formula>AND(AD$9&gt;=8/24,AD$9&lt;14/24)</formula>
    </cfRule>
    <cfRule type="expression" dxfId="471" priority="123">
      <formula>AD$9&gt;=20/24</formula>
    </cfRule>
    <cfRule type="expression" dxfId="470" priority="124">
      <formula>AND(AD$9&gt;=14/24,AD$9&lt;20/24)</formula>
    </cfRule>
    <cfRule type="expression" dxfId="469" priority="126">
      <formula>AD$9&lt;8/24</formula>
    </cfRule>
  </conditionalFormatting>
  <conditionalFormatting sqref="AG58">
    <cfRule type="expression" dxfId="468" priority="118">
      <formula>AG58&gt;$AG58</formula>
    </cfRule>
  </conditionalFormatting>
  <conditionalFormatting sqref="AG62">
    <cfRule type="expression" dxfId="467" priority="104">
      <formula>AG$9&lt;8/24</formula>
    </cfRule>
    <cfRule type="expression" dxfId="466" priority="102">
      <formula>AND(AG$9&gt;=14/24,AG$9&lt;20/24)</formula>
    </cfRule>
    <cfRule type="expression" dxfId="465" priority="101">
      <formula>AG$9&gt;=20/24</formula>
    </cfRule>
    <cfRule type="expression" dxfId="464" priority="103">
      <formula>AND(AG$9&gt;=8/24,AG$9&lt;14/24)</formula>
    </cfRule>
  </conditionalFormatting>
  <conditionalFormatting sqref="AG75:AG76">
    <cfRule type="expression" dxfId="463" priority="96">
      <formula>AG75&gt;$AG75</formula>
    </cfRule>
  </conditionalFormatting>
  <conditionalFormatting sqref="AG80">
    <cfRule type="expression" dxfId="462" priority="100">
      <formula>AG$9&lt;8/24</formula>
    </cfRule>
    <cfRule type="expression" dxfId="461" priority="97">
      <formula>AG$9&gt;=20/24</formula>
    </cfRule>
    <cfRule type="expression" dxfId="460" priority="98">
      <formula>AND(AG$9&gt;=14/24,AG$9&lt;20/24)</formula>
    </cfRule>
    <cfRule type="expression" dxfId="459" priority="99">
      <formula>AND(AG$9&gt;=8/24,AG$9&lt;14/24)</formula>
    </cfRule>
  </conditionalFormatting>
  <conditionalFormatting sqref="AG97">
    <cfRule type="expression" dxfId="458" priority="122">
      <formula>AG$9&lt;8/24</formula>
    </cfRule>
    <cfRule type="expression" dxfId="457" priority="120">
      <formula>AND(AG$9&gt;=14/24,AG$9&lt;20/24)</formula>
    </cfRule>
    <cfRule type="expression" dxfId="456" priority="119">
      <formula>AG$9&gt;=20/24</formula>
    </cfRule>
    <cfRule type="expression" dxfId="455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54" priority="144">
      <formula>AJ$9&gt;=20/24</formula>
    </cfRule>
    <cfRule type="expression" dxfId="453" priority="145">
      <formula>AND(AJ$9&gt;=14/24,AJ$9&lt;20/24)</formula>
    </cfRule>
    <cfRule type="expression" dxfId="452" priority="146">
      <formula>AND(AJ$9&gt;=8/24,AJ$9&lt;14/24)</formula>
    </cfRule>
    <cfRule type="expression" dxfId="451" priority="147">
      <formula>AJ$9&lt;8/24</formula>
    </cfRule>
  </conditionalFormatting>
  <conditionalFormatting sqref="AL88:AN88 AL94:AN94">
    <cfRule type="expression" dxfId="450" priority="112">
      <formula>AND(AL$9&gt;=14/24,AL$9&lt;20/24)</formula>
    </cfRule>
    <cfRule type="expression" dxfId="449" priority="113">
      <formula>AND(AL$9&gt;=8/24,AL$9&lt;14/24)</formula>
    </cfRule>
    <cfRule type="expression" dxfId="448" priority="114">
      <formula>AL$9&lt;8/24</formula>
    </cfRule>
    <cfRule type="expression" dxfId="447" priority="111">
      <formula>AL$9&gt;=20/24</formula>
    </cfRule>
  </conditionalFormatting>
  <conditionalFormatting sqref="AM15:AM21 AN16:AR21">
    <cfRule type="expression" dxfId="446" priority="16">
      <formula>AX$9&lt;8/24</formula>
    </cfRule>
    <cfRule type="expression" dxfId="445" priority="15">
      <formula>AND(AX$9&gt;=8/24,AX$9&lt;14/24)</formula>
    </cfRule>
    <cfRule type="expression" dxfId="444" priority="14">
      <formula>AND(AX$9&gt;=14/24,AX$9&lt;20/24)</formula>
    </cfRule>
    <cfRule type="expression" dxfId="443" priority="13">
      <formula>AX$9&gt;=20/24</formula>
    </cfRule>
  </conditionalFormatting>
  <conditionalFormatting sqref="AN89:AN92">
    <cfRule type="expression" dxfId="442" priority="107">
      <formula>AN$9&gt;=20/24</formula>
    </cfRule>
    <cfRule type="expression" dxfId="441" priority="108">
      <formula>AND(AN$9&gt;=14/24,AN$9&lt;20/24)</formula>
    </cfRule>
    <cfRule type="expression" dxfId="440" priority="109">
      <formula>AND(AN$9&gt;=8/24,AN$9&lt;14/24)</formula>
    </cfRule>
    <cfRule type="expression" dxfId="439" priority="110">
      <formula>AN$9&lt;8/24</formula>
    </cfRule>
  </conditionalFormatting>
  <conditionalFormatting sqref="AN15:AR15">
    <cfRule type="expression" dxfId="438" priority="3">
      <formula>AND(U$9&gt;=8/24,U$9&lt;14/24)</formula>
    </cfRule>
    <cfRule type="expression" dxfId="437" priority="4">
      <formula>U$9&lt;8/24</formula>
    </cfRule>
    <cfRule type="expression" dxfId="436" priority="1">
      <formula>U$9&gt;=20/24</formula>
    </cfRule>
    <cfRule type="expression" dxfId="435" priority="2">
      <formula>AND(U$9&gt;=14/24,U$9&lt;20/24)</formula>
    </cfRule>
  </conditionalFormatting>
  <conditionalFormatting sqref="AS15">
    <cfRule type="expression" dxfId="434" priority="12">
      <formula>AA$9&lt;8/24</formula>
    </cfRule>
    <cfRule type="expression" dxfId="433" priority="11">
      <formula>AND(AA$9&gt;=8/24,AA$9&lt;14/24)</formula>
    </cfRule>
    <cfRule type="expression" dxfId="432" priority="10">
      <formula>AND(AA$9&gt;=14/24,AA$9&lt;20/24)</formula>
    </cfRule>
    <cfRule type="expression" dxfId="431" priority="9">
      <formula>AA$9&gt;=20/24</formula>
    </cfRule>
  </conditionalFormatting>
  <conditionalFormatting sqref="AS16:AS21">
    <cfRule type="expression" dxfId="430" priority="20">
      <formula>BE$9&lt;8/24</formula>
    </cfRule>
    <cfRule type="expression" dxfId="429" priority="18">
      <formula>AND(BE$9&gt;=14/24,BE$9&lt;20/24)</formula>
    </cfRule>
    <cfRule type="expression" dxfId="428" priority="17">
      <formula>BE$9&gt;=20/24</formula>
    </cfRule>
    <cfRule type="expression" dxfId="427" priority="19">
      <formula>AND(BE$9&gt;=8/24,BE$9&lt;14/24)</formula>
    </cfRule>
  </conditionalFormatting>
  <conditionalFormatting sqref="AT15 AX15">
    <cfRule type="expression" dxfId="426" priority="23">
      <formula>AND(AC$9&gt;=8/24,AC$9&lt;14/24)</formula>
    </cfRule>
    <cfRule type="expression" dxfId="425" priority="22">
      <formula>AND(AC$9&gt;=14/24,AC$9&lt;20/24)</formula>
    </cfRule>
    <cfRule type="expression" dxfId="424" priority="21">
      <formula>AC$9&gt;=20/24</formula>
    </cfRule>
    <cfRule type="expression" dxfId="423" priority="24">
      <formula>AC$9&lt;8/24</formula>
    </cfRule>
  </conditionalFormatting>
  <conditionalFormatting sqref="AT16:AT21">
    <cfRule type="expression" dxfId="422" priority="25">
      <formula>BG$9&gt;=20/24</formula>
    </cfRule>
    <cfRule type="expression" dxfId="421" priority="26">
      <formula>AND(BG$9&gt;=14/24,BG$9&lt;20/24)</formula>
    </cfRule>
    <cfRule type="expression" dxfId="420" priority="27">
      <formula>AND(BG$9&gt;=8/24,BG$9&lt;14/24)</formula>
    </cfRule>
    <cfRule type="expression" dxfId="419" priority="28">
      <formula>BG$9&lt;8/24</formula>
    </cfRule>
  </conditionalFormatting>
  <conditionalFormatting sqref="AU15:AV15">
    <cfRule type="expression" dxfId="418" priority="32">
      <formula>AE$9&lt;8/24</formula>
    </cfRule>
    <cfRule type="expression" dxfId="417" priority="29">
      <formula>AE$9&gt;=20/24</formula>
    </cfRule>
    <cfRule type="expression" dxfId="416" priority="30">
      <formula>AND(AE$9&gt;=14/24,AE$9&lt;20/24)</formula>
    </cfRule>
    <cfRule type="expression" dxfId="415" priority="31">
      <formula>AND(AE$9&gt;=8/24,AE$9&lt;14/24)</formula>
    </cfRule>
  </conditionalFormatting>
  <conditionalFormatting sqref="AU16:AX21">
    <cfRule type="expression" dxfId="414" priority="34">
      <formula>AND(BI$9&gt;=14/24,BI$9&lt;20/24)</formula>
    </cfRule>
    <cfRule type="expression" dxfId="413" priority="35">
      <formula>AND(BI$9&gt;=8/24,BI$9&lt;14/24)</formula>
    </cfRule>
    <cfRule type="expression" dxfId="412" priority="36">
      <formula>BI$9&lt;8/24</formula>
    </cfRule>
    <cfRule type="expression" dxfId="411" priority="33">
      <formula>BI$9&gt;=20/24</formula>
    </cfRule>
  </conditionalFormatting>
  <conditionalFormatting sqref="AW15">
    <cfRule type="expression" dxfId="410" priority="6">
      <formula>AND(B$9&gt;=14/24,B$9&lt;20/24)</formula>
    </cfRule>
    <cfRule type="expression" dxfId="409" priority="5">
      <formula>B$9&gt;=20/24</formula>
    </cfRule>
    <cfRule type="expression" dxfId="408" priority="8">
      <formula>B$9&lt;8/24</formula>
    </cfRule>
    <cfRule type="expression" dxfId="407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A09E-3BBE-49A9-8348-F0AF0856B8BA}">
  <dimension ref="A1:CJ294"/>
  <sheetViews>
    <sheetView zoomScale="98" zoomScaleNormal="98" workbookViewId="0">
      <pane xSplit="1" ySplit="10" topLeftCell="B112" activePane="bottomRight" state="frozen"/>
      <selection activeCell="Z63" sqref="Z63"/>
      <selection pane="topRight" activeCell="Z63" sqref="Z63"/>
      <selection pane="bottomLeft" activeCell="Z63" sqref="Z63"/>
      <selection pane="bottomRight" activeCell="B137" sqref="B13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285156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6" width="9.140625" style="1"/>
    <col min="57" max="57" width="0" style="1" hidden="1" customWidth="1"/>
    <col min="58" max="58" width="11.140625" style="1" customWidth="1"/>
    <col min="59" max="59" width="0" style="1" hidden="1" customWidth="1"/>
    <col min="60" max="60" width="9.140625" style="1"/>
    <col min="61" max="61" width="0" style="1" hidden="1" customWidth="1"/>
    <col min="62" max="62" width="9.140625" style="1"/>
    <col min="63" max="63" width="0" style="1" hidden="1" customWidth="1"/>
    <col min="64" max="75" width="9.140625" style="1"/>
    <col min="76" max="76" width="5.140625" style="1" customWidth="1"/>
    <col min="77" max="77" width="5.7109375" style="1" customWidth="1"/>
    <col min="78" max="78" width="7.28515625" style="43" customWidth="1"/>
    <col min="79" max="79" width="7.5703125" style="1" customWidth="1"/>
    <col min="80" max="80" width="12.42578125" style="1" customWidth="1"/>
    <col min="81" max="82" width="9.140625" style="1"/>
    <col min="83" max="83" width="9.85546875" style="1" customWidth="1"/>
    <col min="84" max="84" width="9.140625" style="1"/>
    <col min="85" max="85" width="8" style="1" bestFit="1" customWidth="1"/>
    <col min="86" max="86" width="10.42578125" style="1" bestFit="1" customWidth="1"/>
    <col min="87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39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25">
      <c r="A4" s="25" t="s">
        <v>11</v>
      </c>
      <c r="B4" s="272" t="str">
        <f ca="1">"2080/"&amp;"10/"&amp;INT(MID(CELL("filename",D6),FIND("]",CELL("filename",D6))+1,200))</f>
        <v>2080/10/30</v>
      </c>
      <c r="C4" s="272"/>
      <c r="D4" s="272"/>
      <c r="E4" s="273" t="str">
        <f ca="1">"2080/"&amp;"10/"&amp;INT(MID(CELL("filename",G6),FIND("]",CELL("filename",G6))+1,200))</f>
        <v>2080/10/30</v>
      </c>
      <c r="F4" s="273"/>
      <c r="G4" s="273"/>
      <c r="H4" s="273" t="str">
        <f ca="1">TEXT(E4,"dddd")</f>
        <v>Wednesday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39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25">
      <c r="A5" s="29"/>
      <c r="B5" s="30">
        <f>C92</f>
        <v>684</v>
      </c>
      <c r="C5" s="30">
        <f t="shared" ref="C5:AE5" si="0">D92</f>
        <v>640</v>
      </c>
      <c r="D5" s="30">
        <f t="shared" si="0"/>
        <v>631.4</v>
      </c>
      <c r="E5" s="30">
        <f t="shared" si="0"/>
        <v>650.69999999999993</v>
      </c>
      <c r="F5" s="30">
        <f t="shared" si="0"/>
        <v>668.4</v>
      </c>
      <c r="G5" s="30">
        <f t="shared" si="0"/>
        <v>668.30000000000007</v>
      </c>
      <c r="H5" s="30">
        <f t="shared" si="0"/>
        <v>672.80000000000007</v>
      </c>
      <c r="I5" s="30">
        <f t="shared" si="0"/>
        <v>641.36500000000001</v>
      </c>
      <c r="J5" s="30">
        <f t="shared" si="0"/>
        <v>633.79999999999995</v>
      </c>
      <c r="K5" s="30">
        <f t="shared" si="0"/>
        <v>607.9</v>
      </c>
      <c r="L5" s="30">
        <f t="shared" si="0"/>
        <v>261.5</v>
      </c>
      <c r="M5" s="30">
        <f t="shared" si="0"/>
        <v>541.5</v>
      </c>
      <c r="N5" s="30">
        <f t="shared" si="0"/>
        <v>539.20000000000005</v>
      </c>
      <c r="O5" s="30">
        <f t="shared" si="0"/>
        <v>565.70000000000005</v>
      </c>
      <c r="P5" s="30">
        <f t="shared" si="0"/>
        <v>681.8</v>
      </c>
      <c r="Q5" s="30">
        <f t="shared" si="0"/>
        <v>736.8</v>
      </c>
      <c r="R5" s="30">
        <f t="shared" si="0"/>
        <v>751.5</v>
      </c>
      <c r="S5" s="30">
        <f t="shared" si="0"/>
        <v>780.49999999999989</v>
      </c>
      <c r="T5" s="30">
        <f t="shared" si="0"/>
        <v>763.4</v>
      </c>
      <c r="U5" s="30">
        <f t="shared" si="0"/>
        <v>732</v>
      </c>
      <c r="V5" s="30">
        <f t="shared" si="0"/>
        <v>594.6</v>
      </c>
      <c r="W5" s="30">
        <f t="shared" si="0"/>
        <v>582.70000000000005</v>
      </c>
      <c r="X5" s="30">
        <f t="shared" si="0"/>
        <v>437.20000000000005</v>
      </c>
      <c r="Y5" s="30">
        <f t="shared" si="0"/>
        <v>349.4</v>
      </c>
      <c r="Z5" s="30">
        <f t="shared" si="0"/>
        <v>466.1</v>
      </c>
      <c r="AA5" s="30">
        <f t="shared" si="0"/>
        <v>379.3</v>
      </c>
      <c r="AB5" s="30">
        <f t="shared" si="0"/>
        <v>519.9</v>
      </c>
      <c r="AC5" s="30">
        <f t="shared" si="0"/>
        <v>529</v>
      </c>
      <c r="AD5" s="30">
        <f t="shared" si="0"/>
        <v>663</v>
      </c>
      <c r="AE5" s="30">
        <f t="shared" si="0"/>
        <v>598.29999999999995</v>
      </c>
      <c r="AF5" s="30">
        <f>B92</f>
        <v>671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39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1680MW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39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Load=1212</v>
      </c>
      <c r="B7" s="35">
        <f>B100</f>
        <v>1239.49</v>
      </c>
      <c r="C7" s="35">
        <f t="shared" ref="C7:AF7" si="1">C100</f>
        <v>1252.49</v>
      </c>
      <c r="D7" s="35">
        <f t="shared" si="1"/>
        <v>1220.19</v>
      </c>
      <c r="E7" s="35">
        <f t="shared" si="1"/>
        <v>1211.5899999999999</v>
      </c>
      <c r="F7" s="35">
        <f t="shared" si="1"/>
        <v>1230.8899999999999</v>
      </c>
      <c r="G7" s="35">
        <f t="shared" si="1"/>
        <v>1248.5899999999999</v>
      </c>
      <c r="H7" s="35">
        <f t="shared" si="1"/>
        <v>1326.69</v>
      </c>
      <c r="I7" s="35">
        <f t="shared" si="1"/>
        <v>1405.19</v>
      </c>
      <c r="J7" s="35">
        <f t="shared" si="1"/>
        <v>1491.9549999999999</v>
      </c>
      <c r="K7" s="35">
        <f t="shared" si="1"/>
        <v>1487.69</v>
      </c>
      <c r="L7" s="35">
        <f t="shared" si="1"/>
        <v>1679.6799999999998</v>
      </c>
      <c r="M7" s="35">
        <f t="shared" si="1"/>
        <v>1596.68</v>
      </c>
      <c r="N7" s="35">
        <f t="shared" si="1"/>
        <v>1539.88</v>
      </c>
      <c r="O7" s="35">
        <f t="shared" si="1"/>
        <v>1517.88</v>
      </c>
      <c r="P7" s="35">
        <f t="shared" si="1"/>
        <v>1384.38</v>
      </c>
      <c r="Q7" s="35">
        <f t="shared" si="1"/>
        <v>1475.28</v>
      </c>
      <c r="R7" s="35">
        <f t="shared" si="1"/>
        <v>1503.09</v>
      </c>
      <c r="S7" s="35">
        <f t="shared" si="1"/>
        <v>1505.19</v>
      </c>
      <c r="T7" s="35">
        <f t="shared" si="1"/>
        <v>1543.79</v>
      </c>
      <c r="U7" s="35">
        <f t="shared" si="1"/>
        <v>1533.69</v>
      </c>
      <c r="V7" s="35">
        <f t="shared" si="1"/>
        <v>1548.49</v>
      </c>
      <c r="W7" s="35">
        <f t="shared" si="1"/>
        <v>1583.29</v>
      </c>
      <c r="X7" s="35">
        <f t="shared" si="1"/>
        <v>1619.5900000000001</v>
      </c>
      <c r="Y7" s="35">
        <f t="shared" si="1"/>
        <v>1753.2900000000002</v>
      </c>
      <c r="Z7" s="35">
        <f t="shared" si="1"/>
        <v>1794.3900000000003</v>
      </c>
      <c r="AA7" s="35">
        <f t="shared" si="1"/>
        <v>1733.69</v>
      </c>
      <c r="AB7" s="35">
        <f t="shared" si="1"/>
        <v>1623.79</v>
      </c>
      <c r="AC7" s="35">
        <f t="shared" si="1"/>
        <v>1631.8899999999999</v>
      </c>
      <c r="AD7" s="35">
        <f t="shared" si="1"/>
        <v>1522.09</v>
      </c>
      <c r="AE7" s="35">
        <f t="shared" si="1"/>
        <v>1336.09</v>
      </c>
      <c r="AF7" s="35">
        <f t="shared" si="1"/>
        <v>1271.69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39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1794.39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84" t="s">
        <v>650</v>
      </c>
      <c r="CA8" s="284"/>
      <c r="CB8" s="284"/>
      <c r="CC8" s="284"/>
      <c r="CD8" s="284"/>
      <c r="CE8" s="284"/>
      <c r="CF8" s="28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1794.39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0" t="s">
        <v>644</v>
      </c>
      <c r="CA9" s="241" t="s">
        <v>251</v>
      </c>
      <c r="CB9" s="241" t="s">
        <v>645</v>
      </c>
      <c r="CC9" s="241" t="s">
        <v>646</v>
      </c>
      <c r="CD9" s="241" t="s">
        <v>647</v>
      </c>
      <c r="CE9" s="241" t="s">
        <v>648</v>
      </c>
      <c r="CF9" s="241" t="s">
        <v>377</v>
      </c>
      <c r="CG9" s="245" t="s">
        <v>471</v>
      </c>
      <c r="CH9" s="245" t="s">
        <v>649</v>
      </c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0"/>
      <c r="CA10" s="241"/>
      <c r="CB10" s="241"/>
      <c r="CC10" s="241"/>
      <c r="CD10" s="241"/>
      <c r="CE10" s="241"/>
      <c r="CF10" s="241"/>
      <c r="CG10" s="246"/>
      <c r="CH10" s="246"/>
      <c r="CI10" s="24"/>
      <c r="CJ10" s="24"/>
    </row>
    <row r="11" spans="1:88" ht="15.75" customHeight="1" thickTop="1" x14ac:dyDescent="0.25">
      <c r="A11" s="44" t="s">
        <v>19</v>
      </c>
      <c r="B11" s="45">
        <v>24.4</v>
      </c>
      <c r="C11" s="45">
        <v>24.4</v>
      </c>
      <c r="D11" s="45">
        <v>25.4</v>
      </c>
      <c r="E11" s="45">
        <v>25.4</v>
      </c>
      <c r="F11" s="45">
        <v>25.4</v>
      </c>
      <c r="G11" s="45">
        <v>25.4</v>
      </c>
      <c r="H11" s="45">
        <v>25.1</v>
      </c>
      <c r="I11" s="45">
        <v>25.1</v>
      </c>
      <c r="J11" s="45">
        <v>22.6</v>
      </c>
      <c r="K11" s="45">
        <v>21.9</v>
      </c>
      <c r="L11" s="45">
        <v>21.9</v>
      </c>
      <c r="M11" s="45">
        <v>22.4</v>
      </c>
      <c r="N11" s="45">
        <v>22.4</v>
      </c>
      <c r="O11" s="45">
        <v>21.8</v>
      </c>
      <c r="P11" s="45">
        <v>21.9</v>
      </c>
      <c r="Q11" s="45">
        <v>21.9</v>
      </c>
      <c r="R11" s="45">
        <v>21.9</v>
      </c>
      <c r="S11" s="45">
        <v>21.9</v>
      </c>
      <c r="T11" s="45">
        <v>21.9</v>
      </c>
      <c r="U11" s="45">
        <v>21.9</v>
      </c>
      <c r="V11" s="45">
        <v>21.9</v>
      </c>
      <c r="W11" s="45">
        <v>21.9</v>
      </c>
      <c r="X11" s="45">
        <v>21.9</v>
      </c>
      <c r="Y11" s="45">
        <v>21.9</v>
      </c>
      <c r="Z11" s="45">
        <v>21.9</v>
      </c>
      <c r="AA11" s="45">
        <v>21.9</v>
      </c>
      <c r="AB11" s="45">
        <v>24.4</v>
      </c>
      <c r="AC11" s="45">
        <v>24.4</v>
      </c>
      <c r="AD11" s="45">
        <v>24.4</v>
      </c>
      <c r="AE11" s="45">
        <v>24.4</v>
      </c>
      <c r="AF11" s="45">
        <v>24.4</v>
      </c>
      <c r="AG11" s="46">
        <v>86</v>
      </c>
      <c r="AH11" s="47">
        <f t="shared" ref="AH11:AH16" si="2">MAX(B11:AF11)</f>
        <v>25.4</v>
      </c>
      <c r="AI11" s="48">
        <f t="shared" ref="AI11:AI16" si="3">MIN(B11:AF11)</f>
        <v>21.8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2">
        <v>1</v>
      </c>
      <c r="CA11" s="240">
        <v>0</v>
      </c>
      <c r="CB11" s="241"/>
      <c r="CC11" s="241"/>
      <c r="CD11" s="241"/>
      <c r="CE11" s="241"/>
      <c r="CF11" s="241"/>
      <c r="CG11" s="246"/>
      <c r="CH11" s="246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8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8</v>
      </c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30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2">
        <v>2</v>
      </c>
      <c r="CA12" s="240">
        <v>1.0416666666666666E-2</v>
      </c>
      <c r="CB12" s="241"/>
      <c r="CC12" s="241"/>
      <c r="CD12" s="241"/>
      <c r="CE12" s="241"/>
      <c r="CF12" s="241"/>
      <c r="CG12" s="246"/>
      <c r="CH12" s="246"/>
      <c r="CI12" s="24"/>
      <c r="CJ12" s="24"/>
    </row>
    <row r="13" spans="1:88" x14ac:dyDescent="0.25">
      <c r="A13" s="44" t="s">
        <v>20</v>
      </c>
      <c r="B13" s="45">
        <v>10.1</v>
      </c>
      <c r="C13" s="45">
        <v>10.1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10.1</v>
      </c>
      <c r="L13" s="45">
        <v>10.1</v>
      </c>
      <c r="M13" s="45">
        <v>10.1</v>
      </c>
      <c r="N13" s="45">
        <v>10.1</v>
      </c>
      <c r="O13" s="45">
        <v>10.1</v>
      </c>
      <c r="P13" s="45">
        <v>10.1</v>
      </c>
      <c r="Q13" s="45">
        <v>10.1</v>
      </c>
      <c r="R13" s="45">
        <v>10.1</v>
      </c>
      <c r="S13" s="45">
        <v>10.1</v>
      </c>
      <c r="T13" s="45">
        <v>10.1</v>
      </c>
      <c r="U13" s="45">
        <v>10.1</v>
      </c>
      <c r="V13" s="45">
        <v>10.1</v>
      </c>
      <c r="W13" s="45">
        <v>10.1</v>
      </c>
      <c r="X13" s="45">
        <v>10.1</v>
      </c>
      <c r="Y13" s="45">
        <v>10.1</v>
      </c>
      <c r="Z13" s="45">
        <v>10.1</v>
      </c>
      <c r="AA13" s="45">
        <v>10.1</v>
      </c>
      <c r="AB13" s="45">
        <v>10</v>
      </c>
      <c r="AC13" s="45">
        <v>10</v>
      </c>
      <c r="AD13" s="45">
        <v>10</v>
      </c>
      <c r="AE13" s="45">
        <v>10</v>
      </c>
      <c r="AF13" s="45">
        <v>10</v>
      </c>
      <c r="AG13" s="49">
        <v>54</v>
      </c>
      <c r="AH13" s="47">
        <f t="shared" si="2"/>
        <v>10.1</v>
      </c>
      <c r="AI13" s="48">
        <f t="shared" si="3"/>
        <v>10</v>
      </c>
      <c r="AK13" s="50"/>
      <c r="AL13" s="157" t="str">
        <f ca="1">"Daily Load Curve(Excluding of Export) of Nepal ("&amp;A4&amp;" "&amp;B4&amp;")"</f>
        <v>Daily Load Curve(Excluding of Export) of Nepal (Nepali Date: 2080/10/30)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2">
        <v>3</v>
      </c>
      <c r="CA13" s="240">
        <v>2.0833333333333301E-2</v>
      </c>
      <c r="CB13" s="241"/>
      <c r="CC13" s="241"/>
      <c r="CD13" s="241"/>
      <c r="CE13" s="241"/>
      <c r="CF13" s="241"/>
      <c r="CG13" s="246"/>
      <c r="CH13" s="246"/>
      <c r="CI13" s="24"/>
      <c r="CJ13" s="24"/>
    </row>
    <row r="14" spans="1:88" ht="15.75" thickBot="1" x14ac:dyDescent="0.3">
      <c r="A14" s="44" t="s">
        <v>21</v>
      </c>
      <c r="B14" s="45">
        <v>11.2</v>
      </c>
      <c r="C14" s="45">
        <v>11.2</v>
      </c>
      <c r="D14" s="45">
        <v>13.2</v>
      </c>
      <c r="E14" s="45">
        <v>13.2</v>
      </c>
      <c r="F14" s="45">
        <v>13.2</v>
      </c>
      <c r="G14" s="45">
        <v>13.2</v>
      </c>
      <c r="H14" s="45">
        <v>13.2</v>
      </c>
      <c r="I14" s="45">
        <v>13.2</v>
      </c>
      <c r="J14" s="45">
        <v>13.2</v>
      </c>
      <c r="K14" s="45">
        <v>14.2</v>
      </c>
      <c r="L14" s="45">
        <v>14.2</v>
      </c>
      <c r="M14" s="45">
        <v>14.2</v>
      </c>
      <c r="N14" s="45">
        <v>14.2</v>
      </c>
      <c r="O14" s="45">
        <v>14.2</v>
      </c>
      <c r="P14" s="45">
        <v>14.2</v>
      </c>
      <c r="Q14" s="45">
        <v>14.2</v>
      </c>
      <c r="R14" s="45">
        <v>14.2</v>
      </c>
      <c r="S14" s="45">
        <v>14.2</v>
      </c>
      <c r="T14" s="45">
        <v>14.2</v>
      </c>
      <c r="U14" s="45">
        <v>14.2</v>
      </c>
      <c r="V14" s="45">
        <v>14.2</v>
      </c>
      <c r="W14" s="45">
        <v>14.2</v>
      </c>
      <c r="X14" s="45">
        <v>14.2</v>
      </c>
      <c r="Y14" s="45">
        <v>14.2</v>
      </c>
      <c r="Z14" s="45">
        <v>14.2</v>
      </c>
      <c r="AA14" s="45">
        <v>14.2</v>
      </c>
      <c r="AB14" s="45">
        <v>14.2</v>
      </c>
      <c r="AC14" s="45">
        <v>14.2</v>
      </c>
      <c r="AD14" s="45">
        <v>14.2</v>
      </c>
      <c r="AE14" s="45">
        <v>14.2</v>
      </c>
      <c r="AF14" s="45">
        <v>14.2</v>
      </c>
      <c r="AG14" s="46">
        <v>52.4</v>
      </c>
      <c r="AH14" s="47">
        <f t="shared" si="2"/>
        <v>14.2</v>
      </c>
      <c r="AI14" s="48">
        <f t="shared" si="3"/>
        <v>11.2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2">
        <v>4</v>
      </c>
      <c r="CA14" s="240">
        <v>3.125E-2</v>
      </c>
      <c r="CB14" s="241"/>
      <c r="CC14" s="241"/>
      <c r="CD14" s="241"/>
      <c r="CE14" s="241"/>
      <c r="CF14" s="241"/>
      <c r="CG14" s="246"/>
      <c r="CH14" s="246"/>
      <c r="CI14" s="24"/>
      <c r="CJ14" s="24"/>
    </row>
    <row r="15" spans="1:88" ht="15.75" thickTop="1" x14ac:dyDescent="0.25">
      <c r="A15" s="44" t="s">
        <v>22</v>
      </c>
      <c r="B15" s="45">
        <v>25.2</v>
      </c>
      <c r="C15" s="45">
        <v>25.2</v>
      </c>
      <c r="D15" s="45">
        <v>25.3</v>
      </c>
      <c r="E15" s="45">
        <v>25.3</v>
      </c>
      <c r="F15" s="45">
        <v>25.3</v>
      </c>
      <c r="G15" s="45">
        <v>25.3</v>
      </c>
      <c r="H15" s="45">
        <v>25.4</v>
      </c>
      <c r="I15" s="45">
        <v>25.4</v>
      </c>
      <c r="J15" s="45">
        <v>25.4</v>
      </c>
      <c r="K15" s="45">
        <v>25.2</v>
      </c>
      <c r="L15" s="45">
        <v>25.2</v>
      </c>
      <c r="M15" s="45">
        <v>25.2</v>
      </c>
      <c r="N15" s="45">
        <v>25.2</v>
      </c>
      <c r="O15" s="45">
        <v>25.2</v>
      </c>
      <c r="P15" s="45">
        <v>25.2</v>
      </c>
      <c r="Q15" s="45">
        <v>25.2</v>
      </c>
      <c r="R15" s="45">
        <v>25.2</v>
      </c>
      <c r="S15" s="45">
        <v>25.2</v>
      </c>
      <c r="T15" s="45">
        <v>25.2</v>
      </c>
      <c r="U15" s="45">
        <v>25.2</v>
      </c>
      <c r="V15" s="45">
        <v>25.2</v>
      </c>
      <c r="W15" s="45">
        <v>25.2</v>
      </c>
      <c r="X15" s="45">
        <v>25.2</v>
      </c>
      <c r="Y15" s="45">
        <v>25.2</v>
      </c>
      <c r="Z15" s="51">
        <v>25.2</v>
      </c>
      <c r="AA15" s="51">
        <v>25.2</v>
      </c>
      <c r="AB15" s="51">
        <v>25.2</v>
      </c>
      <c r="AC15" s="51">
        <v>25.2</v>
      </c>
      <c r="AD15" s="51">
        <v>25.2</v>
      </c>
      <c r="AE15" s="51">
        <v>25.2</v>
      </c>
      <c r="AF15" s="51">
        <v>25.2</v>
      </c>
      <c r="AG15" s="49">
        <v>50</v>
      </c>
      <c r="AH15" s="47">
        <f t="shared" si="2"/>
        <v>25.4</v>
      </c>
      <c r="AI15" s="48">
        <f t="shared" si="3"/>
        <v>25.2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164">
        <v>0.499999999999999</v>
      </c>
      <c r="AZ15" s="164">
        <v>0.54166666666666496</v>
      </c>
      <c r="BA15" s="164">
        <v>0.58333333333333104</v>
      </c>
      <c r="BB15" s="164">
        <v>0.624999999999997</v>
      </c>
      <c r="BC15" s="164">
        <v>0.66666666666666297</v>
      </c>
      <c r="BD15" s="164">
        <v>0.70833333333332904</v>
      </c>
      <c r="BE15" s="164">
        <v>0.72916666666666663</v>
      </c>
      <c r="BF15" s="164">
        <v>0.75</v>
      </c>
      <c r="BG15" s="164">
        <v>0.77083333333333337</v>
      </c>
      <c r="BH15" s="164">
        <v>0.79166666666666663</v>
      </c>
      <c r="BI15" s="164">
        <v>0.8125</v>
      </c>
      <c r="BJ15" s="164">
        <v>0.83333333333333337</v>
      </c>
      <c r="BK15" s="164">
        <v>0.85416666666666663</v>
      </c>
      <c r="BL15" s="164">
        <v>0.875</v>
      </c>
      <c r="BM15" s="164">
        <v>0.91666666666666663</v>
      </c>
      <c r="BN15" s="164">
        <v>0.95833333333333337</v>
      </c>
      <c r="BO15" s="253"/>
      <c r="BP15" s="254"/>
      <c r="BQ15" s="254"/>
      <c r="BR15" s="24"/>
      <c r="BS15" s="24"/>
      <c r="BT15" s="24"/>
      <c r="BU15" s="24"/>
      <c r="BV15" s="24"/>
      <c r="BW15" s="24"/>
      <c r="BX15" s="24"/>
      <c r="BY15" s="24"/>
      <c r="BZ15" s="242">
        <v>5</v>
      </c>
      <c r="CA15" s="240">
        <v>4.1666666666666699E-2</v>
      </c>
      <c r="CB15" s="241"/>
      <c r="CC15" s="241"/>
      <c r="CD15" s="241"/>
      <c r="CE15" s="241"/>
      <c r="CF15" s="241"/>
      <c r="CG15" s="246"/>
      <c r="CH15" s="246"/>
      <c r="CI15" s="24"/>
      <c r="CJ15" s="24"/>
    </row>
    <row r="16" spans="1:88" x14ac:dyDescent="0.25">
      <c r="A16" s="44" t="s">
        <v>23</v>
      </c>
      <c r="B16" s="45">
        <v>15</v>
      </c>
      <c r="C16" s="45">
        <v>15</v>
      </c>
      <c r="D16" s="45">
        <v>17.3</v>
      </c>
      <c r="E16" s="45">
        <v>17.3</v>
      </c>
      <c r="F16" s="45">
        <v>17.3</v>
      </c>
      <c r="G16" s="45">
        <v>17.3</v>
      </c>
      <c r="H16" s="45">
        <v>16.600000000000001</v>
      </c>
      <c r="I16" s="45">
        <v>16.600000000000001</v>
      </c>
      <c r="J16" s="45">
        <v>16.600000000000001</v>
      </c>
      <c r="K16" s="45">
        <v>14.9</v>
      </c>
      <c r="L16" s="45">
        <v>14.9</v>
      </c>
      <c r="M16" s="45">
        <v>14.9</v>
      </c>
      <c r="N16" s="45">
        <v>14.9</v>
      </c>
      <c r="O16" s="45">
        <v>14.9</v>
      </c>
      <c r="P16" s="45">
        <v>14.9</v>
      </c>
      <c r="Q16" s="45">
        <v>14.9</v>
      </c>
      <c r="R16" s="45">
        <v>14.9</v>
      </c>
      <c r="S16" s="45">
        <v>14.9</v>
      </c>
      <c r="T16" s="45">
        <v>14.9</v>
      </c>
      <c r="U16" s="45">
        <v>14.9</v>
      </c>
      <c r="V16" s="45">
        <v>14.9</v>
      </c>
      <c r="W16" s="45">
        <v>14.9</v>
      </c>
      <c r="X16" s="45">
        <v>14.9</v>
      </c>
      <c r="Y16" s="45">
        <v>14.9</v>
      </c>
      <c r="Z16" s="45">
        <v>14.9</v>
      </c>
      <c r="AA16" s="45">
        <v>14.9</v>
      </c>
      <c r="AB16" s="45">
        <v>14.9</v>
      </c>
      <c r="AC16" s="45">
        <v>14.9</v>
      </c>
      <c r="AD16" s="45">
        <v>14.9</v>
      </c>
      <c r="AE16" s="45">
        <v>14.9</v>
      </c>
      <c r="AF16" s="45">
        <v>14.9</v>
      </c>
      <c r="AG16" s="49">
        <v>45</v>
      </c>
      <c r="AH16" s="47">
        <f t="shared" si="2"/>
        <v>17.3</v>
      </c>
      <c r="AI16" s="48">
        <f t="shared" si="3"/>
        <v>14.9</v>
      </c>
      <c r="AK16" s="50"/>
      <c r="AL16" s="160" t="s">
        <v>7</v>
      </c>
      <c r="AM16" s="227">
        <f>B58</f>
        <v>459.45</v>
      </c>
      <c r="AN16" s="227">
        <f t="shared" ref="AN16:AR16" si="4">C58</f>
        <v>459.45</v>
      </c>
      <c r="AO16" s="227">
        <f t="shared" si="4"/>
        <v>464.74999999999994</v>
      </c>
      <c r="AP16" s="227">
        <f t="shared" si="4"/>
        <v>464.74999999999994</v>
      </c>
      <c r="AQ16" s="227">
        <f t="shared" si="4"/>
        <v>464.74999999999994</v>
      </c>
      <c r="AR16" s="227">
        <f t="shared" si="4"/>
        <v>464.74999999999994</v>
      </c>
      <c r="AS16" s="227">
        <f>I58</f>
        <v>462.95</v>
      </c>
      <c r="AT16" s="227">
        <f>K58</f>
        <v>458.95</v>
      </c>
      <c r="AU16" s="227">
        <f t="shared" ref="AU16:AX16" si="5">M58</f>
        <v>459.45</v>
      </c>
      <c r="AV16" s="227">
        <f t="shared" si="5"/>
        <v>459.45</v>
      </c>
      <c r="AW16" s="227">
        <f t="shared" si="5"/>
        <v>458.84999999999997</v>
      </c>
      <c r="AX16" s="227">
        <f t="shared" si="5"/>
        <v>458.95</v>
      </c>
      <c r="AY16" s="227">
        <f t="shared" ref="AY16" si="6">Q58</f>
        <v>458.95</v>
      </c>
      <c r="AZ16" s="227">
        <f t="shared" ref="AZ16" si="7">R58</f>
        <v>458.95</v>
      </c>
      <c r="BA16" s="227">
        <f t="shared" ref="BA16" si="8">S58</f>
        <v>458.95</v>
      </c>
      <c r="BB16" s="227">
        <f t="shared" ref="BB16" si="9">T58</f>
        <v>458.95</v>
      </c>
      <c r="BC16" s="227">
        <f t="shared" ref="BC16" si="10">U58</f>
        <v>458.95</v>
      </c>
      <c r="BD16" s="227">
        <f t="shared" ref="BD16" si="11">V58</f>
        <v>458.95</v>
      </c>
      <c r="BE16" s="227">
        <f t="shared" ref="BE16" si="12">W58</f>
        <v>458.95</v>
      </c>
      <c r="BF16" s="227">
        <f t="shared" ref="BF16" si="13">X58</f>
        <v>458.95</v>
      </c>
      <c r="BG16" s="227">
        <f t="shared" ref="BG16" si="14">Y58</f>
        <v>458.95</v>
      </c>
      <c r="BH16" s="227">
        <f t="shared" ref="BH16" si="15">Z58</f>
        <v>458.95</v>
      </c>
      <c r="BI16" s="227">
        <f t="shared" ref="BI16" si="16">AA58</f>
        <v>458.95</v>
      </c>
      <c r="BJ16" s="227">
        <f t="shared" ref="BJ16" si="17">AB58</f>
        <v>461.34999999999997</v>
      </c>
      <c r="BK16" s="227">
        <f t="shared" ref="BK16" si="18">AC58</f>
        <v>461.34999999999997</v>
      </c>
      <c r="BL16" s="227">
        <f t="shared" ref="BL16" si="19">AD58</f>
        <v>461.34999999999997</v>
      </c>
      <c r="BM16" s="227">
        <f t="shared" ref="BM16" si="20">AE58</f>
        <v>461.34999999999997</v>
      </c>
      <c r="BN16" s="227">
        <f t="shared" ref="BN16" si="21">AF58</f>
        <v>461.34999999999997</v>
      </c>
      <c r="BO16" s="255"/>
      <c r="BP16" s="254"/>
      <c r="BQ16" s="254"/>
      <c r="BR16" s="24"/>
      <c r="BS16" s="24"/>
      <c r="BT16" s="24"/>
      <c r="BU16" s="24"/>
      <c r="BV16" s="24"/>
      <c r="BW16" s="24"/>
      <c r="BX16" s="24"/>
      <c r="BY16" s="24"/>
      <c r="BZ16" s="242">
        <v>6</v>
      </c>
      <c r="CA16" s="240">
        <v>5.2083333333333301E-2</v>
      </c>
      <c r="CB16" s="241"/>
      <c r="CC16" s="241"/>
      <c r="CD16" s="241"/>
      <c r="CE16" s="241"/>
      <c r="CF16" s="241"/>
      <c r="CG16" s="246"/>
      <c r="CH16" s="246"/>
      <c r="CI16" s="24"/>
      <c r="CJ16" s="24"/>
    </row>
    <row r="17" spans="1:88" x14ac:dyDescent="0.25">
      <c r="A17" s="44" t="s">
        <v>24</v>
      </c>
      <c r="B17" s="45">
        <v>14.2</v>
      </c>
      <c r="C17" s="45">
        <v>14.2</v>
      </c>
      <c r="D17" s="45">
        <v>14.2</v>
      </c>
      <c r="E17" s="45">
        <v>14.2</v>
      </c>
      <c r="F17" s="45">
        <v>14.2</v>
      </c>
      <c r="G17" s="45">
        <v>14.2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49">
        <v>44</v>
      </c>
      <c r="AH17" s="47">
        <f>MAX(B17:AG17)</f>
        <v>44</v>
      </c>
      <c r="AI17" s="48">
        <f>MIN(B17:AG17)</f>
        <v>14</v>
      </c>
      <c r="AK17" s="50"/>
      <c r="AL17" s="160" t="s">
        <v>592</v>
      </c>
      <c r="AM17" s="227">
        <f>B62</f>
        <v>36.200000000000003</v>
      </c>
      <c r="AN17" s="227">
        <f t="shared" ref="AN17:AR17" si="22">C62</f>
        <v>36.200000000000003</v>
      </c>
      <c r="AO17" s="227">
        <f t="shared" si="22"/>
        <v>36.200000000000003</v>
      </c>
      <c r="AP17" s="227">
        <f t="shared" si="22"/>
        <v>36.200000000000003</v>
      </c>
      <c r="AQ17" s="227">
        <f t="shared" si="22"/>
        <v>36.200000000000003</v>
      </c>
      <c r="AR17" s="227">
        <f t="shared" si="22"/>
        <v>36.200000000000003</v>
      </c>
      <c r="AS17" s="227">
        <f>I62</f>
        <v>36.200000000000003</v>
      </c>
      <c r="AT17" s="227">
        <f>K62</f>
        <v>96.2</v>
      </c>
      <c r="AU17" s="227">
        <f t="shared" ref="AU17:AX17" si="23">M62</f>
        <v>341.2</v>
      </c>
      <c r="AV17" s="227">
        <f t="shared" si="23"/>
        <v>66.2</v>
      </c>
      <c r="AW17" s="227">
        <f t="shared" si="23"/>
        <v>73.099999999999994</v>
      </c>
      <c r="AX17" s="227">
        <f t="shared" si="23"/>
        <v>91</v>
      </c>
      <c r="AY17" s="227">
        <f t="shared" ref="AY17" si="24">Q62</f>
        <v>91</v>
      </c>
      <c r="AZ17" s="227">
        <f t="shared" ref="AZ17" si="25">R62</f>
        <v>96.1</v>
      </c>
      <c r="BA17" s="227">
        <f t="shared" ref="BA17" si="26">S62</f>
        <v>76.099999999999994</v>
      </c>
      <c r="BB17" s="227">
        <f t="shared" ref="BB17" si="27">T62</f>
        <v>91.1</v>
      </c>
      <c r="BC17" s="227">
        <f t="shared" ref="BC17" si="28">U62</f>
        <v>76.099999999999994</v>
      </c>
      <c r="BD17" s="227">
        <f t="shared" ref="BD17" si="29">V62</f>
        <v>86.1</v>
      </c>
      <c r="BE17" s="227">
        <f t="shared" ref="BE17" si="30">W62</f>
        <v>51.1</v>
      </c>
      <c r="BF17" s="227">
        <f t="shared" ref="BF17" si="31">X62</f>
        <v>66.099999999999994</v>
      </c>
      <c r="BG17" s="227">
        <f t="shared" ref="BG17" si="32">Y62</f>
        <v>267</v>
      </c>
      <c r="BH17" s="227">
        <f t="shared" ref="BH17" si="33">Z62</f>
        <v>377</v>
      </c>
      <c r="BI17" s="227">
        <f t="shared" ref="BI17" si="34">AA62</f>
        <v>37</v>
      </c>
      <c r="BJ17" s="227">
        <f t="shared" ref="BJ17" si="35">AB62</f>
        <v>37</v>
      </c>
      <c r="BK17" s="227">
        <f t="shared" ref="BK17" si="36">AC62</f>
        <v>37</v>
      </c>
      <c r="BL17" s="227">
        <f t="shared" ref="BL17" si="37">AD62</f>
        <v>37</v>
      </c>
      <c r="BM17" s="227">
        <f t="shared" ref="BM17" si="38">AE62</f>
        <v>97</v>
      </c>
      <c r="BN17" s="227">
        <f t="shared" ref="BN17" si="39">AF62</f>
        <v>77</v>
      </c>
      <c r="BO17" s="255"/>
      <c r="BP17" s="254"/>
      <c r="BQ17" s="254"/>
      <c r="BR17" s="24"/>
      <c r="BS17" s="24"/>
      <c r="BT17" s="24"/>
      <c r="BU17" s="24"/>
      <c r="BV17" s="24"/>
      <c r="BW17" s="24"/>
      <c r="BX17" s="24"/>
      <c r="BY17" s="24"/>
      <c r="BZ17" s="242">
        <v>7</v>
      </c>
      <c r="CA17" s="240">
        <v>6.25E-2</v>
      </c>
      <c r="CB17" s="241"/>
      <c r="CC17" s="241"/>
      <c r="CD17" s="241"/>
      <c r="CE17" s="241"/>
      <c r="CF17" s="241"/>
      <c r="CG17" s="246"/>
      <c r="CH17" s="246"/>
      <c r="CI17" s="24"/>
      <c r="CJ17" s="24"/>
    </row>
    <row r="18" spans="1:88" x14ac:dyDescent="0.25">
      <c r="A18" s="44" t="s">
        <v>25</v>
      </c>
      <c r="B18" s="45">
        <v>7</v>
      </c>
      <c r="C18" s="45">
        <v>7</v>
      </c>
      <c r="D18" s="45">
        <v>7</v>
      </c>
      <c r="E18" s="45">
        <v>7</v>
      </c>
      <c r="F18" s="45">
        <v>7</v>
      </c>
      <c r="G18" s="45">
        <v>7</v>
      </c>
      <c r="H18" s="45">
        <v>7</v>
      </c>
      <c r="I18" s="45">
        <v>7</v>
      </c>
      <c r="J18" s="45">
        <v>7</v>
      </c>
      <c r="K18" s="45">
        <v>7</v>
      </c>
      <c r="L18" s="45">
        <v>7</v>
      </c>
      <c r="M18" s="45">
        <v>7</v>
      </c>
      <c r="N18" s="45">
        <v>7</v>
      </c>
      <c r="O18" s="45">
        <v>7</v>
      </c>
      <c r="P18" s="45">
        <v>7</v>
      </c>
      <c r="Q18" s="45">
        <v>7</v>
      </c>
      <c r="R18" s="45">
        <v>7</v>
      </c>
      <c r="S18" s="45">
        <v>7</v>
      </c>
      <c r="T18" s="45">
        <v>7</v>
      </c>
      <c r="U18" s="45">
        <v>7</v>
      </c>
      <c r="V18" s="45">
        <v>7</v>
      </c>
      <c r="W18" s="45">
        <v>7</v>
      </c>
      <c r="X18" s="45">
        <v>7</v>
      </c>
      <c r="Y18" s="45">
        <v>7</v>
      </c>
      <c r="Z18" s="45">
        <v>7</v>
      </c>
      <c r="AA18" s="45">
        <v>7</v>
      </c>
      <c r="AB18" s="45">
        <v>7</v>
      </c>
      <c r="AC18" s="45">
        <v>7</v>
      </c>
      <c r="AD18" s="45">
        <v>7</v>
      </c>
      <c r="AE18" s="45">
        <v>7</v>
      </c>
      <c r="AF18" s="45">
        <v>7</v>
      </c>
      <c r="AG18" s="49">
        <v>42</v>
      </c>
      <c r="AH18" s="47">
        <f t="shared" ref="AH18:AH81" si="40">MAX(B18:AF18)</f>
        <v>7</v>
      </c>
      <c r="AI18" s="48">
        <f t="shared" ref="AI18:AI81" si="41">MIN(B18:AF18)</f>
        <v>7</v>
      </c>
      <c r="AK18" s="50"/>
      <c r="AL18" s="160" t="s">
        <v>593</v>
      </c>
      <c r="AM18" s="227">
        <f>B76</f>
        <v>72.84</v>
      </c>
      <c r="AN18" s="227">
        <f t="shared" ref="AN18:AR18" si="42">C76</f>
        <v>72.84</v>
      </c>
      <c r="AO18" s="227">
        <f t="shared" si="42"/>
        <v>79.239999999999995</v>
      </c>
      <c r="AP18" s="227">
        <f t="shared" si="42"/>
        <v>79.239999999999995</v>
      </c>
      <c r="AQ18" s="227">
        <f t="shared" si="42"/>
        <v>79.239999999999995</v>
      </c>
      <c r="AR18" s="227">
        <f t="shared" si="42"/>
        <v>79.239999999999995</v>
      </c>
      <c r="AS18" s="227">
        <f>I76</f>
        <v>233.23999999999998</v>
      </c>
      <c r="AT18" s="227">
        <f>K76</f>
        <v>248.73999999999998</v>
      </c>
      <c r="AU18" s="227">
        <f t="shared" ref="AU18:AX18" si="43">M76</f>
        <v>284.53000000000009</v>
      </c>
      <c r="AV18" s="227">
        <f t="shared" si="43"/>
        <v>272.73000000000008</v>
      </c>
      <c r="AW18" s="227">
        <f t="shared" si="43"/>
        <v>266.73</v>
      </c>
      <c r="AX18" s="227">
        <f t="shared" si="43"/>
        <v>268.73</v>
      </c>
      <c r="AY18" s="227">
        <f t="shared" ref="AY18" si="44">Q76</f>
        <v>243.52999999999994</v>
      </c>
      <c r="AZ18" s="227">
        <f t="shared" ref="AZ18" si="45">R76</f>
        <v>201.24</v>
      </c>
      <c r="BA18" s="227">
        <f t="shared" ref="BA18" si="46">S76</f>
        <v>200.64</v>
      </c>
      <c r="BB18" s="227">
        <f t="shared" ref="BB18" si="47">T76</f>
        <v>195.23999999999995</v>
      </c>
      <c r="BC18" s="227">
        <f t="shared" ref="BC18" si="48">U76</f>
        <v>225.23999999999995</v>
      </c>
      <c r="BD18" s="227">
        <f t="shared" ref="BD18" si="49">V76</f>
        <v>171.44</v>
      </c>
      <c r="BE18" s="227">
        <f t="shared" ref="BE18" si="50">W76</f>
        <v>217.54</v>
      </c>
      <c r="BF18" s="227">
        <f t="shared" ref="BF18" si="51">X76</f>
        <v>254.84</v>
      </c>
      <c r="BG18" s="227">
        <f t="shared" ref="BG18" si="52">Y76</f>
        <v>332.54</v>
      </c>
      <c r="BH18" s="227">
        <f t="shared" ref="BH18" si="53">Z76</f>
        <v>347.44000000000005</v>
      </c>
      <c r="BI18" s="227">
        <f t="shared" ref="BI18" si="54">AA76</f>
        <v>349.54000000000008</v>
      </c>
      <c r="BJ18" s="227">
        <f t="shared" ref="BJ18" si="55">AB76</f>
        <v>310.94000000000005</v>
      </c>
      <c r="BK18" s="227">
        <f t="shared" ref="BK18" si="56">AC76</f>
        <v>216.54000000000002</v>
      </c>
      <c r="BL18" s="227">
        <f t="shared" ref="BL18" si="57">AD76</f>
        <v>186.24</v>
      </c>
      <c r="BM18" s="227">
        <f t="shared" ref="BM18" si="58">AE76</f>
        <v>114.74000000000001</v>
      </c>
      <c r="BN18" s="227">
        <f t="shared" ref="BN18" si="59">AF76</f>
        <v>128.34</v>
      </c>
      <c r="BO18" s="255"/>
      <c r="BP18" s="254"/>
      <c r="BQ18" s="254"/>
      <c r="BR18" s="24"/>
      <c r="BS18" s="24"/>
      <c r="BT18" s="24"/>
      <c r="BU18" s="24"/>
      <c r="BV18" s="24"/>
      <c r="BW18" s="24"/>
      <c r="BX18" s="24"/>
      <c r="BY18" s="24"/>
      <c r="BZ18" s="242">
        <v>8</v>
      </c>
      <c r="CA18" s="240">
        <v>7.2916666666666699E-2</v>
      </c>
      <c r="CB18" s="241"/>
      <c r="CC18" s="241"/>
      <c r="CD18" s="241"/>
      <c r="CE18" s="241"/>
      <c r="CF18" s="241"/>
      <c r="CG18" s="246"/>
      <c r="CH18" s="246"/>
      <c r="CI18" s="24"/>
      <c r="CJ18" s="24"/>
    </row>
    <row r="19" spans="1:88" x14ac:dyDescent="0.25">
      <c r="A19" s="44" t="s">
        <v>262</v>
      </c>
      <c r="B19" s="45">
        <v>11</v>
      </c>
      <c r="C19" s="45">
        <v>11</v>
      </c>
      <c r="D19" s="45">
        <v>11</v>
      </c>
      <c r="E19" s="45">
        <v>11</v>
      </c>
      <c r="F19" s="45">
        <v>11</v>
      </c>
      <c r="G19" s="45">
        <v>11</v>
      </c>
      <c r="H19" s="45">
        <v>11</v>
      </c>
      <c r="I19" s="45">
        <v>11</v>
      </c>
      <c r="J19" s="45">
        <v>11</v>
      </c>
      <c r="K19" s="45">
        <v>11</v>
      </c>
      <c r="L19" s="45">
        <v>11</v>
      </c>
      <c r="M19" s="45">
        <v>11</v>
      </c>
      <c r="N19" s="45">
        <v>11</v>
      </c>
      <c r="O19" s="45">
        <v>11</v>
      </c>
      <c r="P19" s="45">
        <v>11</v>
      </c>
      <c r="Q19" s="45">
        <v>11</v>
      </c>
      <c r="R19" s="45">
        <v>11</v>
      </c>
      <c r="S19" s="45">
        <v>11</v>
      </c>
      <c r="T19" s="45">
        <v>11</v>
      </c>
      <c r="U19" s="45">
        <v>11</v>
      </c>
      <c r="V19" s="45">
        <v>11</v>
      </c>
      <c r="W19" s="45">
        <v>11</v>
      </c>
      <c r="X19" s="45">
        <v>11</v>
      </c>
      <c r="Y19" s="45">
        <v>11</v>
      </c>
      <c r="Z19" s="45">
        <v>11</v>
      </c>
      <c r="AA19" s="45">
        <v>11</v>
      </c>
      <c r="AB19" s="45">
        <v>11</v>
      </c>
      <c r="AC19" s="45">
        <v>11</v>
      </c>
      <c r="AD19" s="45">
        <v>11</v>
      </c>
      <c r="AE19" s="45">
        <v>11</v>
      </c>
      <c r="AF19" s="45">
        <v>11</v>
      </c>
      <c r="AG19" s="49">
        <v>38.46</v>
      </c>
      <c r="AH19" s="47">
        <f t="shared" si="40"/>
        <v>11</v>
      </c>
      <c r="AI19" s="48">
        <f t="shared" si="41"/>
        <v>11</v>
      </c>
      <c r="AK19" s="50"/>
      <c r="AL19" s="160" t="s">
        <v>594</v>
      </c>
      <c r="AM19" s="227">
        <f>B92</f>
        <v>671</v>
      </c>
      <c r="AN19" s="227">
        <f t="shared" ref="AN19:AR19" si="60">C92</f>
        <v>684</v>
      </c>
      <c r="AO19" s="227">
        <f t="shared" si="60"/>
        <v>640</v>
      </c>
      <c r="AP19" s="227">
        <f t="shared" si="60"/>
        <v>631.4</v>
      </c>
      <c r="AQ19" s="227">
        <f t="shared" si="60"/>
        <v>650.69999999999993</v>
      </c>
      <c r="AR19" s="227">
        <f t="shared" si="60"/>
        <v>668.4</v>
      </c>
      <c r="AS19" s="227">
        <f>I92</f>
        <v>672.80000000000007</v>
      </c>
      <c r="AT19" s="227">
        <f>K92</f>
        <v>633.79999999999995</v>
      </c>
      <c r="AU19" s="227">
        <f t="shared" ref="AU19:AX19" si="61">M92</f>
        <v>261.5</v>
      </c>
      <c r="AV19" s="227">
        <f t="shared" si="61"/>
        <v>541.5</v>
      </c>
      <c r="AW19" s="227">
        <f t="shared" si="61"/>
        <v>539.20000000000005</v>
      </c>
      <c r="AX19" s="227">
        <f t="shared" si="61"/>
        <v>565.70000000000005</v>
      </c>
      <c r="AY19" s="227">
        <f t="shared" ref="AY19" si="62">Q92</f>
        <v>681.8</v>
      </c>
      <c r="AZ19" s="227">
        <f t="shared" ref="AZ19" si="63">R92</f>
        <v>736.8</v>
      </c>
      <c r="BA19" s="227">
        <f t="shared" ref="BA19" si="64">S92</f>
        <v>751.5</v>
      </c>
      <c r="BB19" s="227">
        <f t="shared" ref="BB19" si="65">T92</f>
        <v>780.49999999999989</v>
      </c>
      <c r="BC19" s="227">
        <f t="shared" ref="BC19" si="66">U92</f>
        <v>763.4</v>
      </c>
      <c r="BD19" s="227">
        <f t="shared" ref="BD19" si="67">V92</f>
        <v>732</v>
      </c>
      <c r="BE19" s="227">
        <f t="shared" ref="BE19" si="68">W92</f>
        <v>594.6</v>
      </c>
      <c r="BF19" s="227">
        <f t="shared" ref="BF19" si="69">X92</f>
        <v>582.70000000000005</v>
      </c>
      <c r="BG19" s="227">
        <f t="shared" ref="BG19" si="70">Y92</f>
        <v>437.20000000000005</v>
      </c>
      <c r="BH19" s="227">
        <f t="shared" ref="BH19" si="71">Z92</f>
        <v>349.4</v>
      </c>
      <c r="BI19" s="227">
        <f t="shared" ref="BI19" si="72">AA92</f>
        <v>466.1</v>
      </c>
      <c r="BJ19" s="227">
        <f t="shared" ref="BJ19" si="73">AB92</f>
        <v>379.3</v>
      </c>
      <c r="BK19" s="227">
        <f t="shared" ref="BK19" si="74">AC92</f>
        <v>519.9</v>
      </c>
      <c r="BL19" s="227">
        <f t="shared" ref="BL19" si="75">AD92</f>
        <v>529</v>
      </c>
      <c r="BM19" s="227">
        <f t="shared" ref="BM19" si="76">AE92</f>
        <v>663</v>
      </c>
      <c r="BN19" s="227">
        <f t="shared" ref="BN19" si="77">AF92</f>
        <v>598.29999999999995</v>
      </c>
      <c r="BO19" s="255"/>
      <c r="BP19" s="254"/>
      <c r="BQ19" s="254"/>
      <c r="BR19" s="24"/>
      <c r="BS19" s="24"/>
      <c r="BT19" s="24"/>
      <c r="BU19" s="24"/>
      <c r="BV19" s="24"/>
      <c r="BW19" s="24"/>
      <c r="BX19" s="24"/>
      <c r="BY19" s="24"/>
      <c r="BZ19" s="242">
        <v>9</v>
      </c>
      <c r="CA19" s="240">
        <v>8.3333333333333301E-2</v>
      </c>
      <c r="CB19" s="241"/>
      <c r="CC19" s="241"/>
      <c r="CD19" s="241"/>
      <c r="CE19" s="241"/>
      <c r="CF19" s="241"/>
      <c r="CG19" s="246"/>
      <c r="CH19" s="246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>
        <v>7.8</v>
      </c>
      <c r="O20" s="45">
        <v>7.8</v>
      </c>
      <c r="P20" s="45">
        <v>7.8</v>
      </c>
      <c r="Q20" s="45">
        <v>7.8</v>
      </c>
      <c r="R20" s="45">
        <v>7.8</v>
      </c>
      <c r="S20" s="45">
        <v>7.8</v>
      </c>
      <c r="T20" s="45">
        <v>7.8</v>
      </c>
      <c r="U20" s="45">
        <v>7.8</v>
      </c>
      <c r="V20" s="45">
        <v>7.8</v>
      </c>
      <c r="W20" s="45">
        <v>7.8</v>
      </c>
      <c r="X20" s="45">
        <v>7.8</v>
      </c>
      <c r="Y20" s="45">
        <v>7.8</v>
      </c>
      <c r="Z20" s="45">
        <v>7.8</v>
      </c>
      <c r="AA20" s="45">
        <v>7.8</v>
      </c>
      <c r="AB20" s="45">
        <v>7.8</v>
      </c>
      <c r="AC20" s="45">
        <v>7.8</v>
      </c>
      <c r="AD20" s="45">
        <v>7.8</v>
      </c>
      <c r="AE20" s="45">
        <v>7.8</v>
      </c>
      <c r="AF20" s="45">
        <v>7.8</v>
      </c>
      <c r="AG20" s="49">
        <v>38.46</v>
      </c>
      <c r="AH20" s="47">
        <f t="shared" si="40"/>
        <v>7.8</v>
      </c>
      <c r="AI20" s="48">
        <f t="shared" si="41"/>
        <v>7.8</v>
      </c>
      <c r="AK20" s="50"/>
      <c r="AL20" s="160" t="s">
        <v>595</v>
      </c>
      <c r="AM20" s="227">
        <f>B80</f>
        <v>0</v>
      </c>
      <c r="AN20" s="227">
        <f t="shared" ref="AN20:AR20" si="78">C80</f>
        <v>0</v>
      </c>
      <c r="AO20" s="227">
        <f t="shared" si="78"/>
        <v>0</v>
      </c>
      <c r="AP20" s="227">
        <f t="shared" si="78"/>
        <v>0</v>
      </c>
      <c r="AQ20" s="227">
        <f t="shared" si="78"/>
        <v>0</v>
      </c>
      <c r="AR20" s="227">
        <f t="shared" si="78"/>
        <v>0</v>
      </c>
      <c r="AS20" s="227">
        <f>I80</f>
        <v>0</v>
      </c>
      <c r="AT20" s="227">
        <f>K80</f>
        <v>0</v>
      </c>
      <c r="AU20" s="227">
        <f t="shared" ref="AU20:AX20" si="79">M80</f>
        <v>0</v>
      </c>
      <c r="AV20" s="227">
        <f t="shared" si="79"/>
        <v>0</v>
      </c>
      <c r="AW20" s="227">
        <f t="shared" si="79"/>
        <v>0</v>
      </c>
      <c r="AX20" s="227">
        <f t="shared" si="79"/>
        <v>0</v>
      </c>
      <c r="AY20" s="227">
        <f t="shared" ref="AY20" si="80">Q80</f>
        <v>0</v>
      </c>
      <c r="AZ20" s="227">
        <f t="shared" ref="AZ20" si="81">R80</f>
        <v>0</v>
      </c>
      <c r="BA20" s="227">
        <f t="shared" ref="BA20" si="82">S80</f>
        <v>0</v>
      </c>
      <c r="BB20" s="227">
        <f t="shared" ref="BB20" si="83">T80</f>
        <v>0</v>
      </c>
      <c r="BC20" s="227">
        <f t="shared" ref="BC20" si="84">U80</f>
        <v>0</v>
      </c>
      <c r="BD20" s="227">
        <f t="shared" ref="BD20" si="85">V80</f>
        <v>0</v>
      </c>
      <c r="BE20" s="227">
        <f t="shared" ref="BE20" si="86">W80</f>
        <v>61.1</v>
      </c>
      <c r="BF20" s="227">
        <f t="shared" ref="BF20" si="87">X80</f>
        <v>57</v>
      </c>
      <c r="BG20" s="227">
        <f t="shared" ref="BG20" si="88">Y80</f>
        <v>57.6</v>
      </c>
      <c r="BH20" s="227">
        <f t="shared" ref="BH20" si="89">Z80</f>
        <v>61.599999999999994</v>
      </c>
      <c r="BI20" s="227">
        <f t="shared" ref="BI20" si="90">AA80</f>
        <v>72.099999999999994</v>
      </c>
      <c r="BJ20" s="227">
        <f t="shared" ref="BJ20" si="91">AB80</f>
        <v>85.2</v>
      </c>
      <c r="BK20" s="227">
        <f t="shared" ref="BK20" si="92">AC80</f>
        <v>47.1</v>
      </c>
      <c r="BL20" s="227">
        <f t="shared" ref="BL20" si="93">AD80</f>
        <v>8.5</v>
      </c>
      <c r="BM20" s="227">
        <f t="shared" ref="BM20" si="94">AE80</f>
        <v>0</v>
      </c>
      <c r="BN20" s="227">
        <f t="shared" ref="BN20" si="95">AF80</f>
        <v>6.7</v>
      </c>
      <c r="BO20" s="255"/>
      <c r="BP20" s="254"/>
      <c r="BQ20" s="254"/>
      <c r="BR20" s="24"/>
      <c r="BS20" s="24"/>
      <c r="BT20" s="24"/>
      <c r="BU20" s="24"/>
      <c r="BV20" s="24"/>
      <c r="BW20" s="24"/>
      <c r="BX20" s="24"/>
      <c r="BY20" s="24"/>
      <c r="BZ20" s="242">
        <v>10</v>
      </c>
      <c r="CA20" s="240">
        <v>9.375E-2</v>
      </c>
      <c r="CB20" s="241"/>
      <c r="CC20" s="241"/>
      <c r="CD20" s="241"/>
      <c r="CE20" s="241"/>
      <c r="CF20" s="241"/>
      <c r="CG20" s="246"/>
      <c r="CH20" s="246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>
        <v>13</v>
      </c>
      <c r="O21" s="45">
        <v>13</v>
      </c>
      <c r="P21" s="45">
        <v>13</v>
      </c>
      <c r="Q21" s="45">
        <v>13</v>
      </c>
      <c r="R21" s="45">
        <v>13</v>
      </c>
      <c r="S21" s="45">
        <v>13</v>
      </c>
      <c r="T21" s="45">
        <v>13</v>
      </c>
      <c r="U21" s="45">
        <v>13</v>
      </c>
      <c r="V21" s="45">
        <v>13</v>
      </c>
      <c r="W21" s="45">
        <v>13</v>
      </c>
      <c r="X21" s="45">
        <v>13</v>
      </c>
      <c r="Y21" s="45">
        <v>13</v>
      </c>
      <c r="Z21" s="45">
        <v>13</v>
      </c>
      <c r="AA21" s="45">
        <v>13</v>
      </c>
      <c r="AB21" s="45">
        <v>13</v>
      </c>
      <c r="AC21" s="45">
        <v>13</v>
      </c>
      <c r="AD21" s="45">
        <v>13</v>
      </c>
      <c r="AE21" s="45">
        <v>13</v>
      </c>
      <c r="AF21" s="45">
        <v>13</v>
      </c>
      <c r="AG21" s="49">
        <v>36</v>
      </c>
      <c r="AH21" s="47">
        <f t="shared" si="40"/>
        <v>13</v>
      </c>
      <c r="AI21" s="48">
        <f t="shared" si="41"/>
        <v>13</v>
      </c>
      <c r="AK21" s="50"/>
      <c r="AL21" s="160" t="s">
        <v>596</v>
      </c>
      <c r="AM21" s="227">
        <f>B98</f>
        <v>0</v>
      </c>
      <c r="AN21" s="227">
        <f t="shared" ref="AN21:AR21" si="96">C98</f>
        <v>0</v>
      </c>
      <c r="AO21" s="227">
        <f t="shared" si="96"/>
        <v>0</v>
      </c>
      <c r="AP21" s="227">
        <f t="shared" si="96"/>
        <v>0</v>
      </c>
      <c r="AQ21" s="227">
        <f t="shared" si="96"/>
        <v>0</v>
      </c>
      <c r="AR21" s="227">
        <f t="shared" si="96"/>
        <v>0</v>
      </c>
      <c r="AS21" s="227">
        <f>I98</f>
        <v>0</v>
      </c>
      <c r="AT21" s="227">
        <f>K98</f>
        <v>50</v>
      </c>
      <c r="AU21" s="227">
        <f t="shared" ref="AU21:AX21" si="97">M98</f>
        <v>250</v>
      </c>
      <c r="AV21" s="227">
        <f t="shared" si="97"/>
        <v>200</v>
      </c>
      <c r="AW21" s="227">
        <f t="shared" si="97"/>
        <v>180</v>
      </c>
      <c r="AX21" s="227">
        <f t="shared" si="97"/>
        <v>0</v>
      </c>
      <c r="AY21" s="227">
        <f t="shared" ref="AY21" si="98">Q98</f>
        <v>0</v>
      </c>
      <c r="AZ21" s="227">
        <f t="shared" ref="AZ21" si="99">R98</f>
        <v>10</v>
      </c>
      <c r="BA21" s="227">
        <f t="shared" ref="BA21" si="100">S98</f>
        <v>18</v>
      </c>
      <c r="BB21" s="227">
        <f t="shared" ref="BB21" si="101">T98</f>
        <v>18</v>
      </c>
      <c r="BC21" s="227">
        <f t="shared" ref="BC21" si="102">U98</f>
        <v>10</v>
      </c>
      <c r="BD21" s="227">
        <f t="shared" ref="BD21" si="103">V98</f>
        <v>100</v>
      </c>
      <c r="BE21" s="227">
        <f t="shared" ref="BE21" si="104">W98</f>
        <v>200</v>
      </c>
      <c r="BF21" s="227">
        <f t="shared" ref="BF21" si="105">X98</f>
        <v>200</v>
      </c>
      <c r="BG21" s="227">
        <f t="shared" ref="BG21" si="106">Y98</f>
        <v>200</v>
      </c>
      <c r="BH21" s="227">
        <f t="shared" ref="BH21" si="107">Z98</f>
        <v>200</v>
      </c>
      <c r="BI21" s="227">
        <f t="shared" ref="BI21" si="108">AA98</f>
        <v>350</v>
      </c>
      <c r="BJ21" s="227">
        <f t="shared" ref="BJ21" si="109">AB98</f>
        <v>350</v>
      </c>
      <c r="BK21" s="227">
        <f t="shared" ref="BK21" si="110">AC98</f>
        <v>350</v>
      </c>
      <c r="BL21" s="227">
        <f t="shared" ref="BL21" si="111">AD98</f>
        <v>300</v>
      </c>
      <c r="BM21" s="227">
        <f t="shared" ref="BM21" si="112">AE98</f>
        <v>0</v>
      </c>
      <c r="BN21" s="227">
        <f t="shared" ref="BN21" si="113">AF98</f>
        <v>0</v>
      </c>
      <c r="BO21" s="255"/>
      <c r="BP21" s="254"/>
      <c r="BQ21" s="254"/>
      <c r="BR21" s="24"/>
      <c r="BS21" s="24"/>
      <c r="BT21" s="24"/>
      <c r="BU21" s="24"/>
      <c r="BV21" s="24"/>
      <c r="BW21" s="24"/>
      <c r="BX21" s="24"/>
      <c r="BY21" s="24"/>
      <c r="BZ21" s="242">
        <v>11</v>
      </c>
      <c r="CA21" s="240">
        <v>0.104166666666667</v>
      </c>
      <c r="CB21" s="241"/>
      <c r="CC21" s="241"/>
      <c r="CD21" s="241"/>
      <c r="CE21" s="241"/>
      <c r="CF21" s="241"/>
      <c r="CG21" s="246"/>
      <c r="CH21" s="246"/>
      <c r="CI21" s="24"/>
      <c r="CJ21" s="24"/>
    </row>
    <row r="22" spans="1:88" x14ac:dyDescent="0.25">
      <c r="A22" s="44" t="s">
        <v>28</v>
      </c>
      <c r="B22" s="45">
        <v>7.6</v>
      </c>
      <c r="C22" s="45">
        <v>7.6</v>
      </c>
      <c r="D22" s="45">
        <v>7.6</v>
      </c>
      <c r="E22" s="45">
        <v>7.6</v>
      </c>
      <c r="F22" s="45">
        <v>7.6</v>
      </c>
      <c r="G22" s="45">
        <v>7.6</v>
      </c>
      <c r="H22" s="45">
        <v>6.9</v>
      </c>
      <c r="I22" s="45">
        <v>6.9</v>
      </c>
      <c r="J22" s="45">
        <v>6.9</v>
      </c>
      <c r="K22" s="45">
        <v>6.9</v>
      </c>
      <c r="L22" s="45">
        <v>6.9</v>
      </c>
      <c r="M22" s="45">
        <v>6.9</v>
      </c>
      <c r="N22" s="45">
        <v>6.9</v>
      </c>
      <c r="O22" s="45">
        <v>6.9</v>
      </c>
      <c r="P22" s="45">
        <v>6.9</v>
      </c>
      <c r="Q22" s="45">
        <v>6.9</v>
      </c>
      <c r="R22" s="45">
        <v>6.9</v>
      </c>
      <c r="S22" s="45">
        <v>6.9</v>
      </c>
      <c r="T22" s="45">
        <v>6.9</v>
      </c>
      <c r="U22" s="45">
        <v>6.9</v>
      </c>
      <c r="V22" s="45">
        <v>6.9</v>
      </c>
      <c r="W22" s="45">
        <v>6.9</v>
      </c>
      <c r="X22" s="45">
        <v>6.9</v>
      </c>
      <c r="Y22" s="45">
        <v>6.9</v>
      </c>
      <c r="Z22" s="45">
        <v>6.9</v>
      </c>
      <c r="AA22" s="45">
        <v>6.9</v>
      </c>
      <c r="AB22" s="45">
        <v>6.9</v>
      </c>
      <c r="AC22" s="45">
        <v>6.9</v>
      </c>
      <c r="AD22" s="45">
        <v>6.9</v>
      </c>
      <c r="AE22" s="45">
        <v>6.9</v>
      </c>
      <c r="AF22" s="45">
        <v>6.9</v>
      </c>
      <c r="AG22" s="52">
        <v>30</v>
      </c>
      <c r="AH22" s="47">
        <f t="shared" si="40"/>
        <v>7.6</v>
      </c>
      <c r="AI22" s="48">
        <f t="shared" si="41"/>
        <v>6.9</v>
      </c>
      <c r="AK22" s="50"/>
      <c r="AL22" s="229" t="s">
        <v>597</v>
      </c>
      <c r="AM22" s="228">
        <f>SUM(AM16:AM21)</f>
        <v>1239.49</v>
      </c>
      <c r="AN22" s="228">
        <f t="shared" ref="AN22:AX22" si="114">SUM(AN16:AN21)</f>
        <v>1252.49</v>
      </c>
      <c r="AO22" s="228">
        <f t="shared" si="114"/>
        <v>1220.19</v>
      </c>
      <c r="AP22" s="228">
        <f t="shared" si="114"/>
        <v>1211.5899999999999</v>
      </c>
      <c r="AQ22" s="228">
        <f t="shared" si="114"/>
        <v>1230.8899999999999</v>
      </c>
      <c r="AR22" s="228">
        <f t="shared" si="114"/>
        <v>1248.5899999999999</v>
      </c>
      <c r="AS22" s="228">
        <f t="shared" si="114"/>
        <v>1405.19</v>
      </c>
      <c r="AT22" s="228">
        <f t="shared" si="114"/>
        <v>1487.69</v>
      </c>
      <c r="AU22" s="228">
        <f t="shared" si="114"/>
        <v>1596.68</v>
      </c>
      <c r="AV22" s="228">
        <f t="shared" si="114"/>
        <v>1539.88</v>
      </c>
      <c r="AW22" s="228">
        <f t="shared" si="114"/>
        <v>1517.88</v>
      </c>
      <c r="AX22" s="228">
        <f t="shared" si="114"/>
        <v>1384.38</v>
      </c>
      <c r="AY22" s="228">
        <f t="shared" ref="AY22:BO22" si="115">SUM(AY16:AY21)</f>
        <v>1475.28</v>
      </c>
      <c r="AZ22" s="228">
        <f t="shared" si="115"/>
        <v>1503.09</v>
      </c>
      <c r="BA22" s="228">
        <f t="shared" si="115"/>
        <v>1505.19</v>
      </c>
      <c r="BB22" s="228">
        <f t="shared" si="115"/>
        <v>1543.79</v>
      </c>
      <c r="BC22" s="228">
        <f t="shared" si="115"/>
        <v>1533.69</v>
      </c>
      <c r="BD22" s="228">
        <f t="shared" si="115"/>
        <v>1548.49</v>
      </c>
      <c r="BE22" s="228">
        <f t="shared" si="115"/>
        <v>1583.29</v>
      </c>
      <c r="BF22" s="228">
        <f t="shared" si="115"/>
        <v>1619.5900000000001</v>
      </c>
      <c r="BG22" s="228">
        <f t="shared" si="115"/>
        <v>1753.29</v>
      </c>
      <c r="BH22" s="228">
        <f t="shared" si="115"/>
        <v>1794.3899999999999</v>
      </c>
      <c r="BI22" s="228">
        <f t="shared" si="115"/>
        <v>1733.69</v>
      </c>
      <c r="BJ22" s="228">
        <f t="shared" si="115"/>
        <v>1623.79</v>
      </c>
      <c r="BK22" s="228">
        <f t="shared" si="115"/>
        <v>1631.8899999999999</v>
      </c>
      <c r="BL22" s="228">
        <f t="shared" si="115"/>
        <v>1522.09</v>
      </c>
      <c r="BM22" s="228">
        <f t="shared" si="115"/>
        <v>1336.09</v>
      </c>
      <c r="BN22" s="228">
        <f t="shared" si="115"/>
        <v>1271.6899999999998</v>
      </c>
      <c r="BO22" s="256">
        <f t="shared" si="115"/>
        <v>0</v>
      </c>
      <c r="BP22" s="254"/>
      <c r="BQ22" s="254"/>
      <c r="BR22" s="24"/>
      <c r="BS22" s="24"/>
      <c r="BT22" s="24"/>
      <c r="BU22" s="24"/>
      <c r="BV22" s="24"/>
      <c r="BW22" s="24"/>
      <c r="BX22" s="24"/>
      <c r="BY22" s="24"/>
      <c r="BZ22" s="242">
        <v>12</v>
      </c>
      <c r="CA22" s="240">
        <v>0.114583333333333</v>
      </c>
      <c r="CB22" s="241"/>
      <c r="CC22" s="241"/>
      <c r="CD22" s="241"/>
      <c r="CE22" s="241"/>
      <c r="CF22" s="241"/>
      <c r="CG22" s="246"/>
      <c r="CH22" s="246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5.5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49">
        <v>24.2</v>
      </c>
      <c r="AH23" s="47">
        <f t="shared" si="40"/>
        <v>5.5</v>
      </c>
      <c r="AI23" s="48">
        <f t="shared" si="41"/>
        <v>5.5</v>
      </c>
      <c r="AK23" s="50"/>
      <c r="AL23" s="229" t="s">
        <v>249</v>
      </c>
      <c r="AM23" s="228">
        <f>B107*-1</f>
        <v>0</v>
      </c>
      <c r="AN23" s="228">
        <f t="shared" ref="AN23:AR23" si="116">C107*-1</f>
        <v>0</v>
      </c>
      <c r="AO23" s="228">
        <f t="shared" si="116"/>
        <v>0</v>
      </c>
      <c r="AP23" s="228">
        <f t="shared" si="116"/>
        <v>0</v>
      </c>
      <c r="AQ23" s="228">
        <f t="shared" si="116"/>
        <v>0</v>
      </c>
      <c r="AR23" s="228">
        <f t="shared" si="116"/>
        <v>0</v>
      </c>
      <c r="AS23" s="228">
        <f>I107*-1</f>
        <v>0</v>
      </c>
      <c r="AT23" s="228">
        <f>K107*-1</f>
        <v>0</v>
      </c>
      <c r="AU23" s="228">
        <f t="shared" ref="AU23:AX23" si="117">M107*-1</f>
        <v>0</v>
      </c>
      <c r="AV23" s="228">
        <f t="shared" si="117"/>
        <v>0</v>
      </c>
      <c r="AW23" s="228">
        <f t="shared" si="117"/>
        <v>0</v>
      </c>
      <c r="AX23" s="228">
        <f t="shared" si="117"/>
        <v>0</v>
      </c>
      <c r="AY23" s="228">
        <f t="shared" ref="AY23" si="118">Q107*-1</f>
        <v>0</v>
      </c>
      <c r="AZ23" s="228">
        <f t="shared" ref="AZ23" si="119">R107*-1</f>
        <v>0</v>
      </c>
      <c r="BA23" s="228">
        <f t="shared" ref="BA23" si="120">S107*-1</f>
        <v>0</v>
      </c>
      <c r="BB23" s="228">
        <f t="shared" ref="BB23" si="121">T107*-1</f>
        <v>0</v>
      </c>
      <c r="BC23" s="228">
        <f t="shared" ref="BC23" si="122">U107*-1</f>
        <v>0</v>
      </c>
      <c r="BD23" s="228">
        <f t="shared" ref="BD23" si="123">V107*-1</f>
        <v>0</v>
      </c>
      <c r="BE23" s="228">
        <f t="shared" ref="BE23" si="124">W107*-1</f>
        <v>0</v>
      </c>
      <c r="BF23" s="228">
        <f t="shared" ref="BF23" si="125">X107*-1</f>
        <v>0</v>
      </c>
      <c r="BG23" s="228">
        <f t="shared" ref="BG23" si="126">Y107*-1</f>
        <v>0</v>
      </c>
      <c r="BH23" s="228">
        <f t="shared" ref="BH23" si="127">Z107*-1</f>
        <v>0</v>
      </c>
      <c r="BI23" s="228">
        <f t="shared" ref="BI23" si="128">AA107*-1</f>
        <v>0</v>
      </c>
      <c r="BJ23" s="228">
        <f t="shared" ref="BJ23" si="129">AB107*-1</f>
        <v>0</v>
      </c>
      <c r="BK23" s="228">
        <f t="shared" ref="BK23" si="130">AC107*-1</f>
        <v>0</v>
      </c>
      <c r="BL23" s="228">
        <f t="shared" ref="BL23" si="131">AD107*-1</f>
        <v>0</v>
      </c>
      <c r="BM23" s="228">
        <f t="shared" ref="BM23" si="132">AE107*-1</f>
        <v>0</v>
      </c>
      <c r="BN23" s="228">
        <f t="shared" ref="BN23" si="133">AF107*-1</f>
        <v>0</v>
      </c>
      <c r="BO23" s="256">
        <f t="shared" ref="BO23" si="134">AG107*-1</f>
        <v>0</v>
      </c>
      <c r="BP23" s="256"/>
      <c r="BQ23" s="256"/>
      <c r="BR23" s="24"/>
      <c r="BS23" s="24"/>
      <c r="BT23" s="24"/>
      <c r="BU23" s="24"/>
      <c r="BV23" s="24"/>
      <c r="BW23" s="24"/>
      <c r="BX23" s="24"/>
      <c r="BY23" s="24"/>
      <c r="BZ23" s="242">
        <v>13</v>
      </c>
      <c r="CA23" s="240">
        <v>0.125</v>
      </c>
      <c r="CB23" s="241"/>
      <c r="CC23" s="241"/>
      <c r="CD23" s="241"/>
      <c r="CE23" s="241"/>
      <c r="CF23" s="241"/>
      <c r="CG23" s="246"/>
      <c r="CH23" s="246"/>
      <c r="CI23" s="24"/>
      <c r="CJ23" s="24"/>
    </row>
    <row r="24" spans="1:88" x14ac:dyDescent="0.25">
      <c r="A24" s="44" t="s">
        <v>30</v>
      </c>
      <c r="B24" s="45">
        <v>6.3</v>
      </c>
      <c r="C24" s="45">
        <v>6.3</v>
      </c>
      <c r="D24" s="45">
        <v>6.3</v>
      </c>
      <c r="E24" s="45">
        <v>6.3</v>
      </c>
      <c r="F24" s="45">
        <v>6.3</v>
      </c>
      <c r="G24" s="45">
        <v>6.3</v>
      </c>
      <c r="H24" s="45">
        <v>6.3</v>
      </c>
      <c r="I24" s="45">
        <v>6.3</v>
      </c>
      <c r="J24" s="45">
        <v>6.3</v>
      </c>
      <c r="K24" s="45">
        <v>6.3</v>
      </c>
      <c r="L24" s="45">
        <v>6.3</v>
      </c>
      <c r="M24" s="45">
        <v>6.3</v>
      </c>
      <c r="N24" s="45">
        <v>6.3</v>
      </c>
      <c r="O24" s="45">
        <v>6.3</v>
      </c>
      <c r="P24" s="45">
        <v>6.3</v>
      </c>
      <c r="Q24" s="45">
        <v>6.3</v>
      </c>
      <c r="R24" s="45">
        <v>6.3</v>
      </c>
      <c r="S24" s="45">
        <v>6.3</v>
      </c>
      <c r="T24" s="45">
        <v>6.3</v>
      </c>
      <c r="U24" s="45">
        <v>6.3</v>
      </c>
      <c r="V24" s="45">
        <v>6.3</v>
      </c>
      <c r="W24" s="45">
        <v>6.3</v>
      </c>
      <c r="X24" s="45">
        <v>6.3</v>
      </c>
      <c r="Y24" s="45">
        <v>6.3</v>
      </c>
      <c r="Z24" s="45">
        <v>6.3</v>
      </c>
      <c r="AA24" s="45">
        <v>6.3</v>
      </c>
      <c r="AB24" s="45">
        <v>6.3</v>
      </c>
      <c r="AC24" s="45">
        <v>6.3</v>
      </c>
      <c r="AD24" s="45">
        <v>6.3</v>
      </c>
      <c r="AE24" s="45">
        <v>6.3</v>
      </c>
      <c r="AF24" s="45">
        <v>6.3</v>
      </c>
      <c r="AG24" s="49">
        <v>28</v>
      </c>
      <c r="AH24" s="47">
        <f t="shared" si="40"/>
        <v>6.3</v>
      </c>
      <c r="AI24" s="48">
        <f t="shared" si="41"/>
        <v>6.3</v>
      </c>
      <c r="AK24" s="50"/>
      <c r="AL24" s="229" t="s">
        <v>598</v>
      </c>
      <c r="AM24" s="228">
        <f>AM22+AM23</f>
        <v>1239.49</v>
      </c>
      <c r="AN24" s="228">
        <f t="shared" ref="AN24:AX24" si="135">AN22+AN23</f>
        <v>1252.49</v>
      </c>
      <c r="AO24" s="228">
        <f t="shared" si="135"/>
        <v>1220.19</v>
      </c>
      <c r="AP24" s="228">
        <f t="shared" si="135"/>
        <v>1211.5899999999999</v>
      </c>
      <c r="AQ24" s="228">
        <f t="shared" si="135"/>
        <v>1230.8899999999999</v>
      </c>
      <c r="AR24" s="228">
        <f t="shared" si="135"/>
        <v>1248.5899999999999</v>
      </c>
      <c r="AS24" s="228">
        <f t="shared" si="135"/>
        <v>1405.19</v>
      </c>
      <c r="AT24" s="228">
        <f t="shared" si="135"/>
        <v>1487.69</v>
      </c>
      <c r="AU24" s="228">
        <f t="shared" si="135"/>
        <v>1596.68</v>
      </c>
      <c r="AV24" s="228">
        <f t="shared" si="135"/>
        <v>1539.88</v>
      </c>
      <c r="AW24" s="228">
        <f t="shared" si="135"/>
        <v>1517.88</v>
      </c>
      <c r="AX24" s="228">
        <f t="shared" si="135"/>
        <v>1384.38</v>
      </c>
      <c r="AY24" s="228">
        <f t="shared" ref="AY24:BO24" si="136">AY22+AY23</f>
        <v>1475.28</v>
      </c>
      <c r="AZ24" s="228">
        <f t="shared" si="136"/>
        <v>1503.09</v>
      </c>
      <c r="BA24" s="228">
        <f t="shared" si="136"/>
        <v>1505.19</v>
      </c>
      <c r="BB24" s="228">
        <f t="shared" si="136"/>
        <v>1543.79</v>
      </c>
      <c r="BC24" s="228">
        <f t="shared" si="136"/>
        <v>1533.69</v>
      </c>
      <c r="BD24" s="228">
        <f t="shared" si="136"/>
        <v>1548.49</v>
      </c>
      <c r="BE24" s="228">
        <f t="shared" si="136"/>
        <v>1583.29</v>
      </c>
      <c r="BF24" s="228">
        <f t="shared" si="136"/>
        <v>1619.5900000000001</v>
      </c>
      <c r="BG24" s="228">
        <f t="shared" si="136"/>
        <v>1753.29</v>
      </c>
      <c r="BH24" s="228">
        <f t="shared" si="136"/>
        <v>1794.3899999999999</v>
      </c>
      <c r="BI24" s="228">
        <f t="shared" si="136"/>
        <v>1733.69</v>
      </c>
      <c r="BJ24" s="228">
        <f t="shared" si="136"/>
        <v>1623.79</v>
      </c>
      <c r="BK24" s="228">
        <f t="shared" si="136"/>
        <v>1631.8899999999999</v>
      </c>
      <c r="BL24" s="228">
        <f t="shared" si="136"/>
        <v>1522.09</v>
      </c>
      <c r="BM24" s="228">
        <f t="shared" si="136"/>
        <v>1336.09</v>
      </c>
      <c r="BN24" s="228">
        <f t="shared" si="136"/>
        <v>1271.6899999999998</v>
      </c>
      <c r="BO24" s="256">
        <f t="shared" si="136"/>
        <v>0</v>
      </c>
      <c r="BP24" s="256"/>
      <c r="BQ24" s="256"/>
      <c r="BR24" s="24"/>
      <c r="BS24" s="24"/>
      <c r="BT24" s="24"/>
      <c r="BU24" s="24"/>
      <c r="BV24" s="24"/>
      <c r="BW24" s="24"/>
      <c r="BX24" s="24"/>
      <c r="BY24" s="24"/>
      <c r="BZ24" s="242">
        <v>14</v>
      </c>
      <c r="CA24" s="240">
        <v>0.13541666666666699</v>
      </c>
      <c r="CB24" s="241"/>
      <c r="CC24" s="241"/>
      <c r="CD24" s="241"/>
      <c r="CE24" s="241"/>
      <c r="CF24" s="241"/>
      <c r="CG24" s="246"/>
      <c r="CH24" s="246"/>
      <c r="CI24" s="24"/>
      <c r="CJ24" s="24"/>
    </row>
    <row r="25" spans="1:88" x14ac:dyDescent="0.25">
      <c r="A25" s="44" t="s">
        <v>31</v>
      </c>
      <c r="B25" s="45">
        <v>9.3000000000000007</v>
      </c>
      <c r="C25" s="45">
        <v>9.3000000000000007</v>
      </c>
      <c r="D25" s="45">
        <v>9.3000000000000007</v>
      </c>
      <c r="E25" s="45">
        <v>9.3000000000000007</v>
      </c>
      <c r="F25" s="45">
        <v>9.3000000000000007</v>
      </c>
      <c r="G25" s="45">
        <v>9.3000000000000007</v>
      </c>
      <c r="H25" s="45">
        <v>9.3000000000000007</v>
      </c>
      <c r="I25" s="45">
        <v>9.3000000000000007</v>
      </c>
      <c r="J25" s="45">
        <v>9.3000000000000007</v>
      </c>
      <c r="K25" s="45">
        <v>9.3000000000000007</v>
      </c>
      <c r="L25" s="45">
        <v>9.3000000000000007</v>
      </c>
      <c r="M25" s="45">
        <v>9.3000000000000007</v>
      </c>
      <c r="N25" s="45">
        <v>9.3000000000000007</v>
      </c>
      <c r="O25" s="45">
        <v>9.3000000000000007</v>
      </c>
      <c r="P25" s="45">
        <v>9.3000000000000007</v>
      </c>
      <c r="Q25" s="45">
        <v>9.3000000000000007</v>
      </c>
      <c r="R25" s="45">
        <v>9.3000000000000007</v>
      </c>
      <c r="S25" s="45">
        <v>9.3000000000000007</v>
      </c>
      <c r="T25" s="45">
        <v>9.3000000000000007</v>
      </c>
      <c r="U25" s="45">
        <v>9.3000000000000007</v>
      </c>
      <c r="V25" s="45">
        <v>9.3000000000000007</v>
      </c>
      <c r="W25" s="45">
        <v>9.3000000000000007</v>
      </c>
      <c r="X25" s="45">
        <v>9.3000000000000007</v>
      </c>
      <c r="Y25" s="45">
        <v>9.3000000000000007</v>
      </c>
      <c r="Z25" s="45">
        <v>9.3000000000000007</v>
      </c>
      <c r="AA25" s="45">
        <v>9.3000000000000007</v>
      </c>
      <c r="AB25" s="45">
        <v>9.3000000000000007</v>
      </c>
      <c r="AC25" s="45">
        <v>9.3000000000000007</v>
      </c>
      <c r="AD25" s="45">
        <v>9.3000000000000007</v>
      </c>
      <c r="AE25" s="45">
        <v>9.3000000000000007</v>
      </c>
      <c r="AF25" s="45">
        <v>9.3000000000000007</v>
      </c>
      <c r="AG25" s="52">
        <v>30</v>
      </c>
      <c r="AH25" s="47">
        <f t="shared" si="40"/>
        <v>9.3000000000000007</v>
      </c>
      <c r="AI25" s="48">
        <f t="shared" si="41"/>
        <v>9.3000000000000007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2">
        <v>15</v>
      </c>
      <c r="CA25" s="240">
        <v>0.14583333333333301</v>
      </c>
      <c r="CB25" s="241"/>
      <c r="CC25" s="241"/>
      <c r="CD25" s="241"/>
      <c r="CE25" s="241"/>
      <c r="CF25" s="241"/>
      <c r="CG25" s="246"/>
      <c r="CH25" s="246"/>
      <c r="CI25" s="24"/>
      <c r="CJ25" s="24"/>
    </row>
    <row r="26" spans="1:88" x14ac:dyDescent="0.25">
      <c r="A26" s="44" t="s">
        <v>32</v>
      </c>
      <c r="B26" s="45">
        <v>8.6999999999999993</v>
      </c>
      <c r="C26" s="45">
        <v>8.6999999999999993</v>
      </c>
      <c r="D26" s="45">
        <v>8.6999999999999993</v>
      </c>
      <c r="E26" s="45">
        <v>8.6999999999999993</v>
      </c>
      <c r="F26" s="45">
        <v>8.6999999999999993</v>
      </c>
      <c r="G26" s="45">
        <v>8.6999999999999993</v>
      </c>
      <c r="H26" s="45">
        <v>8.6999999999999993</v>
      </c>
      <c r="I26" s="45">
        <v>8.6999999999999993</v>
      </c>
      <c r="J26" s="45">
        <v>8.6999999999999993</v>
      </c>
      <c r="K26" s="45">
        <v>8.6999999999999993</v>
      </c>
      <c r="L26" s="45">
        <v>8.6999999999999993</v>
      </c>
      <c r="M26" s="45">
        <v>8.6999999999999993</v>
      </c>
      <c r="N26" s="45">
        <v>8.6999999999999993</v>
      </c>
      <c r="O26" s="45">
        <v>8.6999999999999993</v>
      </c>
      <c r="P26" s="45">
        <v>8.6999999999999993</v>
      </c>
      <c r="Q26" s="45">
        <v>8.6999999999999993</v>
      </c>
      <c r="R26" s="45">
        <v>8.6999999999999993</v>
      </c>
      <c r="S26" s="45">
        <v>8.6999999999999993</v>
      </c>
      <c r="T26" s="45">
        <v>8.6999999999999993</v>
      </c>
      <c r="U26" s="45">
        <v>8.6999999999999993</v>
      </c>
      <c r="V26" s="45">
        <v>8.6999999999999993</v>
      </c>
      <c r="W26" s="45">
        <v>8.6999999999999993</v>
      </c>
      <c r="X26" s="45">
        <v>8.6999999999999993</v>
      </c>
      <c r="Y26" s="45">
        <v>8.6999999999999993</v>
      </c>
      <c r="Z26" s="45">
        <v>8.6999999999999993</v>
      </c>
      <c r="AA26" s="45">
        <v>8.6999999999999993</v>
      </c>
      <c r="AB26" s="45">
        <v>8.6999999999999993</v>
      </c>
      <c r="AC26" s="45">
        <v>8.6999999999999993</v>
      </c>
      <c r="AD26" s="45">
        <v>8.6999999999999993</v>
      </c>
      <c r="AE26" s="45">
        <v>8.6999999999999993</v>
      </c>
      <c r="AF26" s="45">
        <v>8.6999999999999993</v>
      </c>
      <c r="AG26" s="49">
        <v>25</v>
      </c>
      <c r="AH26" s="47">
        <f t="shared" si="40"/>
        <v>8.6999999999999993</v>
      </c>
      <c r="AI26" s="48">
        <f t="shared" si="41"/>
        <v>8.6999999999999993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2">
        <v>16</v>
      </c>
      <c r="CA26" s="240">
        <v>0.15625</v>
      </c>
      <c r="CB26" s="241"/>
      <c r="CC26" s="241"/>
      <c r="CD26" s="241"/>
      <c r="CE26" s="241"/>
      <c r="CF26" s="241"/>
      <c r="CG26" s="246"/>
      <c r="CH26" s="246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5</v>
      </c>
      <c r="AB27" s="45">
        <v>5</v>
      </c>
      <c r="AC27" s="45">
        <v>5</v>
      </c>
      <c r="AD27" s="45">
        <v>5</v>
      </c>
      <c r="AE27" s="45">
        <v>5</v>
      </c>
      <c r="AF27" s="45">
        <v>5</v>
      </c>
      <c r="AG27" s="49">
        <v>25</v>
      </c>
      <c r="AH27" s="47">
        <f t="shared" si="40"/>
        <v>5</v>
      </c>
      <c r="AI27" s="48">
        <f t="shared" si="41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2">
        <v>17</v>
      </c>
      <c r="CA27" s="240">
        <v>0.16666666666666699</v>
      </c>
      <c r="CB27" s="241"/>
      <c r="CC27" s="241"/>
      <c r="CD27" s="241"/>
      <c r="CE27" s="241"/>
      <c r="CF27" s="241"/>
      <c r="CG27" s="246"/>
      <c r="CH27" s="246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>
        <v>6</v>
      </c>
      <c r="O28" s="45">
        <v>6</v>
      </c>
      <c r="P28" s="45">
        <v>6</v>
      </c>
      <c r="Q28" s="45">
        <v>6</v>
      </c>
      <c r="R28" s="45">
        <v>6</v>
      </c>
      <c r="S28" s="45">
        <v>6</v>
      </c>
      <c r="T28" s="45">
        <v>6</v>
      </c>
      <c r="U28" s="45">
        <v>6</v>
      </c>
      <c r="V28" s="45">
        <v>6</v>
      </c>
      <c r="W28" s="45">
        <v>6</v>
      </c>
      <c r="X28" s="45">
        <v>6</v>
      </c>
      <c r="Y28" s="45">
        <v>6</v>
      </c>
      <c r="Z28" s="45">
        <v>6</v>
      </c>
      <c r="AA28" s="45">
        <v>6</v>
      </c>
      <c r="AB28" s="45">
        <v>6</v>
      </c>
      <c r="AC28" s="45">
        <v>6</v>
      </c>
      <c r="AD28" s="45">
        <v>6</v>
      </c>
      <c r="AE28" s="45">
        <v>6</v>
      </c>
      <c r="AF28" s="45">
        <v>6</v>
      </c>
      <c r="AG28" s="49">
        <v>25</v>
      </c>
      <c r="AH28" s="47">
        <f t="shared" si="40"/>
        <v>6</v>
      </c>
      <c r="AI28" s="48">
        <f t="shared" si="41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2">
        <v>18</v>
      </c>
      <c r="CA28" s="240">
        <v>0.17708333333333301</v>
      </c>
      <c r="CB28" s="241"/>
      <c r="CC28" s="241"/>
      <c r="CD28" s="241"/>
      <c r="CE28" s="241"/>
      <c r="CF28" s="241"/>
      <c r="CG28" s="246"/>
      <c r="CH28" s="246"/>
      <c r="CI28" s="24"/>
      <c r="CJ28" s="24"/>
    </row>
    <row r="29" spans="1:88" x14ac:dyDescent="0.25">
      <c r="A29" s="44" t="s">
        <v>35</v>
      </c>
      <c r="B29" s="45">
        <v>6.6</v>
      </c>
      <c r="C29" s="45">
        <v>6.6</v>
      </c>
      <c r="D29" s="45">
        <v>6.6</v>
      </c>
      <c r="E29" s="45">
        <v>6.6</v>
      </c>
      <c r="F29" s="45">
        <v>6.6</v>
      </c>
      <c r="G29" s="45">
        <v>6.6</v>
      </c>
      <c r="H29" s="45">
        <v>6.6</v>
      </c>
      <c r="I29" s="45">
        <v>6.6</v>
      </c>
      <c r="J29" s="45">
        <v>6.6</v>
      </c>
      <c r="K29" s="45">
        <v>6.6</v>
      </c>
      <c r="L29" s="45">
        <v>6.6</v>
      </c>
      <c r="M29" s="45">
        <v>6.6</v>
      </c>
      <c r="N29" s="45">
        <v>6.6</v>
      </c>
      <c r="O29" s="45">
        <v>6.6</v>
      </c>
      <c r="P29" s="45">
        <v>6.6</v>
      </c>
      <c r="Q29" s="45">
        <v>6.6</v>
      </c>
      <c r="R29" s="45">
        <v>6.6</v>
      </c>
      <c r="S29" s="45">
        <v>6.6</v>
      </c>
      <c r="T29" s="45">
        <v>6.6</v>
      </c>
      <c r="U29" s="45">
        <v>6.6</v>
      </c>
      <c r="V29" s="45">
        <v>6.6</v>
      </c>
      <c r="W29" s="45">
        <v>6.6</v>
      </c>
      <c r="X29" s="45">
        <v>6.6</v>
      </c>
      <c r="Y29" s="45">
        <v>6.6</v>
      </c>
      <c r="Z29" s="45">
        <v>6.6</v>
      </c>
      <c r="AA29" s="45">
        <v>6.6</v>
      </c>
      <c r="AB29" s="45">
        <v>6.6</v>
      </c>
      <c r="AC29" s="45">
        <v>6.6</v>
      </c>
      <c r="AD29" s="45">
        <v>6.6</v>
      </c>
      <c r="AE29" s="45">
        <v>6.6</v>
      </c>
      <c r="AF29" s="45">
        <v>6.6</v>
      </c>
      <c r="AG29" s="49">
        <v>25</v>
      </c>
      <c r="AH29" s="47">
        <f t="shared" si="40"/>
        <v>6.6</v>
      </c>
      <c r="AI29" s="48">
        <f t="shared" si="41"/>
        <v>6.6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2">
        <v>19</v>
      </c>
      <c r="CA29" s="240">
        <v>0.1875</v>
      </c>
      <c r="CB29" s="241"/>
      <c r="CC29" s="241"/>
      <c r="CD29" s="241"/>
      <c r="CE29" s="241"/>
      <c r="CF29" s="241"/>
      <c r="CG29" s="246"/>
      <c r="CH29" s="246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6.5</v>
      </c>
      <c r="N30" s="45">
        <v>6.5</v>
      </c>
      <c r="O30" s="45">
        <v>6.5</v>
      </c>
      <c r="P30" s="45">
        <v>6.5</v>
      </c>
      <c r="Q30" s="45">
        <v>6.5</v>
      </c>
      <c r="R30" s="45">
        <v>6.5</v>
      </c>
      <c r="S30" s="45">
        <v>6.5</v>
      </c>
      <c r="T30" s="45">
        <v>6.5</v>
      </c>
      <c r="U30" s="45">
        <v>6.5</v>
      </c>
      <c r="V30" s="45">
        <v>6.5</v>
      </c>
      <c r="W30" s="45">
        <v>6.5</v>
      </c>
      <c r="X30" s="45">
        <v>6.5</v>
      </c>
      <c r="Y30" s="45">
        <v>6.5</v>
      </c>
      <c r="Z30" s="45">
        <v>6.5</v>
      </c>
      <c r="AA30" s="45">
        <v>6.5</v>
      </c>
      <c r="AB30" s="45">
        <v>6.5</v>
      </c>
      <c r="AC30" s="45">
        <v>6.5</v>
      </c>
      <c r="AD30" s="45">
        <v>6.5</v>
      </c>
      <c r="AE30" s="45">
        <v>6.5</v>
      </c>
      <c r="AF30" s="45">
        <v>6.5</v>
      </c>
      <c r="AG30" s="49">
        <v>23.5</v>
      </c>
      <c r="AH30" s="47">
        <f t="shared" si="40"/>
        <v>6.5</v>
      </c>
      <c r="AI30" s="48">
        <f t="shared" si="41"/>
        <v>6.5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2">
        <v>20</v>
      </c>
      <c r="CA30" s="240">
        <v>0.19791666666666699</v>
      </c>
      <c r="CB30" s="241"/>
      <c r="CC30" s="241"/>
      <c r="CD30" s="241"/>
      <c r="CE30" s="241"/>
      <c r="CF30" s="241"/>
      <c r="CG30" s="246"/>
      <c r="CH30" s="246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>
        <v>3</v>
      </c>
      <c r="O31" s="45">
        <v>3</v>
      </c>
      <c r="P31" s="45">
        <v>3</v>
      </c>
      <c r="Q31" s="45">
        <v>3</v>
      </c>
      <c r="R31" s="45">
        <v>3</v>
      </c>
      <c r="S31" s="45">
        <v>3</v>
      </c>
      <c r="T31" s="45">
        <v>3</v>
      </c>
      <c r="U31" s="45">
        <v>3</v>
      </c>
      <c r="V31" s="45">
        <v>3</v>
      </c>
      <c r="W31" s="45">
        <v>3</v>
      </c>
      <c r="X31" s="45">
        <v>3</v>
      </c>
      <c r="Y31" s="45">
        <v>3</v>
      </c>
      <c r="Z31" s="45">
        <v>3</v>
      </c>
      <c r="AA31" s="45">
        <v>3</v>
      </c>
      <c r="AB31" s="45">
        <v>3</v>
      </c>
      <c r="AC31" s="45">
        <v>3</v>
      </c>
      <c r="AD31" s="45">
        <v>3</v>
      </c>
      <c r="AE31" s="45">
        <v>3</v>
      </c>
      <c r="AF31" s="45">
        <v>3</v>
      </c>
      <c r="AG31" s="49">
        <v>22.2</v>
      </c>
      <c r="AH31" s="47">
        <f t="shared" si="40"/>
        <v>3</v>
      </c>
      <c r="AI31" s="48">
        <f t="shared" si="41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2">
        <v>21</v>
      </c>
      <c r="CA31" s="240">
        <v>0.20833333333333301</v>
      </c>
      <c r="CB31" s="241"/>
      <c r="CC31" s="241"/>
      <c r="CD31" s="241"/>
      <c r="CE31" s="241"/>
      <c r="CF31" s="241"/>
      <c r="CG31" s="246"/>
      <c r="CH31" s="246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>
        <v>5.5</v>
      </c>
      <c r="O32" s="45">
        <v>5.5</v>
      </c>
      <c r="P32" s="45">
        <v>5.5</v>
      </c>
      <c r="Q32" s="45">
        <v>5.5</v>
      </c>
      <c r="R32" s="45">
        <v>5.5</v>
      </c>
      <c r="S32" s="45">
        <v>5.5</v>
      </c>
      <c r="T32" s="45">
        <v>5.5</v>
      </c>
      <c r="U32" s="45">
        <v>5.5</v>
      </c>
      <c r="V32" s="45">
        <v>5.5</v>
      </c>
      <c r="W32" s="45">
        <v>5.5</v>
      </c>
      <c r="X32" s="45">
        <v>5.5</v>
      </c>
      <c r="Y32" s="45">
        <v>5.5</v>
      </c>
      <c r="Z32" s="45">
        <v>5.5</v>
      </c>
      <c r="AA32" s="45">
        <v>5.5</v>
      </c>
      <c r="AB32" s="45">
        <v>5.5</v>
      </c>
      <c r="AC32" s="45">
        <v>5.5</v>
      </c>
      <c r="AD32" s="45">
        <v>5.5</v>
      </c>
      <c r="AE32" s="45">
        <v>5.5</v>
      </c>
      <c r="AF32" s="45">
        <v>5.5</v>
      </c>
      <c r="AG32" s="49">
        <v>22.1</v>
      </c>
      <c r="AH32" s="47">
        <f t="shared" si="40"/>
        <v>5.5</v>
      </c>
      <c r="AI32" s="48">
        <f t="shared" si="41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2">
        <v>22</v>
      </c>
      <c r="CA32" s="240">
        <v>0.21875</v>
      </c>
      <c r="CB32" s="241"/>
      <c r="CC32" s="241"/>
      <c r="CD32" s="241"/>
      <c r="CE32" s="241"/>
      <c r="CF32" s="241"/>
      <c r="CG32" s="246"/>
      <c r="CH32" s="246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22</v>
      </c>
      <c r="AH33" s="47">
        <f t="shared" si="40"/>
        <v>6</v>
      </c>
      <c r="AI33" s="48">
        <f t="shared" si="41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2">
        <v>23</v>
      </c>
      <c r="CA33" s="240">
        <v>0.22916666666666699</v>
      </c>
      <c r="CB33" s="241"/>
      <c r="CC33" s="241"/>
      <c r="CD33" s="241"/>
      <c r="CE33" s="241"/>
      <c r="CF33" s="241"/>
      <c r="CG33" s="246"/>
      <c r="CH33" s="246"/>
      <c r="CI33" s="24"/>
      <c r="CJ33" s="24"/>
    </row>
    <row r="34" spans="1:88" x14ac:dyDescent="0.25">
      <c r="A34" s="44" t="s">
        <v>40</v>
      </c>
      <c r="B34" s="45">
        <v>6.1</v>
      </c>
      <c r="C34" s="45">
        <v>6.1</v>
      </c>
      <c r="D34" s="45">
        <v>6.1</v>
      </c>
      <c r="E34" s="45">
        <v>6.1</v>
      </c>
      <c r="F34" s="45">
        <v>6.1</v>
      </c>
      <c r="G34" s="45">
        <v>6.1</v>
      </c>
      <c r="H34" s="45">
        <v>6.1</v>
      </c>
      <c r="I34" s="45">
        <v>6.1</v>
      </c>
      <c r="J34" s="45">
        <v>6.1</v>
      </c>
      <c r="K34" s="45">
        <v>6.1</v>
      </c>
      <c r="L34" s="45">
        <v>6.1</v>
      </c>
      <c r="M34" s="45">
        <v>6.1</v>
      </c>
      <c r="N34" s="45">
        <v>6.1</v>
      </c>
      <c r="O34" s="45">
        <v>6.1</v>
      </c>
      <c r="P34" s="45">
        <v>6.1</v>
      </c>
      <c r="Q34" s="45">
        <v>6.1</v>
      </c>
      <c r="R34" s="45">
        <v>6.1</v>
      </c>
      <c r="S34" s="45">
        <v>6.1</v>
      </c>
      <c r="T34" s="45">
        <v>6.1</v>
      </c>
      <c r="U34" s="45">
        <v>6.1</v>
      </c>
      <c r="V34" s="45">
        <v>6.1</v>
      </c>
      <c r="W34" s="45">
        <v>6.1</v>
      </c>
      <c r="X34" s="45">
        <v>6.1</v>
      </c>
      <c r="Y34" s="45">
        <v>6.1</v>
      </c>
      <c r="Z34" s="45">
        <v>6.1</v>
      </c>
      <c r="AA34" s="45">
        <v>6.1</v>
      </c>
      <c r="AB34" s="45">
        <v>6.1</v>
      </c>
      <c r="AC34" s="45">
        <v>6.1</v>
      </c>
      <c r="AD34" s="45">
        <v>6.1</v>
      </c>
      <c r="AE34" s="45">
        <v>6.1</v>
      </c>
      <c r="AF34" s="45">
        <v>6.1</v>
      </c>
      <c r="AG34" s="49">
        <v>22</v>
      </c>
      <c r="AH34" s="47">
        <f t="shared" si="40"/>
        <v>6.1</v>
      </c>
      <c r="AI34" s="48">
        <f t="shared" si="41"/>
        <v>6.1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2">
        <v>24</v>
      </c>
      <c r="CA34" s="240">
        <v>0.23958333333333301</v>
      </c>
      <c r="CB34" s="241"/>
      <c r="CC34" s="241"/>
      <c r="CD34" s="241"/>
      <c r="CE34" s="241"/>
      <c r="CF34" s="241"/>
      <c r="CG34" s="246"/>
      <c r="CH34" s="246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>
        <v>4</v>
      </c>
      <c r="O35" s="45">
        <v>4</v>
      </c>
      <c r="P35" s="45">
        <v>4</v>
      </c>
      <c r="Q35" s="45">
        <v>4</v>
      </c>
      <c r="R35" s="45">
        <v>4</v>
      </c>
      <c r="S35" s="45">
        <v>4</v>
      </c>
      <c r="T35" s="45">
        <v>4</v>
      </c>
      <c r="U35" s="45">
        <v>4</v>
      </c>
      <c r="V35" s="45">
        <v>4</v>
      </c>
      <c r="W35" s="45">
        <v>4</v>
      </c>
      <c r="X35" s="45">
        <v>4</v>
      </c>
      <c r="Y35" s="45">
        <v>4</v>
      </c>
      <c r="Z35" s="45">
        <v>4</v>
      </c>
      <c r="AA35" s="45">
        <v>4</v>
      </c>
      <c r="AB35" s="45">
        <v>4</v>
      </c>
      <c r="AC35" s="45">
        <v>4</v>
      </c>
      <c r="AD35" s="45">
        <v>4</v>
      </c>
      <c r="AE35" s="45">
        <v>4</v>
      </c>
      <c r="AF35" s="45">
        <v>4</v>
      </c>
      <c r="AG35" s="49">
        <v>20</v>
      </c>
      <c r="AH35" s="47">
        <f t="shared" si="40"/>
        <v>4</v>
      </c>
      <c r="AI35" s="48">
        <f t="shared" si="41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2">
        <v>25</v>
      </c>
      <c r="CA35" s="240">
        <v>0.25</v>
      </c>
      <c r="CB35" s="241"/>
      <c r="CC35" s="241"/>
      <c r="CD35" s="241"/>
      <c r="CE35" s="241"/>
      <c r="CF35" s="241"/>
      <c r="CG35" s="246"/>
      <c r="CH35" s="246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>
        <v>4</v>
      </c>
      <c r="O36" s="45">
        <v>4</v>
      </c>
      <c r="P36" s="45">
        <v>4</v>
      </c>
      <c r="Q36" s="45">
        <v>4</v>
      </c>
      <c r="R36" s="45">
        <v>4</v>
      </c>
      <c r="S36" s="45">
        <v>4</v>
      </c>
      <c r="T36" s="45">
        <v>4</v>
      </c>
      <c r="U36" s="45">
        <v>4</v>
      </c>
      <c r="V36" s="45">
        <v>4</v>
      </c>
      <c r="W36" s="45">
        <v>4</v>
      </c>
      <c r="X36" s="45">
        <v>4</v>
      </c>
      <c r="Y36" s="45">
        <v>4</v>
      </c>
      <c r="Z36" s="45">
        <v>4</v>
      </c>
      <c r="AA36" s="45">
        <v>4</v>
      </c>
      <c r="AB36" s="45">
        <v>4</v>
      </c>
      <c r="AC36" s="45">
        <v>4</v>
      </c>
      <c r="AD36" s="45">
        <v>4</v>
      </c>
      <c r="AE36" s="45">
        <v>4</v>
      </c>
      <c r="AF36" s="45">
        <v>4</v>
      </c>
      <c r="AG36" s="49">
        <v>20</v>
      </c>
      <c r="AH36" s="47">
        <f t="shared" si="40"/>
        <v>4</v>
      </c>
      <c r="AI36" s="48">
        <f t="shared" si="41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2">
        <v>26</v>
      </c>
      <c r="CA36" s="240">
        <v>0.26041666666666702</v>
      </c>
      <c r="CB36" s="241"/>
      <c r="CC36" s="241"/>
      <c r="CD36" s="241"/>
      <c r="CE36" s="241"/>
      <c r="CF36" s="241"/>
      <c r="CG36" s="246"/>
      <c r="CH36" s="246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>
        <v>5.7</v>
      </c>
      <c r="O37" s="45">
        <v>5.7</v>
      </c>
      <c r="P37" s="45">
        <v>5.7</v>
      </c>
      <c r="Q37" s="45">
        <v>5.7</v>
      </c>
      <c r="R37" s="45">
        <v>5.7</v>
      </c>
      <c r="S37" s="45">
        <v>5.7</v>
      </c>
      <c r="T37" s="45">
        <v>5.7</v>
      </c>
      <c r="U37" s="45">
        <v>5.7</v>
      </c>
      <c r="V37" s="45">
        <v>5.7</v>
      </c>
      <c r="W37" s="45">
        <v>5.7</v>
      </c>
      <c r="X37" s="45">
        <v>5.7</v>
      </c>
      <c r="Y37" s="45">
        <v>5.7</v>
      </c>
      <c r="Z37" s="45">
        <v>5.7</v>
      </c>
      <c r="AA37" s="45">
        <v>5.7</v>
      </c>
      <c r="AB37" s="45">
        <v>5.7</v>
      </c>
      <c r="AC37" s="45">
        <v>5.7</v>
      </c>
      <c r="AD37" s="45">
        <v>5.7</v>
      </c>
      <c r="AE37" s="45">
        <v>5.7</v>
      </c>
      <c r="AF37" s="45">
        <v>5.7</v>
      </c>
      <c r="AG37" s="49">
        <v>18</v>
      </c>
      <c r="AH37" s="47">
        <f t="shared" si="40"/>
        <v>5.7</v>
      </c>
      <c r="AI37" s="48">
        <f t="shared" si="41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2">
        <v>27</v>
      </c>
      <c r="CA37" s="240">
        <v>0.27083333333333298</v>
      </c>
      <c r="CB37" s="241"/>
      <c r="CC37" s="241"/>
      <c r="CD37" s="241"/>
      <c r="CE37" s="241"/>
      <c r="CF37" s="241"/>
      <c r="CG37" s="246"/>
      <c r="CH37" s="246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>
        <v>7.2</v>
      </c>
      <c r="O38" s="45">
        <v>7.2</v>
      </c>
      <c r="P38" s="45">
        <v>7.2</v>
      </c>
      <c r="Q38" s="45">
        <v>7.2</v>
      </c>
      <c r="R38" s="45">
        <v>7.2</v>
      </c>
      <c r="S38" s="45">
        <v>7.2</v>
      </c>
      <c r="T38" s="45">
        <v>7.2</v>
      </c>
      <c r="U38" s="45">
        <v>7.2</v>
      </c>
      <c r="V38" s="45">
        <v>7.2</v>
      </c>
      <c r="W38" s="45">
        <v>7.2</v>
      </c>
      <c r="X38" s="45">
        <v>7.2</v>
      </c>
      <c r="Y38" s="45">
        <v>7.2</v>
      </c>
      <c r="Z38" s="45">
        <v>7.2</v>
      </c>
      <c r="AA38" s="45">
        <v>7.2</v>
      </c>
      <c r="AB38" s="45">
        <v>7.2</v>
      </c>
      <c r="AC38" s="45">
        <v>7.2</v>
      </c>
      <c r="AD38" s="45">
        <v>7.2</v>
      </c>
      <c r="AE38" s="45">
        <v>7.2</v>
      </c>
      <c r="AF38" s="45">
        <v>7.2</v>
      </c>
      <c r="AG38" s="49">
        <v>14.9</v>
      </c>
      <c r="AH38" s="47">
        <f t="shared" si="40"/>
        <v>7.2</v>
      </c>
      <c r="AI38" s="48">
        <f t="shared" si="41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2">
        <v>28</v>
      </c>
      <c r="CA38" s="240">
        <v>0.28125</v>
      </c>
      <c r="CB38" s="241"/>
      <c r="CC38" s="241"/>
      <c r="CD38" s="241"/>
      <c r="CE38" s="241"/>
      <c r="CF38" s="241"/>
      <c r="CG38" s="246"/>
      <c r="CH38" s="246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14.9</v>
      </c>
      <c r="AH39" s="47">
        <f t="shared" si="40"/>
        <v>0</v>
      </c>
      <c r="AI39" s="48">
        <f t="shared" si="41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2">
        <v>29</v>
      </c>
      <c r="CA39" s="240">
        <v>0.29166666666666702</v>
      </c>
      <c r="CB39" s="241"/>
      <c r="CC39" s="241"/>
      <c r="CD39" s="241"/>
      <c r="CE39" s="241"/>
      <c r="CF39" s="241"/>
      <c r="CG39" s="246"/>
      <c r="CH39" s="246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14.9</v>
      </c>
      <c r="AH40" s="47">
        <f t="shared" si="40"/>
        <v>5</v>
      </c>
      <c r="AI40" s="48">
        <f t="shared" si="41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2">
        <v>30</v>
      </c>
      <c r="CA40" s="240">
        <v>0.30208333333333298</v>
      </c>
      <c r="CB40" s="241"/>
      <c r="CC40" s="241"/>
      <c r="CD40" s="241"/>
      <c r="CE40" s="241"/>
      <c r="CF40" s="241"/>
      <c r="CG40" s="246"/>
      <c r="CH40" s="246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>
        <v>4</v>
      </c>
      <c r="O41" s="45">
        <v>4</v>
      </c>
      <c r="P41" s="45">
        <v>4</v>
      </c>
      <c r="Q41" s="45">
        <v>4</v>
      </c>
      <c r="R41" s="45">
        <v>4</v>
      </c>
      <c r="S41" s="45">
        <v>4</v>
      </c>
      <c r="T41" s="45">
        <v>4</v>
      </c>
      <c r="U41" s="45">
        <v>4</v>
      </c>
      <c r="V41" s="45">
        <v>4</v>
      </c>
      <c r="W41" s="45">
        <v>4</v>
      </c>
      <c r="X41" s="45">
        <v>4</v>
      </c>
      <c r="Y41" s="45">
        <v>4</v>
      </c>
      <c r="Z41" s="45">
        <v>4</v>
      </c>
      <c r="AA41" s="45">
        <v>4</v>
      </c>
      <c r="AB41" s="45">
        <v>4</v>
      </c>
      <c r="AC41" s="45">
        <v>4</v>
      </c>
      <c r="AD41" s="45">
        <v>4</v>
      </c>
      <c r="AE41" s="45">
        <v>4</v>
      </c>
      <c r="AF41" s="45">
        <v>4</v>
      </c>
      <c r="AG41" s="49">
        <v>14.9</v>
      </c>
      <c r="AH41" s="47">
        <f t="shared" si="40"/>
        <v>4</v>
      </c>
      <c r="AI41" s="48">
        <f t="shared" si="41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2">
        <v>31</v>
      </c>
      <c r="CA41" s="240">
        <v>0.3125</v>
      </c>
      <c r="CB41" s="241"/>
      <c r="CC41" s="241"/>
      <c r="CD41" s="241"/>
      <c r="CE41" s="241"/>
      <c r="CF41" s="241"/>
      <c r="CG41" s="246"/>
      <c r="CH41" s="246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>
        <v>1.8</v>
      </c>
      <c r="O42" s="45">
        <v>1.8</v>
      </c>
      <c r="P42" s="45">
        <v>1.8</v>
      </c>
      <c r="Q42" s="45">
        <v>1.8</v>
      </c>
      <c r="R42" s="45">
        <v>1.8</v>
      </c>
      <c r="S42" s="45">
        <v>1.8</v>
      </c>
      <c r="T42" s="45">
        <v>1.8</v>
      </c>
      <c r="U42" s="45">
        <v>1.8</v>
      </c>
      <c r="V42" s="45">
        <v>1.8</v>
      </c>
      <c r="W42" s="45">
        <v>1.8</v>
      </c>
      <c r="X42" s="45">
        <v>1.8</v>
      </c>
      <c r="Y42" s="45">
        <v>1.8</v>
      </c>
      <c r="Z42" s="45">
        <v>1.8</v>
      </c>
      <c r="AA42" s="45">
        <v>1.8</v>
      </c>
      <c r="AB42" s="45">
        <v>1.8</v>
      </c>
      <c r="AC42" s="45">
        <v>1.8</v>
      </c>
      <c r="AD42" s="45">
        <v>1.8</v>
      </c>
      <c r="AE42" s="45">
        <v>1.8</v>
      </c>
      <c r="AF42" s="45">
        <v>1.8</v>
      </c>
      <c r="AG42" s="49">
        <v>13.6</v>
      </c>
      <c r="AH42" s="47">
        <f t="shared" si="40"/>
        <v>1.8</v>
      </c>
      <c r="AI42" s="48">
        <f t="shared" si="41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2">
        <v>32</v>
      </c>
      <c r="CA42" s="240">
        <v>0.32291666666666702</v>
      </c>
      <c r="CB42" s="241"/>
      <c r="CC42" s="241"/>
      <c r="CD42" s="241"/>
      <c r="CE42" s="241"/>
      <c r="CF42" s="241"/>
      <c r="CG42" s="246"/>
      <c r="CH42" s="246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>
        <v>3.8</v>
      </c>
      <c r="O43" s="45">
        <v>3.8</v>
      </c>
      <c r="P43" s="45">
        <v>3.8</v>
      </c>
      <c r="Q43" s="45">
        <v>3.8</v>
      </c>
      <c r="R43" s="45">
        <v>3.8</v>
      </c>
      <c r="S43" s="45">
        <v>3.8</v>
      </c>
      <c r="T43" s="45">
        <v>3.8</v>
      </c>
      <c r="U43" s="45">
        <v>3.8</v>
      </c>
      <c r="V43" s="45">
        <v>3.8</v>
      </c>
      <c r="W43" s="45">
        <v>3.8</v>
      </c>
      <c r="X43" s="45">
        <v>3.8</v>
      </c>
      <c r="Y43" s="45">
        <v>3.8</v>
      </c>
      <c r="Z43" s="45">
        <v>3.8</v>
      </c>
      <c r="AA43" s="45">
        <v>3.8</v>
      </c>
      <c r="AB43" s="45">
        <v>3.8</v>
      </c>
      <c r="AC43" s="45">
        <v>3.8</v>
      </c>
      <c r="AD43" s="45">
        <v>3.8</v>
      </c>
      <c r="AE43" s="45">
        <v>3.8</v>
      </c>
      <c r="AF43" s="45">
        <v>3.8</v>
      </c>
      <c r="AG43" s="49">
        <v>13</v>
      </c>
      <c r="AH43" s="47">
        <f t="shared" si="40"/>
        <v>3.8</v>
      </c>
      <c r="AI43" s="48">
        <f t="shared" si="41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2">
        <v>33</v>
      </c>
      <c r="CA43" s="240">
        <v>0.33333333333333298</v>
      </c>
      <c r="CB43" s="241"/>
      <c r="CC43" s="241"/>
      <c r="CD43" s="241"/>
      <c r="CE43" s="241"/>
      <c r="CF43" s="241"/>
      <c r="CG43" s="246"/>
      <c r="CH43" s="246"/>
      <c r="CI43" s="24"/>
      <c r="CJ43" s="24"/>
    </row>
    <row r="44" spans="1:88" x14ac:dyDescent="0.25">
      <c r="A44" s="44" t="s">
        <v>47</v>
      </c>
      <c r="B44" s="45">
        <v>7.5</v>
      </c>
      <c r="C44" s="45">
        <v>7.5</v>
      </c>
      <c r="D44" s="45">
        <v>7.5</v>
      </c>
      <c r="E44" s="45">
        <v>7.5</v>
      </c>
      <c r="F44" s="45">
        <v>7.5</v>
      </c>
      <c r="G44" s="45">
        <v>7.5</v>
      </c>
      <c r="H44" s="45">
        <v>7.5</v>
      </c>
      <c r="I44" s="45">
        <v>7.5</v>
      </c>
      <c r="J44" s="45">
        <v>7.5</v>
      </c>
      <c r="K44" s="45">
        <v>7.5</v>
      </c>
      <c r="L44" s="45">
        <v>7.5</v>
      </c>
      <c r="M44" s="45">
        <v>7.5</v>
      </c>
      <c r="N44" s="45">
        <v>7.5</v>
      </c>
      <c r="O44" s="45">
        <v>7.5</v>
      </c>
      <c r="P44" s="45">
        <v>7.5</v>
      </c>
      <c r="Q44" s="45">
        <v>7.5</v>
      </c>
      <c r="R44" s="45">
        <v>7.5</v>
      </c>
      <c r="S44" s="45">
        <v>7.5</v>
      </c>
      <c r="T44" s="45">
        <v>7.5</v>
      </c>
      <c r="U44" s="45">
        <v>7.5</v>
      </c>
      <c r="V44" s="45">
        <v>7.5</v>
      </c>
      <c r="W44" s="45">
        <v>7.5</v>
      </c>
      <c r="X44" s="45">
        <v>7.5</v>
      </c>
      <c r="Y44" s="45">
        <v>7.5</v>
      </c>
      <c r="Z44" s="45">
        <v>7.5</v>
      </c>
      <c r="AA44" s="45">
        <v>7.5</v>
      </c>
      <c r="AB44" s="45">
        <v>7.5</v>
      </c>
      <c r="AC44" s="45">
        <v>7.5</v>
      </c>
      <c r="AD44" s="45">
        <v>7.5</v>
      </c>
      <c r="AE44" s="45">
        <v>7.5</v>
      </c>
      <c r="AF44" s="45">
        <v>7.5</v>
      </c>
      <c r="AG44" s="49">
        <v>12</v>
      </c>
      <c r="AH44" s="47">
        <f t="shared" si="40"/>
        <v>7.5</v>
      </c>
      <c r="AI44" s="48">
        <f t="shared" si="41"/>
        <v>7.5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2">
        <v>34</v>
      </c>
      <c r="CA44" s="240">
        <v>0.34375</v>
      </c>
      <c r="CB44" s="241"/>
      <c r="CC44" s="241"/>
      <c r="CD44" s="241"/>
      <c r="CE44" s="241"/>
      <c r="CF44" s="241"/>
      <c r="CG44" s="246"/>
      <c r="CH44" s="246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49">
        <v>12</v>
      </c>
      <c r="AH45" s="47">
        <f t="shared" si="40"/>
        <v>9</v>
      </c>
      <c r="AI45" s="48">
        <f t="shared" si="41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2">
        <v>35</v>
      </c>
      <c r="CA45" s="240">
        <v>0.35416666666666702</v>
      </c>
      <c r="CB45" s="241"/>
      <c r="CC45" s="241"/>
      <c r="CD45" s="241"/>
      <c r="CE45" s="241"/>
      <c r="CF45" s="241"/>
      <c r="CG45" s="246"/>
      <c r="CH45" s="246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>
        <v>3</v>
      </c>
      <c r="O46" s="45">
        <v>3</v>
      </c>
      <c r="P46" s="45">
        <v>3</v>
      </c>
      <c r="Q46" s="45">
        <v>3</v>
      </c>
      <c r="R46" s="45">
        <v>3</v>
      </c>
      <c r="S46" s="45">
        <v>3</v>
      </c>
      <c r="T46" s="45">
        <v>3</v>
      </c>
      <c r="U46" s="45">
        <v>3</v>
      </c>
      <c r="V46" s="45">
        <v>3</v>
      </c>
      <c r="W46" s="45">
        <v>3</v>
      </c>
      <c r="X46" s="45">
        <v>3</v>
      </c>
      <c r="Y46" s="45">
        <v>3</v>
      </c>
      <c r="Z46" s="45">
        <v>3</v>
      </c>
      <c r="AA46" s="45">
        <v>3</v>
      </c>
      <c r="AB46" s="45">
        <v>3</v>
      </c>
      <c r="AC46" s="45">
        <v>3</v>
      </c>
      <c r="AD46" s="45">
        <v>3</v>
      </c>
      <c r="AE46" s="45">
        <v>3</v>
      </c>
      <c r="AF46" s="45">
        <v>3</v>
      </c>
      <c r="AG46" s="49">
        <v>12</v>
      </c>
      <c r="AH46" s="47">
        <f t="shared" si="40"/>
        <v>3</v>
      </c>
      <c r="AI46" s="48">
        <f t="shared" si="41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2">
        <v>36</v>
      </c>
      <c r="CA46" s="240">
        <v>0.36458333333333298</v>
      </c>
      <c r="CB46" s="241"/>
      <c r="CC46" s="241"/>
      <c r="CD46" s="241"/>
      <c r="CE46" s="241"/>
      <c r="CF46" s="241"/>
      <c r="CG46" s="246"/>
      <c r="CH46" s="246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>
        <v>3.5</v>
      </c>
      <c r="O47" s="45">
        <v>3.5</v>
      </c>
      <c r="P47" s="45">
        <v>3.5</v>
      </c>
      <c r="Q47" s="45">
        <v>3.5</v>
      </c>
      <c r="R47" s="45">
        <v>3.5</v>
      </c>
      <c r="S47" s="45">
        <v>3.5</v>
      </c>
      <c r="T47" s="45">
        <v>3.5</v>
      </c>
      <c r="U47" s="45">
        <v>3.5</v>
      </c>
      <c r="V47" s="45">
        <v>3.5</v>
      </c>
      <c r="W47" s="45">
        <v>3.5</v>
      </c>
      <c r="X47" s="45">
        <v>3.5</v>
      </c>
      <c r="Y47" s="45">
        <v>3.5</v>
      </c>
      <c r="Z47" s="45">
        <v>3.5</v>
      </c>
      <c r="AA47" s="45">
        <v>3.5</v>
      </c>
      <c r="AB47" s="45">
        <v>3.5</v>
      </c>
      <c r="AC47" s="45">
        <v>3.5</v>
      </c>
      <c r="AD47" s="45">
        <v>3.5</v>
      </c>
      <c r="AE47" s="45">
        <v>3.5</v>
      </c>
      <c r="AF47" s="45">
        <v>3.5</v>
      </c>
      <c r="AG47" s="53">
        <v>22</v>
      </c>
      <c r="AH47" s="47">
        <f t="shared" si="40"/>
        <v>3.5</v>
      </c>
      <c r="AI47" s="48">
        <f t="shared" si="41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2">
        <v>37</v>
      </c>
      <c r="CA47" s="240">
        <v>0.375</v>
      </c>
      <c r="CB47" s="241"/>
      <c r="CC47" s="241"/>
      <c r="CD47" s="241"/>
      <c r="CE47" s="241"/>
      <c r="CF47" s="241"/>
      <c r="CG47" s="246"/>
      <c r="CH47" s="246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>
        <v>5</v>
      </c>
      <c r="O48" s="45">
        <v>5</v>
      </c>
      <c r="P48" s="45">
        <v>5</v>
      </c>
      <c r="Q48" s="45">
        <v>5</v>
      </c>
      <c r="R48" s="45">
        <v>5</v>
      </c>
      <c r="S48" s="45">
        <v>5</v>
      </c>
      <c r="T48" s="45">
        <v>5</v>
      </c>
      <c r="U48" s="45">
        <v>5</v>
      </c>
      <c r="V48" s="45">
        <v>5</v>
      </c>
      <c r="W48" s="45">
        <v>5</v>
      </c>
      <c r="X48" s="45">
        <v>5</v>
      </c>
      <c r="Y48" s="45">
        <v>5</v>
      </c>
      <c r="Z48" s="45">
        <v>5</v>
      </c>
      <c r="AA48" s="45">
        <v>5</v>
      </c>
      <c r="AB48" s="45">
        <v>5</v>
      </c>
      <c r="AC48" s="45">
        <v>5</v>
      </c>
      <c r="AD48" s="45">
        <v>5</v>
      </c>
      <c r="AE48" s="45">
        <v>5</v>
      </c>
      <c r="AF48" s="45">
        <v>5</v>
      </c>
      <c r="AG48" s="52">
        <v>11.88</v>
      </c>
      <c r="AH48" s="47">
        <f t="shared" si="40"/>
        <v>5</v>
      </c>
      <c r="AI48" s="48">
        <f t="shared" si="41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2">
        <v>38</v>
      </c>
      <c r="CA48" s="240">
        <v>0.38541666666666702</v>
      </c>
      <c r="CB48" s="241"/>
      <c r="CC48" s="241"/>
      <c r="CD48" s="241"/>
      <c r="CE48" s="241"/>
      <c r="CF48" s="241"/>
      <c r="CG48" s="246"/>
      <c r="CH48" s="246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>
        <v>3</v>
      </c>
      <c r="O49" s="45">
        <v>3</v>
      </c>
      <c r="P49" s="45">
        <v>3</v>
      </c>
      <c r="Q49" s="45">
        <v>3</v>
      </c>
      <c r="R49" s="45">
        <v>3</v>
      </c>
      <c r="S49" s="45">
        <v>3</v>
      </c>
      <c r="T49" s="45">
        <v>3</v>
      </c>
      <c r="U49" s="45">
        <v>3</v>
      </c>
      <c r="V49" s="45">
        <v>3</v>
      </c>
      <c r="W49" s="45">
        <v>3</v>
      </c>
      <c r="X49" s="45">
        <v>3</v>
      </c>
      <c r="Y49" s="45">
        <v>3</v>
      </c>
      <c r="Z49" s="45">
        <v>3</v>
      </c>
      <c r="AA49" s="45">
        <v>3</v>
      </c>
      <c r="AB49" s="45">
        <v>3</v>
      </c>
      <c r="AC49" s="45">
        <v>3</v>
      </c>
      <c r="AD49" s="45">
        <v>3</v>
      </c>
      <c r="AE49" s="45">
        <v>3</v>
      </c>
      <c r="AF49" s="45">
        <v>3</v>
      </c>
      <c r="AG49" s="55">
        <v>11</v>
      </c>
      <c r="AH49" s="47">
        <f t="shared" si="40"/>
        <v>3</v>
      </c>
      <c r="AI49" s="48">
        <f t="shared" si="41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2">
        <v>39</v>
      </c>
      <c r="CA49" s="240">
        <v>0.39583333333333298</v>
      </c>
      <c r="CB49" s="241"/>
      <c r="CC49" s="241"/>
      <c r="CD49" s="241"/>
      <c r="CE49" s="241"/>
      <c r="CF49" s="241"/>
      <c r="CG49" s="246"/>
      <c r="CH49" s="246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>
        <v>2.4500000000000002</v>
      </c>
      <c r="O50" s="45">
        <v>2.4500000000000002</v>
      </c>
      <c r="P50" s="45">
        <v>2.4500000000000002</v>
      </c>
      <c r="Q50" s="45">
        <v>2.4500000000000002</v>
      </c>
      <c r="R50" s="45">
        <v>2.4500000000000002</v>
      </c>
      <c r="S50" s="45">
        <v>2.4500000000000002</v>
      </c>
      <c r="T50" s="45">
        <v>2.4500000000000002</v>
      </c>
      <c r="U50" s="45">
        <v>2.4500000000000002</v>
      </c>
      <c r="V50" s="45">
        <v>2.4500000000000002</v>
      </c>
      <c r="W50" s="45">
        <v>2.4500000000000002</v>
      </c>
      <c r="X50" s="45">
        <v>2.4500000000000002</v>
      </c>
      <c r="Y50" s="45">
        <v>2.4500000000000002</v>
      </c>
      <c r="Z50" s="45">
        <v>2.4500000000000002</v>
      </c>
      <c r="AA50" s="45">
        <v>2.4500000000000002</v>
      </c>
      <c r="AB50" s="45">
        <v>2.4500000000000002</v>
      </c>
      <c r="AC50" s="45">
        <v>2.4500000000000002</v>
      </c>
      <c r="AD50" s="45">
        <v>2.4500000000000002</v>
      </c>
      <c r="AE50" s="45">
        <v>2.4500000000000002</v>
      </c>
      <c r="AF50" s="45">
        <v>2.4500000000000002</v>
      </c>
      <c r="AG50" s="55">
        <v>11</v>
      </c>
      <c r="AH50" s="47">
        <f t="shared" si="40"/>
        <v>2.4500000000000002</v>
      </c>
      <c r="AI50" s="48">
        <f t="shared" si="41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2">
        <v>40</v>
      </c>
      <c r="CA50" s="240">
        <v>0.40625</v>
      </c>
      <c r="CB50" s="241"/>
      <c r="CC50" s="241"/>
      <c r="CD50" s="241"/>
      <c r="CE50" s="241"/>
      <c r="CF50" s="241"/>
      <c r="CG50" s="246"/>
      <c r="CH50" s="246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>
        <v>3</v>
      </c>
      <c r="O51" s="45">
        <v>3</v>
      </c>
      <c r="P51" s="45">
        <v>3</v>
      </c>
      <c r="Q51" s="45">
        <v>3</v>
      </c>
      <c r="R51" s="45">
        <v>3</v>
      </c>
      <c r="S51" s="45">
        <v>3</v>
      </c>
      <c r="T51" s="45">
        <v>3</v>
      </c>
      <c r="U51" s="45">
        <v>3</v>
      </c>
      <c r="V51" s="45">
        <v>3</v>
      </c>
      <c r="W51" s="45">
        <v>3</v>
      </c>
      <c r="X51" s="45">
        <v>3</v>
      </c>
      <c r="Y51" s="45">
        <v>3</v>
      </c>
      <c r="Z51" s="45">
        <v>3</v>
      </c>
      <c r="AA51" s="45">
        <v>3</v>
      </c>
      <c r="AB51" s="45">
        <v>3</v>
      </c>
      <c r="AC51" s="45">
        <v>3</v>
      </c>
      <c r="AD51" s="45">
        <v>3</v>
      </c>
      <c r="AE51" s="45">
        <v>3</v>
      </c>
      <c r="AF51" s="45">
        <v>3</v>
      </c>
      <c r="AG51" s="55">
        <v>11</v>
      </c>
      <c r="AH51" s="47">
        <f t="shared" si="40"/>
        <v>3</v>
      </c>
      <c r="AI51" s="48">
        <f t="shared" si="41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2">
        <v>41</v>
      </c>
      <c r="CA51" s="240">
        <v>0.41666666666666702</v>
      </c>
      <c r="CB51" s="241"/>
      <c r="CC51" s="241"/>
      <c r="CD51" s="241"/>
      <c r="CE51" s="241"/>
      <c r="CF51" s="241"/>
      <c r="CG51" s="246"/>
      <c r="CH51" s="246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>
        <v>4</v>
      </c>
      <c r="O52" s="45">
        <v>4</v>
      </c>
      <c r="P52" s="45">
        <v>4</v>
      </c>
      <c r="Q52" s="45">
        <v>4</v>
      </c>
      <c r="R52" s="45">
        <v>4</v>
      </c>
      <c r="S52" s="45">
        <v>4</v>
      </c>
      <c r="T52" s="45">
        <v>4</v>
      </c>
      <c r="U52" s="45">
        <v>4</v>
      </c>
      <c r="V52" s="45">
        <v>4</v>
      </c>
      <c r="W52" s="45">
        <v>4</v>
      </c>
      <c r="X52" s="45">
        <v>4</v>
      </c>
      <c r="Y52" s="45">
        <v>4</v>
      </c>
      <c r="Z52" s="45">
        <v>4</v>
      </c>
      <c r="AA52" s="45">
        <v>4</v>
      </c>
      <c r="AB52" s="45">
        <v>4</v>
      </c>
      <c r="AC52" s="45">
        <v>4</v>
      </c>
      <c r="AD52" s="45">
        <v>4</v>
      </c>
      <c r="AE52" s="45">
        <v>4</v>
      </c>
      <c r="AF52" s="45">
        <v>4</v>
      </c>
      <c r="AG52" s="55">
        <v>10</v>
      </c>
      <c r="AH52" s="47">
        <f t="shared" si="40"/>
        <v>4</v>
      </c>
      <c r="AI52" s="48">
        <f t="shared" si="41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2">
        <v>42</v>
      </c>
      <c r="CA52" s="240">
        <v>0.42708333333333298</v>
      </c>
      <c r="CB52" s="241"/>
      <c r="CC52" s="241"/>
      <c r="CD52" s="241"/>
      <c r="CE52" s="241"/>
      <c r="CF52" s="241"/>
      <c r="CG52" s="246"/>
      <c r="CH52" s="246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>
        <v>4.5</v>
      </c>
      <c r="O53" s="45">
        <v>4.5</v>
      </c>
      <c r="P53" s="45">
        <v>4.5</v>
      </c>
      <c r="Q53" s="45">
        <v>4.5</v>
      </c>
      <c r="R53" s="45">
        <v>4.5</v>
      </c>
      <c r="S53" s="45">
        <v>4.5</v>
      </c>
      <c r="T53" s="45">
        <v>4.5</v>
      </c>
      <c r="U53" s="45">
        <v>4.5</v>
      </c>
      <c r="V53" s="45">
        <v>4.5</v>
      </c>
      <c r="W53" s="45">
        <v>4.5</v>
      </c>
      <c r="X53" s="45">
        <v>4.5</v>
      </c>
      <c r="Y53" s="45">
        <v>4.5</v>
      </c>
      <c r="Z53" s="45">
        <v>4.5</v>
      </c>
      <c r="AA53" s="45">
        <v>4.5</v>
      </c>
      <c r="AB53" s="45">
        <v>4.5</v>
      </c>
      <c r="AC53" s="45">
        <v>4.5</v>
      </c>
      <c r="AD53" s="45">
        <v>4.5</v>
      </c>
      <c r="AE53" s="45">
        <v>4.5</v>
      </c>
      <c r="AF53" s="45">
        <v>4.5</v>
      </c>
      <c r="AG53" s="55">
        <v>10</v>
      </c>
      <c r="AH53" s="47">
        <f t="shared" si="40"/>
        <v>4.5</v>
      </c>
      <c r="AI53" s="48">
        <f t="shared" si="41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2">
        <v>43</v>
      </c>
      <c r="CA53" s="240">
        <v>0.4375</v>
      </c>
      <c r="CB53" s="241"/>
      <c r="CC53" s="241"/>
      <c r="CD53" s="241"/>
      <c r="CE53" s="241"/>
      <c r="CF53" s="241"/>
      <c r="CG53" s="246"/>
      <c r="CH53" s="246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10</v>
      </c>
      <c r="AH54" s="47">
        <f t="shared" si="40"/>
        <v>0</v>
      </c>
      <c r="AI54" s="48">
        <f t="shared" si="41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2">
        <v>44</v>
      </c>
      <c r="CA54" s="240">
        <v>0.44791666666666702</v>
      </c>
      <c r="CB54" s="241"/>
      <c r="CC54" s="241"/>
      <c r="CD54" s="241"/>
      <c r="CE54" s="241"/>
      <c r="CF54" s="241"/>
      <c r="CG54" s="246"/>
      <c r="CH54" s="246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55">
        <v>10</v>
      </c>
      <c r="AH55" s="47">
        <f t="shared" si="40"/>
        <v>0</v>
      </c>
      <c r="AI55" s="48">
        <f t="shared" si="41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2">
        <v>45</v>
      </c>
      <c r="CA55" s="240">
        <v>0.45833333333333298</v>
      </c>
      <c r="CB55" s="241"/>
      <c r="CC55" s="241"/>
      <c r="CD55" s="241"/>
      <c r="CE55" s="241"/>
      <c r="CF55" s="241"/>
      <c r="CG55" s="246"/>
      <c r="CH55" s="246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40"/>
        <v>150</v>
      </c>
      <c r="AI56" s="48">
        <f t="shared" si="41"/>
        <v>150</v>
      </c>
      <c r="AK56" s="50"/>
      <c r="BZ56" s="242">
        <v>46</v>
      </c>
      <c r="CA56" s="240">
        <v>0.46875</v>
      </c>
      <c r="CB56" s="243"/>
      <c r="CC56" s="243"/>
      <c r="CD56" s="243"/>
      <c r="CE56" s="243"/>
      <c r="CF56" s="243"/>
      <c r="CG56" s="247"/>
      <c r="CH56" s="247"/>
    </row>
    <row r="57" spans="1:88" ht="15.75" thickBot="1" x14ac:dyDescent="0.3">
      <c r="A57" s="58" t="s">
        <v>57</v>
      </c>
      <c r="B57" s="57">
        <v>15.6</v>
      </c>
      <c r="C57" s="57">
        <v>15.6</v>
      </c>
      <c r="D57" s="57">
        <v>21.6</v>
      </c>
      <c r="E57" s="57">
        <v>21.6</v>
      </c>
      <c r="F57" s="57">
        <v>21.6</v>
      </c>
      <c r="G57" s="57">
        <v>21.6</v>
      </c>
      <c r="H57" s="57">
        <v>18.399999999999999</v>
      </c>
      <c r="I57" s="57">
        <v>18.399999999999999</v>
      </c>
      <c r="J57" s="57">
        <v>18.399999999999999</v>
      </c>
      <c r="K57" s="57">
        <v>18.399999999999999</v>
      </c>
      <c r="L57" s="57">
        <v>18.399999999999999</v>
      </c>
      <c r="M57" s="51">
        <f>12.4+5.5</f>
        <v>17.899999999999999</v>
      </c>
      <c r="N57" s="51">
        <f>12.2+5.6</f>
        <v>17.799999999999997</v>
      </c>
      <c r="O57" s="51">
        <f>12.7+5.8</f>
        <v>18.5</v>
      </c>
      <c r="P57" s="51">
        <f>13.3+6.2</f>
        <v>19.5</v>
      </c>
      <c r="Q57" s="51">
        <f>12.9+6.4</f>
        <v>19.3</v>
      </c>
      <c r="R57" s="51">
        <v>20.3</v>
      </c>
      <c r="S57" s="51">
        <v>20.3</v>
      </c>
      <c r="T57" s="51">
        <v>20.3</v>
      </c>
      <c r="U57" s="51">
        <v>20.3</v>
      </c>
      <c r="V57" s="51">
        <v>20.3</v>
      </c>
      <c r="W57" s="51">
        <v>20.3</v>
      </c>
      <c r="X57" s="51">
        <v>20.3</v>
      </c>
      <c r="Y57" s="51">
        <v>20.3</v>
      </c>
      <c r="Z57" s="57">
        <v>20.3</v>
      </c>
      <c r="AA57" s="57">
        <v>20.3</v>
      </c>
      <c r="AB57" s="57">
        <v>14.3</v>
      </c>
      <c r="AC57" s="57">
        <v>14.3</v>
      </c>
      <c r="AD57" s="57">
        <v>14.3</v>
      </c>
      <c r="AE57" s="57">
        <v>14.3</v>
      </c>
      <c r="AF57" s="57">
        <v>14.3</v>
      </c>
      <c r="AG57" s="55">
        <v>240</v>
      </c>
      <c r="AH57" s="47">
        <f t="shared" si="40"/>
        <v>21.6</v>
      </c>
      <c r="AI57" s="48">
        <f t="shared" si="41"/>
        <v>14.3</v>
      </c>
      <c r="AK57" s="50"/>
      <c r="BZ57" s="242">
        <v>47</v>
      </c>
      <c r="CA57" s="240">
        <v>0.47916666666666702</v>
      </c>
      <c r="CB57" s="243"/>
      <c r="CC57" s="243"/>
      <c r="CD57" s="243"/>
      <c r="CE57" s="243"/>
      <c r="CF57" s="243"/>
      <c r="CG57" s="247"/>
      <c r="CH57" s="247"/>
    </row>
    <row r="58" spans="1:88" ht="15.75" thickBot="1" x14ac:dyDescent="0.3">
      <c r="A58" s="59" t="s">
        <v>58</v>
      </c>
      <c r="B58" s="60">
        <f t="shared" ref="B58:C58" si="137">SUM(B11:B56)</f>
        <v>459.45</v>
      </c>
      <c r="C58" s="60">
        <f t="shared" si="137"/>
        <v>459.45</v>
      </c>
      <c r="D58" s="60">
        <f t="shared" ref="D58:AF58" si="138">SUM(D11:D56)</f>
        <v>464.74999999999994</v>
      </c>
      <c r="E58" s="60">
        <f t="shared" ref="E58:F58" si="139">SUM(E11:E56)</f>
        <v>464.74999999999994</v>
      </c>
      <c r="F58" s="60">
        <f t="shared" si="139"/>
        <v>464.74999999999994</v>
      </c>
      <c r="G58" s="60">
        <f t="shared" ref="G58" si="140">SUM(G11:G56)</f>
        <v>464.74999999999994</v>
      </c>
      <c r="H58" s="60">
        <f t="shared" si="138"/>
        <v>462.95</v>
      </c>
      <c r="I58" s="60">
        <f t="shared" ref="I58:J58" si="141">SUM(I11:I56)</f>
        <v>462.95</v>
      </c>
      <c r="J58" s="60">
        <f t="shared" si="141"/>
        <v>460.45</v>
      </c>
      <c r="K58" s="60">
        <f t="shared" ref="K58:L58" si="142">SUM(K11:K56)</f>
        <v>458.95</v>
      </c>
      <c r="L58" s="60">
        <f t="shared" si="142"/>
        <v>458.95</v>
      </c>
      <c r="M58" s="60">
        <f t="shared" si="138"/>
        <v>459.45</v>
      </c>
      <c r="N58" s="60">
        <f t="shared" si="138"/>
        <v>459.45</v>
      </c>
      <c r="O58" s="60">
        <f t="shared" si="138"/>
        <v>458.84999999999997</v>
      </c>
      <c r="P58" s="60">
        <f t="shared" si="138"/>
        <v>458.95</v>
      </c>
      <c r="Q58" s="60">
        <f t="shared" si="138"/>
        <v>458.95</v>
      </c>
      <c r="R58" s="60">
        <f t="shared" si="138"/>
        <v>458.95</v>
      </c>
      <c r="S58" s="60">
        <f t="shared" ref="S58:T58" si="143">SUM(S11:S56)</f>
        <v>458.95</v>
      </c>
      <c r="T58" s="60">
        <f t="shared" si="143"/>
        <v>458.95</v>
      </c>
      <c r="U58" s="60">
        <f t="shared" ref="U58:V58" si="144">SUM(U11:U56)</f>
        <v>458.95</v>
      </c>
      <c r="V58" s="60">
        <f t="shared" si="144"/>
        <v>458.95</v>
      </c>
      <c r="W58" s="60">
        <f t="shared" ref="W58:X58" si="145">SUM(W11:W56)</f>
        <v>458.95</v>
      </c>
      <c r="X58" s="60">
        <f t="shared" si="145"/>
        <v>458.95</v>
      </c>
      <c r="Y58" s="60">
        <f t="shared" ref="Y58:Z58" si="146">SUM(Y11:Y56)</f>
        <v>458.95</v>
      </c>
      <c r="Z58" s="60">
        <f t="shared" si="146"/>
        <v>458.95</v>
      </c>
      <c r="AA58" s="60">
        <f t="shared" ref="AA58:AB58" si="147">SUM(AA11:AA56)</f>
        <v>458.95</v>
      </c>
      <c r="AB58" s="60">
        <f t="shared" si="147"/>
        <v>461.34999999999997</v>
      </c>
      <c r="AC58" s="60">
        <f t="shared" ref="AC58" si="148">SUM(AC11:AC56)</f>
        <v>461.34999999999997</v>
      </c>
      <c r="AD58" s="60">
        <f t="shared" si="138"/>
        <v>461.34999999999997</v>
      </c>
      <c r="AE58" s="60">
        <f t="shared" si="138"/>
        <v>461.34999999999997</v>
      </c>
      <c r="AF58" s="60">
        <f t="shared" si="138"/>
        <v>461.34999999999997</v>
      </c>
      <c r="AG58" s="61">
        <f>SUM(AG14:AG56)</f>
        <v>1042.4000000000001</v>
      </c>
      <c r="AH58" s="47">
        <f t="shared" si="40"/>
        <v>464.74999999999994</v>
      </c>
      <c r="AI58" s="48">
        <f t="shared" si="41"/>
        <v>458.84999999999997</v>
      </c>
      <c r="AK58" s="50"/>
      <c r="BZ58" s="242">
        <v>48</v>
      </c>
      <c r="CA58" s="240">
        <v>0.48958333333333298</v>
      </c>
      <c r="CB58" s="243"/>
      <c r="CC58" s="243"/>
      <c r="CD58" s="243"/>
      <c r="CE58" s="243"/>
      <c r="CF58" s="243"/>
      <c r="CG58" s="247"/>
      <c r="CH58" s="247"/>
    </row>
    <row r="59" spans="1:88" x14ac:dyDescent="0.25">
      <c r="A59" s="62" t="s">
        <v>59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30</v>
      </c>
      <c r="K59" s="45">
        <v>60</v>
      </c>
      <c r="L59" s="45">
        <v>70</v>
      </c>
      <c r="M59" s="45">
        <v>305</v>
      </c>
      <c r="N59" s="63">
        <v>30</v>
      </c>
      <c r="O59" s="63">
        <v>35</v>
      </c>
      <c r="P59" s="63">
        <v>55</v>
      </c>
      <c r="Q59" s="63">
        <v>55</v>
      </c>
      <c r="R59" s="63">
        <v>60</v>
      </c>
      <c r="S59" s="63">
        <v>40</v>
      </c>
      <c r="T59" s="63">
        <v>55</v>
      </c>
      <c r="U59" s="63">
        <v>40</v>
      </c>
      <c r="V59" s="63">
        <v>50</v>
      </c>
      <c r="W59" s="63">
        <v>15</v>
      </c>
      <c r="X59" s="63">
        <v>30</v>
      </c>
      <c r="Y59" s="63">
        <v>230</v>
      </c>
      <c r="Z59" s="45">
        <v>340</v>
      </c>
      <c r="AA59" s="45">
        <v>0</v>
      </c>
      <c r="AB59" s="45">
        <v>0</v>
      </c>
      <c r="AC59" s="45">
        <v>0</v>
      </c>
      <c r="AD59" s="45">
        <v>0</v>
      </c>
      <c r="AE59" s="45">
        <v>60</v>
      </c>
      <c r="AF59" s="45">
        <v>40</v>
      </c>
      <c r="AG59" s="52">
        <v>456</v>
      </c>
      <c r="AH59" s="47">
        <f t="shared" si="40"/>
        <v>340</v>
      </c>
      <c r="AI59" s="48">
        <f t="shared" si="41"/>
        <v>0</v>
      </c>
      <c r="AK59" s="50"/>
      <c r="BZ59" s="242">
        <v>49</v>
      </c>
      <c r="CA59" s="240">
        <v>0.5</v>
      </c>
      <c r="CB59" s="243"/>
      <c r="CC59" s="243"/>
      <c r="CD59" s="243"/>
      <c r="CE59" s="243"/>
      <c r="CF59" s="243"/>
      <c r="CG59" s="247"/>
      <c r="CH59" s="247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>
        <v>27</v>
      </c>
      <c r="O60" s="65">
        <v>27</v>
      </c>
      <c r="P60" s="65">
        <v>27</v>
      </c>
      <c r="Q60" s="65">
        <v>27</v>
      </c>
      <c r="R60" s="65">
        <v>27</v>
      </c>
      <c r="S60" s="65">
        <v>27</v>
      </c>
      <c r="T60" s="65">
        <v>27</v>
      </c>
      <c r="U60" s="65">
        <v>27</v>
      </c>
      <c r="V60" s="65">
        <v>27</v>
      </c>
      <c r="W60" s="65">
        <v>27</v>
      </c>
      <c r="X60" s="65">
        <v>27</v>
      </c>
      <c r="Y60" s="65">
        <v>27</v>
      </c>
      <c r="Z60" s="65">
        <v>27</v>
      </c>
      <c r="AA60" s="65">
        <v>27</v>
      </c>
      <c r="AB60" s="65">
        <v>27</v>
      </c>
      <c r="AC60" s="65">
        <v>27</v>
      </c>
      <c r="AD60" s="65">
        <v>27</v>
      </c>
      <c r="AE60" s="65">
        <v>27</v>
      </c>
      <c r="AF60" s="65">
        <v>27</v>
      </c>
      <c r="AG60" s="55">
        <v>60</v>
      </c>
      <c r="AH60" s="47">
        <f t="shared" si="40"/>
        <v>27</v>
      </c>
      <c r="AI60" s="48">
        <f t="shared" si="41"/>
        <v>27</v>
      </c>
      <c r="AK60" s="50"/>
      <c r="BZ60" s="242">
        <v>50</v>
      </c>
      <c r="CA60" s="240">
        <v>0.51041666666666696</v>
      </c>
      <c r="CB60" s="243"/>
      <c r="CC60" s="243"/>
      <c r="CD60" s="243"/>
      <c r="CE60" s="243"/>
      <c r="CF60" s="243"/>
      <c r="CG60" s="247"/>
      <c r="CH60" s="247"/>
    </row>
    <row r="61" spans="1:88" ht="15.75" thickBot="1" x14ac:dyDescent="0.3">
      <c r="A61" s="66" t="s">
        <v>61</v>
      </c>
      <c r="B61" s="67">
        <v>9.1999999999999993</v>
      </c>
      <c r="C61" s="67">
        <v>9.1999999999999993</v>
      </c>
      <c r="D61" s="67">
        <v>9.1999999999999993</v>
      </c>
      <c r="E61" s="67">
        <v>9.1999999999999993</v>
      </c>
      <c r="F61" s="67">
        <v>9.1999999999999993</v>
      </c>
      <c r="G61" s="67">
        <v>9.1999999999999993</v>
      </c>
      <c r="H61" s="67">
        <v>9.1999999999999993</v>
      </c>
      <c r="I61" s="67">
        <v>9.1999999999999993</v>
      </c>
      <c r="J61" s="67">
        <v>9.1999999999999993</v>
      </c>
      <c r="K61" s="67">
        <v>9.1999999999999993</v>
      </c>
      <c r="L61" s="67">
        <v>9.1999999999999993</v>
      </c>
      <c r="M61" s="67">
        <v>9.1999999999999993</v>
      </c>
      <c r="N61" s="67">
        <v>9.1999999999999993</v>
      </c>
      <c r="O61" s="67">
        <v>11.1</v>
      </c>
      <c r="P61" s="67">
        <v>9</v>
      </c>
      <c r="Q61" s="67">
        <v>9</v>
      </c>
      <c r="R61" s="67">
        <v>9.1</v>
      </c>
      <c r="S61" s="67">
        <v>9.1</v>
      </c>
      <c r="T61" s="67">
        <v>9.1</v>
      </c>
      <c r="U61" s="67">
        <v>9.1</v>
      </c>
      <c r="V61" s="67">
        <v>9.1</v>
      </c>
      <c r="W61" s="67">
        <v>9.1</v>
      </c>
      <c r="X61" s="67">
        <v>9.1</v>
      </c>
      <c r="Y61" s="67">
        <v>10</v>
      </c>
      <c r="Z61" s="67">
        <v>10</v>
      </c>
      <c r="AA61" s="67">
        <v>10</v>
      </c>
      <c r="AB61" s="67">
        <v>10</v>
      </c>
      <c r="AC61" s="67">
        <v>10</v>
      </c>
      <c r="AD61" s="67">
        <v>10</v>
      </c>
      <c r="AE61" s="67">
        <v>10</v>
      </c>
      <c r="AF61" s="67">
        <v>10</v>
      </c>
      <c r="AG61" s="68">
        <v>22.1</v>
      </c>
      <c r="AH61" s="47">
        <f t="shared" si="40"/>
        <v>11.1</v>
      </c>
      <c r="AI61" s="48">
        <f t="shared" si="41"/>
        <v>9</v>
      </c>
      <c r="AK61" s="50"/>
      <c r="BZ61" s="242">
        <v>51</v>
      </c>
      <c r="CA61" s="240">
        <v>0.52083333333333304</v>
      </c>
      <c r="CB61" s="243"/>
      <c r="CC61" s="243"/>
      <c r="CD61" s="243"/>
      <c r="CE61" s="243"/>
      <c r="CF61" s="243"/>
      <c r="CG61" s="247"/>
      <c r="CH61" s="247"/>
    </row>
    <row r="62" spans="1:88" ht="15.75" thickBot="1" x14ac:dyDescent="0.3">
      <c r="A62" s="69" t="s">
        <v>62</v>
      </c>
      <c r="B62" s="60">
        <f t="shared" ref="B62:C62" si="149">SUM(B59:B61)</f>
        <v>36.200000000000003</v>
      </c>
      <c r="C62" s="60">
        <f t="shared" si="149"/>
        <v>36.200000000000003</v>
      </c>
      <c r="D62" s="60">
        <f t="shared" ref="D62:AG62" si="150">SUM(D59:D61)</f>
        <v>36.200000000000003</v>
      </c>
      <c r="E62" s="60">
        <f t="shared" ref="E62:F62" si="151">SUM(E59:E61)</f>
        <v>36.200000000000003</v>
      </c>
      <c r="F62" s="60">
        <f t="shared" si="151"/>
        <v>36.200000000000003</v>
      </c>
      <c r="G62" s="60">
        <f t="shared" ref="G62" si="152">SUM(G59:G61)</f>
        <v>36.200000000000003</v>
      </c>
      <c r="H62" s="60">
        <f t="shared" si="150"/>
        <v>36.200000000000003</v>
      </c>
      <c r="I62" s="60">
        <f t="shared" si="150"/>
        <v>36.200000000000003</v>
      </c>
      <c r="J62" s="60">
        <f t="shared" si="150"/>
        <v>66.2</v>
      </c>
      <c r="K62" s="60">
        <f t="shared" si="150"/>
        <v>96.2</v>
      </c>
      <c r="L62" s="60">
        <f t="shared" si="150"/>
        <v>106.2</v>
      </c>
      <c r="M62" s="60">
        <f t="shared" si="150"/>
        <v>341.2</v>
      </c>
      <c r="N62" s="60">
        <f t="shared" si="150"/>
        <v>66.2</v>
      </c>
      <c r="O62" s="60">
        <f t="shared" si="150"/>
        <v>73.099999999999994</v>
      </c>
      <c r="P62" s="60">
        <f t="shared" si="150"/>
        <v>91</v>
      </c>
      <c r="Q62" s="60">
        <f t="shared" si="150"/>
        <v>91</v>
      </c>
      <c r="R62" s="60">
        <f t="shared" si="150"/>
        <v>96.1</v>
      </c>
      <c r="S62" s="60">
        <f t="shared" ref="S62:T62" si="153">SUM(S59:S61)</f>
        <v>76.099999999999994</v>
      </c>
      <c r="T62" s="60">
        <f t="shared" si="153"/>
        <v>91.1</v>
      </c>
      <c r="U62" s="60">
        <f t="shared" ref="U62:V62" si="154">SUM(U59:U61)</f>
        <v>76.099999999999994</v>
      </c>
      <c r="V62" s="60">
        <f t="shared" si="154"/>
        <v>86.1</v>
      </c>
      <c r="W62" s="60">
        <f t="shared" ref="W62:X62" si="155">SUM(W59:W61)</f>
        <v>51.1</v>
      </c>
      <c r="X62" s="60">
        <f t="shared" si="155"/>
        <v>66.099999999999994</v>
      </c>
      <c r="Y62" s="60">
        <f t="shared" ref="Y62:Z62" si="156">SUM(Y59:Y61)</f>
        <v>267</v>
      </c>
      <c r="Z62" s="60">
        <f t="shared" si="156"/>
        <v>377</v>
      </c>
      <c r="AA62" s="60">
        <f t="shared" ref="AA62" si="157">SUM(AA59:AA61)</f>
        <v>37</v>
      </c>
      <c r="AB62" s="60">
        <f t="shared" si="150"/>
        <v>37</v>
      </c>
      <c r="AC62" s="60">
        <f t="shared" si="150"/>
        <v>37</v>
      </c>
      <c r="AD62" s="60">
        <f t="shared" si="150"/>
        <v>37</v>
      </c>
      <c r="AE62" s="60">
        <f t="shared" si="150"/>
        <v>97</v>
      </c>
      <c r="AF62" s="60">
        <f t="shared" si="150"/>
        <v>77</v>
      </c>
      <c r="AG62" s="61">
        <f t="shared" si="150"/>
        <v>538.1</v>
      </c>
      <c r="AH62" s="47">
        <f t="shared" si="40"/>
        <v>377</v>
      </c>
      <c r="AI62" s="48">
        <f t="shared" si="41"/>
        <v>36.200000000000003</v>
      </c>
      <c r="AK62" s="50"/>
      <c r="BZ62" s="242">
        <v>52</v>
      </c>
      <c r="CA62" s="240">
        <v>0.53125</v>
      </c>
      <c r="CB62" s="243"/>
      <c r="CC62" s="243"/>
      <c r="CD62" s="243"/>
      <c r="CE62" s="243"/>
      <c r="CF62" s="243"/>
      <c r="CG62" s="247"/>
      <c r="CH62" s="247"/>
    </row>
    <row r="63" spans="1:88" x14ac:dyDescent="0.25">
      <c r="A63" s="44" t="s">
        <v>63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30</v>
      </c>
      <c r="I63" s="45">
        <v>68.099999999999994</v>
      </c>
      <c r="J63" s="45">
        <v>97.4</v>
      </c>
      <c r="K63" s="45">
        <v>62.3</v>
      </c>
      <c r="L63" s="45">
        <v>62</v>
      </c>
      <c r="M63" s="45">
        <v>71</v>
      </c>
      <c r="N63" s="45">
        <v>62.2</v>
      </c>
      <c r="O63" s="45">
        <v>62</v>
      </c>
      <c r="P63" s="45">
        <v>61.5</v>
      </c>
      <c r="Q63" s="45">
        <v>50</v>
      </c>
      <c r="R63" s="45">
        <v>40.200000000000003</v>
      </c>
      <c r="S63" s="45">
        <v>48.8</v>
      </c>
      <c r="T63" s="45">
        <v>48.8</v>
      </c>
      <c r="U63" s="45">
        <v>67.2</v>
      </c>
      <c r="V63" s="45">
        <v>61.9</v>
      </c>
      <c r="W63" s="45">
        <v>88.2</v>
      </c>
      <c r="X63" s="45">
        <v>111</v>
      </c>
      <c r="Y63" s="45">
        <v>133.80000000000001</v>
      </c>
      <c r="Z63" s="45">
        <v>138</v>
      </c>
      <c r="AA63" s="45">
        <v>133.80000000000001</v>
      </c>
      <c r="AB63" s="45">
        <v>98</v>
      </c>
      <c r="AC63" s="45">
        <v>61</v>
      </c>
      <c r="AD63" s="45">
        <v>30.5</v>
      </c>
      <c r="AE63" s="45">
        <v>30.5</v>
      </c>
      <c r="AF63" s="45">
        <v>35.5</v>
      </c>
      <c r="AG63" s="52">
        <v>144</v>
      </c>
      <c r="AH63" s="47">
        <f t="shared" si="40"/>
        <v>138</v>
      </c>
      <c r="AI63" s="48">
        <f t="shared" si="41"/>
        <v>0</v>
      </c>
      <c r="AK63" s="50"/>
      <c r="BZ63" s="242">
        <v>53</v>
      </c>
      <c r="CA63" s="240">
        <v>0.54166666666666696</v>
      </c>
      <c r="CB63" s="243"/>
      <c r="CC63" s="243"/>
      <c r="CD63" s="243"/>
      <c r="CE63" s="243"/>
      <c r="CF63" s="243"/>
      <c r="CG63" s="247">
        <v>10</v>
      </c>
      <c r="CH63" s="247">
        <v>5</v>
      </c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24</v>
      </c>
      <c r="I64" s="65">
        <v>34.4</v>
      </c>
      <c r="J64" s="65">
        <v>68</v>
      </c>
      <c r="K64" s="65">
        <v>46.6</v>
      </c>
      <c r="L64" s="65">
        <v>47.6</v>
      </c>
      <c r="M64" s="65">
        <v>60</v>
      </c>
      <c r="N64" s="65">
        <v>59.7</v>
      </c>
      <c r="O64" s="65">
        <v>49.4</v>
      </c>
      <c r="P64" s="65">
        <v>49.5</v>
      </c>
      <c r="Q64" s="65">
        <v>49.3</v>
      </c>
      <c r="R64" s="65">
        <v>29.6</v>
      </c>
      <c r="S64" s="65">
        <v>23.4</v>
      </c>
      <c r="T64" s="65">
        <v>23.4</v>
      </c>
      <c r="U64" s="65">
        <v>35.299999999999997</v>
      </c>
      <c r="V64" s="65">
        <v>0</v>
      </c>
      <c r="W64" s="65">
        <v>0</v>
      </c>
      <c r="X64" s="65">
        <v>0</v>
      </c>
      <c r="Y64" s="65">
        <v>23.6</v>
      </c>
      <c r="Z64" s="45">
        <v>34.799999999999997</v>
      </c>
      <c r="AA64" s="45">
        <v>47.4</v>
      </c>
      <c r="AB64" s="45">
        <v>47.8</v>
      </c>
      <c r="AC64" s="45">
        <v>25.4</v>
      </c>
      <c r="AD64" s="45">
        <v>25.9</v>
      </c>
      <c r="AE64" s="45">
        <v>0</v>
      </c>
      <c r="AF64" s="45">
        <v>0</v>
      </c>
      <c r="AG64" s="55">
        <v>70</v>
      </c>
      <c r="AH64" s="47">
        <f t="shared" si="40"/>
        <v>68</v>
      </c>
      <c r="AI64" s="48">
        <f t="shared" si="41"/>
        <v>0</v>
      </c>
      <c r="AK64" s="50"/>
      <c r="BZ64" s="242">
        <v>54</v>
      </c>
      <c r="CA64" s="240">
        <v>0.55208333333333304</v>
      </c>
      <c r="CB64" s="243"/>
      <c r="CC64" s="243"/>
      <c r="CD64" s="243"/>
      <c r="CE64" s="243"/>
      <c r="CF64" s="243"/>
      <c r="CG64" s="247">
        <v>10</v>
      </c>
      <c r="CH64" s="247">
        <v>5</v>
      </c>
    </row>
    <row r="65" spans="1:86" x14ac:dyDescent="0.25">
      <c r="A65" s="54" t="s">
        <v>65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17.2</v>
      </c>
      <c r="I65" s="65">
        <v>37</v>
      </c>
      <c r="J65" s="65">
        <v>70</v>
      </c>
      <c r="K65" s="65">
        <v>54.2</v>
      </c>
      <c r="L65" s="65">
        <v>54.2</v>
      </c>
      <c r="M65" s="65">
        <v>54.8</v>
      </c>
      <c r="N65" s="65">
        <v>52.5</v>
      </c>
      <c r="O65" s="65">
        <v>52.1</v>
      </c>
      <c r="P65" s="65">
        <v>52</v>
      </c>
      <c r="Q65" s="65">
        <v>37.799999999999997</v>
      </c>
      <c r="R65" s="65">
        <v>35</v>
      </c>
      <c r="S65" s="65">
        <v>35</v>
      </c>
      <c r="T65" s="65">
        <v>23.4</v>
      </c>
      <c r="U65" s="65">
        <v>23.1</v>
      </c>
      <c r="V65" s="65">
        <v>15.8</v>
      </c>
      <c r="W65" s="65">
        <v>36.799999999999997</v>
      </c>
      <c r="X65" s="65">
        <v>50.6</v>
      </c>
      <c r="Y65" s="65">
        <v>67.8</v>
      </c>
      <c r="Z65" s="45">
        <v>67.5</v>
      </c>
      <c r="AA65" s="45">
        <v>68.400000000000006</v>
      </c>
      <c r="AB65" s="45">
        <v>67.3</v>
      </c>
      <c r="AC65" s="45">
        <v>45.9</v>
      </c>
      <c r="AD65" s="45">
        <v>45.6</v>
      </c>
      <c r="AE65" s="45">
        <v>0</v>
      </c>
      <c r="AF65" s="45">
        <v>18</v>
      </c>
      <c r="AG65" s="55">
        <v>69</v>
      </c>
      <c r="AH65" s="47">
        <f t="shared" si="40"/>
        <v>70</v>
      </c>
      <c r="AI65" s="48">
        <f t="shared" si="41"/>
        <v>0</v>
      </c>
      <c r="AK65" s="50"/>
      <c r="BZ65" s="242">
        <v>55</v>
      </c>
      <c r="CA65" s="240">
        <v>0.5625</v>
      </c>
      <c r="CB65" s="243"/>
      <c r="CC65" s="243"/>
      <c r="CD65" s="243"/>
      <c r="CE65" s="243"/>
      <c r="CF65" s="243"/>
      <c r="CG65" s="247">
        <v>10</v>
      </c>
      <c r="CH65" s="247">
        <v>5</v>
      </c>
    </row>
    <row r="66" spans="1:86" x14ac:dyDescent="0.25">
      <c r="A66" s="54" t="s">
        <v>66</v>
      </c>
      <c r="B66" s="65">
        <v>31.3</v>
      </c>
      <c r="C66" s="65">
        <v>31.3</v>
      </c>
      <c r="D66" s="65">
        <v>35.299999999999997</v>
      </c>
      <c r="E66" s="65">
        <v>35.299999999999997</v>
      </c>
      <c r="F66" s="65">
        <v>35.299999999999997</v>
      </c>
      <c r="G66" s="65">
        <v>35.299999999999997</v>
      </c>
      <c r="H66" s="65">
        <v>35.299999999999997</v>
      </c>
      <c r="I66" s="65">
        <v>36</v>
      </c>
      <c r="J66" s="65">
        <v>35</v>
      </c>
      <c r="K66" s="57">
        <v>31</v>
      </c>
      <c r="L66" s="57">
        <v>34</v>
      </c>
      <c r="M66" s="65">
        <v>34.299999999999997</v>
      </c>
      <c r="N66" s="65">
        <v>35</v>
      </c>
      <c r="O66" s="65">
        <v>35</v>
      </c>
      <c r="P66" s="65">
        <v>35</v>
      </c>
      <c r="Q66" s="65">
        <v>34.299999999999997</v>
      </c>
      <c r="R66" s="65">
        <v>34.299999999999997</v>
      </c>
      <c r="S66" s="65">
        <v>34.299999999999997</v>
      </c>
      <c r="T66" s="65">
        <v>34.299999999999997</v>
      </c>
      <c r="U66" s="65">
        <v>34.299999999999997</v>
      </c>
      <c r="V66" s="65">
        <v>34.299999999999997</v>
      </c>
      <c r="W66" s="65">
        <v>34.299999999999997</v>
      </c>
      <c r="X66" s="65">
        <v>35.200000000000003</v>
      </c>
      <c r="Y66" s="65">
        <v>35.200000000000003</v>
      </c>
      <c r="Z66" s="45">
        <v>35.200000000000003</v>
      </c>
      <c r="AA66" s="45">
        <v>33.700000000000003</v>
      </c>
      <c r="AB66" s="45">
        <v>34</v>
      </c>
      <c r="AC66" s="45">
        <v>34</v>
      </c>
      <c r="AD66" s="45">
        <v>34</v>
      </c>
      <c r="AE66" s="45">
        <v>34</v>
      </c>
      <c r="AF66" s="45">
        <v>34</v>
      </c>
      <c r="AG66" s="55">
        <v>60</v>
      </c>
      <c r="AH66" s="47">
        <f t="shared" si="40"/>
        <v>36</v>
      </c>
      <c r="AI66" s="48">
        <f t="shared" si="41"/>
        <v>31</v>
      </c>
      <c r="AK66" s="50"/>
      <c r="BZ66" s="242">
        <v>56</v>
      </c>
      <c r="CA66" s="240">
        <v>0.57291666666666696</v>
      </c>
      <c r="CB66" s="243"/>
      <c r="CC66" s="243"/>
      <c r="CD66" s="243"/>
      <c r="CE66" s="243"/>
      <c r="CF66" s="243"/>
      <c r="CG66" s="247">
        <v>10</v>
      </c>
      <c r="CH66" s="247">
        <v>5</v>
      </c>
    </row>
    <row r="67" spans="1:86" x14ac:dyDescent="0.25">
      <c r="A67" s="54" t="s">
        <v>67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65">
        <v>10</v>
      </c>
      <c r="I67" s="65">
        <v>15</v>
      </c>
      <c r="J67" s="65">
        <v>10.7</v>
      </c>
      <c r="K67" s="65">
        <v>10.7</v>
      </c>
      <c r="L67" s="57">
        <v>13.2</v>
      </c>
      <c r="M67" s="65">
        <v>14.9</v>
      </c>
      <c r="N67" s="65">
        <v>10.199999999999999</v>
      </c>
      <c r="O67" s="65">
        <v>10.1</v>
      </c>
      <c r="P67" s="65">
        <v>10.199999999999999</v>
      </c>
      <c r="Q67" s="65">
        <v>10.199999999999999</v>
      </c>
      <c r="R67" s="65">
        <v>0</v>
      </c>
      <c r="S67" s="65">
        <v>0</v>
      </c>
      <c r="T67" s="65">
        <v>9.5</v>
      </c>
      <c r="U67" s="65">
        <v>14.7</v>
      </c>
      <c r="V67" s="65">
        <v>14.7</v>
      </c>
      <c r="W67" s="65">
        <v>14.5</v>
      </c>
      <c r="X67" s="65">
        <v>14.3</v>
      </c>
      <c r="Y67" s="65">
        <v>29</v>
      </c>
      <c r="Z67" s="45">
        <v>28.8</v>
      </c>
      <c r="AA67" s="45">
        <v>23.1</v>
      </c>
      <c r="AB67" s="45">
        <v>23</v>
      </c>
      <c r="AC67" s="45">
        <v>9.4</v>
      </c>
      <c r="AD67" s="45">
        <v>9.4</v>
      </c>
      <c r="AE67" s="45">
        <v>9.4</v>
      </c>
      <c r="AF67" s="45">
        <v>0</v>
      </c>
      <c r="AG67" s="55">
        <v>30</v>
      </c>
      <c r="AH67" s="47">
        <f t="shared" si="40"/>
        <v>29</v>
      </c>
      <c r="AI67" s="48">
        <f t="shared" si="41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  <c r="BZ67" s="242">
        <v>57</v>
      </c>
      <c r="CA67" s="240">
        <v>0.58333333333333304</v>
      </c>
      <c r="CB67" s="243"/>
      <c r="CC67" s="243"/>
      <c r="CD67" s="243"/>
      <c r="CE67" s="243"/>
      <c r="CF67" s="243"/>
      <c r="CG67" s="247">
        <v>10</v>
      </c>
      <c r="CH67" s="247">
        <v>5</v>
      </c>
    </row>
    <row r="68" spans="1:86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1.2</v>
      </c>
      <c r="L68" s="65">
        <v>2.8</v>
      </c>
      <c r="M68" s="65">
        <v>6.7</v>
      </c>
      <c r="N68" s="65">
        <v>10.3</v>
      </c>
      <c r="O68" s="65">
        <v>15.3</v>
      </c>
      <c r="P68" s="65">
        <v>17.7</v>
      </c>
      <c r="Q68" s="65">
        <v>19.100000000000001</v>
      </c>
      <c r="R68" s="65">
        <v>19</v>
      </c>
      <c r="S68" s="65">
        <v>16</v>
      </c>
      <c r="T68" s="65">
        <v>12.7</v>
      </c>
      <c r="U68" s="65">
        <v>7.5</v>
      </c>
      <c r="V68" s="65">
        <v>1.6</v>
      </c>
      <c r="W68" s="65">
        <v>0.6</v>
      </c>
      <c r="X68" s="65">
        <v>0.6</v>
      </c>
      <c r="Y68" s="6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55">
        <v>25</v>
      </c>
      <c r="AH68" s="47">
        <f t="shared" si="40"/>
        <v>19.100000000000001</v>
      </c>
      <c r="AI68" s="48">
        <f t="shared" si="41"/>
        <v>0</v>
      </c>
      <c r="AK68" s="50"/>
      <c r="AY68" s="1" t="s">
        <v>377</v>
      </c>
      <c r="AZ68" s="233">
        <f>ROUND(C81,0)</f>
        <v>55</v>
      </c>
      <c r="BA68" s="232">
        <f t="shared" ref="BA68:BD72" si="158">D81</f>
        <v>56.8</v>
      </c>
      <c r="BB68" s="232">
        <f t="shared" si="158"/>
        <v>51</v>
      </c>
      <c r="BC68" s="232">
        <f t="shared" si="158"/>
        <v>54.2</v>
      </c>
      <c r="BD68" s="232">
        <f t="shared" si="158"/>
        <v>56.3</v>
      </c>
      <c r="BE68" s="233">
        <f>I81</f>
        <v>56.6</v>
      </c>
      <c r="BF68" s="233">
        <f>K81</f>
        <v>63</v>
      </c>
      <c r="BG68" s="233">
        <f t="shared" ref="BG68:BP72" si="159">M81</f>
        <v>44.7</v>
      </c>
      <c r="BH68" s="233">
        <f t="shared" si="159"/>
        <v>49</v>
      </c>
      <c r="BI68" s="233">
        <f t="shared" si="159"/>
        <v>51.2</v>
      </c>
      <c r="BJ68" s="233">
        <f t="shared" si="159"/>
        <v>47.8</v>
      </c>
      <c r="BK68" s="233">
        <f t="shared" si="159"/>
        <v>47.4</v>
      </c>
      <c r="BL68" s="233">
        <f t="shared" si="159"/>
        <v>59.6</v>
      </c>
      <c r="BM68" s="233">
        <f t="shared" si="159"/>
        <v>67.5</v>
      </c>
      <c r="BN68" s="233">
        <f t="shared" si="159"/>
        <v>72.400000000000006</v>
      </c>
      <c r="BO68" s="233">
        <f t="shared" si="159"/>
        <v>46.3</v>
      </c>
      <c r="BP68" s="233">
        <f t="shared" si="159"/>
        <v>54</v>
      </c>
      <c r="BQ68" s="233">
        <f>X81</f>
        <v>58.1</v>
      </c>
      <c r="BR68" s="233">
        <f>Z81</f>
        <v>43.4</v>
      </c>
      <c r="BS68" s="232">
        <f>AB81</f>
        <v>49.2</v>
      </c>
      <c r="BT68" s="232">
        <f>AD81</f>
        <v>57</v>
      </c>
      <c r="BU68" s="232">
        <f>AE81</f>
        <v>62</v>
      </c>
      <c r="BV68" s="232">
        <f>AF81</f>
        <v>62.3</v>
      </c>
      <c r="BW68" s="232">
        <f>B81</f>
        <v>48</v>
      </c>
      <c r="BZ68" s="242">
        <v>58</v>
      </c>
      <c r="CA68" s="240">
        <v>0.59375</v>
      </c>
      <c r="CB68" s="243"/>
      <c r="CC68" s="243"/>
      <c r="CD68" s="243"/>
      <c r="CE68" s="243"/>
      <c r="CF68" s="243"/>
      <c r="CG68" s="247">
        <v>10</v>
      </c>
      <c r="CH68" s="247">
        <v>5</v>
      </c>
    </row>
    <row r="69" spans="1:86" x14ac:dyDescent="0.25">
      <c r="A69" s="54" t="s">
        <v>69</v>
      </c>
      <c r="B69" s="65">
        <v>15</v>
      </c>
      <c r="C69" s="65">
        <v>15</v>
      </c>
      <c r="D69" s="65">
        <v>15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>
        <v>15</v>
      </c>
      <c r="O69" s="65">
        <v>15</v>
      </c>
      <c r="P69" s="65">
        <v>15</v>
      </c>
      <c r="Q69" s="65">
        <v>15</v>
      </c>
      <c r="R69" s="65">
        <v>16</v>
      </c>
      <c r="S69" s="65">
        <v>16</v>
      </c>
      <c r="T69" s="65">
        <v>16</v>
      </c>
      <c r="U69" s="65">
        <v>16</v>
      </c>
      <c r="V69" s="65">
        <v>16</v>
      </c>
      <c r="W69" s="65">
        <v>16</v>
      </c>
      <c r="X69" s="65">
        <v>16</v>
      </c>
      <c r="Y69" s="65">
        <v>16</v>
      </c>
      <c r="Z69" s="65">
        <v>16</v>
      </c>
      <c r="AA69" s="65">
        <v>16</v>
      </c>
      <c r="AB69" s="65">
        <v>16</v>
      </c>
      <c r="AC69" s="65">
        <v>16</v>
      </c>
      <c r="AD69" s="65">
        <v>16</v>
      </c>
      <c r="AE69" s="65">
        <v>16</v>
      </c>
      <c r="AF69" s="65">
        <v>16</v>
      </c>
      <c r="AG69" s="55">
        <v>24</v>
      </c>
      <c r="AH69" s="47">
        <f t="shared" si="40"/>
        <v>16</v>
      </c>
      <c r="AI69" s="48">
        <f t="shared" si="41"/>
        <v>15</v>
      </c>
      <c r="AK69" s="50"/>
      <c r="AY69" s="1" t="s">
        <v>604</v>
      </c>
      <c r="AZ69" s="233">
        <f>ROUND(C82,0)</f>
        <v>0</v>
      </c>
      <c r="BA69" s="232">
        <f t="shared" si="158"/>
        <v>0</v>
      </c>
      <c r="BB69" s="232">
        <f t="shared" si="158"/>
        <v>0</v>
      </c>
      <c r="BC69" s="232">
        <f t="shared" si="158"/>
        <v>0</v>
      </c>
      <c r="BD69" s="232">
        <f t="shared" si="158"/>
        <v>0</v>
      </c>
      <c r="BE69" s="233">
        <f t="shared" ref="BE69:BE72" si="160">I82</f>
        <v>0</v>
      </c>
      <c r="BF69" s="233">
        <f t="shared" ref="BF69:BF72" si="161">K82</f>
        <v>0</v>
      </c>
      <c r="BG69" s="233">
        <f t="shared" si="159"/>
        <v>0</v>
      </c>
      <c r="BH69" s="233">
        <f t="shared" si="159"/>
        <v>0</v>
      </c>
      <c r="BI69" s="233">
        <f t="shared" si="159"/>
        <v>0</v>
      </c>
      <c r="BJ69" s="233">
        <f t="shared" si="159"/>
        <v>0</v>
      </c>
      <c r="BK69" s="233">
        <f t="shared" si="159"/>
        <v>0</v>
      </c>
      <c r="BL69" s="233">
        <f t="shared" si="159"/>
        <v>0</v>
      </c>
      <c r="BM69" s="233">
        <f t="shared" si="159"/>
        <v>0</v>
      </c>
      <c r="BN69" s="233">
        <f t="shared" si="159"/>
        <v>0</v>
      </c>
      <c r="BO69" s="233">
        <f t="shared" si="159"/>
        <v>0</v>
      </c>
      <c r="BP69" s="233">
        <f t="shared" si="159"/>
        <v>0</v>
      </c>
      <c r="BQ69" s="233">
        <f t="shared" ref="BQ69:BQ72" si="162">X82</f>
        <v>0</v>
      </c>
      <c r="BR69" s="233">
        <f t="shared" ref="BR69:BR72" si="163">Z82</f>
        <v>0</v>
      </c>
      <c r="BS69" s="232">
        <f t="shared" ref="BS69:BS72" si="164">AB82</f>
        <v>0</v>
      </c>
      <c r="BT69" s="232">
        <f t="shared" ref="BT69:BV72" si="165">AD82</f>
        <v>0</v>
      </c>
      <c r="BU69" s="232">
        <f t="shared" si="165"/>
        <v>0</v>
      </c>
      <c r="BV69" s="232">
        <f t="shared" si="165"/>
        <v>0</v>
      </c>
      <c r="BW69" s="232">
        <f t="shared" ref="BW69:BW72" si="166">B82</f>
        <v>0</v>
      </c>
      <c r="BZ69" s="242">
        <v>59</v>
      </c>
      <c r="CA69" s="240">
        <v>0.60416666666666696</v>
      </c>
      <c r="CB69" s="243"/>
      <c r="CC69" s="243"/>
      <c r="CD69" s="243"/>
      <c r="CE69" s="243"/>
      <c r="CF69" s="243"/>
      <c r="CG69" s="247">
        <v>18</v>
      </c>
      <c r="CH69" s="247">
        <v>5</v>
      </c>
    </row>
    <row r="70" spans="1:86" x14ac:dyDescent="0.25">
      <c r="A70" s="54" t="s">
        <v>70</v>
      </c>
      <c r="B70" s="65">
        <v>5</v>
      </c>
      <c r="C70" s="65">
        <v>5</v>
      </c>
      <c r="D70" s="65">
        <v>5</v>
      </c>
      <c r="E70" s="65">
        <v>5</v>
      </c>
      <c r="F70" s="65">
        <v>5</v>
      </c>
      <c r="G70" s="65">
        <v>5</v>
      </c>
      <c r="H70" s="65">
        <v>5</v>
      </c>
      <c r="I70" s="65">
        <v>5</v>
      </c>
      <c r="J70" s="65">
        <v>5</v>
      </c>
      <c r="K70" s="65">
        <v>5</v>
      </c>
      <c r="L70" s="65">
        <v>5</v>
      </c>
      <c r="M70" s="65">
        <v>5</v>
      </c>
      <c r="N70" s="65">
        <v>5</v>
      </c>
      <c r="O70" s="65">
        <v>5</v>
      </c>
      <c r="P70" s="65">
        <v>5</v>
      </c>
      <c r="Q70" s="65">
        <v>5</v>
      </c>
      <c r="R70" s="65">
        <v>4</v>
      </c>
      <c r="S70" s="65">
        <v>4</v>
      </c>
      <c r="T70" s="65">
        <v>4</v>
      </c>
      <c r="U70" s="65">
        <v>4</v>
      </c>
      <c r="V70" s="65">
        <v>4</v>
      </c>
      <c r="W70" s="65">
        <v>4</v>
      </c>
      <c r="X70" s="65">
        <v>4</v>
      </c>
      <c r="Y70" s="65">
        <v>4</v>
      </c>
      <c r="Z70" s="65">
        <v>4</v>
      </c>
      <c r="AA70" s="65">
        <v>4</v>
      </c>
      <c r="AB70" s="65">
        <v>4</v>
      </c>
      <c r="AC70" s="65">
        <v>4</v>
      </c>
      <c r="AD70" s="65">
        <v>4</v>
      </c>
      <c r="AE70" s="65">
        <v>4</v>
      </c>
      <c r="AF70" s="65">
        <v>4</v>
      </c>
      <c r="AG70" s="55">
        <v>15</v>
      </c>
      <c r="AH70" s="47">
        <f t="shared" si="40"/>
        <v>5</v>
      </c>
      <c r="AI70" s="48">
        <f t="shared" si="41"/>
        <v>4</v>
      </c>
      <c r="AK70" s="50"/>
      <c r="AL70" s="70"/>
      <c r="AO70" s="70"/>
      <c r="AY70" s="1" t="s">
        <v>605</v>
      </c>
      <c r="AZ70" s="233">
        <f>ROUND(C83,0)</f>
        <v>400</v>
      </c>
      <c r="BA70" s="232">
        <f t="shared" si="158"/>
        <v>411</v>
      </c>
      <c r="BB70" s="232">
        <f t="shared" si="158"/>
        <v>410</v>
      </c>
      <c r="BC70" s="232">
        <f t="shared" si="158"/>
        <v>426</v>
      </c>
      <c r="BD70" s="232">
        <f t="shared" si="158"/>
        <v>465</v>
      </c>
      <c r="BE70" s="233">
        <f t="shared" si="160"/>
        <v>456</v>
      </c>
      <c r="BF70" s="233">
        <f t="shared" si="161"/>
        <v>416</v>
      </c>
      <c r="BG70" s="233">
        <f t="shared" si="159"/>
        <v>150</v>
      </c>
      <c r="BH70" s="233">
        <f t="shared" si="159"/>
        <v>418.6</v>
      </c>
      <c r="BI70" s="233">
        <f t="shared" si="159"/>
        <v>415</v>
      </c>
      <c r="BJ70" s="233">
        <f t="shared" si="159"/>
        <v>434.4</v>
      </c>
      <c r="BK70" s="233">
        <f t="shared" si="159"/>
        <v>433.4</v>
      </c>
      <c r="BL70" s="233">
        <f t="shared" si="159"/>
        <v>457</v>
      </c>
      <c r="BM70" s="233">
        <f t="shared" si="159"/>
        <v>466.5</v>
      </c>
      <c r="BN70" s="233">
        <f t="shared" si="159"/>
        <v>471.5</v>
      </c>
      <c r="BO70" s="233">
        <f t="shared" si="159"/>
        <v>498.2</v>
      </c>
      <c r="BP70" s="233">
        <f t="shared" si="159"/>
        <v>483</v>
      </c>
      <c r="BQ70" s="233">
        <f t="shared" si="162"/>
        <v>441.2</v>
      </c>
      <c r="BR70" s="233">
        <f t="shared" si="163"/>
        <v>221.5</v>
      </c>
      <c r="BS70" s="232">
        <f t="shared" si="164"/>
        <v>262</v>
      </c>
      <c r="BT70" s="232">
        <f t="shared" si="165"/>
        <v>385</v>
      </c>
      <c r="BU70" s="232">
        <f t="shared" si="165"/>
        <v>395</v>
      </c>
      <c r="BV70" s="232">
        <f t="shared" si="165"/>
        <v>405</v>
      </c>
      <c r="BW70" s="232">
        <f t="shared" si="166"/>
        <v>402</v>
      </c>
      <c r="BZ70" s="242">
        <v>60</v>
      </c>
      <c r="CA70" s="240">
        <v>0.61458333333333304</v>
      </c>
      <c r="CB70" s="243"/>
      <c r="CC70" s="243"/>
      <c r="CD70" s="243"/>
      <c r="CE70" s="243"/>
      <c r="CF70" s="243"/>
      <c r="CG70" s="247">
        <v>18</v>
      </c>
      <c r="CH70" s="247">
        <v>0</v>
      </c>
    </row>
    <row r="71" spans="1:86" s="70" customFormat="1" x14ac:dyDescent="0.25">
      <c r="A71" s="54" t="s">
        <v>71</v>
      </c>
      <c r="B71" s="65">
        <v>9</v>
      </c>
      <c r="C71" s="65">
        <v>9</v>
      </c>
      <c r="D71" s="65">
        <v>10.199999999999999</v>
      </c>
      <c r="E71" s="65">
        <v>10.199999999999999</v>
      </c>
      <c r="F71" s="65">
        <v>10.199999999999999</v>
      </c>
      <c r="G71" s="65">
        <v>10.199999999999999</v>
      </c>
      <c r="H71" s="65">
        <v>10.199999999999999</v>
      </c>
      <c r="I71" s="65">
        <v>10.199999999999999</v>
      </c>
      <c r="J71" s="65">
        <v>10.199999999999999</v>
      </c>
      <c r="K71" s="65">
        <v>10.199999999999999</v>
      </c>
      <c r="L71" s="65">
        <v>10.199999999999999</v>
      </c>
      <c r="M71" s="65">
        <v>10.199999999999999</v>
      </c>
      <c r="N71" s="65">
        <v>10.199999999999999</v>
      </c>
      <c r="O71" s="65">
        <v>10.199999999999999</v>
      </c>
      <c r="P71" s="65">
        <v>10.199999999999999</v>
      </c>
      <c r="Q71" s="65">
        <v>10.199999999999999</v>
      </c>
      <c r="R71" s="65">
        <v>10.6</v>
      </c>
      <c r="S71" s="65">
        <v>10.6</v>
      </c>
      <c r="T71" s="65">
        <v>10.6</v>
      </c>
      <c r="U71" s="65">
        <v>10.6</v>
      </c>
      <c r="V71" s="65">
        <v>10.6</v>
      </c>
      <c r="W71" s="65">
        <v>10.6</v>
      </c>
      <c r="X71" s="65">
        <v>10.6</v>
      </c>
      <c r="Y71" s="65">
        <v>10.6</v>
      </c>
      <c r="Z71" s="65">
        <v>10.6</v>
      </c>
      <c r="AA71" s="65">
        <v>10.6</v>
      </c>
      <c r="AB71" s="65">
        <v>8.3000000000000007</v>
      </c>
      <c r="AC71" s="65">
        <v>8.3000000000000007</v>
      </c>
      <c r="AD71" s="65">
        <v>8.3000000000000007</v>
      </c>
      <c r="AE71" s="65">
        <v>8.3000000000000007</v>
      </c>
      <c r="AF71" s="65">
        <v>8.3000000000000007</v>
      </c>
      <c r="AG71" s="55">
        <v>14.1</v>
      </c>
      <c r="AH71" s="47">
        <f t="shared" si="40"/>
        <v>10.6</v>
      </c>
      <c r="AI71" s="48">
        <f t="shared" si="41"/>
        <v>8.3000000000000007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39</v>
      </c>
      <c r="BA71" s="232">
        <f t="shared" si="158"/>
        <v>5.6</v>
      </c>
      <c r="BB71" s="232">
        <f t="shared" si="158"/>
        <v>5.4</v>
      </c>
      <c r="BC71" s="232">
        <f t="shared" si="158"/>
        <v>5.2</v>
      </c>
      <c r="BD71" s="232">
        <f t="shared" si="158"/>
        <v>5.0999999999999996</v>
      </c>
      <c r="BE71" s="233">
        <f t="shared" si="160"/>
        <v>6.6</v>
      </c>
      <c r="BF71" s="233">
        <f t="shared" si="161"/>
        <v>7.9</v>
      </c>
      <c r="BG71" s="233">
        <f t="shared" si="159"/>
        <v>4.8</v>
      </c>
      <c r="BH71" s="233">
        <f t="shared" si="159"/>
        <v>3</v>
      </c>
      <c r="BI71" s="233">
        <f t="shared" si="159"/>
        <v>1</v>
      </c>
      <c r="BJ71" s="233">
        <f t="shared" si="159"/>
        <v>7.5</v>
      </c>
      <c r="BK71" s="233">
        <f t="shared" si="159"/>
        <v>32</v>
      </c>
      <c r="BL71" s="233">
        <f t="shared" si="159"/>
        <v>35.4</v>
      </c>
      <c r="BM71" s="233">
        <f t="shared" si="159"/>
        <v>40.5</v>
      </c>
      <c r="BN71" s="233">
        <f t="shared" si="159"/>
        <v>51.8</v>
      </c>
      <c r="BO71" s="233">
        <f t="shared" si="159"/>
        <v>47.3</v>
      </c>
      <c r="BP71" s="233">
        <f t="shared" si="159"/>
        <v>47</v>
      </c>
      <c r="BQ71" s="233">
        <f t="shared" si="162"/>
        <v>6.4</v>
      </c>
      <c r="BR71" s="233">
        <f t="shared" si="163"/>
        <v>8</v>
      </c>
      <c r="BS71" s="232">
        <f t="shared" si="164"/>
        <v>6.1</v>
      </c>
      <c r="BT71" s="232">
        <f t="shared" si="165"/>
        <v>23</v>
      </c>
      <c r="BU71" s="232">
        <f t="shared" si="165"/>
        <v>37</v>
      </c>
      <c r="BV71" s="232">
        <f t="shared" si="165"/>
        <v>57</v>
      </c>
      <c r="BW71" s="232">
        <f t="shared" si="166"/>
        <v>39</v>
      </c>
      <c r="BZ71" s="242">
        <v>61</v>
      </c>
      <c r="CA71" s="240">
        <v>0.625</v>
      </c>
      <c r="CB71" s="244"/>
      <c r="CC71" s="244"/>
      <c r="CD71" s="244"/>
      <c r="CE71" s="244"/>
      <c r="CF71" s="244"/>
      <c r="CG71" s="247">
        <v>18</v>
      </c>
      <c r="CH71" s="247">
        <v>0</v>
      </c>
    </row>
    <row r="72" spans="1:86" x14ac:dyDescent="0.25">
      <c r="A72" s="71" t="s">
        <v>72</v>
      </c>
      <c r="B72" s="65">
        <v>2.8</v>
      </c>
      <c r="C72" s="65">
        <v>2.8</v>
      </c>
      <c r="D72" s="65">
        <v>4.0999999999999996</v>
      </c>
      <c r="E72" s="65">
        <v>4.0999999999999996</v>
      </c>
      <c r="F72" s="65">
        <v>4.0999999999999996</v>
      </c>
      <c r="G72" s="65">
        <v>4.0999999999999996</v>
      </c>
      <c r="H72" s="65">
        <v>2.9</v>
      </c>
      <c r="I72" s="65">
        <v>2.9</v>
      </c>
      <c r="J72" s="65">
        <v>3</v>
      </c>
      <c r="K72" s="65">
        <v>2.9</v>
      </c>
      <c r="L72" s="65">
        <v>2.99</v>
      </c>
      <c r="M72" s="65">
        <v>2.99</v>
      </c>
      <c r="N72" s="65">
        <v>2.99</v>
      </c>
      <c r="O72" s="65">
        <v>2.99</v>
      </c>
      <c r="P72" s="65">
        <v>2.99</v>
      </c>
      <c r="Q72" s="65">
        <v>2.99</v>
      </c>
      <c r="R72" s="65">
        <v>4</v>
      </c>
      <c r="S72" s="65">
        <v>4</v>
      </c>
      <c r="T72" s="65">
        <v>4</v>
      </c>
      <c r="U72" s="65">
        <v>4</v>
      </c>
      <c r="V72" s="65">
        <v>4</v>
      </c>
      <c r="W72" s="65">
        <v>4</v>
      </c>
      <c r="X72" s="65">
        <v>4</v>
      </c>
      <c r="Y72" s="65">
        <v>4</v>
      </c>
      <c r="Z72" s="65">
        <v>4</v>
      </c>
      <c r="AA72" s="65">
        <v>4</v>
      </c>
      <c r="AB72" s="65">
        <v>4</v>
      </c>
      <c r="AC72" s="65">
        <v>4</v>
      </c>
      <c r="AD72" s="65">
        <v>4</v>
      </c>
      <c r="AE72" s="65">
        <v>4</v>
      </c>
      <c r="AF72" s="65">
        <v>4</v>
      </c>
      <c r="AG72" s="55">
        <v>14</v>
      </c>
      <c r="AH72" s="47">
        <f t="shared" si="40"/>
        <v>4.0999999999999996</v>
      </c>
      <c r="AI72" s="48">
        <f t="shared" si="41"/>
        <v>2.8</v>
      </c>
      <c r="AK72" s="50"/>
      <c r="AY72" s="1" t="s">
        <v>607</v>
      </c>
      <c r="AZ72" s="233">
        <f>ROUND(C85,0)</f>
        <v>140</v>
      </c>
      <c r="BA72" s="232">
        <f t="shared" si="158"/>
        <v>114.6</v>
      </c>
      <c r="BB72" s="232">
        <f t="shared" si="158"/>
        <v>109</v>
      </c>
      <c r="BC72" s="232">
        <f t="shared" si="158"/>
        <v>106.3</v>
      </c>
      <c r="BD72" s="232">
        <f t="shared" si="158"/>
        <v>90</v>
      </c>
      <c r="BE72" s="233">
        <f t="shared" si="160"/>
        <v>84.6</v>
      </c>
      <c r="BF72" s="233">
        <f t="shared" si="161"/>
        <v>78.900000000000006</v>
      </c>
      <c r="BG72" s="233">
        <f t="shared" si="159"/>
        <v>0</v>
      </c>
      <c r="BH72" s="233">
        <f t="shared" si="159"/>
        <v>0</v>
      </c>
      <c r="BI72" s="233">
        <f t="shared" si="159"/>
        <v>0</v>
      </c>
      <c r="BJ72" s="233">
        <f t="shared" si="159"/>
        <v>0</v>
      </c>
      <c r="BK72" s="233">
        <f t="shared" si="159"/>
        <v>98</v>
      </c>
      <c r="BL72" s="233">
        <f t="shared" si="159"/>
        <v>112.8</v>
      </c>
      <c r="BM72" s="233">
        <f t="shared" si="159"/>
        <v>100</v>
      </c>
      <c r="BN72" s="233">
        <f t="shared" si="159"/>
        <v>99.8</v>
      </c>
      <c r="BO72" s="233">
        <f t="shared" si="159"/>
        <v>98.6</v>
      </c>
      <c r="BP72" s="233">
        <f t="shared" si="159"/>
        <v>88</v>
      </c>
      <c r="BQ72" s="233">
        <f t="shared" si="162"/>
        <v>0</v>
      </c>
      <c r="BR72" s="233">
        <f t="shared" si="163"/>
        <v>0</v>
      </c>
      <c r="BS72" s="232">
        <f t="shared" si="164"/>
        <v>0</v>
      </c>
      <c r="BT72" s="232">
        <f t="shared" si="165"/>
        <v>0</v>
      </c>
      <c r="BU72" s="232">
        <f t="shared" si="165"/>
        <v>95</v>
      </c>
      <c r="BV72" s="232">
        <f t="shared" si="165"/>
        <v>0</v>
      </c>
      <c r="BW72" s="232">
        <f t="shared" si="166"/>
        <v>120</v>
      </c>
      <c r="BZ72" s="242">
        <v>62</v>
      </c>
      <c r="CA72" s="240">
        <v>0.63541666666666696</v>
      </c>
      <c r="CB72" s="243"/>
      <c r="CC72" s="243"/>
      <c r="CD72" s="243"/>
      <c r="CE72" s="243"/>
      <c r="CF72" s="243"/>
      <c r="CG72" s="247">
        <v>18</v>
      </c>
      <c r="CH72" s="247">
        <v>0</v>
      </c>
    </row>
    <row r="73" spans="1:86" x14ac:dyDescent="0.25">
      <c r="A73" s="54" t="s">
        <v>73</v>
      </c>
      <c r="B73" s="65">
        <v>4.5</v>
      </c>
      <c r="C73" s="65">
        <v>4.5</v>
      </c>
      <c r="D73" s="65">
        <v>4.5</v>
      </c>
      <c r="E73" s="65">
        <v>4.5</v>
      </c>
      <c r="F73" s="65">
        <v>4.5</v>
      </c>
      <c r="G73" s="65">
        <v>4.5</v>
      </c>
      <c r="H73" s="65">
        <v>4.5</v>
      </c>
      <c r="I73" s="65">
        <v>4.5</v>
      </c>
      <c r="J73" s="65">
        <v>4.5</v>
      </c>
      <c r="K73" s="65">
        <v>4.5</v>
      </c>
      <c r="L73" s="65">
        <v>4.5</v>
      </c>
      <c r="M73" s="65">
        <v>4.5</v>
      </c>
      <c r="N73" s="65">
        <v>4.5</v>
      </c>
      <c r="O73" s="65">
        <v>4.5</v>
      </c>
      <c r="P73" s="65">
        <v>4.5</v>
      </c>
      <c r="Q73" s="65">
        <v>4.5</v>
      </c>
      <c r="R73" s="65">
        <v>3</v>
      </c>
      <c r="S73" s="65">
        <v>3</v>
      </c>
      <c r="T73" s="65">
        <v>3</v>
      </c>
      <c r="U73" s="65">
        <v>3</v>
      </c>
      <c r="V73" s="65">
        <v>3</v>
      </c>
      <c r="W73" s="65">
        <v>3</v>
      </c>
      <c r="X73" s="65">
        <v>3</v>
      </c>
      <c r="Y73" s="65">
        <v>3</v>
      </c>
      <c r="Z73" s="65">
        <v>3</v>
      </c>
      <c r="AA73" s="65">
        <v>3</v>
      </c>
      <c r="AB73" s="65">
        <v>3</v>
      </c>
      <c r="AC73" s="65">
        <v>3</v>
      </c>
      <c r="AD73" s="65">
        <v>3</v>
      </c>
      <c r="AE73" s="65">
        <v>3</v>
      </c>
      <c r="AF73" s="65">
        <v>3</v>
      </c>
      <c r="AG73" s="55">
        <v>10.050000000000001</v>
      </c>
      <c r="AH73" s="47">
        <f t="shared" si="40"/>
        <v>4.5</v>
      </c>
      <c r="AI73" s="48">
        <f t="shared" si="41"/>
        <v>3</v>
      </c>
      <c r="AK73" s="50"/>
      <c r="AY73" s="1" t="s">
        <v>608</v>
      </c>
      <c r="AZ73" s="233">
        <f>ROUND(C91,0)</f>
        <v>50</v>
      </c>
      <c r="BA73" s="233">
        <f>D91</f>
        <v>52</v>
      </c>
      <c r="BB73" s="233">
        <f>E91</f>
        <v>56</v>
      </c>
      <c r="BC73" s="233">
        <f>F91</f>
        <v>59</v>
      </c>
      <c r="BD73" s="233">
        <f>G91</f>
        <v>52</v>
      </c>
      <c r="BE73" s="233">
        <f>I91</f>
        <v>69</v>
      </c>
      <c r="BF73" s="233">
        <f>K91</f>
        <v>68</v>
      </c>
      <c r="BG73" s="233">
        <f t="shared" ref="BG73:BP73" si="167">M91</f>
        <v>62</v>
      </c>
      <c r="BH73" s="233">
        <f t="shared" si="167"/>
        <v>70.900000000000006</v>
      </c>
      <c r="BI73" s="233">
        <f t="shared" si="167"/>
        <v>72</v>
      </c>
      <c r="BJ73" s="233">
        <f t="shared" si="167"/>
        <v>76</v>
      </c>
      <c r="BK73" s="233">
        <f t="shared" si="167"/>
        <v>71</v>
      </c>
      <c r="BL73" s="233">
        <f t="shared" si="167"/>
        <v>72</v>
      </c>
      <c r="BM73" s="233">
        <f t="shared" si="167"/>
        <v>77</v>
      </c>
      <c r="BN73" s="233">
        <f t="shared" si="167"/>
        <v>85</v>
      </c>
      <c r="BO73" s="233">
        <f t="shared" si="167"/>
        <v>73</v>
      </c>
      <c r="BP73" s="233">
        <f t="shared" si="167"/>
        <v>60</v>
      </c>
      <c r="BQ73" s="233">
        <f>X91</f>
        <v>77</v>
      </c>
      <c r="BR73" s="233">
        <f>Z91</f>
        <v>76.5</v>
      </c>
      <c r="BS73" s="233">
        <f>AB91</f>
        <v>62</v>
      </c>
      <c r="BT73" s="233">
        <f>AD91</f>
        <v>64</v>
      </c>
      <c r="BU73" s="233">
        <f>AE91</f>
        <v>74</v>
      </c>
      <c r="BV73" s="233">
        <f>AF91</f>
        <v>74</v>
      </c>
      <c r="BW73" s="233">
        <f>B91</f>
        <v>62</v>
      </c>
      <c r="BZ73" s="242">
        <v>63</v>
      </c>
      <c r="CA73" s="240">
        <v>0.64583333333333304</v>
      </c>
      <c r="CB73" s="243"/>
      <c r="CC73" s="243"/>
      <c r="CD73" s="243"/>
      <c r="CE73" s="243"/>
      <c r="CF73" s="243"/>
      <c r="CG73" s="247">
        <v>18</v>
      </c>
      <c r="CH73" s="247">
        <v>0</v>
      </c>
    </row>
    <row r="74" spans="1:86" x14ac:dyDescent="0.25">
      <c r="A74" s="54" t="s">
        <v>74</v>
      </c>
      <c r="B74" s="65">
        <v>1.7</v>
      </c>
      <c r="C74" s="65">
        <v>1.7</v>
      </c>
      <c r="D74" s="65">
        <v>1.6</v>
      </c>
      <c r="E74" s="65">
        <v>1.6</v>
      </c>
      <c r="F74" s="65">
        <v>1.6</v>
      </c>
      <c r="G74" s="65">
        <v>1.6</v>
      </c>
      <c r="H74" s="65">
        <v>1.6</v>
      </c>
      <c r="I74" s="65">
        <v>1.6</v>
      </c>
      <c r="J74" s="65">
        <v>1.6</v>
      </c>
      <c r="K74" s="65">
        <v>1.6</v>
      </c>
      <c r="L74" s="65">
        <v>1.6</v>
      </c>
      <c r="M74" s="65">
        <v>1.6</v>
      </c>
      <c r="N74" s="65">
        <v>1.6</v>
      </c>
      <c r="O74" s="65">
        <v>1.6</v>
      </c>
      <c r="P74" s="65">
        <v>1.6</v>
      </c>
      <c r="Q74" s="65">
        <v>1.6</v>
      </c>
      <c r="R74" s="65">
        <v>2</v>
      </c>
      <c r="S74" s="65">
        <v>2</v>
      </c>
      <c r="T74" s="65">
        <v>2</v>
      </c>
      <c r="U74" s="65">
        <v>2</v>
      </c>
      <c r="V74" s="65">
        <v>2</v>
      </c>
      <c r="W74" s="65">
        <v>2</v>
      </c>
      <c r="X74" s="65">
        <v>2</v>
      </c>
      <c r="Y74" s="65">
        <v>2</v>
      </c>
      <c r="Z74" s="65">
        <v>2</v>
      </c>
      <c r="AA74" s="65">
        <v>2</v>
      </c>
      <c r="AB74" s="65">
        <v>2</v>
      </c>
      <c r="AC74" s="65">
        <v>2</v>
      </c>
      <c r="AD74" s="65">
        <v>2</v>
      </c>
      <c r="AE74" s="65">
        <v>2</v>
      </c>
      <c r="AF74" s="65">
        <v>2</v>
      </c>
      <c r="AG74" s="55">
        <v>6.2</v>
      </c>
      <c r="AH74" s="47">
        <f t="shared" si="40"/>
        <v>2</v>
      </c>
      <c r="AI74" s="48">
        <f t="shared" si="41"/>
        <v>1.6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  <c r="BZ74" s="242">
        <v>64</v>
      </c>
      <c r="CA74" s="240">
        <v>0.65625</v>
      </c>
      <c r="CB74" s="243"/>
      <c r="CC74" s="243"/>
      <c r="CD74" s="243"/>
      <c r="CE74" s="243"/>
      <c r="CF74" s="243"/>
      <c r="CG74" s="247">
        <v>18</v>
      </c>
      <c r="CH74" s="247">
        <v>0</v>
      </c>
    </row>
    <row r="75" spans="1:86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3.54</v>
      </c>
      <c r="Z75" s="72">
        <v>3.54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40"/>
        <v>3.54</v>
      </c>
      <c r="AI75" s="48">
        <f t="shared" si="41"/>
        <v>3.54</v>
      </c>
      <c r="AK75" s="50"/>
      <c r="AZ75" s="233">
        <f>VALUE(AZ68)</f>
        <v>55</v>
      </c>
      <c r="BA75" s="233">
        <f t="shared" ref="BA75:BW75" si="168">VALUE(BA68)</f>
        <v>56.8</v>
      </c>
      <c r="BB75" s="233">
        <f t="shared" si="168"/>
        <v>51</v>
      </c>
      <c r="BC75" s="233">
        <f t="shared" si="168"/>
        <v>54.2</v>
      </c>
      <c r="BD75" s="233">
        <f t="shared" si="168"/>
        <v>56.3</v>
      </c>
      <c r="BE75" s="233">
        <f t="shared" si="168"/>
        <v>56.6</v>
      </c>
      <c r="BF75" s="233">
        <f t="shared" si="168"/>
        <v>63</v>
      </c>
      <c r="BG75" s="233">
        <f t="shared" si="168"/>
        <v>44.7</v>
      </c>
      <c r="BH75" s="233">
        <f t="shared" si="168"/>
        <v>49</v>
      </c>
      <c r="BI75" s="233">
        <f t="shared" si="168"/>
        <v>51.2</v>
      </c>
      <c r="BJ75" s="233">
        <f t="shared" si="168"/>
        <v>47.8</v>
      </c>
      <c r="BK75" s="233">
        <f t="shared" si="168"/>
        <v>47.4</v>
      </c>
      <c r="BL75" s="233">
        <f t="shared" si="168"/>
        <v>59.6</v>
      </c>
      <c r="BM75" s="233">
        <f t="shared" si="168"/>
        <v>67.5</v>
      </c>
      <c r="BN75" s="233">
        <f t="shared" si="168"/>
        <v>72.400000000000006</v>
      </c>
      <c r="BO75" s="233">
        <f t="shared" si="168"/>
        <v>46.3</v>
      </c>
      <c r="BP75" s="233">
        <f t="shared" si="168"/>
        <v>54</v>
      </c>
      <c r="BQ75" s="233">
        <f t="shared" si="168"/>
        <v>58.1</v>
      </c>
      <c r="BR75" s="233">
        <f t="shared" si="168"/>
        <v>43.4</v>
      </c>
      <c r="BS75" s="233">
        <f t="shared" si="168"/>
        <v>49.2</v>
      </c>
      <c r="BT75" s="233">
        <f t="shared" si="168"/>
        <v>57</v>
      </c>
      <c r="BU75" s="233">
        <f t="shared" si="168"/>
        <v>62</v>
      </c>
      <c r="BV75" s="233">
        <f t="shared" si="168"/>
        <v>62.3</v>
      </c>
      <c r="BW75" s="233">
        <f t="shared" si="168"/>
        <v>48</v>
      </c>
      <c r="BZ75" s="248">
        <v>65</v>
      </c>
      <c r="CA75" s="249">
        <v>0.66666666666666696</v>
      </c>
      <c r="CB75" s="250"/>
      <c r="CC75" s="250"/>
      <c r="CD75" s="250"/>
      <c r="CE75" s="250"/>
      <c r="CF75" s="250"/>
      <c r="CG75" s="155">
        <v>10</v>
      </c>
      <c r="CH75" s="155"/>
    </row>
    <row r="76" spans="1:86" ht="15.75" thickBot="1" x14ac:dyDescent="0.3">
      <c r="A76" s="74" t="s">
        <v>76</v>
      </c>
      <c r="B76" s="60">
        <f t="shared" ref="B76:C76" si="169">SUM(B63:B75)</f>
        <v>72.84</v>
      </c>
      <c r="C76" s="60">
        <f t="shared" si="169"/>
        <v>72.84</v>
      </c>
      <c r="D76" s="60">
        <f t="shared" ref="D76:AG76" si="170">SUM(D63:D75)</f>
        <v>79.239999999999995</v>
      </c>
      <c r="E76" s="60">
        <f t="shared" ref="E76:F76" si="171">SUM(E63:E75)</f>
        <v>79.239999999999995</v>
      </c>
      <c r="F76" s="60">
        <f t="shared" si="171"/>
        <v>79.239999999999995</v>
      </c>
      <c r="G76" s="60">
        <f t="shared" si="170"/>
        <v>79.239999999999995</v>
      </c>
      <c r="H76" s="60">
        <f t="shared" si="170"/>
        <v>159.23999999999998</v>
      </c>
      <c r="I76" s="60">
        <f t="shared" si="170"/>
        <v>233.23999999999998</v>
      </c>
      <c r="J76" s="60">
        <f t="shared" si="170"/>
        <v>323.94</v>
      </c>
      <c r="K76" s="60">
        <f t="shared" si="170"/>
        <v>248.73999999999998</v>
      </c>
      <c r="L76" s="60">
        <f t="shared" si="170"/>
        <v>256.63</v>
      </c>
      <c r="M76" s="60">
        <f t="shared" si="170"/>
        <v>284.53000000000009</v>
      </c>
      <c r="N76" s="60">
        <f t="shared" si="170"/>
        <v>272.73000000000008</v>
      </c>
      <c r="O76" s="60">
        <f t="shared" si="170"/>
        <v>266.73</v>
      </c>
      <c r="P76" s="60">
        <f t="shared" si="170"/>
        <v>268.73</v>
      </c>
      <c r="Q76" s="60">
        <f t="shared" si="170"/>
        <v>243.52999999999994</v>
      </c>
      <c r="R76" s="60">
        <f t="shared" si="170"/>
        <v>201.24</v>
      </c>
      <c r="S76" s="60">
        <f t="shared" ref="S76:T76" si="172">SUM(S63:S75)</f>
        <v>200.64</v>
      </c>
      <c r="T76" s="60">
        <f t="shared" si="172"/>
        <v>195.23999999999995</v>
      </c>
      <c r="U76" s="60">
        <f t="shared" ref="U76:V76" si="173">SUM(U63:U75)</f>
        <v>225.23999999999995</v>
      </c>
      <c r="V76" s="60">
        <f t="shared" si="173"/>
        <v>171.44</v>
      </c>
      <c r="W76" s="60">
        <f t="shared" ref="W76:X76" si="174">SUM(W63:W75)</f>
        <v>217.54</v>
      </c>
      <c r="X76" s="60">
        <f t="shared" si="174"/>
        <v>254.84</v>
      </c>
      <c r="Y76" s="60">
        <f t="shared" ref="Y76:Z76" si="175">SUM(Y63:Y75)</f>
        <v>332.54</v>
      </c>
      <c r="Z76" s="60">
        <f t="shared" si="175"/>
        <v>347.44000000000005</v>
      </c>
      <c r="AA76" s="60">
        <f t="shared" ref="AA76" si="176">SUM(AA63:AA75)</f>
        <v>349.54000000000008</v>
      </c>
      <c r="AB76" s="60">
        <f t="shared" si="170"/>
        <v>310.94000000000005</v>
      </c>
      <c r="AC76" s="60">
        <f t="shared" si="170"/>
        <v>216.54000000000002</v>
      </c>
      <c r="AD76" s="60">
        <f t="shared" si="170"/>
        <v>186.24</v>
      </c>
      <c r="AE76" s="60">
        <f t="shared" si="170"/>
        <v>114.74000000000001</v>
      </c>
      <c r="AF76" s="60">
        <f t="shared" si="170"/>
        <v>128.34</v>
      </c>
      <c r="AG76" s="61">
        <f t="shared" si="170"/>
        <v>489.91</v>
      </c>
      <c r="AH76" s="47">
        <f t="shared" si="40"/>
        <v>349.54000000000008</v>
      </c>
      <c r="AI76" s="48">
        <f t="shared" si="41"/>
        <v>72.84</v>
      </c>
      <c r="AK76" s="50"/>
      <c r="AZ76" s="233">
        <f t="shared" ref="AZ76:BW80" si="177">VALUE(AZ69)</f>
        <v>0</v>
      </c>
      <c r="BA76" s="233">
        <f t="shared" si="177"/>
        <v>0</v>
      </c>
      <c r="BB76" s="233">
        <f t="shared" si="177"/>
        <v>0</v>
      </c>
      <c r="BC76" s="233">
        <f t="shared" si="177"/>
        <v>0</v>
      </c>
      <c r="BD76" s="233">
        <f t="shared" si="177"/>
        <v>0</v>
      </c>
      <c r="BE76" s="233">
        <f t="shared" si="177"/>
        <v>0</v>
      </c>
      <c r="BF76" s="233">
        <f t="shared" si="177"/>
        <v>0</v>
      </c>
      <c r="BG76" s="233">
        <f t="shared" si="177"/>
        <v>0</v>
      </c>
      <c r="BH76" s="233">
        <f t="shared" si="177"/>
        <v>0</v>
      </c>
      <c r="BI76" s="233">
        <f t="shared" si="177"/>
        <v>0</v>
      </c>
      <c r="BJ76" s="233">
        <f t="shared" si="177"/>
        <v>0</v>
      </c>
      <c r="BK76" s="233">
        <f t="shared" si="177"/>
        <v>0</v>
      </c>
      <c r="BL76" s="233">
        <f t="shared" si="177"/>
        <v>0</v>
      </c>
      <c r="BM76" s="233">
        <f t="shared" si="177"/>
        <v>0</v>
      </c>
      <c r="BN76" s="233">
        <f t="shared" si="177"/>
        <v>0</v>
      </c>
      <c r="BO76" s="233">
        <f t="shared" si="177"/>
        <v>0</v>
      </c>
      <c r="BP76" s="233">
        <f t="shared" si="177"/>
        <v>0</v>
      </c>
      <c r="BQ76" s="233">
        <f t="shared" si="177"/>
        <v>0</v>
      </c>
      <c r="BR76" s="233">
        <f t="shared" si="177"/>
        <v>0</v>
      </c>
      <c r="BS76" s="233">
        <f t="shared" si="177"/>
        <v>0</v>
      </c>
      <c r="BT76" s="233">
        <f t="shared" si="177"/>
        <v>0</v>
      </c>
      <c r="BU76" s="233">
        <f t="shared" si="177"/>
        <v>0</v>
      </c>
      <c r="BV76" s="233">
        <f t="shared" si="177"/>
        <v>0</v>
      </c>
      <c r="BW76" s="233">
        <f t="shared" si="177"/>
        <v>0</v>
      </c>
      <c r="BZ76" s="242">
        <v>66</v>
      </c>
      <c r="CA76" s="240">
        <v>0.67708333333333304</v>
      </c>
      <c r="CB76" s="243"/>
      <c r="CC76" s="243"/>
      <c r="CD76" s="243"/>
      <c r="CE76" s="243"/>
      <c r="CF76" s="243"/>
      <c r="CG76" s="247">
        <v>18</v>
      </c>
      <c r="CH76" s="247">
        <v>0</v>
      </c>
    </row>
    <row r="77" spans="1:86" x14ac:dyDescent="0.25">
      <c r="A77" s="44" t="s">
        <v>77</v>
      </c>
      <c r="B77" s="45">
        <v>0</v>
      </c>
      <c r="C77" s="45">
        <v>0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>
        <v>44</v>
      </c>
      <c r="X77" s="45">
        <v>35</v>
      </c>
      <c r="Y77" s="45">
        <v>35</v>
      </c>
      <c r="Z77" s="45">
        <v>40</v>
      </c>
      <c r="AA77" s="45">
        <v>50</v>
      </c>
      <c r="AB77" s="45">
        <v>50</v>
      </c>
      <c r="AC77" s="45">
        <v>30</v>
      </c>
      <c r="AD77" s="45">
        <v>0</v>
      </c>
      <c r="AE77" s="45">
        <v>0</v>
      </c>
      <c r="AF77" s="45">
        <v>0</v>
      </c>
      <c r="AG77" s="52">
        <v>60</v>
      </c>
      <c r="AH77" s="47">
        <f t="shared" si="40"/>
        <v>50</v>
      </c>
      <c r="AI77" s="48">
        <f t="shared" si="41"/>
        <v>0</v>
      </c>
      <c r="AK77" s="50"/>
      <c r="AZ77" s="233">
        <f t="shared" si="177"/>
        <v>400</v>
      </c>
      <c r="BA77" s="233">
        <f t="shared" si="177"/>
        <v>411</v>
      </c>
      <c r="BB77" s="233">
        <f t="shared" si="177"/>
        <v>410</v>
      </c>
      <c r="BC77" s="233">
        <f t="shared" si="177"/>
        <v>426</v>
      </c>
      <c r="BD77" s="233">
        <f t="shared" si="177"/>
        <v>465</v>
      </c>
      <c r="BE77" s="233">
        <f t="shared" si="177"/>
        <v>456</v>
      </c>
      <c r="BF77" s="233">
        <f t="shared" si="177"/>
        <v>416</v>
      </c>
      <c r="BG77" s="233">
        <f t="shared" si="177"/>
        <v>150</v>
      </c>
      <c r="BH77" s="233">
        <f t="shared" si="177"/>
        <v>418.6</v>
      </c>
      <c r="BI77" s="233">
        <f t="shared" si="177"/>
        <v>415</v>
      </c>
      <c r="BJ77" s="233">
        <f t="shared" si="177"/>
        <v>434.4</v>
      </c>
      <c r="BK77" s="233">
        <f t="shared" si="177"/>
        <v>433.4</v>
      </c>
      <c r="BL77" s="233">
        <f t="shared" si="177"/>
        <v>457</v>
      </c>
      <c r="BM77" s="233">
        <f t="shared" si="177"/>
        <v>466.5</v>
      </c>
      <c r="BN77" s="233">
        <f t="shared" si="177"/>
        <v>471.5</v>
      </c>
      <c r="BO77" s="233">
        <f t="shared" si="177"/>
        <v>498.2</v>
      </c>
      <c r="BP77" s="233">
        <f t="shared" si="177"/>
        <v>483</v>
      </c>
      <c r="BQ77" s="233">
        <f t="shared" si="177"/>
        <v>441.2</v>
      </c>
      <c r="BR77" s="233">
        <f t="shared" si="177"/>
        <v>221.5</v>
      </c>
      <c r="BS77" s="233">
        <f t="shared" si="177"/>
        <v>262</v>
      </c>
      <c r="BT77" s="233">
        <f t="shared" si="177"/>
        <v>385</v>
      </c>
      <c r="BU77" s="233">
        <f t="shared" si="177"/>
        <v>395</v>
      </c>
      <c r="BV77" s="233">
        <f t="shared" si="177"/>
        <v>405</v>
      </c>
      <c r="BW77" s="233">
        <f t="shared" si="177"/>
        <v>402</v>
      </c>
      <c r="BZ77" s="248">
        <v>67</v>
      </c>
      <c r="CA77" s="249">
        <v>0.6875</v>
      </c>
      <c r="CB77" s="250"/>
      <c r="CC77" s="250"/>
      <c r="CD77" s="250"/>
      <c r="CE77" s="250"/>
      <c r="CF77" s="250"/>
      <c r="CG77" s="155">
        <v>10</v>
      </c>
      <c r="CH77" s="155"/>
    </row>
    <row r="78" spans="1:86" x14ac:dyDescent="0.25">
      <c r="A78" s="54" t="s">
        <v>78</v>
      </c>
      <c r="B78" s="65">
        <v>0</v>
      </c>
      <c r="C78" s="65">
        <v>0</v>
      </c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>
        <v>12.5</v>
      </c>
      <c r="X78" s="65">
        <v>16.100000000000001</v>
      </c>
      <c r="Y78" s="65">
        <v>16.600000000000001</v>
      </c>
      <c r="Z78" s="65">
        <v>15.8</v>
      </c>
      <c r="AA78" s="65">
        <v>16.3</v>
      </c>
      <c r="AB78" s="65">
        <v>25.8</v>
      </c>
      <c r="AC78" s="65">
        <v>12.5</v>
      </c>
      <c r="AD78" s="65">
        <v>6.2</v>
      </c>
      <c r="AE78" s="65">
        <v>0</v>
      </c>
      <c r="AF78" s="65">
        <v>5</v>
      </c>
      <c r="AG78" s="55">
        <v>32</v>
      </c>
      <c r="AH78" s="47">
        <f t="shared" si="40"/>
        <v>25.8</v>
      </c>
      <c r="AI78" s="48">
        <f t="shared" si="41"/>
        <v>0</v>
      </c>
      <c r="AK78" s="50"/>
      <c r="AZ78" s="233">
        <f t="shared" si="177"/>
        <v>39</v>
      </c>
      <c r="BA78" s="233">
        <f t="shared" si="177"/>
        <v>5.6</v>
      </c>
      <c r="BB78" s="233">
        <f t="shared" si="177"/>
        <v>5.4</v>
      </c>
      <c r="BC78" s="233">
        <f t="shared" si="177"/>
        <v>5.2</v>
      </c>
      <c r="BD78" s="233">
        <f t="shared" si="177"/>
        <v>5.0999999999999996</v>
      </c>
      <c r="BE78" s="233">
        <f t="shared" si="177"/>
        <v>6.6</v>
      </c>
      <c r="BF78" s="233">
        <f t="shared" si="177"/>
        <v>7.9</v>
      </c>
      <c r="BG78" s="233">
        <f t="shared" si="177"/>
        <v>4.8</v>
      </c>
      <c r="BH78" s="233">
        <f t="shared" si="177"/>
        <v>3</v>
      </c>
      <c r="BI78" s="233">
        <f t="shared" si="177"/>
        <v>1</v>
      </c>
      <c r="BJ78" s="233">
        <f t="shared" si="177"/>
        <v>7.5</v>
      </c>
      <c r="BK78" s="233">
        <f t="shared" si="177"/>
        <v>32</v>
      </c>
      <c r="BL78" s="233">
        <f t="shared" si="177"/>
        <v>35.4</v>
      </c>
      <c r="BM78" s="233">
        <f t="shared" si="177"/>
        <v>40.5</v>
      </c>
      <c r="BN78" s="233">
        <f t="shared" si="177"/>
        <v>51.8</v>
      </c>
      <c r="BO78" s="233">
        <f t="shared" si="177"/>
        <v>47.3</v>
      </c>
      <c r="BP78" s="233">
        <f t="shared" si="177"/>
        <v>47</v>
      </c>
      <c r="BQ78" s="233">
        <f t="shared" si="177"/>
        <v>6.4</v>
      </c>
      <c r="BR78" s="233">
        <f t="shared" si="177"/>
        <v>8</v>
      </c>
      <c r="BS78" s="233">
        <f t="shared" si="177"/>
        <v>6.1</v>
      </c>
      <c r="BT78" s="233">
        <f t="shared" si="177"/>
        <v>23</v>
      </c>
      <c r="BU78" s="233">
        <f t="shared" si="177"/>
        <v>37</v>
      </c>
      <c r="BV78" s="233">
        <f t="shared" si="177"/>
        <v>57</v>
      </c>
      <c r="BW78" s="233">
        <f t="shared" si="177"/>
        <v>39</v>
      </c>
      <c r="BZ78" s="242">
        <v>68</v>
      </c>
      <c r="CA78" s="240">
        <v>0.69791666666666696</v>
      </c>
      <c r="CB78" s="243"/>
      <c r="CC78" s="243"/>
      <c r="CD78" s="243"/>
      <c r="CE78" s="243"/>
      <c r="CF78" s="243"/>
      <c r="CG78" s="155">
        <v>10</v>
      </c>
      <c r="CH78" s="247"/>
    </row>
    <row r="79" spans="1:86" ht="15.75" thickBot="1" x14ac:dyDescent="0.3">
      <c r="A79" s="71" t="s">
        <v>79</v>
      </c>
      <c r="B79" s="67">
        <v>0</v>
      </c>
      <c r="C79" s="67">
        <v>0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>
        <v>4.5999999999999996</v>
      </c>
      <c r="X79" s="67">
        <v>5.9</v>
      </c>
      <c r="Y79" s="67">
        <v>6</v>
      </c>
      <c r="Z79" s="67">
        <v>5.8</v>
      </c>
      <c r="AA79" s="67">
        <v>5.8</v>
      </c>
      <c r="AB79" s="67">
        <v>9.4</v>
      </c>
      <c r="AC79" s="67">
        <v>4.5999999999999996</v>
      </c>
      <c r="AD79" s="67">
        <v>2.2999999999999998</v>
      </c>
      <c r="AE79" s="67">
        <v>0</v>
      </c>
      <c r="AF79" s="67">
        <v>1.7</v>
      </c>
      <c r="AG79" s="68">
        <v>14</v>
      </c>
      <c r="AH79" s="47">
        <f t="shared" si="40"/>
        <v>9.4</v>
      </c>
      <c r="AI79" s="48">
        <f t="shared" si="41"/>
        <v>0</v>
      </c>
      <c r="AK79" s="50"/>
      <c r="AZ79" s="233">
        <f t="shared" si="177"/>
        <v>140</v>
      </c>
      <c r="BA79" s="233">
        <f t="shared" si="177"/>
        <v>114.6</v>
      </c>
      <c r="BB79" s="233">
        <f t="shared" si="177"/>
        <v>109</v>
      </c>
      <c r="BC79" s="233">
        <f t="shared" si="177"/>
        <v>106.3</v>
      </c>
      <c r="BD79" s="233">
        <f t="shared" si="177"/>
        <v>90</v>
      </c>
      <c r="BE79" s="233">
        <f t="shared" si="177"/>
        <v>84.6</v>
      </c>
      <c r="BF79" s="233">
        <f t="shared" si="177"/>
        <v>78.900000000000006</v>
      </c>
      <c r="BG79" s="233">
        <f t="shared" si="177"/>
        <v>0</v>
      </c>
      <c r="BH79" s="233">
        <f t="shared" si="177"/>
        <v>0</v>
      </c>
      <c r="BI79" s="233">
        <f t="shared" si="177"/>
        <v>0</v>
      </c>
      <c r="BJ79" s="233">
        <f t="shared" si="177"/>
        <v>0</v>
      </c>
      <c r="BK79" s="233">
        <f t="shared" si="177"/>
        <v>98</v>
      </c>
      <c r="BL79" s="233">
        <f t="shared" si="177"/>
        <v>112.8</v>
      </c>
      <c r="BM79" s="233">
        <f t="shared" si="177"/>
        <v>100</v>
      </c>
      <c r="BN79" s="233">
        <f t="shared" si="177"/>
        <v>99.8</v>
      </c>
      <c r="BO79" s="233">
        <f t="shared" si="177"/>
        <v>98.6</v>
      </c>
      <c r="BP79" s="233">
        <f t="shared" si="177"/>
        <v>88</v>
      </c>
      <c r="BQ79" s="233">
        <f t="shared" si="177"/>
        <v>0</v>
      </c>
      <c r="BR79" s="233">
        <f t="shared" si="177"/>
        <v>0</v>
      </c>
      <c r="BS79" s="233">
        <f t="shared" si="177"/>
        <v>0</v>
      </c>
      <c r="BT79" s="233">
        <f t="shared" si="177"/>
        <v>0</v>
      </c>
      <c r="BU79" s="233">
        <f t="shared" si="177"/>
        <v>95</v>
      </c>
      <c r="BV79" s="233">
        <f t="shared" si="177"/>
        <v>0</v>
      </c>
      <c r="BW79" s="233">
        <f t="shared" si="177"/>
        <v>120</v>
      </c>
      <c r="BZ79" s="248">
        <v>69</v>
      </c>
      <c r="CA79" s="249">
        <v>0.70833333333333304</v>
      </c>
      <c r="CB79" s="250"/>
      <c r="CC79" s="250"/>
      <c r="CD79" s="250"/>
      <c r="CE79" s="250"/>
      <c r="CF79" s="250"/>
      <c r="CG79" s="155">
        <v>10</v>
      </c>
      <c r="CH79" s="155"/>
    </row>
    <row r="80" spans="1:86" ht="15.75" thickBot="1" x14ac:dyDescent="0.3">
      <c r="A80" s="74" t="s">
        <v>80</v>
      </c>
      <c r="B80" s="60">
        <f t="shared" ref="B80:C80" si="178">B77+B78+B79</f>
        <v>0</v>
      </c>
      <c r="C80" s="60">
        <f t="shared" si="178"/>
        <v>0</v>
      </c>
      <c r="D80" s="60">
        <f t="shared" ref="D80:AF80" si="179">D77+D78+D79</f>
        <v>0</v>
      </c>
      <c r="E80" s="60">
        <f t="shared" si="179"/>
        <v>0</v>
      </c>
      <c r="F80" s="60">
        <f t="shared" si="179"/>
        <v>0</v>
      </c>
      <c r="G80" s="60">
        <f t="shared" si="179"/>
        <v>0</v>
      </c>
      <c r="H80" s="60">
        <f t="shared" si="179"/>
        <v>0</v>
      </c>
      <c r="I80" s="60">
        <f t="shared" si="179"/>
        <v>0</v>
      </c>
      <c r="J80" s="60">
        <f t="shared" si="179"/>
        <v>0</v>
      </c>
      <c r="K80" s="60">
        <f t="shared" si="179"/>
        <v>0</v>
      </c>
      <c r="L80" s="60">
        <f t="shared" si="179"/>
        <v>0</v>
      </c>
      <c r="M80" s="60">
        <f t="shared" si="179"/>
        <v>0</v>
      </c>
      <c r="N80" s="60">
        <f t="shared" si="179"/>
        <v>0</v>
      </c>
      <c r="O80" s="60">
        <f t="shared" si="179"/>
        <v>0</v>
      </c>
      <c r="P80" s="60">
        <f t="shared" si="179"/>
        <v>0</v>
      </c>
      <c r="Q80" s="60">
        <f t="shared" si="179"/>
        <v>0</v>
      </c>
      <c r="R80" s="60">
        <f t="shared" si="179"/>
        <v>0</v>
      </c>
      <c r="S80" s="60">
        <f t="shared" ref="S80:T80" si="180">S77+S78+S79</f>
        <v>0</v>
      </c>
      <c r="T80" s="60">
        <f t="shared" si="180"/>
        <v>0</v>
      </c>
      <c r="U80" s="60">
        <f t="shared" ref="U80:V80" si="181">U77+U78+U79</f>
        <v>0</v>
      </c>
      <c r="V80" s="60">
        <f t="shared" si="181"/>
        <v>0</v>
      </c>
      <c r="W80" s="60">
        <f t="shared" ref="W80:X80" si="182">W77+W78+W79</f>
        <v>61.1</v>
      </c>
      <c r="X80" s="60">
        <f t="shared" si="182"/>
        <v>57</v>
      </c>
      <c r="Y80" s="60">
        <f t="shared" ref="Y80:Z80" si="183">Y77+Y78+Y79</f>
        <v>57.6</v>
      </c>
      <c r="Z80" s="60">
        <f t="shared" si="183"/>
        <v>61.599999999999994</v>
      </c>
      <c r="AA80" s="60">
        <f t="shared" ref="AA80" si="184">AA77+AA78+AA79</f>
        <v>72.099999999999994</v>
      </c>
      <c r="AB80" s="60">
        <f t="shared" si="179"/>
        <v>85.2</v>
      </c>
      <c r="AC80" s="60">
        <f t="shared" si="179"/>
        <v>47.1</v>
      </c>
      <c r="AD80" s="60">
        <f t="shared" si="179"/>
        <v>8.5</v>
      </c>
      <c r="AE80" s="60">
        <f t="shared" si="179"/>
        <v>0</v>
      </c>
      <c r="AF80" s="60">
        <f t="shared" si="179"/>
        <v>6.7</v>
      </c>
      <c r="AG80" s="61">
        <f>SUM(AG77:AG79)</f>
        <v>106</v>
      </c>
      <c r="AH80" s="47">
        <f t="shared" si="40"/>
        <v>85.2</v>
      </c>
      <c r="AI80" s="48">
        <f t="shared" si="41"/>
        <v>0</v>
      </c>
      <c r="AK80" s="50"/>
      <c r="AZ80" s="233">
        <f t="shared" si="177"/>
        <v>50</v>
      </c>
      <c r="BA80" s="233">
        <f t="shared" si="177"/>
        <v>52</v>
      </c>
      <c r="BB80" s="233">
        <f t="shared" si="177"/>
        <v>56</v>
      </c>
      <c r="BC80" s="233">
        <f t="shared" si="177"/>
        <v>59</v>
      </c>
      <c r="BD80" s="233">
        <f t="shared" si="177"/>
        <v>52</v>
      </c>
      <c r="BE80" s="233">
        <f t="shared" si="177"/>
        <v>69</v>
      </c>
      <c r="BF80" s="233">
        <f t="shared" si="177"/>
        <v>68</v>
      </c>
      <c r="BG80" s="233">
        <f t="shared" si="177"/>
        <v>62</v>
      </c>
      <c r="BH80" s="233">
        <f t="shared" si="177"/>
        <v>70.900000000000006</v>
      </c>
      <c r="BI80" s="233">
        <f t="shared" si="177"/>
        <v>72</v>
      </c>
      <c r="BJ80" s="233">
        <f t="shared" si="177"/>
        <v>76</v>
      </c>
      <c r="BK80" s="233">
        <f t="shared" si="177"/>
        <v>71</v>
      </c>
      <c r="BL80" s="233">
        <f t="shared" si="177"/>
        <v>72</v>
      </c>
      <c r="BM80" s="233">
        <f t="shared" si="177"/>
        <v>77</v>
      </c>
      <c r="BN80" s="233">
        <f t="shared" si="177"/>
        <v>85</v>
      </c>
      <c r="BO80" s="233">
        <f t="shared" si="177"/>
        <v>73</v>
      </c>
      <c r="BP80" s="233">
        <f t="shared" si="177"/>
        <v>60</v>
      </c>
      <c r="BQ80" s="233">
        <f t="shared" si="177"/>
        <v>77</v>
      </c>
      <c r="BR80" s="233">
        <f t="shared" si="177"/>
        <v>76.5</v>
      </c>
      <c r="BS80" s="233">
        <f t="shared" si="177"/>
        <v>62</v>
      </c>
      <c r="BT80" s="233">
        <f t="shared" si="177"/>
        <v>64</v>
      </c>
      <c r="BU80" s="233">
        <f t="shared" si="177"/>
        <v>74</v>
      </c>
      <c r="BV80" s="233">
        <f t="shared" si="177"/>
        <v>74</v>
      </c>
      <c r="BW80" s="233">
        <f t="shared" si="177"/>
        <v>62</v>
      </c>
      <c r="BZ80" s="242">
        <v>70</v>
      </c>
      <c r="CA80" s="240">
        <v>0.71875</v>
      </c>
      <c r="CB80" s="243"/>
      <c r="CC80" s="243"/>
      <c r="CD80" s="243"/>
      <c r="CE80" s="243"/>
      <c r="CF80" s="243"/>
      <c r="CG80" s="155">
        <v>10</v>
      </c>
      <c r="CH80" s="247"/>
    </row>
    <row r="81" spans="1:86" x14ac:dyDescent="0.25">
      <c r="A81" s="44" t="s">
        <v>81</v>
      </c>
      <c r="B81" s="45">
        <v>48</v>
      </c>
      <c r="C81" s="45">
        <v>55</v>
      </c>
      <c r="D81" s="45">
        <v>56.8</v>
      </c>
      <c r="E81" s="45">
        <v>51</v>
      </c>
      <c r="F81" s="45">
        <v>54.2</v>
      </c>
      <c r="G81" s="45">
        <v>56.3</v>
      </c>
      <c r="H81" s="45">
        <v>54.5</v>
      </c>
      <c r="I81" s="45">
        <v>56.6</v>
      </c>
      <c r="J81" s="45">
        <v>50.064999999999998</v>
      </c>
      <c r="K81" s="45">
        <v>63</v>
      </c>
      <c r="L81" s="45">
        <v>57.9</v>
      </c>
      <c r="M81" s="45">
        <v>44.7</v>
      </c>
      <c r="N81" s="45">
        <v>49</v>
      </c>
      <c r="O81" s="45">
        <v>51.2</v>
      </c>
      <c r="P81" s="45">
        <v>47.8</v>
      </c>
      <c r="Q81" s="45">
        <v>47.4</v>
      </c>
      <c r="R81" s="45">
        <v>59.6</v>
      </c>
      <c r="S81" s="45">
        <v>67.5</v>
      </c>
      <c r="T81" s="45">
        <v>72.400000000000006</v>
      </c>
      <c r="U81" s="45">
        <v>46.3</v>
      </c>
      <c r="V81" s="45">
        <v>54</v>
      </c>
      <c r="W81" s="45">
        <v>55.6</v>
      </c>
      <c r="X81" s="45">
        <v>58.1</v>
      </c>
      <c r="Y81" s="45">
        <v>47.1</v>
      </c>
      <c r="Z81" s="45">
        <v>43.4</v>
      </c>
      <c r="AA81" s="45">
        <v>54.3</v>
      </c>
      <c r="AB81" s="45">
        <v>49.2</v>
      </c>
      <c r="AC81" s="45">
        <v>66</v>
      </c>
      <c r="AD81" s="45">
        <v>57</v>
      </c>
      <c r="AE81" s="45">
        <v>62</v>
      </c>
      <c r="AF81" s="45">
        <v>62.3</v>
      </c>
      <c r="AG81" s="52"/>
      <c r="AH81" s="47">
        <f t="shared" si="40"/>
        <v>72.400000000000006</v>
      </c>
      <c r="AI81" s="48">
        <f t="shared" si="41"/>
        <v>43.4</v>
      </c>
      <c r="AK81" s="50"/>
      <c r="AY81" s="233"/>
      <c r="BZ81" s="248">
        <v>71</v>
      </c>
      <c r="CA81" s="249">
        <v>0.72916666666666696</v>
      </c>
      <c r="CB81" s="250"/>
      <c r="CC81" s="250"/>
      <c r="CD81" s="250"/>
      <c r="CE81" s="250"/>
      <c r="CF81" s="250"/>
      <c r="CG81" s="155">
        <v>10</v>
      </c>
      <c r="CH81" s="155"/>
    </row>
    <row r="82" spans="1:86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3" si="185">MAX(B82:AF82)</f>
        <v>0</v>
      </c>
      <c r="AI82" s="48">
        <f t="shared" ref="AI82:AI123" si="186">MIN(B82:AF82)</f>
        <v>0</v>
      </c>
      <c r="AK82" s="50"/>
      <c r="AY82" s="233"/>
      <c r="BF82" s="233"/>
      <c r="BG82" s="233"/>
      <c r="BH82" s="233"/>
      <c r="BI82" s="233"/>
      <c r="BJ82" s="233"/>
      <c r="BK82" s="233"/>
      <c r="BZ82" s="242">
        <v>72</v>
      </c>
      <c r="CA82" s="240">
        <v>0.73958333333333304</v>
      </c>
      <c r="CB82" s="243"/>
      <c r="CC82" s="243"/>
      <c r="CD82" s="243"/>
      <c r="CE82" s="243"/>
      <c r="CF82" s="243"/>
      <c r="CG82" s="155">
        <v>30</v>
      </c>
      <c r="CH82" s="247"/>
    </row>
    <row r="83" spans="1:86" x14ac:dyDescent="0.25">
      <c r="A83" s="54" t="s">
        <v>83</v>
      </c>
      <c r="B83" s="65">
        <v>402</v>
      </c>
      <c r="C83" s="65">
        <v>400</v>
      </c>
      <c r="D83" s="65">
        <v>411</v>
      </c>
      <c r="E83" s="65">
        <v>410</v>
      </c>
      <c r="F83" s="65">
        <v>426</v>
      </c>
      <c r="G83" s="65">
        <v>465</v>
      </c>
      <c r="H83" s="65">
        <v>469</v>
      </c>
      <c r="I83" s="65">
        <v>456</v>
      </c>
      <c r="J83" s="65">
        <v>421</v>
      </c>
      <c r="K83" s="65">
        <v>416</v>
      </c>
      <c r="L83" s="65">
        <v>418</v>
      </c>
      <c r="M83" s="65">
        <v>150</v>
      </c>
      <c r="N83" s="65">
        <v>418.6</v>
      </c>
      <c r="O83" s="65">
        <v>415</v>
      </c>
      <c r="P83" s="65">
        <v>434.4</v>
      </c>
      <c r="Q83" s="65">
        <v>433.4</v>
      </c>
      <c r="R83" s="65">
        <v>457</v>
      </c>
      <c r="S83" s="65">
        <v>466.5</v>
      </c>
      <c r="T83" s="65">
        <v>471.5</v>
      </c>
      <c r="U83" s="65">
        <v>498.2</v>
      </c>
      <c r="V83" s="65">
        <v>483</v>
      </c>
      <c r="W83" s="65">
        <v>453.9</v>
      </c>
      <c r="X83" s="65">
        <v>441.2</v>
      </c>
      <c r="Y83" s="65">
        <v>307.3</v>
      </c>
      <c r="Z83" s="65">
        <v>221.5</v>
      </c>
      <c r="AA83" s="65">
        <v>337.1</v>
      </c>
      <c r="AB83" s="65">
        <v>262</v>
      </c>
      <c r="AC83" s="65">
        <v>386</v>
      </c>
      <c r="AD83" s="65">
        <v>385</v>
      </c>
      <c r="AE83" s="65">
        <v>395</v>
      </c>
      <c r="AF83" s="65">
        <v>405</v>
      </c>
      <c r="AG83" s="75"/>
      <c r="AH83" s="47">
        <f t="shared" si="185"/>
        <v>498.2</v>
      </c>
      <c r="AI83" s="48">
        <f t="shared" si="186"/>
        <v>150</v>
      </c>
      <c r="AK83" s="50"/>
      <c r="AY83" s="233"/>
      <c r="BF83" s="232"/>
      <c r="BG83" s="232"/>
      <c r="BH83" s="232"/>
      <c r="BI83" s="232"/>
      <c r="BJ83" s="232"/>
      <c r="BK83" s="233"/>
      <c r="BZ83" s="248">
        <v>73</v>
      </c>
      <c r="CA83" s="249">
        <v>0.75</v>
      </c>
      <c r="CB83" s="250"/>
      <c r="CC83" s="250"/>
      <c r="CD83" s="250"/>
      <c r="CE83" s="250"/>
      <c r="CF83" s="250"/>
      <c r="CG83" s="155">
        <v>65</v>
      </c>
      <c r="CH83" s="155"/>
    </row>
    <row r="84" spans="1:86" x14ac:dyDescent="0.25">
      <c r="A84" s="54" t="s">
        <v>84</v>
      </c>
      <c r="B84" s="65">
        <v>39</v>
      </c>
      <c r="C84" s="65">
        <v>39</v>
      </c>
      <c r="D84" s="65">
        <v>5.6</v>
      </c>
      <c r="E84" s="76">
        <v>5.4</v>
      </c>
      <c r="F84" s="76">
        <v>5.2</v>
      </c>
      <c r="G84" s="76">
        <v>5.0999999999999996</v>
      </c>
      <c r="H84" s="76">
        <v>5.2</v>
      </c>
      <c r="I84" s="76">
        <v>6.6</v>
      </c>
      <c r="J84" s="76">
        <v>7.7</v>
      </c>
      <c r="K84" s="76">
        <v>7.9</v>
      </c>
      <c r="L84" s="76">
        <v>7.4</v>
      </c>
      <c r="M84" s="76">
        <v>4.8</v>
      </c>
      <c r="N84" s="76">
        <v>3</v>
      </c>
      <c r="O84" s="76">
        <v>1</v>
      </c>
      <c r="P84" s="76">
        <v>7.5</v>
      </c>
      <c r="Q84" s="76">
        <v>32</v>
      </c>
      <c r="R84" s="76">
        <v>35.4</v>
      </c>
      <c r="S84" s="76">
        <v>40.5</v>
      </c>
      <c r="T84" s="76">
        <v>51.8</v>
      </c>
      <c r="U84" s="76">
        <v>47.3</v>
      </c>
      <c r="V84" s="76">
        <v>47</v>
      </c>
      <c r="W84" s="76">
        <v>6.1</v>
      </c>
      <c r="X84" s="76">
        <v>6.4</v>
      </c>
      <c r="Y84" s="76">
        <v>7.8</v>
      </c>
      <c r="Z84" s="76">
        <v>8</v>
      </c>
      <c r="AA84" s="76">
        <v>6.7</v>
      </c>
      <c r="AB84" s="76">
        <v>6.1</v>
      </c>
      <c r="AC84" s="76">
        <v>5.9</v>
      </c>
      <c r="AD84" s="76">
        <v>23</v>
      </c>
      <c r="AE84" s="76">
        <v>37</v>
      </c>
      <c r="AF84" s="76">
        <v>57</v>
      </c>
      <c r="AG84" s="75"/>
      <c r="AH84" s="47">
        <f t="shared" si="185"/>
        <v>57</v>
      </c>
      <c r="AI84" s="48">
        <f t="shared" si="186"/>
        <v>1</v>
      </c>
      <c r="AK84" s="50"/>
      <c r="AY84" s="233"/>
      <c r="BF84" s="232"/>
      <c r="BG84" s="233">
        <f t="array" ref="BG84:BL107">TRANSPOSE(AZ68:BW73)</f>
        <v>55</v>
      </c>
      <c r="BH84" s="233">
        <v>0</v>
      </c>
      <c r="BI84" s="233">
        <v>400</v>
      </c>
      <c r="BJ84" s="233">
        <v>39</v>
      </c>
      <c r="BK84" s="233">
        <v>140</v>
      </c>
      <c r="BL84" s="233">
        <v>50</v>
      </c>
      <c r="BZ84" s="242">
        <v>74</v>
      </c>
      <c r="CA84" s="240">
        <v>0.76041666666666696</v>
      </c>
      <c r="CB84" s="243"/>
      <c r="CC84" s="243"/>
      <c r="CD84" s="243"/>
      <c r="CE84" s="243"/>
      <c r="CF84" s="243"/>
      <c r="CG84" s="155">
        <v>65</v>
      </c>
      <c r="CH84" s="247"/>
    </row>
    <row r="85" spans="1:86" x14ac:dyDescent="0.25">
      <c r="A85" s="54" t="s">
        <v>85</v>
      </c>
      <c r="B85" s="45">
        <v>120</v>
      </c>
      <c r="C85" s="45">
        <v>140</v>
      </c>
      <c r="D85" s="45">
        <v>114.6</v>
      </c>
      <c r="E85" s="45">
        <v>109</v>
      </c>
      <c r="F85" s="45">
        <v>106.3</v>
      </c>
      <c r="G85" s="45">
        <v>90</v>
      </c>
      <c r="H85" s="45">
        <v>91</v>
      </c>
      <c r="I85" s="45">
        <v>84.6</v>
      </c>
      <c r="J85" s="45">
        <v>93.6</v>
      </c>
      <c r="K85" s="45">
        <v>78.900000000000006</v>
      </c>
      <c r="L85" s="45">
        <v>62</v>
      </c>
      <c r="M85" s="45"/>
      <c r="N85" s="45">
        <v>0</v>
      </c>
      <c r="O85" s="45">
        <v>0</v>
      </c>
      <c r="P85" s="45">
        <v>0</v>
      </c>
      <c r="Q85" s="45">
        <v>98</v>
      </c>
      <c r="R85" s="45">
        <v>112.8</v>
      </c>
      <c r="S85" s="45">
        <v>100</v>
      </c>
      <c r="T85" s="45">
        <v>99.8</v>
      </c>
      <c r="U85" s="45">
        <v>98.6</v>
      </c>
      <c r="V85" s="45">
        <v>88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95</v>
      </c>
      <c r="AF85" s="45">
        <v>0</v>
      </c>
      <c r="AG85" s="75"/>
      <c r="AH85" s="47">
        <f t="shared" si="185"/>
        <v>140</v>
      </c>
      <c r="AI85" s="48">
        <f t="shared" si="186"/>
        <v>0</v>
      </c>
      <c r="AK85" s="50"/>
      <c r="AY85" s="233"/>
      <c r="BF85" s="232"/>
      <c r="BG85" s="233">
        <v>56.8</v>
      </c>
      <c r="BH85" s="233">
        <v>0</v>
      </c>
      <c r="BI85" s="233">
        <v>411</v>
      </c>
      <c r="BJ85" s="233">
        <v>5.6</v>
      </c>
      <c r="BK85" s="233">
        <v>114.6</v>
      </c>
      <c r="BL85" s="233">
        <v>52</v>
      </c>
      <c r="BZ85" s="248">
        <v>75</v>
      </c>
      <c r="CA85" s="249">
        <v>0.77083333333333304</v>
      </c>
      <c r="CB85" s="250"/>
      <c r="CC85" s="250"/>
      <c r="CD85" s="250"/>
      <c r="CE85" s="250"/>
      <c r="CF85" s="250"/>
      <c r="CG85" s="155">
        <v>65</v>
      </c>
      <c r="CH85" s="155"/>
    </row>
    <row r="86" spans="1:86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185"/>
        <v>0</v>
      </c>
      <c r="AI86" s="48">
        <f t="shared" si="186"/>
        <v>0</v>
      </c>
      <c r="AK86" s="50"/>
      <c r="AY86" s="233"/>
      <c r="BF86" s="232"/>
      <c r="BG86" s="233">
        <v>51</v>
      </c>
      <c r="BH86" s="233">
        <v>0</v>
      </c>
      <c r="BI86" s="233">
        <v>410</v>
      </c>
      <c r="BJ86" s="233">
        <v>5.4</v>
      </c>
      <c r="BK86" s="233">
        <v>109</v>
      </c>
      <c r="BL86" s="233">
        <v>56</v>
      </c>
      <c r="BZ86" s="242">
        <v>76</v>
      </c>
      <c r="CA86" s="240">
        <v>0.78125</v>
      </c>
      <c r="CB86" s="243"/>
      <c r="CC86" s="243"/>
      <c r="CD86" s="243"/>
      <c r="CE86" s="243"/>
      <c r="CF86" s="243"/>
      <c r="CG86" s="155">
        <v>65</v>
      </c>
      <c r="CH86" s="247"/>
    </row>
    <row r="87" spans="1:86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185"/>
        <v>0</v>
      </c>
      <c r="AI87" s="48">
        <f t="shared" si="186"/>
        <v>0</v>
      </c>
      <c r="AK87" s="50"/>
      <c r="AL87" s="78" t="s">
        <v>88</v>
      </c>
      <c r="AM87" s="78"/>
      <c r="AY87" s="233"/>
      <c r="BF87" s="233"/>
      <c r="BG87" s="233">
        <v>54.2</v>
      </c>
      <c r="BH87" s="233">
        <v>0</v>
      </c>
      <c r="BI87" s="233">
        <v>426</v>
      </c>
      <c r="BJ87" s="233">
        <v>5.2</v>
      </c>
      <c r="BK87" s="233">
        <v>106.3</v>
      </c>
      <c r="BL87" s="233">
        <v>59</v>
      </c>
      <c r="BZ87" s="248">
        <v>77</v>
      </c>
      <c r="CA87" s="249">
        <v>0.79166666666666696</v>
      </c>
      <c r="CB87" s="250"/>
      <c r="CC87" s="250"/>
      <c r="CD87" s="250"/>
      <c r="CE87" s="250"/>
      <c r="CF87" s="250"/>
      <c r="CG87" s="155">
        <v>65</v>
      </c>
      <c r="CH87" s="155"/>
    </row>
    <row r="88" spans="1:86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185"/>
        <v>0</v>
      </c>
      <c r="AI88" s="48">
        <f t="shared" si="186"/>
        <v>0</v>
      </c>
      <c r="AK88" s="79"/>
      <c r="AL88" s="80"/>
      <c r="AM88" s="80"/>
      <c r="AN88" s="81"/>
      <c r="AY88" s="233"/>
      <c r="BF88" s="233"/>
      <c r="BG88" s="233">
        <v>56.3</v>
      </c>
      <c r="BH88" s="233">
        <v>0</v>
      </c>
      <c r="BI88" s="233">
        <v>465</v>
      </c>
      <c r="BJ88" s="233">
        <v>5.0999999999999996</v>
      </c>
      <c r="BK88" s="233">
        <v>90</v>
      </c>
      <c r="BL88" s="233">
        <v>52</v>
      </c>
      <c r="BZ88" s="242">
        <v>78</v>
      </c>
      <c r="CA88" s="240">
        <v>0.80208333333333304</v>
      </c>
      <c r="CB88" s="243"/>
      <c r="CC88" s="243"/>
      <c r="CD88" s="243"/>
      <c r="CE88" s="243"/>
      <c r="CF88" s="243"/>
      <c r="CG88" s="155">
        <v>65</v>
      </c>
      <c r="CH88" s="247"/>
    </row>
    <row r="89" spans="1:86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185"/>
        <v>0</v>
      </c>
      <c r="AI89" s="48">
        <f t="shared" si="186"/>
        <v>0</v>
      </c>
      <c r="AK89" s="82" t="s">
        <v>91</v>
      </c>
      <c r="AL89" s="65"/>
      <c r="AM89" s="76"/>
      <c r="AN89" s="83"/>
      <c r="AY89" s="233"/>
      <c r="BF89" s="233"/>
      <c r="BG89" s="233">
        <v>56.6</v>
      </c>
      <c r="BH89" s="233">
        <v>0</v>
      </c>
      <c r="BI89" s="233">
        <v>456</v>
      </c>
      <c r="BJ89" s="233">
        <v>6.6</v>
      </c>
      <c r="BK89" s="233">
        <v>84.6</v>
      </c>
      <c r="BL89" s="233">
        <v>69</v>
      </c>
      <c r="BZ89" s="248">
        <v>79</v>
      </c>
      <c r="CA89" s="249">
        <v>0.8125</v>
      </c>
      <c r="CB89" s="250"/>
      <c r="CC89" s="250"/>
      <c r="CD89" s="250"/>
      <c r="CE89" s="250"/>
      <c r="CF89" s="250"/>
      <c r="CG89" s="155">
        <v>65</v>
      </c>
      <c r="CH89" s="155"/>
    </row>
    <row r="90" spans="1:86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185"/>
        <v>0</v>
      </c>
      <c r="AI90" s="48">
        <f t="shared" si="186"/>
        <v>0</v>
      </c>
      <c r="AK90" s="82" t="s">
        <v>93</v>
      </c>
      <c r="AL90" s="76"/>
      <c r="AM90" s="76"/>
      <c r="AN90" s="83"/>
      <c r="AY90" s="233"/>
      <c r="BF90" s="233"/>
      <c r="BG90" s="233">
        <v>63</v>
      </c>
      <c r="BH90" s="233">
        <v>0</v>
      </c>
      <c r="BI90" s="233">
        <v>416</v>
      </c>
      <c r="BJ90" s="233">
        <v>7.9</v>
      </c>
      <c r="BK90" s="233">
        <v>78.900000000000006</v>
      </c>
      <c r="BL90" s="233">
        <v>68</v>
      </c>
      <c r="BZ90" s="242">
        <v>80</v>
      </c>
      <c r="CA90" s="240">
        <v>0.82291666666666696</v>
      </c>
      <c r="CB90" s="243"/>
      <c r="CC90" s="243"/>
      <c r="CD90" s="243"/>
      <c r="CE90" s="243"/>
      <c r="CF90" s="243"/>
      <c r="CG90" s="155">
        <v>65</v>
      </c>
      <c r="CH90" s="247"/>
    </row>
    <row r="91" spans="1:86" ht="15.75" thickBot="1" x14ac:dyDescent="0.3">
      <c r="A91" s="84" t="s">
        <v>394</v>
      </c>
      <c r="B91" s="77">
        <v>62</v>
      </c>
      <c r="C91" s="77">
        <v>50</v>
      </c>
      <c r="D91" s="77">
        <v>52</v>
      </c>
      <c r="E91" s="77">
        <v>56</v>
      </c>
      <c r="F91" s="77">
        <v>59</v>
      </c>
      <c r="G91" s="77">
        <v>52</v>
      </c>
      <c r="H91" s="77">
        <v>48.6</v>
      </c>
      <c r="I91" s="77">
        <v>69</v>
      </c>
      <c r="J91" s="77">
        <v>69</v>
      </c>
      <c r="K91" s="77">
        <v>68</v>
      </c>
      <c r="L91" s="77">
        <v>62.6</v>
      </c>
      <c r="M91" s="77">
        <v>62</v>
      </c>
      <c r="N91" s="77">
        <v>70.900000000000006</v>
      </c>
      <c r="O91" s="77">
        <v>72</v>
      </c>
      <c r="P91" s="77">
        <v>76</v>
      </c>
      <c r="Q91" s="77">
        <v>71</v>
      </c>
      <c r="R91" s="77">
        <v>72</v>
      </c>
      <c r="S91" s="77">
        <v>77</v>
      </c>
      <c r="T91" s="77">
        <v>85</v>
      </c>
      <c r="U91" s="77">
        <v>73</v>
      </c>
      <c r="V91" s="77">
        <v>60</v>
      </c>
      <c r="W91" s="77">
        <v>79</v>
      </c>
      <c r="X91" s="77">
        <v>77</v>
      </c>
      <c r="Y91" s="77">
        <v>75</v>
      </c>
      <c r="Z91" s="77">
        <v>76.5</v>
      </c>
      <c r="AA91" s="77">
        <v>68</v>
      </c>
      <c r="AB91" s="77">
        <v>62</v>
      </c>
      <c r="AC91" s="77">
        <v>62</v>
      </c>
      <c r="AD91" s="77">
        <v>64</v>
      </c>
      <c r="AE91" s="77">
        <v>74</v>
      </c>
      <c r="AF91" s="77">
        <v>74</v>
      </c>
      <c r="AG91" s="85"/>
      <c r="AH91" s="47">
        <f t="shared" si="185"/>
        <v>85</v>
      </c>
      <c r="AI91" s="48">
        <f t="shared" si="186"/>
        <v>48.6</v>
      </c>
      <c r="AK91" s="86"/>
      <c r="AL91" s="45"/>
      <c r="AM91" s="45"/>
      <c r="AN91" s="87"/>
      <c r="AY91" s="233"/>
      <c r="BF91" s="233"/>
      <c r="BG91" s="233">
        <v>44.7</v>
      </c>
      <c r="BH91" s="233">
        <v>0</v>
      </c>
      <c r="BI91" s="233">
        <v>150</v>
      </c>
      <c r="BJ91" s="233">
        <v>4.8</v>
      </c>
      <c r="BK91" s="233">
        <v>0</v>
      </c>
      <c r="BL91" s="233">
        <v>62</v>
      </c>
      <c r="BZ91" s="242">
        <v>81</v>
      </c>
      <c r="CA91" s="240">
        <v>0.83333333333333304</v>
      </c>
      <c r="CB91" s="243"/>
      <c r="CC91" s="243"/>
      <c r="CD91" s="243"/>
      <c r="CE91" s="243"/>
      <c r="CF91" s="243"/>
      <c r="CG91" s="155">
        <v>65</v>
      </c>
      <c r="CH91" s="247"/>
    </row>
    <row r="92" spans="1:86" ht="15.75" thickBot="1" x14ac:dyDescent="0.3">
      <c r="A92" s="74" t="s">
        <v>94</v>
      </c>
      <c r="B92" s="60">
        <f t="shared" ref="B92:C92" si="187">SUMIF(B81:B91,"&gt;0")</f>
        <v>671</v>
      </c>
      <c r="C92" s="60">
        <f t="shared" si="187"/>
        <v>684</v>
      </c>
      <c r="D92" s="60">
        <f t="shared" ref="D92:AF92" si="188">SUMIF(D81:D91,"&gt;0")</f>
        <v>640</v>
      </c>
      <c r="E92" s="60">
        <f t="shared" si="188"/>
        <v>631.4</v>
      </c>
      <c r="F92" s="60">
        <f t="shared" si="188"/>
        <v>650.69999999999993</v>
      </c>
      <c r="G92" s="60">
        <f t="shared" si="188"/>
        <v>668.4</v>
      </c>
      <c r="H92" s="60">
        <f t="shared" si="188"/>
        <v>668.30000000000007</v>
      </c>
      <c r="I92" s="60">
        <f t="shared" si="188"/>
        <v>672.80000000000007</v>
      </c>
      <c r="J92" s="60">
        <f t="shared" si="188"/>
        <v>641.36500000000001</v>
      </c>
      <c r="K92" s="60">
        <f t="shared" si="188"/>
        <v>633.79999999999995</v>
      </c>
      <c r="L92" s="60">
        <f t="shared" si="188"/>
        <v>607.9</v>
      </c>
      <c r="M92" s="60">
        <f t="shared" si="188"/>
        <v>261.5</v>
      </c>
      <c r="N92" s="60">
        <f t="shared" si="188"/>
        <v>541.5</v>
      </c>
      <c r="O92" s="60">
        <f t="shared" si="188"/>
        <v>539.20000000000005</v>
      </c>
      <c r="P92" s="60">
        <f t="shared" si="188"/>
        <v>565.70000000000005</v>
      </c>
      <c r="Q92" s="60">
        <f t="shared" si="188"/>
        <v>681.8</v>
      </c>
      <c r="R92" s="60">
        <f t="shared" si="188"/>
        <v>736.8</v>
      </c>
      <c r="S92" s="60">
        <f t="shared" ref="S92:T92" si="189">SUMIF(S81:S91,"&gt;0")</f>
        <v>751.5</v>
      </c>
      <c r="T92" s="60">
        <f t="shared" si="189"/>
        <v>780.49999999999989</v>
      </c>
      <c r="U92" s="60">
        <f t="shared" ref="U92:V92" si="190">SUMIF(U81:U91,"&gt;0")</f>
        <v>763.4</v>
      </c>
      <c r="V92" s="60">
        <f t="shared" si="190"/>
        <v>732</v>
      </c>
      <c r="W92" s="60">
        <f t="shared" ref="W92:X92" si="191">SUMIF(W81:W91,"&gt;0")</f>
        <v>594.6</v>
      </c>
      <c r="X92" s="60">
        <f t="shared" si="191"/>
        <v>582.70000000000005</v>
      </c>
      <c r="Y92" s="60">
        <f t="shared" ref="Y92:Z92" si="192">SUMIF(Y81:Y91,"&gt;0")</f>
        <v>437.20000000000005</v>
      </c>
      <c r="Z92" s="60">
        <f t="shared" si="192"/>
        <v>349.4</v>
      </c>
      <c r="AA92" s="60">
        <f t="shared" ref="AA92" si="193">SUMIF(AA81:AA91,"&gt;0")</f>
        <v>466.1</v>
      </c>
      <c r="AB92" s="60">
        <f t="shared" si="188"/>
        <v>379.3</v>
      </c>
      <c r="AC92" s="60">
        <f t="shared" si="188"/>
        <v>519.9</v>
      </c>
      <c r="AD92" s="60">
        <f t="shared" si="188"/>
        <v>529</v>
      </c>
      <c r="AE92" s="60">
        <f t="shared" si="188"/>
        <v>663</v>
      </c>
      <c r="AF92" s="60">
        <f t="shared" si="188"/>
        <v>598.29999999999995</v>
      </c>
      <c r="AG92" s="88">
        <f>SUM(AG81:AG91)</f>
        <v>0</v>
      </c>
      <c r="AH92" s="47">
        <f t="shared" si="185"/>
        <v>780.49999999999989</v>
      </c>
      <c r="AI92" s="48">
        <f t="shared" si="186"/>
        <v>261.5</v>
      </c>
      <c r="AK92" s="86"/>
      <c r="AL92" s="77"/>
      <c r="AM92" s="89"/>
      <c r="AN92" s="257"/>
      <c r="AY92" s="233"/>
      <c r="BF92" s="233"/>
      <c r="BG92" s="233">
        <v>49</v>
      </c>
      <c r="BH92" s="233">
        <v>0</v>
      </c>
      <c r="BI92" s="233">
        <v>418.6</v>
      </c>
      <c r="BJ92" s="233">
        <v>3</v>
      </c>
      <c r="BK92" s="233">
        <v>0</v>
      </c>
      <c r="BL92" s="233">
        <v>70.900000000000006</v>
      </c>
      <c r="BZ92" s="242">
        <v>82</v>
      </c>
      <c r="CA92" s="240">
        <v>0.84375</v>
      </c>
      <c r="CB92" s="243"/>
      <c r="CC92" s="243"/>
      <c r="CD92" s="243"/>
      <c r="CE92" s="243"/>
      <c r="CF92" s="243"/>
      <c r="CG92" s="155">
        <v>65</v>
      </c>
      <c r="CH92" s="247"/>
    </row>
    <row r="93" spans="1:86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185"/>
        <v>0</v>
      </c>
      <c r="AI93" s="48">
        <f t="shared" si="186"/>
        <v>0</v>
      </c>
      <c r="AK93" s="86"/>
      <c r="AL93" s="77"/>
      <c r="AM93" s="77"/>
      <c r="AN93" s="258"/>
      <c r="BF93" s="233"/>
      <c r="BG93" s="233">
        <v>51.2</v>
      </c>
      <c r="BH93" s="233">
        <v>0</v>
      </c>
      <c r="BI93" s="233">
        <v>415</v>
      </c>
      <c r="BJ93" s="233">
        <v>1</v>
      </c>
      <c r="BK93" s="233">
        <v>0</v>
      </c>
      <c r="BL93" s="233">
        <v>72</v>
      </c>
      <c r="BZ93" s="242">
        <v>83</v>
      </c>
      <c r="CA93" s="240">
        <v>0.85416666666666696</v>
      </c>
      <c r="CB93" s="243"/>
      <c r="CC93" s="243"/>
      <c r="CD93" s="243"/>
      <c r="CE93" s="243"/>
      <c r="CF93" s="243"/>
      <c r="CG93" s="155">
        <v>65</v>
      </c>
      <c r="CH93" s="247"/>
    </row>
    <row r="94" spans="1:86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185"/>
        <v>0</v>
      </c>
      <c r="AI94" s="48">
        <f t="shared" si="186"/>
        <v>0</v>
      </c>
      <c r="AK94" s="91"/>
      <c r="AL94" s="92"/>
      <c r="AM94" s="92"/>
      <c r="AN94" s="93"/>
      <c r="BF94" s="233"/>
      <c r="BG94" s="233">
        <v>47.8</v>
      </c>
      <c r="BH94" s="233">
        <v>0</v>
      </c>
      <c r="BI94" s="233">
        <v>434.4</v>
      </c>
      <c r="BJ94" s="233">
        <v>7.5</v>
      </c>
      <c r="BK94" s="233">
        <v>0</v>
      </c>
      <c r="BL94" s="233">
        <v>76</v>
      </c>
      <c r="BZ94" s="242">
        <v>84</v>
      </c>
      <c r="CA94" s="240">
        <v>0.86458333333333304</v>
      </c>
      <c r="CB94" s="243"/>
      <c r="CC94" s="243"/>
      <c r="CD94" s="243"/>
      <c r="CE94" s="243"/>
      <c r="CF94" s="243"/>
      <c r="CG94" s="155">
        <v>65</v>
      </c>
      <c r="CH94" s="247"/>
    </row>
    <row r="95" spans="1:86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185"/>
        <v>0</v>
      </c>
      <c r="AI95" s="48">
        <f t="shared" si="186"/>
        <v>0</v>
      </c>
      <c r="BF95" s="233"/>
      <c r="BG95" s="233">
        <v>47.4</v>
      </c>
      <c r="BH95" s="233">
        <v>0</v>
      </c>
      <c r="BI95" s="233">
        <v>433.4</v>
      </c>
      <c r="BJ95" s="233">
        <v>32</v>
      </c>
      <c r="BK95" s="233">
        <v>98</v>
      </c>
      <c r="BL95" s="233">
        <v>71</v>
      </c>
      <c r="BZ95" s="242">
        <v>85</v>
      </c>
      <c r="CA95" s="240">
        <v>0.875</v>
      </c>
      <c r="CB95" s="243"/>
      <c r="CC95" s="243"/>
      <c r="CD95" s="243"/>
      <c r="CE95" s="243"/>
      <c r="CF95" s="243"/>
      <c r="CG95" s="247"/>
      <c r="CH95" s="247"/>
    </row>
    <row r="96" spans="1:86" ht="15.75" thickBot="1" x14ac:dyDescent="0.3">
      <c r="A96" s="74" t="s">
        <v>98</v>
      </c>
      <c r="B96" s="60">
        <v>0</v>
      </c>
      <c r="C96" s="60">
        <v>0</v>
      </c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185"/>
        <v>0</v>
      </c>
      <c r="AI96" s="48">
        <f t="shared" si="186"/>
        <v>0</v>
      </c>
      <c r="BF96" s="233"/>
      <c r="BG96" s="233">
        <v>59.6</v>
      </c>
      <c r="BH96" s="233">
        <v>0</v>
      </c>
      <c r="BI96" s="233">
        <v>457</v>
      </c>
      <c r="BJ96" s="233">
        <v>35.4</v>
      </c>
      <c r="BK96" s="233">
        <v>112.8</v>
      </c>
      <c r="BL96" s="233">
        <v>72</v>
      </c>
      <c r="BZ96" s="242">
        <v>86</v>
      </c>
      <c r="CA96" s="240">
        <v>0.88541666666666696</v>
      </c>
      <c r="CB96" s="243"/>
      <c r="CC96" s="243"/>
      <c r="CD96" s="243"/>
      <c r="CE96" s="243"/>
      <c r="CF96" s="243"/>
      <c r="CG96" s="247"/>
      <c r="CH96" s="247"/>
    </row>
    <row r="97" spans="1:86" ht="15.75" thickBot="1" x14ac:dyDescent="0.3">
      <c r="A97" s="74" t="s">
        <v>99</v>
      </c>
      <c r="B97" s="95">
        <f t="shared" ref="B97:C97" si="194">B58+B62+B80+B76+B92+B96</f>
        <v>1239.49</v>
      </c>
      <c r="C97" s="95">
        <f t="shared" si="194"/>
        <v>1252.49</v>
      </c>
      <c r="D97" s="95">
        <f t="shared" ref="D97:AG97" si="195">D58+D62+D80+D76+D92+D96</f>
        <v>1220.19</v>
      </c>
      <c r="E97" s="95">
        <f t="shared" si="195"/>
        <v>1211.5899999999999</v>
      </c>
      <c r="F97" s="95">
        <f t="shared" si="195"/>
        <v>1230.8899999999999</v>
      </c>
      <c r="G97" s="95">
        <f t="shared" si="195"/>
        <v>1248.5899999999999</v>
      </c>
      <c r="H97" s="95">
        <f t="shared" si="195"/>
        <v>1326.69</v>
      </c>
      <c r="I97" s="95">
        <f t="shared" si="195"/>
        <v>1405.19</v>
      </c>
      <c r="J97" s="95">
        <f t="shared" si="195"/>
        <v>1491.9549999999999</v>
      </c>
      <c r="K97" s="95">
        <f t="shared" si="195"/>
        <v>1437.69</v>
      </c>
      <c r="L97" s="95">
        <f t="shared" si="195"/>
        <v>1429.6799999999998</v>
      </c>
      <c r="M97" s="95">
        <f t="shared" si="195"/>
        <v>1346.68</v>
      </c>
      <c r="N97" s="95">
        <f t="shared" si="195"/>
        <v>1339.88</v>
      </c>
      <c r="O97" s="95">
        <f t="shared" si="195"/>
        <v>1337.88</v>
      </c>
      <c r="P97" s="95">
        <f t="shared" si="195"/>
        <v>1384.38</v>
      </c>
      <c r="Q97" s="95">
        <f t="shared" si="195"/>
        <v>1475.28</v>
      </c>
      <c r="R97" s="95">
        <f t="shared" si="195"/>
        <v>1493.09</v>
      </c>
      <c r="S97" s="95">
        <f t="shared" ref="S97:T97" si="196">S58+S62+S80+S76+S92+S96</f>
        <v>1487.19</v>
      </c>
      <c r="T97" s="95">
        <f t="shared" si="196"/>
        <v>1525.79</v>
      </c>
      <c r="U97" s="95">
        <f t="shared" ref="U97:V97" si="197">U58+U62+U80+U76+U92+U96</f>
        <v>1523.69</v>
      </c>
      <c r="V97" s="95">
        <f t="shared" si="197"/>
        <v>1448.49</v>
      </c>
      <c r="W97" s="95">
        <f t="shared" ref="W97:X97" si="198">W58+W62+W80+W76+W92+W96</f>
        <v>1383.29</v>
      </c>
      <c r="X97" s="95">
        <f t="shared" si="198"/>
        <v>1419.5900000000001</v>
      </c>
      <c r="Y97" s="95">
        <f t="shared" ref="Y97:Z97" si="199">Y58+Y62+Y80+Y76+Y92+Y96</f>
        <v>1553.2900000000002</v>
      </c>
      <c r="Z97" s="95">
        <f t="shared" si="199"/>
        <v>1594.3900000000003</v>
      </c>
      <c r="AA97" s="95">
        <f t="shared" ref="AA97" si="200">AA58+AA62+AA80+AA76+AA92+AA96</f>
        <v>1383.69</v>
      </c>
      <c r="AB97" s="95">
        <f t="shared" si="195"/>
        <v>1273.79</v>
      </c>
      <c r="AC97" s="95">
        <f t="shared" si="195"/>
        <v>1281.8899999999999</v>
      </c>
      <c r="AD97" s="95">
        <f t="shared" si="195"/>
        <v>1222.0899999999999</v>
      </c>
      <c r="AE97" s="95">
        <f t="shared" si="195"/>
        <v>1336.09</v>
      </c>
      <c r="AF97" s="95">
        <f t="shared" si="195"/>
        <v>1271.69</v>
      </c>
      <c r="AG97" s="61">
        <f t="shared" si="195"/>
        <v>2231.81</v>
      </c>
      <c r="AH97" s="47">
        <f t="shared" si="185"/>
        <v>1594.3900000000003</v>
      </c>
      <c r="AI97" s="48">
        <f t="shared" si="186"/>
        <v>1211.5899999999999</v>
      </c>
      <c r="BF97" s="233"/>
      <c r="BG97" s="233">
        <v>67.5</v>
      </c>
      <c r="BH97" s="233">
        <v>0</v>
      </c>
      <c r="BI97" s="233">
        <v>466.5</v>
      </c>
      <c r="BJ97" s="233">
        <v>40.5</v>
      </c>
      <c r="BK97" s="233">
        <v>100</v>
      </c>
      <c r="BL97" s="233">
        <v>77</v>
      </c>
      <c r="BZ97" s="242">
        <v>87</v>
      </c>
      <c r="CA97" s="240">
        <v>0.89583333333333304</v>
      </c>
      <c r="CB97" s="243"/>
      <c r="CC97" s="243"/>
      <c r="CD97" s="243"/>
      <c r="CE97" s="243"/>
      <c r="CF97" s="243"/>
      <c r="CG97" s="247"/>
      <c r="CH97" s="247"/>
    </row>
    <row r="98" spans="1:86" ht="15.75" thickBot="1" x14ac:dyDescent="0.3">
      <c r="A98" s="96" t="s">
        <v>100</v>
      </c>
      <c r="B98" s="97">
        <v>0</v>
      </c>
      <c r="C98" s="97">
        <v>0</v>
      </c>
      <c r="D98" s="97"/>
      <c r="E98" s="97"/>
      <c r="F98" s="97"/>
      <c r="G98" s="97"/>
      <c r="H98" s="97"/>
      <c r="I98" s="97"/>
      <c r="J98" s="97"/>
      <c r="K98" s="97">
        <v>50</v>
      </c>
      <c r="L98" s="97">
        <v>250</v>
      </c>
      <c r="M98" s="97">
        <v>250</v>
      </c>
      <c r="N98" s="97">
        <v>200</v>
      </c>
      <c r="O98" s="97">
        <v>180</v>
      </c>
      <c r="P98" s="97"/>
      <c r="Q98" s="97"/>
      <c r="R98" s="97">
        <v>10</v>
      </c>
      <c r="S98" s="97">
        <v>18</v>
      </c>
      <c r="T98" s="97">
        <v>18</v>
      </c>
      <c r="U98" s="97">
        <v>10</v>
      </c>
      <c r="V98" s="97">
        <v>100</v>
      </c>
      <c r="W98" s="97">
        <v>200</v>
      </c>
      <c r="X98" s="97">
        <v>200</v>
      </c>
      <c r="Y98" s="97">
        <v>200</v>
      </c>
      <c r="Z98" s="97">
        <v>200</v>
      </c>
      <c r="AA98" s="97">
        <v>350</v>
      </c>
      <c r="AB98" s="97">
        <v>350</v>
      </c>
      <c r="AC98" s="97">
        <v>350</v>
      </c>
      <c r="AD98" s="97">
        <v>300</v>
      </c>
      <c r="AE98" s="97"/>
      <c r="AF98" s="97"/>
      <c r="AG98" s="88"/>
      <c r="AH98" s="47">
        <f t="shared" si="185"/>
        <v>350</v>
      </c>
      <c r="AI98" s="48">
        <f t="shared" si="186"/>
        <v>0</v>
      </c>
      <c r="BF98" s="233"/>
      <c r="BG98" s="233">
        <v>72.400000000000006</v>
      </c>
      <c r="BH98" s="233">
        <v>0</v>
      </c>
      <c r="BI98" s="233">
        <v>471.5</v>
      </c>
      <c r="BJ98" s="233">
        <v>51.8</v>
      </c>
      <c r="BK98" s="233">
        <v>99.8</v>
      </c>
      <c r="BL98" s="233">
        <v>85</v>
      </c>
      <c r="BZ98" s="242">
        <v>88</v>
      </c>
      <c r="CA98" s="240">
        <v>0.90625</v>
      </c>
      <c r="CB98" s="243"/>
      <c r="CC98" s="243"/>
      <c r="CD98" s="243"/>
      <c r="CE98" s="243"/>
      <c r="CF98" s="243"/>
      <c r="CG98" s="247"/>
      <c r="CH98" s="247"/>
    </row>
    <row r="99" spans="1:86" ht="15.75" thickBot="1" x14ac:dyDescent="0.3">
      <c r="A99" s="74" t="s">
        <v>101</v>
      </c>
      <c r="B99" s="95">
        <f t="shared" ref="B99:C99" si="201">B97+B98</f>
        <v>1239.49</v>
      </c>
      <c r="C99" s="95">
        <f t="shared" si="201"/>
        <v>1252.49</v>
      </c>
      <c r="D99" s="95">
        <f t="shared" ref="D99:AF99" si="202">D97+D98</f>
        <v>1220.19</v>
      </c>
      <c r="E99" s="95">
        <f t="shared" si="202"/>
        <v>1211.5899999999999</v>
      </c>
      <c r="F99" s="95">
        <f t="shared" si="202"/>
        <v>1230.8899999999999</v>
      </c>
      <c r="G99" s="95">
        <f t="shared" si="202"/>
        <v>1248.5899999999999</v>
      </c>
      <c r="H99" s="95">
        <f t="shared" si="202"/>
        <v>1326.69</v>
      </c>
      <c r="I99" s="95">
        <f t="shared" si="202"/>
        <v>1405.19</v>
      </c>
      <c r="J99" s="95">
        <f t="shared" si="202"/>
        <v>1491.9549999999999</v>
      </c>
      <c r="K99" s="95">
        <f t="shared" si="202"/>
        <v>1487.69</v>
      </c>
      <c r="L99" s="95">
        <f t="shared" si="202"/>
        <v>1679.6799999999998</v>
      </c>
      <c r="M99" s="95">
        <f t="shared" si="202"/>
        <v>1596.68</v>
      </c>
      <c r="N99" s="95">
        <f t="shared" si="202"/>
        <v>1539.88</v>
      </c>
      <c r="O99" s="95">
        <f t="shared" si="202"/>
        <v>1517.88</v>
      </c>
      <c r="P99" s="95">
        <f t="shared" si="202"/>
        <v>1384.38</v>
      </c>
      <c r="Q99" s="95">
        <f t="shared" si="202"/>
        <v>1475.28</v>
      </c>
      <c r="R99" s="95">
        <f t="shared" si="202"/>
        <v>1503.09</v>
      </c>
      <c r="S99" s="95">
        <f t="shared" ref="S99:T99" si="203">S97+S98</f>
        <v>1505.19</v>
      </c>
      <c r="T99" s="95">
        <f t="shared" si="203"/>
        <v>1543.79</v>
      </c>
      <c r="U99" s="95">
        <f t="shared" ref="U99:V99" si="204">U97+U98</f>
        <v>1533.69</v>
      </c>
      <c r="V99" s="95">
        <f t="shared" si="204"/>
        <v>1548.49</v>
      </c>
      <c r="W99" s="95">
        <f t="shared" ref="W99:X99" si="205">W97+W98</f>
        <v>1583.29</v>
      </c>
      <c r="X99" s="95">
        <f t="shared" si="205"/>
        <v>1619.5900000000001</v>
      </c>
      <c r="Y99" s="95">
        <f t="shared" ref="Y99:Z99" si="206">Y97+Y98</f>
        <v>1753.2900000000002</v>
      </c>
      <c r="Z99" s="95">
        <f t="shared" si="206"/>
        <v>1794.3900000000003</v>
      </c>
      <c r="AA99" s="95">
        <f t="shared" ref="AA99" si="207">AA97+AA98</f>
        <v>1733.69</v>
      </c>
      <c r="AB99" s="95">
        <f t="shared" si="202"/>
        <v>1623.79</v>
      </c>
      <c r="AC99" s="95">
        <f t="shared" si="202"/>
        <v>1631.8899999999999</v>
      </c>
      <c r="AD99" s="95">
        <f t="shared" si="202"/>
        <v>1522.09</v>
      </c>
      <c r="AE99" s="95">
        <f t="shared" si="202"/>
        <v>1336.09</v>
      </c>
      <c r="AF99" s="95">
        <f t="shared" si="202"/>
        <v>1271.69</v>
      </c>
      <c r="AG99" s="88">
        <f>AG96+AG92+AG80+AG76+AG58+AG98</f>
        <v>1693.71</v>
      </c>
      <c r="AH99" s="47">
        <f t="shared" si="185"/>
        <v>1794.3900000000003</v>
      </c>
      <c r="AI99" s="48">
        <f t="shared" si="186"/>
        <v>1211.5899999999999</v>
      </c>
      <c r="BF99" s="233"/>
      <c r="BG99" s="233">
        <v>46.3</v>
      </c>
      <c r="BH99" s="233">
        <v>0</v>
      </c>
      <c r="BI99" s="233">
        <v>498.2</v>
      </c>
      <c r="BJ99" s="233">
        <v>47.3</v>
      </c>
      <c r="BK99" s="233">
        <v>98.6</v>
      </c>
      <c r="BL99" s="233">
        <v>73</v>
      </c>
      <c r="BZ99" s="242">
        <v>89</v>
      </c>
      <c r="CA99" s="240">
        <v>0.91666666666666696</v>
      </c>
      <c r="CB99" s="243"/>
      <c r="CC99" s="243"/>
      <c r="CD99" s="243"/>
      <c r="CE99" s="243"/>
      <c r="CF99" s="243"/>
      <c r="CG99" s="247"/>
      <c r="CH99" s="247"/>
    </row>
    <row r="100" spans="1:86" ht="15.75" thickBot="1" x14ac:dyDescent="0.3">
      <c r="A100" s="74" t="s">
        <v>102</v>
      </c>
      <c r="B100" s="95">
        <f t="shared" ref="B100:C100" si="208">B99-(B107)</f>
        <v>1239.49</v>
      </c>
      <c r="C100" s="95">
        <f t="shared" si="208"/>
        <v>1252.49</v>
      </c>
      <c r="D100" s="95">
        <f t="shared" ref="D100:M100" si="209">D99-(D107)</f>
        <v>1220.19</v>
      </c>
      <c r="E100" s="95">
        <f t="shared" si="209"/>
        <v>1211.5899999999999</v>
      </c>
      <c r="F100" s="95">
        <f t="shared" si="209"/>
        <v>1230.8899999999999</v>
      </c>
      <c r="G100" s="95">
        <f t="shared" si="209"/>
        <v>1248.5899999999999</v>
      </c>
      <c r="H100" s="95">
        <f t="shared" si="209"/>
        <v>1326.69</v>
      </c>
      <c r="I100" s="95">
        <f t="shared" si="209"/>
        <v>1405.19</v>
      </c>
      <c r="J100" s="95">
        <f t="shared" si="209"/>
        <v>1491.9549999999999</v>
      </c>
      <c r="K100" s="95">
        <f t="shared" si="209"/>
        <v>1487.69</v>
      </c>
      <c r="L100" s="95">
        <f t="shared" si="209"/>
        <v>1679.6799999999998</v>
      </c>
      <c r="M100" s="95">
        <f t="shared" si="209"/>
        <v>1596.68</v>
      </c>
      <c r="N100" s="95">
        <f>N99-(N107)</f>
        <v>1539.88</v>
      </c>
      <c r="O100" s="95">
        <f t="shared" ref="O100:AF100" si="210">O99-(O107)</f>
        <v>1517.88</v>
      </c>
      <c r="P100" s="95">
        <f t="shared" si="210"/>
        <v>1384.38</v>
      </c>
      <c r="Q100" s="95">
        <f t="shared" si="210"/>
        <v>1475.28</v>
      </c>
      <c r="R100" s="95">
        <f t="shared" si="210"/>
        <v>1503.09</v>
      </c>
      <c r="S100" s="95">
        <f t="shared" ref="S100:T100" si="211">S99-(S107)</f>
        <v>1505.19</v>
      </c>
      <c r="T100" s="95">
        <f t="shared" si="211"/>
        <v>1543.79</v>
      </c>
      <c r="U100" s="95">
        <f t="shared" ref="U100:V100" si="212">U99-(U107)</f>
        <v>1533.69</v>
      </c>
      <c r="V100" s="95">
        <f t="shared" si="212"/>
        <v>1548.49</v>
      </c>
      <c r="W100" s="95">
        <f t="shared" ref="W100:X100" si="213">W99-(W107)</f>
        <v>1583.29</v>
      </c>
      <c r="X100" s="95">
        <f t="shared" si="213"/>
        <v>1619.5900000000001</v>
      </c>
      <c r="Y100" s="95">
        <f t="shared" ref="Y100:Z100" si="214">Y99-(Y107)</f>
        <v>1753.2900000000002</v>
      </c>
      <c r="Z100" s="95">
        <f t="shared" si="214"/>
        <v>1794.3900000000003</v>
      </c>
      <c r="AA100" s="95">
        <f t="shared" ref="AA100" si="215">AA99-(AA107)</f>
        <v>1733.69</v>
      </c>
      <c r="AB100" s="95">
        <f t="shared" si="210"/>
        <v>1623.79</v>
      </c>
      <c r="AC100" s="95">
        <f t="shared" si="210"/>
        <v>1631.8899999999999</v>
      </c>
      <c r="AD100" s="95">
        <f t="shared" si="210"/>
        <v>1522.09</v>
      </c>
      <c r="AE100" s="95">
        <f t="shared" si="210"/>
        <v>1336.09</v>
      </c>
      <c r="AF100" s="95">
        <f t="shared" si="210"/>
        <v>1271.69</v>
      </c>
      <c r="AG100" s="88"/>
      <c r="AH100" s="47">
        <f t="shared" si="185"/>
        <v>1794.3900000000003</v>
      </c>
      <c r="AI100" s="48">
        <f t="shared" si="186"/>
        <v>1211.5899999999999</v>
      </c>
      <c r="BF100" s="233"/>
      <c r="BG100" s="233">
        <v>54</v>
      </c>
      <c r="BH100" s="233">
        <v>0</v>
      </c>
      <c r="BI100" s="233">
        <v>483</v>
      </c>
      <c r="BJ100" s="233">
        <v>47</v>
      </c>
      <c r="BK100" s="233">
        <v>88</v>
      </c>
      <c r="BL100" s="233">
        <v>60</v>
      </c>
      <c r="BZ100" s="242">
        <v>90</v>
      </c>
      <c r="CA100" s="240">
        <v>0.92708333333333304</v>
      </c>
      <c r="CB100" s="243"/>
      <c r="CC100" s="243"/>
      <c r="CD100" s="243"/>
      <c r="CE100" s="243"/>
      <c r="CF100" s="243"/>
      <c r="CG100" s="247"/>
      <c r="CH100" s="247"/>
    </row>
    <row r="101" spans="1:86" x14ac:dyDescent="0.25">
      <c r="A101" s="44" t="s">
        <v>84</v>
      </c>
      <c r="B101" s="76">
        <f t="shared" ref="B101:C101" si="216">IF(B84&lt;0,B84*-1,0)</f>
        <v>0</v>
      </c>
      <c r="C101" s="76">
        <f t="shared" si="216"/>
        <v>0</v>
      </c>
      <c r="D101" s="76">
        <f t="shared" ref="D101:AF101" si="217">IF(D84&lt;0,D84*-1,0)</f>
        <v>0</v>
      </c>
      <c r="E101" s="76">
        <f t="shared" si="217"/>
        <v>0</v>
      </c>
      <c r="F101" s="76">
        <f t="shared" si="217"/>
        <v>0</v>
      </c>
      <c r="G101" s="76">
        <f t="shared" si="217"/>
        <v>0</v>
      </c>
      <c r="H101" s="76">
        <f t="shared" si="217"/>
        <v>0</v>
      </c>
      <c r="I101" s="76">
        <f t="shared" si="217"/>
        <v>0</v>
      </c>
      <c r="J101" s="76">
        <f t="shared" si="217"/>
        <v>0</v>
      </c>
      <c r="K101" s="76">
        <f t="shared" si="217"/>
        <v>0</v>
      </c>
      <c r="L101" s="76">
        <f t="shared" si="217"/>
        <v>0</v>
      </c>
      <c r="M101" s="76">
        <f t="shared" si="217"/>
        <v>0</v>
      </c>
      <c r="N101" s="76">
        <f t="shared" si="217"/>
        <v>0</v>
      </c>
      <c r="O101" s="76">
        <f t="shared" si="217"/>
        <v>0</v>
      </c>
      <c r="P101" s="76">
        <f t="shared" si="217"/>
        <v>0</v>
      </c>
      <c r="Q101" s="76">
        <f t="shared" si="217"/>
        <v>0</v>
      </c>
      <c r="R101" s="76">
        <f t="shared" si="217"/>
        <v>0</v>
      </c>
      <c r="S101" s="76">
        <f t="shared" ref="S101:T101" si="218">IF(S84&lt;0,S84*-1,0)</f>
        <v>0</v>
      </c>
      <c r="T101" s="76">
        <f t="shared" si="218"/>
        <v>0</v>
      </c>
      <c r="U101" s="76">
        <f t="shared" ref="U101:V101" si="219">IF(U84&lt;0,U84*-1,0)</f>
        <v>0</v>
      </c>
      <c r="V101" s="76">
        <f t="shared" si="219"/>
        <v>0</v>
      </c>
      <c r="W101" s="76">
        <f t="shared" ref="W101:X101" si="220">IF(W84&lt;0,W84*-1,0)</f>
        <v>0</v>
      </c>
      <c r="X101" s="76">
        <f t="shared" si="220"/>
        <v>0</v>
      </c>
      <c r="Y101" s="76">
        <f t="shared" ref="Y101:Z101" si="221">IF(Y84&lt;0,Y84*-1,0)</f>
        <v>0</v>
      </c>
      <c r="Z101" s="76">
        <f t="shared" si="221"/>
        <v>0</v>
      </c>
      <c r="AA101" s="76">
        <f t="shared" ref="AA101" si="222">IF(AA84&lt;0,AA84*-1,0)</f>
        <v>0</v>
      </c>
      <c r="AB101" s="76">
        <f t="shared" si="217"/>
        <v>0</v>
      </c>
      <c r="AC101" s="76">
        <f t="shared" si="217"/>
        <v>0</v>
      </c>
      <c r="AD101" s="76">
        <f t="shared" si="217"/>
        <v>0</v>
      </c>
      <c r="AE101" s="76">
        <f t="shared" si="217"/>
        <v>0</v>
      </c>
      <c r="AF101" s="76">
        <f t="shared" si="217"/>
        <v>0</v>
      </c>
      <c r="AG101" s="52"/>
      <c r="AH101" s="47">
        <f t="shared" si="185"/>
        <v>0</v>
      </c>
      <c r="AI101" s="48">
        <f t="shared" si="186"/>
        <v>0</v>
      </c>
      <c r="BF101" s="232"/>
      <c r="BG101" s="233">
        <v>58.1</v>
      </c>
      <c r="BH101" s="233">
        <v>0</v>
      </c>
      <c r="BI101" s="233">
        <v>441.2</v>
      </c>
      <c r="BJ101" s="233">
        <v>6.4</v>
      </c>
      <c r="BK101" s="233">
        <v>0</v>
      </c>
      <c r="BL101" s="233">
        <v>77</v>
      </c>
      <c r="BZ101" s="242">
        <v>91</v>
      </c>
      <c r="CA101" s="240">
        <v>0.9375</v>
      </c>
      <c r="CB101" s="243"/>
      <c r="CC101" s="243"/>
      <c r="CD101" s="243"/>
      <c r="CE101" s="243"/>
      <c r="CF101" s="243"/>
      <c r="CG101" s="247"/>
      <c r="CH101" s="247"/>
    </row>
    <row r="102" spans="1:86" x14ac:dyDescent="0.25">
      <c r="A102" s="54" t="s">
        <v>82</v>
      </c>
      <c r="B102" s="76">
        <f t="shared" ref="B102:C102" si="223">IF(B82&lt;0,B82*-1,0)</f>
        <v>0</v>
      </c>
      <c r="C102" s="76">
        <f t="shared" si="223"/>
        <v>0</v>
      </c>
      <c r="D102" s="76">
        <f t="shared" ref="D102:AF102" si="224">IF(D82&lt;0,D82*-1,0)</f>
        <v>0</v>
      </c>
      <c r="E102" s="76">
        <f t="shared" si="224"/>
        <v>0</v>
      </c>
      <c r="F102" s="76">
        <f t="shared" si="224"/>
        <v>0</v>
      </c>
      <c r="G102" s="76">
        <f t="shared" si="224"/>
        <v>0</v>
      </c>
      <c r="H102" s="76">
        <f t="shared" si="224"/>
        <v>0</v>
      </c>
      <c r="I102" s="76">
        <f t="shared" si="224"/>
        <v>0</v>
      </c>
      <c r="J102" s="76">
        <f t="shared" si="224"/>
        <v>0</v>
      </c>
      <c r="K102" s="76">
        <f t="shared" si="224"/>
        <v>0</v>
      </c>
      <c r="L102" s="76">
        <f t="shared" si="224"/>
        <v>0</v>
      </c>
      <c r="M102" s="76">
        <f t="shared" si="224"/>
        <v>0</v>
      </c>
      <c r="N102" s="76">
        <f t="shared" si="224"/>
        <v>0</v>
      </c>
      <c r="O102" s="76">
        <f t="shared" si="224"/>
        <v>0</v>
      </c>
      <c r="P102" s="76">
        <f t="shared" si="224"/>
        <v>0</v>
      </c>
      <c r="Q102" s="76">
        <f t="shared" si="224"/>
        <v>0</v>
      </c>
      <c r="R102" s="76">
        <f t="shared" si="224"/>
        <v>0</v>
      </c>
      <c r="S102" s="76">
        <f t="shared" ref="S102:T102" si="225">IF(S82&lt;0,S82*-1,0)</f>
        <v>0</v>
      </c>
      <c r="T102" s="76">
        <f t="shared" si="225"/>
        <v>0</v>
      </c>
      <c r="U102" s="76">
        <f t="shared" ref="U102:V102" si="226">IF(U82&lt;0,U82*-1,0)</f>
        <v>0</v>
      </c>
      <c r="V102" s="76">
        <f t="shared" si="226"/>
        <v>0</v>
      </c>
      <c r="W102" s="76">
        <f t="shared" ref="W102:X102" si="227">IF(W82&lt;0,W82*-1,0)</f>
        <v>0</v>
      </c>
      <c r="X102" s="76">
        <f t="shared" si="227"/>
        <v>0</v>
      </c>
      <c r="Y102" s="76">
        <f t="shared" ref="Y102:Z102" si="228">IF(Y82&lt;0,Y82*-1,0)</f>
        <v>0</v>
      </c>
      <c r="Z102" s="76">
        <f t="shared" si="228"/>
        <v>0</v>
      </c>
      <c r="AA102" s="76">
        <f t="shared" ref="AA102" si="229">IF(AA82&lt;0,AA82*-1,0)</f>
        <v>0</v>
      </c>
      <c r="AB102" s="76">
        <f t="shared" si="224"/>
        <v>0</v>
      </c>
      <c r="AC102" s="76">
        <f t="shared" si="224"/>
        <v>0</v>
      </c>
      <c r="AD102" s="76">
        <f t="shared" si="224"/>
        <v>0</v>
      </c>
      <c r="AE102" s="76">
        <f t="shared" si="224"/>
        <v>0</v>
      </c>
      <c r="AF102" s="76">
        <f t="shared" si="224"/>
        <v>0</v>
      </c>
      <c r="AG102" s="55"/>
      <c r="AH102" s="47">
        <f t="shared" si="185"/>
        <v>0</v>
      </c>
      <c r="AI102" s="48">
        <f t="shared" si="186"/>
        <v>0</v>
      </c>
      <c r="BF102" s="232"/>
      <c r="BG102" s="233">
        <v>43.4</v>
      </c>
      <c r="BH102" s="233">
        <v>0</v>
      </c>
      <c r="BI102" s="233">
        <v>221.5</v>
      </c>
      <c r="BJ102" s="233">
        <v>8</v>
      </c>
      <c r="BK102" s="233">
        <v>0</v>
      </c>
      <c r="BL102" s="233">
        <v>76.5</v>
      </c>
      <c r="BZ102" s="242">
        <v>92</v>
      </c>
      <c r="CA102" s="240">
        <v>0.94791666666666696</v>
      </c>
      <c r="CB102" s="243"/>
      <c r="CC102" s="243"/>
      <c r="CD102" s="243"/>
      <c r="CE102" s="243"/>
      <c r="CF102" s="243"/>
      <c r="CG102" s="247"/>
      <c r="CH102" s="247"/>
    </row>
    <row r="103" spans="1:86" x14ac:dyDescent="0.25">
      <c r="A103" s="84" t="s">
        <v>103</v>
      </c>
      <c r="B103" s="76">
        <f t="shared" ref="B103:C103" si="230">IF(B85&lt;0,B85*-1,0)</f>
        <v>0</v>
      </c>
      <c r="C103" s="76">
        <f t="shared" si="230"/>
        <v>0</v>
      </c>
      <c r="D103" s="76">
        <f t="shared" ref="D103:AF103" si="231">IF(D85&lt;0,D85*-1,0)</f>
        <v>0</v>
      </c>
      <c r="E103" s="76">
        <f t="shared" si="231"/>
        <v>0</v>
      </c>
      <c r="F103" s="76">
        <f t="shared" si="231"/>
        <v>0</v>
      </c>
      <c r="G103" s="76">
        <f t="shared" si="231"/>
        <v>0</v>
      </c>
      <c r="H103" s="76">
        <f t="shared" si="231"/>
        <v>0</v>
      </c>
      <c r="I103" s="76">
        <f t="shared" si="231"/>
        <v>0</v>
      </c>
      <c r="J103" s="76">
        <f t="shared" si="231"/>
        <v>0</v>
      </c>
      <c r="K103" s="76">
        <f t="shared" si="231"/>
        <v>0</v>
      </c>
      <c r="L103" s="76">
        <f t="shared" si="231"/>
        <v>0</v>
      </c>
      <c r="M103" s="76">
        <f t="shared" si="231"/>
        <v>0</v>
      </c>
      <c r="N103" s="76">
        <f t="shared" si="231"/>
        <v>0</v>
      </c>
      <c r="O103" s="76">
        <f t="shared" si="231"/>
        <v>0</v>
      </c>
      <c r="P103" s="76">
        <f t="shared" si="231"/>
        <v>0</v>
      </c>
      <c r="Q103" s="76">
        <f t="shared" si="231"/>
        <v>0</v>
      </c>
      <c r="R103" s="76">
        <f t="shared" si="231"/>
        <v>0</v>
      </c>
      <c r="S103" s="76">
        <f t="shared" ref="S103:T103" si="232">IF(S85&lt;0,S85*-1,0)</f>
        <v>0</v>
      </c>
      <c r="T103" s="76">
        <f t="shared" si="232"/>
        <v>0</v>
      </c>
      <c r="U103" s="76">
        <f t="shared" ref="U103:V103" si="233">IF(U85&lt;0,U85*-1,0)</f>
        <v>0</v>
      </c>
      <c r="V103" s="76">
        <f t="shared" si="233"/>
        <v>0</v>
      </c>
      <c r="W103" s="76">
        <f t="shared" ref="W103:X103" si="234">IF(W85&lt;0,W85*-1,0)</f>
        <v>0</v>
      </c>
      <c r="X103" s="76">
        <f t="shared" si="234"/>
        <v>0</v>
      </c>
      <c r="Y103" s="76">
        <f t="shared" ref="Y103:Z103" si="235">IF(Y85&lt;0,Y85*-1,0)</f>
        <v>0</v>
      </c>
      <c r="Z103" s="76">
        <f t="shared" si="235"/>
        <v>0</v>
      </c>
      <c r="AA103" s="76">
        <f t="shared" ref="AA103" si="236">IF(AA85&lt;0,AA85*-1,0)</f>
        <v>0</v>
      </c>
      <c r="AB103" s="76">
        <f t="shared" si="231"/>
        <v>0</v>
      </c>
      <c r="AC103" s="76">
        <f t="shared" si="231"/>
        <v>0</v>
      </c>
      <c r="AD103" s="76">
        <f t="shared" si="231"/>
        <v>0</v>
      </c>
      <c r="AE103" s="76">
        <f t="shared" si="231"/>
        <v>0</v>
      </c>
      <c r="AF103" s="76">
        <f t="shared" si="231"/>
        <v>0</v>
      </c>
      <c r="AG103" s="98"/>
      <c r="AH103" s="47">
        <f t="shared" si="185"/>
        <v>0</v>
      </c>
      <c r="AI103" s="48">
        <f t="shared" si="186"/>
        <v>0</v>
      </c>
      <c r="BF103" s="232"/>
      <c r="BG103" s="233">
        <v>49.2</v>
      </c>
      <c r="BH103" s="233">
        <v>0</v>
      </c>
      <c r="BI103" s="233">
        <v>262</v>
      </c>
      <c r="BJ103" s="233">
        <v>6.1</v>
      </c>
      <c r="BK103" s="233">
        <v>0</v>
      </c>
      <c r="BL103" s="233">
        <v>62</v>
      </c>
      <c r="BZ103" s="242">
        <v>93</v>
      </c>
      <c r="CA103" s="240">
        <v>0.95833333333333304</v>
      </c>
      <c r="CB103" s="243"/>
      <c r="CC103" s="243"/>
      <c r="CD103" s="243"/>
      <c r="CE103" s="243"/>
      <c r="CF103" s="243"/>
      <c r="CG103" s="247"/>
      <c r="CH103" s="247"/>
    </row>
    <row r="104" spans="1:86" x14ac:dyDescent="0.25">
      <c r="A104" s="84" t="s">
        <v>104</v>
      </c>
      <c r="B104" s="76">
        <f t="shared" ref="B104:C104" si="237">IF(B83&lt;0,B83*-1,0)</f>
        <v>0</v>
      </c>
      <c r="C104" s="76">
        <f t="shared" si="237"/>
        <v>0</v>
      </c>
      <c r="D104" s="76">
        <f t="shared" ref="D104:AF104" si="238">IF(D83&lt;0,D83*-1,0)</f>
        <v>0</v>
      </c>
      <c r="E104" s="76">
        <f t="shared" si="238"/>
        <v>0</v>
      </c>
      <c r="F104" s="76">
        <f t="shared" si="238"/>
        <v>0</v>
      </c>
      <c r="G104" s="76">
        <f t="shared" si="238"/>
        <v>0</v>
      </c>
      <c r="H104" s="76">
        <f t="shared" si="238"/>
        <v>0</v>
      </c>
      <c r="I104" s="76">
        <f t="shared" si="238"/>
        <v>0</v>
      </c>
      <c r="J104" s="76">
        <f t="shared" si="238"/>
        <v>0</v>
      </c>
      <c r="K104" s="76">
        <f t="shared" si="238"/>
        <v>0</v>
      </c>
      <c r="L104" s="76">
        <f t="shared" si="238"/>
        <v>0</v>
      </c>
      <c r="M104" s="76">
        <f t="shared" si="238"/>
        <v>0</v>
      </c>
      <c r="N104" s="76">
        <f t="shared" si="238"/>
        <v>0</v>
      </c>
      <c r="O104" s="76">
        <f t="shared" si="238"/>
        <v>0</v>
      </c>
      <c r="P104" s="76">
        <f t="shared" si="238"/>
        <v>0</v>
      </c>
      <c r="Q104" s="76">
        <f t="shared" si="238"/>
        <v>0</v>
      </c>
      <c r="R104" s="76">
        <f t="shared" si="238"/>
        <v>0</v>
      </c>
      <c r="S104" s="76">
        <f t="shared" ref="S104:T104" si="239">IF(S83&lt;0,S83*-1,0)</f>
        <v>0</v>
      </c>
      <c r="T104" s="76">
        <f t="shared" si="239"/>
        <v>0</v>
      </c>
      <c r="U104" s="76">
        <f t="shared" ref="U104:V104" si="240">IF(U83&lt;0,U83*-1,0)</f>
        <v>0</v>
      </c>
      <c r="V104" s="76">
        <f t="shared" si="240"/>
        <v>0</v>
      </c>
      <c r="W104" s="76">
        <f t="shared" ref="W104:X104" si="241">IF(W83&lt;0,W83*-1,0)</f>
        <v>0</v>
      </c>
      <c r="X104" s="76">
        <f t="shared" si="241"/>
        <v>0</v>
      </c>
      <c r="Y104" s="76">
        <f t="shared" ref="Y104:Z104" si="242">IF(Y83&lt;0,Y83*-1,0)</f>
        <v>0</v>
      </c>
      <c r="Z104" s="76">
        <f t="shared" si="242"/>
        <v>0</v>
      </c>
      <c r="AA104" s="76">
        <f t="shared" ref="AA104" si="243">IF(AA83&lt;0,AA83*-1,0)</f>
        <v>0</v>
      </c>
      <c r="AB104" s="76">
        <f t="shared" si="238"/>
        <v>0</v>
      </c>
      <c r="AC104" s="76">
        <f t="shared" si="238"/>
        <v>0</v>
      </c>
      <c r="AD104" s="76">
        <f t="shared" si="238"/>
        <v>0</v>
      </c>
      <c r="AE104" s="76">
        <f t="shared" si="238"/>
        <v>0</v>
      </c>
      <c r="AF104" s="76">
        <f t="shared" si="238"/>
        <v>0</v>
      </c>
      <c r="AG104" s="98"/>
      <c r="AH104" s="47">
        <f t="shared" si="185"/>
        <v>0</v>
      </c>
      <c r="AI104" s="48">
        <f t="shared" si="186"/>
        <v>0</v>
      </c>
      <c r="BF104" s="232"/>
      <c r="BG104" s="233">
        <v>57</v>
      </c>
      <c r="BH104" s="233">
        <v>0</v>
      </c>
      <c r="BI104" s="233">
        <v>385</v>
      </c>
      <c r="BJ104" s="233">
        <v>23</v>
      </c>
      <c r="BK104" s="233">
        <v>0</v>
      </c>
      <c r="BL104" s="233">
        <v>64</v>
      </c>
      <c r="BZ104" s="242">
        <v>94</v>
      </c>
      <c r="CA104" s="240">
        <v>0.96875</v>
      </c>
      <c r="CB104" s="243"/>
      <c r="CC104" s="243"/>
      <c r="CD104" s="243"/>
      <c r="CE104" s="243"/>
      <c r="CF104" s="243"/>
      <c r="CG104" s="247"/>
      <c r="CH104" s="247"/>
    </row>
    <row r="105" spans="1:86" x14ac:dyDescent="0.25">
      <c r="A105" s="84" t="s">
        <v>81</v>
      </c>
      <c r="B105" s="76">
        <f t="shared" ref="B105:C105" si="244">IF(B81&lt;0,B81*-1,0)</f>
        <v>0</v>
      </c>
      <c r="C105" s="76">
        <f t="shared" si="244"/>
        <v>0</v>
      </c>
      <c r="D105" s="76">
        <f t="shared" ref="D105:AF105" si="245">IF(D81&lt;0,D81*-1,0)</f>
        <v>0</v>
      </c>
      <c r="E105" s="76">
        <f t="shared" si="245"/>
        <v>0</v>
      </c>
      <c r="F105" s="76">
        <f t="shared" si="245"/>
        <v>0</v>
      </c>
      <c r="G105" s="76">
        <f t="shared" si="245"/>
        <v>0</v>
      </c>
      <c r="H105" s="76">
        <f t="shared" si="245"/>
        <v>0</v>
      </c>
      <c r="I105" s="76">
        <f t="shared" si="245"/>
        <v>0</v>
      </c>
      <c r="J105" s="76">
        <f t="shared" si="245"/>
        <v>0</v>
      </c>
      <c r="K105" s="76">
        <f t="shared" si="245"/>
        <v>0</v>
      </c>
      <c r="L105" s="76">
        <f t="shared" si="245"/>
        <v>0</v>
      </c>
      <c r="M105" s="76">
        <f t="shared" si="245"/>
        <v>0</v>
      </c>
      <c r="N105" s="76">
        <f t="shared" si="245"/>
        <v>0</v>
      </c>
      <c r="O105" s="76">
        <f t="shared" si="245"/>
        <v>0</v>
      </c>
      <c r="P105" s="76">
        <f t="shared" si="245"/>
        <v>0</v>
      </c>
      <c r="Q105" s="76">
        <f t="shared" si="245"/>
        <v>0</v>
      </c>
      <c r="R105" s="76">
        <f t="shared" si="245"/>
        <v>0</v>
      </c>
      <c r="S105" s="76">
        <f t="shared" ref="S105:T105" si="246">IF(S81&lt;0,S81*-1,0)</f>
        <v>0</v>
      </c>
      <c r="T105" s="76">
        <f t="shared" si="246"/>
        <v>0</v>
      </c>
      <c r="U105" s="76">
        <f t="shared" ref="U105:V105" si="247">IF(U81&lt;0,U81*-1,0)</f>
        <v>0</v>
      </c>
      <c r="V105" s="76">
        <f t="shared" si="247"/>
        <v>0</v>
      </c>
      <c r="W105" s="76">
        <f t="shared" ref="W105:X105" si="248">IF(W81&lt;0,W81*-1,0)</f>
        <v>0</v>
      </c>
      <c r="X105" s="76">
        <f t="shared" si="248"/>
        <v>0</v>
      </c>
      <c r="Y105" s="76">
        <f t="shared" ref="Y105:Z105" si="249">IF(Y81&lt;0,Y81*-1,0)</f>
        <v>0</v>
      </c>
      <c r="Z105" s="76">
        <f t="shared" si="249"/>
        <v>0</v>
      </c>
      <c r="AA105" s="76">
        <f t="shared" ref="AA105" si="250">IF(AA81&lt;0,AA81*-1,0)</f>
        <v>0</v>
      </c>
      <c r="AB105" s="76">
        <f t="shared" si="245"/>
        <v>0</v>
      </c>
      <c r="AC105" s="76">
        <f t="shared" si="245"/>
        <v>0</v>
      </c>
      <c r="AD105" s="76">
        <f t="shared" si="245"/>
        <v>0</v>
      </c>
      <c r="AE105" s="76">
        <f t="shared" si="245"/>
        <v>0</v>
      </c>
      <c r="AF105" s="76">
        <f t="shared" si="245"/>
        <v>0</v>
      </c>
      <c r="AG105" s="98"/>
      <c r="AH105" s="47">
        <f t="shared" si="185"/>
        <v>0</v>
      </c>
      <c r="AI105" s="48">
        <f t="shared" si="186"/>
        <v>0</v>
      </c>
      <c r="BF105" s="232"/>
      <c r="BG105" s="233">
        <v>62</v>
      </c>
      <c r="BH105" s="233">
        <v>0</v>
      </c>
      <c r="BI105" s="233">
        <v>395</v>
      </c>
      <c r="BJ105" s="233">
        <v>37</v>
      </c>
      <c r="BK105" s="233">
        <v>95</v>
      </c>
      <c r="BL105" s="233">
        <v>74</v>
      </c>
      <c r="BZ105" s="242">
        <v>95</v>
      </c>
      <c r="CA105" s="240">
        <v>0.97916666666666696</v>
      </c>
      <c r="CB105" s="243"/>
      <c r="CC105" s="243"/>
      <c r="CD105" s="243"/>
      <c r="CE105" s="243"/>
      <c r="CF105" s="243"/>
      <c r="CG105" s="247"/>
      <c r="CH105" s="247"/>
    </row>
    <row r="106" spans="1:86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185"/>
        <v>0</v>
      </c>
      <c r="AI106" s="48">
        <f t="shared" si="186"/>
        <v>0</v>
      </c>
      <c r="BG106" s="233">
        <v>62.3</v>
      </c>
      <c r="BH106" s="233">
        <v>0</v>
      </c>
      <c r="BI106" s="233">
        <v>405</v>
      </c>
      <c r="BJ106" s="233">
        <v>57</v>
      </c>
      <c r="BK106" s="233">
        <v>0</v>
      </c>
      <c r="BL106" s="233">
        <v>74</v>
      </c>
      <c r="BZ106" s="242">
        <v>96</v>
      </c>
      <c r="CA106" s="240">
        <v>0.98958333333333304</v>
      </c>
      <c r="CB106" s="243"/>
      <c r="CC106" s="243"/>
      <c r="CD106" s="243"/>
      <c r="CE106" s="243"/>
      <c r="CF106" s="243"/>
      <c r="CG106" s="247"/>
      <c r="CH106" s="247"/>
    </row>
    <row r="107" spans="1:86" ht="15.75" thickBot="1" x14ac:dyDescent="0.3">
      <c r="A107" s="99" t="s">
        <v>106</v>
      </c>
      <c r="B107" s="60">
        <f t="shared" ref="B107:C107" si="251">SUM(B101:B106)</f>
        <v>0</v>
      </c>
      <c r="C107" s="60">
        <f t="shared" si="251"/>
        <v>0</v>
      </c>
      <c r="D107" s="60">
        <f t="shared" ref="D107:AF107" si="252">SUM(D101:D106)</f>
        <v>0</v>
      </c>
      <c r="E107" s="60">
        <f t="shared" si="252"/>
        <v>0</v>
      </c>
      <c r="F107" s="60">
        <f t="shared" si="252"/>
        <v>0</v>
      </c>
      <c r="G107" s="60">
        <f t="shared" si="252"/>
        <v>0</v>
      </c>
      <c r="H107" s="60">
        <f t="shared" si="252"/>
        <v>0</v>
      </c>
      <c r="I107" s="60">
        <f t="shared" si="252"/>
        <v>0</v>
      </c>
      <c r="J107" s="60">
        <f t="shared" si="252"/>
        <v>0</v>
      </c>
      <c r="K107" s="60">
        <f t="shared" si="252"/>
        <v>0</v>
      </c>
      <c r="L107" s="60">
        <f t="shared" si="252"/>
        <v>0</v>
      </c>
      <c r="M107" s="60">
        <f t="shared" si="252"/>
        <v>0</v>
      </c>
      <c r="N107" s="60">
        <f t="shared" si="252"/>
        <v>0</v>
      </c>
      <c r="O107" s="60">
        <f t="shared" si="252"/>
        <v>0</v>
      </c>
      <c r="P107" s="60">
        <f t="shared" si="252"/>
        <v>0</v>
      </c>
      <c r="Q107" s="60">
        <f t="shared" si="252"/>
        <v>0</v>
      </c>
      <c r="R107" s="60">
        <f t="shared" si="252"/>
        <v>0</v>
      </c>
      <c r="S107" s="60">
        <f t="shared" ref="S107:T107" si="253">SUM(S101:S106)</f>
        <v>0</v>
      </c>
      <c r="T107" s="60">
        <f t="shared" si="253"/>
        <v>0</v>
      </c>
      <c r="U107" s="60">
        <f t="shared" ref="U107:V107" si="254">SUM(U101:U106)</f>
        <v>0</v>
      </c>
      <c r="V107" s="60">
        <f t="shared" si="254"/>
        <v>0</v>
      </c>
      <c r="W107" s="60">
        <f t="shared" ref="W107:X107" si="255">SUM(W101:W106)</f>
        <v>0</v>
      </c>
      <c r="X107" s="60">
        <f t="shared" si="255"/>
        <v>0</v>
      </c>
      <c r="Y107" s="60">
        <f t="shared" ref="Y107:Z107" si="256">SUM(Y101:Y106)</f>
        <v>0</v>
      </c>
      <c r="Z107" s="60">
        <f t="shared" si="256"/>
        <v>0</v>
      </c>
      <c r="AA107" s="60">
        <f t="shared" ref="AA107" si="257">SUM(AA101:AA106)</f>
        <v>0</v>
      </c>
      <c r="AB107" s="60">
        <f t="shared" si="252"/>
        <v>0</v>
      </c>
      <c r="AC107" s="60">
        <f t="shared" si="252"/>
        <v>0</v>
      </c>
      <c r="AD107" s="60">
        <f t="shared" si="252"/>
        <v>0</v>
      </c>
      <c r="AE107" s="60">
        <f t="shared" si="252"/>
        <v>0</v>
      </c>
      <c r="AF107" s="60">
        <f t="shared" si="252"/>
        <v>0</v>
      </c>
      <c r="AG107" s="88"/>
      <c r="AH107" s="47">
        <f t="shared" si="185"/>
        <v>0</v>
      </c>
      <c r="AI107" s="48">
        <f t="shared" si="186"/>
        <v>0</v>
      </c>
      <c r="AK107" s="50"/>
      <c r="BG107" s="233">
        <v>48</v>
      </c>
      <c r="BH107" s="233">
        <v>0</v>
      </c>
      <c r="BI107" s="233">
        <v>402</v>
      </c>
      <c r="BJ107" s="233">
        <v>39</v>
      </c>
      <c r="BK107" s="233">
        <v>120</v>
      </c>
      <c r="BL107" s="233">
        <v>62</v>
      </c>
    </row>
    <row r="108" spans="1:86" ht="15.75" thickBot="1" x14ac:dyDescent="0.3">
      <c r="A108" s="74" t="s">
        <v>107</v>
      </c>
      <c r="B108" s="60">
        <f t="shared" ref="B108:C108" si="258">B92-B107</f>
        <v>671</v>
      </c>
      <c r="C108" s="60">
        <f t="shared" si="258"/>
        <v>684</v>
      </c>
      <c r="D108" s="60">
        <f t="shared" ref="D108:AF108" si="259">D92-D107</f>
        <v>640</v>
      </c>
      <c r="E108" s="60">
        <f t="shared" si="259"/>
        <v>631.4</v>
      </c>
      <c r="F108" s="60">
        <f t="shared" si="259"/>
        <v>650.69999999999993</v>
      </c>
      <c r="G108" s="60">
        <f t="shared" si="259"/>
        <v>668.4</v>
      </c>
      <c r="H108" s="60">
        <f t="shared" si="259"/>
        <v>668.30000000000007</v>
      </c>
      <c r="I108" s="60">
        <f t="shared" si="259"/>
        <v>672.80000000000007</v>
      </c>
      <c r="J108" s="60">
        <f t="shared" si="259"/>
        <v>641.36500000000001</v>
      </c>
      <c r="K108" s="60">
        <f t="shared" si="259"/>
        <v>633.79999999999995</v>
      </c>
      <c r="L108" s="60">
        <f t="shared" si="259"/>
        <v>607.9</v>
      </c>
      <c r="M108" s="60">
        <f t="shared" si="259"/>
        <v>261.5</v>
      </c>
      <c r="N108" s="60">
        <f t="shared" si="259"/>
        <v>541.5</v>
      </c>
      <c r="O108" s="60">
        <f t="shared" si="259"/>
        <v>539.20000000000005</v>
      </c>
      <c r="P108" s="60">
        <f t="shared" si="259"/>
        <v>565.70000000000005</v>
      </c>
      <c r="Q108" s="60">
        <f t="shared" si="259"/>
        <v>681.8</v>
      </c>
      <c r="R108" s="60">
        <f t="shared" si="259"/>
        <v>736.8</v>
      </c>
      <c r="S108" s="60">
        <f t="shared" ref="S108:T108" si="260">S92-S107</f>
        <v>751.5</v>
      </c>
      <c r="T108" s="60">
        <f t="shared" si="260"/>
        <v>780.49999999999989</v>
      </c>
      <c r="U108" s="60">
        <f t="shared" ref="U108:V108" si="261">U92-U107</f>
        <v>763.4</v>
      </c>
      <c r="V108" s="60">
        <f t="shared" si="261"/>
        <v>732</v>
      </c>
      <c r="W108" s="60">
        <f t="shared" ref="W108:X108" si="262">W92-W107</f>
        <v>594.6</v>
      </c>
      <c r="X108" s="60">
        <f t="shared" si="262"/>
        <v>582.70000000000005</v>
      </c>
      <c r="Y108" s="60">
        <f t="shared" ref="Y108:Z108" si="263">Y92-Y107</f>
        <v>437.20000000000005</v>
      </c>
      <c r="Z108" s="60">
        <f t="shared" si="263"/>
        <v>349.4</v>
      </c>
      <c r="AA108" s="60">
        <f t="shared" ref="AA108" si="264">AA92-AA107</f>
        <v>466.1</v>
      </c>
      <c r="AB108" s="60">
        <f t="shared" si="259"/>
        <v>379.3</v>
      </c>
      <c r="AC108" s="60">
        <f t="shared" si="259"/>
        <v>519.9</v>
      </c>
      <c r="AD108" s="60">
        <f t="shared" si="259"/>
        <v>529</v>
      </c>
      <c r="AE108" s="60">
        <f t="shared" si="259"/>
        <v>663</v>
      </c>
      <c r="AF108" s="60">
        <f t="shared" si="259"/>
        <v>598.29999999999995</v>
      </c>
      <c r="AG108" s="88"/>
      <c r="AH108" s="47">
        <f t="shared" si="185"/>
        <v>780.49999999999989</v>
      </c>
      <c r="AI108" s="48">
        <f t="shared" si="186"/>
        <v>261.5</v>
      </c>
    </row>
    <row r="109" spans="1:86" x14ac:dyDescent="0.25">
      <c r="A109" s="100" t="s">
        <v>108</v>
      </c>
      <c r="B109" s="101">
        <v>50.04</v>
      </c>
      <c r="C109" s="101">
        <v>49.98</v>
      </c>
      <c r="D109" s="101">
        <v>50.01</v>
      </c>
      <c r="E109" s="101">
        <v>49.917999999999999</v>
      </c>
      <c r="F109" s="101">
        <v>49.917999999999999</v>
      </c>
      <c r="G109" s="101">
        <v>49.976999999999997</v>
      </c>
      <c r="H109" s="101">
        <v>49.923000000000002</v>
      </c>
      <c r="I109" s="101">
        <v>50.006999999999998</v>
      </c>
      <c r="J109" s="101">
        <v>50.081000000000003</v>
      </c>
      <c r="K109" s="101">
        <v>49.927999999999997</v>
      </c>
      <c r="L109" s="101">
        <v>49.85</v>
      </c>
      <c r="M109" s="101">
        <v>49.884</v>
      </c>
      <c r="N109" s="101">
        <v>50.011000000000003</v>
      </c>
      <c r="O109" s="101">
        <v>50.078000000000003</v>
      </c>
      <c r="P109" s="101">
        <v>50.061999999999998</v>
      </c>
      <c r="Q109" s="101">
        <v>50.055</v>
      </c>
      <c r="R109" s="101">
        <v>49.99</v>
      </c>
      <c r="S109" s="101">
        <v>49.97</v>
      </c>
      <c r="T109" s="101">
        <v>49.93</v>
      </c>
      <c r="U109" s="101">
        <v>49.96</v>
      </c>
      <c r="V109" s="101">
        <v>50</v>
      </c>
      <c r="W109" s="101">
        <v>50</v>
      </c>
      <c r="X109" s="101">
        <v>50.04</v>
      </c>
      <c r="Y109" s="101">
        <v>49.92</v>
      </c>
      <c r="Z109" s="101">
        <v>49.95</v>
      </c>
      <c r="AA109" s="101">
        <v>50</v>
      </c>
      <c r="AB109" s="101">
        <v>49.96</v>
      </c>
      <c r="AC109" s="101">
        <v>50.034999999999997</v>
      </c>
      <c r="AD109" s="101">
        <v>49.975999999999999</v>
      </c>
      <c r="AE109" s="101">
        <v>50.002000000000002</v>
      </c>
      <c r="AF109" s="101">
        <v>50.024999999999999</v>
      </c>
      <c r="AG109" s="102"/>
      <c r="AH109" s="47">
        <f t="shared" si="185"/>
        <v>50.081000000000003</v>
      </c>
      <c r="AI109" s="48">
        <f t="shared" si="186"/>
        <v>49.85</v>
      </c>
    </row>
    <row r="110" spans="1:86" x14ac:dyDescent="0.25">
      <c r="A110" s="103" t="s">
        <v>109</v>
      </c>
      <c r="B110" s="65">
        <v>130.4</v>
      </c>
      <c r="C110" s="65">
        <v>130.4</v>
      </c>
      <c r="D110" s="65">
        <v>130.19999999999999</v>
      </c>
      <c r="E110" s="65">
        <v>129.80000000000001</v>
      </c>
      <c r="F110" s="65">
        <v>129.80000000000001</v>
      </c>
      <c r="G110" s="65">
        <v>127.1</v>
      </c>
      <c r="H110" s="65">
        <v>127.3</v>
      </c>
      <c r="I110" s="65">
        <v>127.3</v>
      </c>
      <c r="J110" s="65">
        <v>127</v>
      </c>
      <c r="K110" s="65">
        <v>128.19999999999999</v>
      </c>
      <c r="L110" s="65">
        <v>126</v>
      </c>
      <c r="M110" s="65">
        <v>124.7</v>
      </c>
      <c r="N110" s="65">
        <v>124.3</v>
      </c>
      <c r="O110" s="65">
        <v>126.6</v>
      </c>
      <c r="P110" s="65">
        <v>124</v>
      </c>
      <c r="Q110" s="65">
        <v>125.1</v>
      </c>
      <c r="R110" s="65">
        <v>124.1</v>
      </c>
      <c r="S110" s="65">
        <v>125.3</v>
      </c>
      <c r="T110" s="65">
        <v>122.2</v>
      </c>
      <c r="U110" s="65">
        <v>124.6</v>
      </c>
      <c r="V110" s="65">
        <v>127.2</v>
      </c>
      <c r="W110" s="65">
        <v>127.2</v>
      </c>
      <c r="X110" s="65">
        <v>129</v>
      </c>
      <c r="Y110" s="65">
        <v>127</v>
      </c>
      <c r="Z110" s="65">
        <v>127.5</v>
      </c>
      <c r="AA110" s="65">
        <v>130.69999999999999</v>
      </c>
      <c r="AB110" s="65">
        <v>131.19999999999999</v>
      </c>
      <c r="AC110" s="65">
        <v>130.30000000000001</v>
      </c>
      <c r="AD110" s="65">
        <v>130.1</v>
      </c>
      <c r="AE110" s="65">
        <v>128.6</v>
      </c>
      <c r="AF110" s="65">
        <v>127.8</v>
      </c>
      <c r="AG110" s="104"/>
      <c r="AH110" s="47">
        <f t="shared" si="185"/>
        <v>131.19999999999999</v>
      </c>
      <c r="AI110" s="48">
        <f t="shared" si="186"/>
        <v>122.2</v>
      </c>
    </row>
    <row r="111" spans="1:86" x14ac:dyDescent="0.25">
      <c r="A111" s="103" t="s">
        <v>110</v>
      </c>
      <c r="B111" s="65">
        <v>133</v>
      </c>
      <c r="C111" s="65">
        <v>133</v>
      </c>
      <c r="D111" s="65">
        <v>133.6</v>
      </c>
      <c r="E111" s="65">
        <v>133.19999999999999</v>
      </c>
      <c r="F111" s="65">
        <v>133.19999999999999</v>
      </c>
      <c r="G111" s="65">
        <v>130.6</v>
      </c>
      <c r="H111" s="65">
        <v>130.80000000000001</v>
      </c>
      <c r="I111" s="65">
        <v>130.80000000000001</v>
      </c>
      <c r="J111" s="65">
        <v>129.6</v>
      </c>
      <c r="K111" s="65">
        <v>130</v>
      </c>
      <c r="L111" s="65">
        <v>127.6</v>
      </c>
      <c r="M111" s="65">
        <v>127.5</v>
      </c>
      <c r="N111" s="65">
        <v>127.8</v>
      </c>
      <c r="O111" s="65">
        <v>129</v>
      </c>
      <c r="P111" s="65">
        <v>128</v>
      </c>
      <c r="Q111" s="65">
        <v>128.19999999999999</v>
      </c>
      <c r="R111" s="65">
        <v>127.2</v>
      </c>
      <c r="S111" s="65">
        <v>128.6</v>
      </c>
      <c r="T111" s="65">
        <v>126.1</v>
      </c>
      <c r="U111" s="65">
        <v>127.8</v>
      </c>
      <c r="V111" s="65">
        <v>129.80000000000001</v>
      </c>
      <c r="W111" s="65">
        <v>129.80000000000001</v>
      </c>
      <c r="X111" s="65">
        <v>131.74</v>
      </c>
      <c r="Y111" s="65">
        <v>131.74</v>
      </c>
      <c r="Z111" s="65">
        <v>129.4</v>
      </c>
      <c r="AA111" s="65">
        <v>132.30000000000001</v>
      </c>
      <c r="AB111" s="65">
        <v>132.5</v>
      </c>
      <c r="AC111" s="65">
        <v>132.19999999999999</v>
      </c>
      <c r="AD111" s="65">
        <v>132.4</v>
      </c>
      <c r="AE111" s="65">
        <v>131.69999999999999</v>
      </c>
      <c r="AF111" s="65">
        <v>132</v>
      </c>
      <c r="AG111" s="104"/>
      <c r="AH111" s="47">
        <f t="shared" si="185"/>
        <v>133.6</v>
      </c>
      <c r="AI111" s="48">
        <f t="shared" si="186"/>
        <v>126.1</v>
      </c>
    </row>
    <row r="112" spans="1:86" x14ac:dyDescent="0.25">
      <c r="A112" s="103" t="s">
        <v>111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>
        <v>125.4</v>
      </c>
      <c r="T112" s="65">
        <v>127.8</v>
      </c>
      <c r="U112" s="65">
        <v>124.2</v>
      </c>
      <c r="V112" s="65">
        <v>127.3</v>
      </c>
      <c r="W112" s="65">
        <v>127.3</v>
      </c>
      <c r="X112" s="65">
        <v>128.80000000000001</v>
      </c>
      <c r="Y112" s="65">
        <v>128.80000000000001</v>
      </c>
      <c r="Z112" s="65">
        <v>129.31</v>
      </c>
      <c r="AA112" s="65">
        <v>133.1</v>
      </c>
      <c r="AB112" s="65">
        <v>131.1</v>
      </c>
      <c r="AC112" s="65">
        <v>129.4</v>
      </c>
      <c r="AD112" s="65">
        <v>128.69999999999999</v>
      </c>
      <c r="AE112" s="65">
        <v>126.1</v>
      </c>
      <c r="AF112" s="65">
        <v>128.5</v>
      </c>
      <c r="AG112" s="104"/>
      <c r="AH112" s="47">
        <f t="shared" si="185"/>
        <v>133.1</v>
      </c>
      <c r="AI112" s="48">
        <f t="shared" si="186"/>
        <v>124.2</v>
      </c>
    </row>
    <row r="113" spans="1:35" x14ac:dyDescent="0.25">
      <c r="A113" s="105" t="s">
        <v>112</v>
      </c>
      <c r="B113" s="65">
        <v>133</v>
      </c>
      <c r="C113" s="65">
        <v>134</v>
      </c>
      <c r="D113" s="65">
        <v>134.6</v>
      </c>
      <c r="E113" s="65">
        <v>134.5</v>
      </c>
      <c r="F113" s="65">
        <v>134.5</v>
      </c>
      <c r="G113" s="65">
        <v>130.6</v>
      </c>
      <c r="H113" s="65">
        <v>128.69999999999999</v>
      </c>
      <c r="I113" s="65">
        <v>128.69999999999999</v>
      </c>
      <c r="J113" s="65">
        <v>122.2</v>
      </c>
      <c r="K113" s="65">
        <v>122.6</v>
      </c>
      <c r="L113" s="65">
        <v>122.4</v>
      </c>
      <c r="M113" s="65">
        <v>122.6</v>
      </c>
      <c r="N113" s="65">
        <v>123.3</v>
      </c>
      <c r="O113" s="65">
        <v>125.6</v>
      </c>
      <c r="P113" s="65">
        <v>121.5</v>
      </c>
      <c r="Q113" s="65">
        <v>127.4</v>
      </c>
      <c r="R113" s="65">
        <v>122.3</v>
      </c>
      <c r="S113" s="65">
        <v>123.9</v>
      </c>
      <c r="T113" s="65">
        <v>126.3</v>
      </c>
      <c r="U113" s="65">
        <v>123.9</v>
      </c>
      <c r="V113" s="65">
        <v>125.9</v>
      </c>
      <c r="W113" s="65">
        <v>125.9</v>
      </c>
      <c r="X113" s="65">
        <v>125.8</v>
      </c>
      <c r="Y113" s="65">
        <v>125.8</v>
      </c>
      <c r="Z113" s="65">
        <v>127.3</v>
      </c>
      <c r="AA113" s="65">
        <v>131.4</v>
      </c>
      <c r="AB113" s="65">
        <v>131.5</v>
      </c>
      <c r="AC113" s="65">
        <v>130.80000000000001</v>
      </c>
      <c r="AD113" s="65">
        <v>129.69999999999999</v>
      </c>
      <c r="AE113" s="65">
        <v>128.30000000000001</v>
      </c>
      <c r="AF113" s="65">
        <v>131</v>
      </c>
      <c r="AG113" s="104"/>
      <c r="AH113" s="47">
        <f t="shared" si="185"/>
        <v>134.6</v>
      </c>
      <c r="AI113" s="48">
        <f t="shared" si="186"/>
        <v>121.5</v>
      </c>
    </row>
    <row r="114" spans="1:35" x14ac:dyDescent="0.25">
      <c r="A114" s="105" t="s">
        <v>113</v>
      </c>
      <c r="B114" s="106">
        <v>134.5</v>
      </c>
      <c r="C114" s="106">
        <v>131.4</v>
      </c>
      <c r="D114" s="106">
        <v>133.9</v>
      </c>
      <c r="E114" s="106">
        <v>133.9</v>
      </c>
      <c r="F114" s="106">
        <v>133.9</v>
      </c>
      <c r="G114" s="106">
        <v>131.80000000000001</v>
      </c>
      <c r="H114" s="106">
        <v>132.80000000000001</v>
      </c>
      <c r="I114" s="106">
        <v>135.1</v>
      </c>
      <c r="J114" s="106">
        <v>133.9</v>
      </c>
      <c r="K114" s="106">
        <v>136.19999999999999</v>
      </c>
      <c r="L114" s="106">
        <v>133.5</v>
      </c>
      <c r="M114" s="106">
        <v>132.9</v>
      </c>
      <c r="N114" s="106">
        <v>131.9</v>
      </c>
      <c r="O114" s="106">
        <v>132.19999999999999</v>
      </c>
      <c r="P114" s="106">
        <v>121.7</v>
      </c>
      <c r="Q114" s="106">
        <v>133.30000000000001</v>
      </c>
      <c r="R114" s="106">
        <v>131.19999999999999</v>
      </c>
      <c r="S114" s="106">
        <v>135.30000000000001</v>
      </c>
      <c r="T114" s="106">
        <v>130.6</v>
      </c>
      <c r="U114" s="106">
        <v>134.30000000000001</v>
      </c>
      <c r="V114" s="106">
        <v>135.19999999999999</v>
      </c>
      <c r="W114" s="106">
        <v>135.19999999999999</v>
      </c>
      <c r="X114" s="106">
        <v>135.5</v>
      </c>
      <c r="Y114" s="106">
        <v>135.5</v>
      </c>
      <c r="Z114" s="106">
        <v>135.80000000000001</v>
      </c>
      <c r="AA114" s="106">
        <v>136.9</v>
      </c>
      <c r="AB114" s="106">
        <v>135.80000000000001</v>
      </c>
      <c r="AC114" s="106">
        <v>136.5</v>
      </c>
      <c r="AD114" s="106">
        <v>136.69999999999999</v>
      </c>
      <c r="AE114" s="106">
        <v>133.19999999999999</v>
      </c>
      <c r="AF114" s="106">
        <v>133.4</v>
      </c>
      <c r="AG114" s="107"/>
      <c r="AH114" s="47">
        <f t="shared" si="185"/>
        <v>136.9</v>
      </c>
      <c r="AI114" s="48">
        <f t="shared" si="186"/>
        <v>121.7</v>
      </c>
    </row>
    <row r="115" spans="1:35" x14ac:dyDescent="0.25">
      <c r="A115" s="103" t="s">
        <v>114</v>
      </c>
      <c r="B115" s="65">
        <v>134.6</v>
      </c>
      <c r="C115" s="65">
        <v>131.5</v>
      </c>
      <c r="D115" s="65">
        <v>132.6</v>
      </c>
      <c r="E115" s="65">
        <v>136.9</v>
      </c>
      <c r="F115" s="65">
        <v>136.9</v>
      </c>
      <c r="G115" s="65">
        <v>130.6</v>
      </c>
      <c r="H115" s="65">
        <v>127.2</v>
      </c>
      <c r="I115" s="65">
        <v>129.30000000000001</v>
      </c>
      <c r="J115" s="65">
        <v>132.30000000000001</v>
      </c>
      <c r="K115" s="65">
        <v>132</v>
      </c>
      <c r="L115" s="65">
        <v>135.19999999999999</v>
      </c>
      <c r="M115" s="65">
        <v>130</v>
      </c>
      <c r="N115" s="65">
        <v>130.9</v>
      </c>
      <c r="O115" s="65">
        <v>131.5</v>
      </c>
      <c r="P115" s="65">
        <v>131.5</v>
      </c>
      <c r="Q115" s="65">
        <v>131.19999999999999</v>
      </c>
      <c r="R115" s="65">
        <v>131</v>
      </c>
      <c r="S115" s="65">
        <v>128.80000000000001</v>
      </c>
      <c r="T115" s="65">
        <v>126.9</v>
      </c>
      <c r="U115" s="65">
        <v>130.6</v>
      </c>
      <c r="V115" s="65">
        <v>135.69999999999999</v>
      </c>
      <c r="W115" s="65">
        <v>135.69999999999999</v>
      </c>
      <c r="X115" s="65">
        <v>133.69999999999999</v>
      </c>
      <c r="Y115" s="65">
        <v>133.69999999999999</v>
      </c>
      <c r="Z115" s="65">
        <v>129.1</v>
      </c>
      <c r="AA115" s="65">
        <v>130.6</v>
      </c>
      <c r="AB115" s="65">
        <v>133.9</v>
      </c>
      <c r="AC115" s="65">
        <v>134.80000000000001</v>
      </c>
      <c r="AD115" s="65">
        <v>133.4</v>
      </c>
      <c r="AE115" s="65">
        <v>133.9</v>
      </c>
      <c r="AF115" s="65">
        <v>131.69999999999999</v>
      </c>
      <c r="AG115" s="104"/>
      <c r="AH115" s="47">
        <f t="shared" si="185"/>
        <v>136.9</v>
      </c>
      <c r="AI115" s="48">
        <f t="shared" si="186"/>
        <v>126.9</v>
      </c>
    </row>
    <row r="116" spans="1:35" ht="15.75" thickBot="1" x14ac:dyDescent="0.3">
      <c r="A116" s="103" t="s">
        <v>115</v>
      </c>
      <c r="B116" s="92">
        <v>67</v>
      </c>
      <c r="C116" s="92">
        <v>66.900000000000006</v>
      </c>
      <c r="D116" s="92">
        <v>67.2</v>
      </c>
      <c r="E116" s="92">
        <v>67</v>
      </c>
      <c r="F116" s="92">
        <v>67</v>
      </c>
      <c r="G116" s="92">
        <v>65.599999999999994</v>
      </c>
      <c r="H116" s="92">
        <v>65.8</v>
      </c>
      <c r="I116" s="92">
        <v>65.599999999999994</v>
      </c>
      <c r="J116" s="92">
        <v>65.099999999999994</v>
      </c>
      <c r="K116" s="92">
        <v>65.3</v>
      </c>
      <c r="L116" s="92">
        <v>64.2</v>
      </c>
      <c r="M116" s="92">
        <v>64.099999999999994</v>
      </c>
      <c r="N116" s="92">
        <v>64.2</v>
      </c>
      <c r="O116" s="92">
        <v>64.8</v>
      </c>
      <c r="P116" s="92">
        <v>64.099999999999994</v>
      </c>
      <c r="Q116" s="92">
        <v>64.3</v>
      </c>
      <c r="R116" s="92">
        <v>63.7</v>
      </c>
      <c r="S116" s="92">
        <v>65</v>
      </c>
      <c r="T116" s="92">
        <v>65</v>
      </c>
      <c r="U116" s="92">
        <v>64.2</v>
      </c>
      <c r="V116" s="92">
        <v>65.3</v>
      </c>
      <c r="W116" s="92">
        <v>65.3</v>
      </c>
      <c r="X116" s="92">
        <v>66.5</v>
      </c>
      <c r="Y116" s="92">
        <v>66.5</v>
      </c>
      <c r="Z116" s="92">
        <v>65</v>
      </c>
      <c r="AA116" s="92">
        <v>66.5</v>
      </c>
      <c r="AB116" s="92">
        <v>66.2</v>
      </c>
      <c r="AC116" s="92">
        <v>66.099999999999994</v>
      </c>
      <c r="AD116" s="92">
        <v>66.2</v>
      </c>
      <c r="AE116" s="92">
        <v>66.099999999999994</v>
      </c>
      <c r="AF116" s="92">
        <v>66.2</v>
      </c>
      <c r="AG116" s="108"/>
      <c r="AH116" s="47">
        <f t="shared" si="185"/>
        <v>67.2</v>
      </c>
      <c r="AI116" s="48">
        <f t="shared" si="186"/>
        <v>63.7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185"/>
        <v>0</v>
      </c>
      <c r="AI117" s="48">
        <f t="shared" si="186"/>
        <v>0</v>
      </c>
    </row>
    <row r="118" spans="1:35" ht="15.75" thickBot="1" x14ac:dyDescent="0.3">
      <c r="A118" s="110" t="s">
        <v>117</v>
      </c>
      <c r="B118" s="111">
        <f t="shared" ref="B118:C118" si="265">SUM(B22,B28,B31:B32,B66,B68:B69,B71,B73,B119:B123,B155,B161,B167,B176,B178,B190,B197,B200:B201,B208,B210,B212,B216:B218,B220:B222,B227,B233:B234,B236:B238,B246,B251)</f>
        <v>120.84</v>
      </c>
      <c r="C118" s="111">
        <f t="shared" si="265"/>
        <v>112.84</v>
      </c>
      <c r="D118" s="111">
        <f t="shared" ref="D118:O118" si="266">SUM(D22,D28,D31:D32,D66,D68:D69,D71,D73,D119:D123,D155,D161,D167,D176,D178,D190,D197,D200:D201,D208,D210,D212,D216:D218,D220:D222,D227,D233:D234,D236:D238,D246,D251)</f>
        <v>130.82399999999998</v>
      </c>
      <c r="E118" s="111">
        <f t="shared" si="266"/>
        <v>127.916</v>
      </c>
      <c r="F118" s="111">
        <f t="shared" si="266"/>
        <v>161.54</v>
      </c>
      <c r="G118" s="111">
        <f t="shared" si="266"/>
        <v>163.864</v>
      </c>
      <c r="H118" s="111">
        <f t="shared" si="266"/>
        <v>185.61199999999997</v>
      </c>
      <c r="I118" s="111">
        <f t="shared" si="266"/>
        <v>226.124</v>
      </c>
      <c r="J118" s="111">
        <f t="shared" si="266"/>
        <v>276.71199999999999</v>
      </c>
      <c r="K118" s="111">
        <f t="shared" si="266"/>
        <v>194.53999999999996</v>
      </c>
      <c r="L118" s="111">
        <f t="shared" si="266"/>
        <v>345.47599999999994</v>
      </c>
      <c r="M118" s="111">
        <f t="shared" si="266"/>
        <v>331.69199999999995</v>
      </c>
      <c r="N118" s="111">
        <f t="shared" si="266"/>
        <v>315.53999999999996</v>
      </c>
      <c r="O118" s="111">
        <f t="shared" si="266"/>
        <v>308.94000000000005</v>
      </c>
      <c r="P118" s="111">
        <v>42</v>
      </c>
      <c r="Q118" s="111">
        <f t="shared" ref="Q118:AF118" si="267">SUM(Q22,Q28,Q31:Q32,Q66,Q68:Q69,Q71,Q73,Q119:Q123,Q155,Q161,Q167,Q176,Q178,Q190,Q197,Q200:Q201,Q208,Q210,Q212,Q216:Q218,Q220:Q222,Q227,Q233:Q234,Q236:Q238,Q246,Q251)</f>
        <v>293.2</v>
      </c>
      <c r="R118" s="111">
        <f t="shared" si="267"/>
        <v>238.03999999999996</v>
      </c>
      <c r="S118" s="111">
        <f t="shared" ref="S118:T118" si="268">SUM(S22,S28,S31:S32,S66,S68:S69,S71,S73,S119:S123,S155,S161,S167,S176,S178,S190,S197,S200:S201,S208,S210,S212,S216:S218,S220:S222,S227,S233:S234,S236:S238,S246,S251)</f>
        <v>274.59999999999997</v>
      </c>
      <c r="T118" s="111">
        <f t="shared" si="268"/>
        <v>279.94</v>
      </c>
      <c r="U118" s="111">
        <f t="shared" ref="U118:V118" si="269">SUM(U22,U28,U31:U32,U66,U68:U69,U71,U73,U119:U123,U155,U161,U167,U176,U178,U190,U197,U200:U201,U208,U210,U212,U216:U218,U220:U222,U227,U233:U234,U236:U238,U246,U251)</f>
        <v>284.32</v>
      </c>
      <c r="V118" s="111">
        <f t="shared" si="269"/>
        <v>287.66000000000003</v>
      </c>
      <c r="W118" s="111">
        <f t="shared" ref="W118:X118" si="270">SUM(W22,W28,W31:W32,W66,W68:W69,W71,W73,W119:W123,W155,W161,W167,W176,W178,W190,W197,W200:W201,W208,W210,W212,W216:W218,W220:W222,W227,W233:W234,W236:W238,W246,W251)</f>
        <v>286.66000000000003</v>
      </c>
      <c r="X118" s="111">
        <f t="shared" si="270"/>
        <v>319.54000000000002</v>
      </c>
      <c r="Y118" s="111">
        <f t="shared" ref="Y118:Z118" si="271">SUM(Y22,Y28,Y31:Y32,Y66,Y68:Y69,Y71,Y73,Y119:Y123,Y155,Y161,Y167,Y176,Y178,Y190,Y197,Y200:Y201,Y208,Y210,Y212,Y216:Y218,Y220:Y222,Y227,Y233:Y234,Y236:Y238,Y246,Y251)</f>
        <v>371.08</v>
      </c>
      <c r="Z118" s="111">
        <f t="shared" si="271"/>
        <v>396.92</v>
      </c>
      <c r="AA118" s="111">
        <f t="shared" ref="AA118" si="272">SUM(AA22,AA28,AA31:AA32,AA66,AA68:AA69,AA71,AA73,AA119:AA123,AA155,AA161,AA167,AA176,AA178,AA190,AA197,AA200:AA201,AA208,AA210,AA212,AA216:AA218,AA220:AA222,AA227,AA233:AA234,AA236:AA238,AA246,AA251)</f>
        <v>363.84</v>
      </c>
      <c r="AB118" s="111">
        <f t="shared" si="267"/>
        <v>292.09999999999997</v>
      </c>
      <c r="AC118" s="111">
        <f t="shared" si="267"/>
        <v>286.608</v>
      </c>
      <c r="AD118" s="111">
        <f t="shared" si="267"/>
        <v>268.34000000000003</v>
      </c>
      <c r="AE118" s="111">
        <f t="shared" si="267"/>
        <v>206.94</v>
      </c>
      <c r="AF118" s="111">
        <f t="shared" si="267"/>
        <v>158.94</v>
      </c>
      <c r="AG118" s="112"/>
      <c r="AH118" s="47">
        <f t="shared" si="185"/>
        <v>396.92</v>
      </c>
      <c r="AI118" s="48">
        <f t="shared" si="186"/>
        <v>42</v>
      </c>
    </row>
    <row r="119" spans="1:35" x14ac:dyDescent="0.25">
      <c r="A119" s="172" t="s">
        <v>118</v>
      </c>
      <c r="B119" s="113">
        <v>-4</v>
      </c>
      <c r="C119" s="113">
        <v>-11</v>
      </c>
      <c r="D119" s="113">
        <v>-14.2</v>
      </c>
      <c r="E119" s="113">
        <v>-14.1</v>
      </c>
      <c r="F119" s="113">
        <v>-13.2</v>
      </c>
      <c r="G119" s="113">
        <v>-16.899999999999999</v>
      </c>
      <c r="H119" s="113">
        <v>-3.5</v>
      </c>
      <c r="I119" s="113">
        <v>14</v>
      </c>
      <c r="J119" s="113">
        <v>32.4</v>
      </c>
      <c r="K119" s="113">
        <v>24.4</v>
      </c>
      <c r="L119" s="113">
        <v>24.8</v>
      </c>
      <c r="M119" s="113">
        <v>33.9</v>
      </c>
      <c r="N119" s="113">
        <v>28.9</v>
      </c>
      <c r="O119" s="113">
        <v>28.9</v>
      </c>
      <c r="P119" s="113">
        <v>31.3</v>
      </c>
      <c r="Q119" s="113">
        <v>18.2</v>
      </c>
      <c r="R119" s="113">
        <v>12.6</v>
      </c>
      <c r="S119" s="113">
        <v>22.1</v>
      </c>
      <c r="T119" s="113">
        <v>12.8</v>
      </c>
      <c r="U119" s="113">
        <v>17</v>
      </c>
      <c r="V119" s="113">
        <v>15.1</v>
      </c>
      <c r="W119" s="113">
        <v>15.1</v>
      </c>
      <c r="X119" s="113">
        <v>31.1</v>
      </c>
      <c r="Y119" s="113">
        <v>40.799999999999997</v>
      </c>
      <c r="Z119" s="113">
        <v>32.1</v>
      </c>
      <c r="AA119" s="113">
        <v>50.5</v>
      </c>
      <c r="AB119" s="113">
        <v>45.9</v>
      </c>
      <c r="AC119" s="113">
        <v>29.8</v>
      </c>
      <c r="AD119" s="113">
        <v>30.7</v>
      </c>
      <c r="AE119" s="113">
        <v>3.9</v>
      </c>
      <c r="AF119" s="113">
        <v>10.1</v>
      </c>
      <c r="AG119" s="114">
        <v>75</v>
      </c>
      <c r="AH119" s="47">
        <f t="shared" si="185"/>
        <v>50.5</v>
      </c>
      <c r="AI119" s="48">
        <f t="shared" si="186"/>
        <v>-16.899999999999999</v>
      </c>
    </row>
    <row r="120" spans="1:35" x14ac:dyDescent="0.25">
      <c r="A120" s="173" t="s">
        <v>119</v>
      </c>
      <c r="B120" s="115">
        <v>-11</v>
      </c>
      <c r="C120" s="115">
        <v>-18</v>
      </c>
      <c r="D120" s="115">
        <v>-22.4</v>
      </c>
      <c r="E120" s="115">
        <v>-23.1</v>
      </c>
      <c r="F120" s="115">
        <v>-24.2</v>
      </c>
      <c r="G120" s="115">
        <v>-26.8</v>
      </c>
      <c r="H120" s="115">
        <v>-8.8000000000000007</v>
      </c>
      <c r="I120" s="115">
        <v>14.4</v>
      </c>
      <c r="J120" s="115">
        <v>38.799999999999997</v>
      </c>
      <c r="K120" s="115">
        <v>34.200000000000003</v>
      </c>
      <c r="L120" s="115">
        <v>35.200000000000003</v>
      </c>
      <c r="M120" s="115">
        <v>48.7</v>
      </c>
      <c r="N120" s="115">
        <v>42.7</v>
      </c>
      <c r="O120" s="115">
        <v>42.3</v>
      </c>
      <c r="P120" s="115">
        <v>39.200000000000003</v>
      </c>
      <c r="Q120" s="115">
        <v>20.5</v>
      </c>
      <c r="R120" s="115">
        <v>11.5</v>
      </c>
      <c r="S120" s="115">
        <v>23.2</v>
      </c>
      <c r="T120" s="115">
        <v>12.6</v>
      </c>
      <c r="U120" s="115">
        <v>18.8</v>
      </c>
      <c r="V120" s="115">
        <v>16.7</v>
      </c>
      <c r="W120" s="115">
        <v>16.7</v>
      </c>
      <c r="X120" s="115">
        <v>38.299999999999997</v>
      </c>
      <c r="Y120" s="115">
        <v>51.6</v>
      </c>
      <c r="Z120" s="115">
        <v>38.799999999999997</v>
      </c>
      <c r="AA120" s="115">
        <v>64.599999999999994</v>
      </c>
      <c r="AB120" s="115">
        <v>57.4</v>
      </c>
      <c r="AC120" s="115">
        <v>34.799999999999997</v>
      </c>
      <c r="AD120" s="115">
        <v>35.200000000000003</v>
      </c>
      <c r="AE120" s="115">
        <v>-0.2</v>
      </c>
      <c r="AF120" s="115">
        <v>8.6</v>
      </c>
      <c r="AG120" s="114">
        <v>240</v>
      </c>
      <c r="AH120" s="47">
        <f t="shared" si="185"/>
        <v>64.599999999999994</v>
      </c>
      <c r="AI120" s="48">
        <f t="shared" si="186"/>
        <v>-26.8</v>
      </c>
    </row>
    <row r="121" spans="1:35" x14ac:dyDescent="0.25">
      <c r="A121" s="173" t="s">
        <v>120</v>
      </c>
      <c r="B121" s="115">
        <v>-12</v>
      </c>
      <c r="C121" s="115">
        <v>-10</v>
      </c>
      <c r="D121" s="115">
        <v>-12.3</v>
      </c>
      <c r="E121" s="115">
        <v>-13.2</v>
      </c>
      <c r="F121" s="115">
        <v>-6.1</v>
      </c>
      <c r="G121" s="115">
        <v>0</v>
      </c>
      <c r="H121" s="115">
        <v>0</v>
      </c>
      <c r="I121" s="115">
        <v>0</v>
      </c>
      <c r="J121" s="115">
        <v>5.6</v>
      </c>
      <c r="K121" s="115">
        <v>34.200000000000003</v>
      </c>
      <c r="L121" s="115">
        <v>39.5</v>
      </c>
      <c r="M121" s="115">
        <v>21.2</v>
      </c>
      <c r="N121" s="115">
        <f>6.4+7.2</f>
        <v>13.600000000000001</v>
      </c>
      <c r="O121" s="115">
        <f>3.6+4.2</f>
        <v>7.8000000000000007</v>
      </c>
      <c r="P121" s="115">
        <f>2.6</f>
        <v>2.6</v>
      </c>
      <c r="Q121" s="115">
        <f>14</f>
        <v>14</v>
      </c>
      <c r="R121" s="115">
        <v>16.600000000000001</v>
      </c>
      <c r="S121" s="115">
        <v>9.3000000000000007</v>
      </c>
      <c r="T121" s="115">
        <v>16</v>
      </c>
      <c r="U121" s="115">
        <v>17</v>
      </c>
      <c r="V121" s="115">
        <v>29</v>
      </c>
      <c r="W121" s="115">
        <v>29</v>
      </c>
      <c r="X121" s="115">
        <v>21</v>
      </c>
      <c r="Y121" s="115">
        <v>26</v>
      </c>
      <c r="Z121" s="115">
        <v>42.9</v>
      </c>
      <c r="AA121" s="115">
        <v>43</v>
      </c>
      <c r="AB121" s="115">
        <v>1</v>
      </c>
      <c r="AC121" s="115">
        <v>15.6</v>
      </c>
      <c r="AD121" s="115">
        <v>18</v>
      </c>
      <c r="AE121" s="115">
        <v>5</v>
      </c>
      <c r="AF121" s="115">
        <v>-33</v>
      </c>
      <c r="AG121" s="114">
        <v>240</v>
      </c>
      <c r="AH121" s="47">
        <f t="shared" si="185"/>
        <v>43</v>
      </c>
      <c r="AI121" s="48">
        <f t="shared" si="186"/>
        <v>-33</v>
      </c>
    </row>
    <row r="122" spans="1:35" ht="15.75" thickBot="1" x14ac:dyDescent="0.3">
      <c r="A122" s="173" t="s">
        <v>121</v>
      </c>
      <c r="B122" s="115">
        <v>-10</v>
      </c>
      <c r="C122" s="115">
        <v>-11</v>
      </c>
      <c r="D122" s="115">
        <v>-11.8</v>
      </c>
      <c r="E122" s="115">
        <v>-13.7</v>
      </c>
      <c r="F122" s="115">
        <v>-6</v>
      </c>
      <c r="G122" s="115">
        <v>-10.199999999999999</v>
      </c>
      <c r="H122" s="115">
        <v>-8</v>
      </c>
      <c r="I122" s="115">
        <v>-6.1</v>
      </c>
      <c r="J122" s="115">
        <v>2.5</v>
      </c>
      <c r="K122" s="115">
        <v>17.5</v>
      </c>
      <c r="L122" s="115">
        <v>17.899999999999999</v>
      </c>
      <c r="M122" s="115">
        <v>16.7</v>
      </c>
      <c r="N122" s="115">
        <v>14.1</v>
      </c>
      <c r="O122" s="115">
        <v>12.8</v>
      </c>
      <c r="P122" s="115">
        <v>5.8</v>
      </c>
      <c r="Q122" s="115">
        <v>5.5</v>
      </c>
      <c r="R122" s="115">
        <v>5.7</v>
      </c>
      <c r="S122" s="115">
        <v>-4.8</v>
      </c>
      <c r="T122" s="115">
        <v>-2</v>
      </c>
      <c r="U122" s="115">
        <v>2.9</v>
      </c>
      <c r="V122" s="115">
        <v>6.7</v>
      </c>
      <c r="W122" s="115">
        <v>6.7</v>
      </c>
      <c r="X122" s="115">
        <v>32.6</v>
      </c>
      <c r="Y122" s="115">
        <v>35.299999999999997</v>
      </c>
      <c r="Z122" s="115">
        <v>41.9</v>
      </c>
      <c r="AA122" s="115">
        <v>49.6</v>
      </c>
      <c r="AB122" s="115">
        <v>52.5</v>
      </c>
      <c r="AC122" s="115">
        <v>26.5</v>
      </c>
      <c r="AD122" s="115">
        <v>16</v>
      </c>
      <c r="AE122" s="115">
        <v>-0.2</v>
      </c>
      <c r="AF122" s="115">
        <v>-5.4</v>
      </c>
      <c r="AG122" s="114">
        <v>60</v>
      </c>
      <c r="AH122" s="47">
        <f t="shared" si="185"/>
        <v>52.5</v>
      </c>
      <c r="AI122" s="48">
        <f t="shared" si="186"/>
        <v>-13.7</v>
      </c>
    </row>
    <row r="123" spans="1:35" x14ac:dyDescent="0.25">
      <c r="A123" s="172" t="s">
        <v>259</v>
      </c>
      <c r="B123" s="117">
        <v>75</v>
      </c>
      <c r="C123" s="117">
        <v>80</v>
      </c>
      <c r="D123" s="117">
        <f>1.64*63.1</f>
        <v>103.48399999999999</v>
      </c>
      <c r="E123" s="117">
        <f>1.64*63.4</f>
        <v>103.97599999999998</v>
      </c>
      <c r="F123" s="117">
        <f>1.64*75</f>
        <v>122.99999999999999</v>
      </c>
      <c r="G123" s="117">
        <f>1.64*79.1</f>
        <v>129.72399999999999</v>
      </c>
      <c r="H123" s="117">
        <f>1.64*72.3</f>
        <v>118.57199999999999</v>
      </c>
      <c r="I123" s="117">
        <f>1.64*70.6</f>
        <v>115.78399999999998</v>
      </c>
      <c r="J123" s="117">
        <f>1.64*67.3</f>
        <v>110.37199999999999</v>
      </c>
      <c r="K123" s="117"/>
      <c r="L123" s="117">
        <f>1.64*84.9</f>
        <v>139.23599999999999</v>
      </c>
      <c r="M123" s="117">
        <f>72*1.641</f>
        <v>118.152</v>
      </c>
      <c r="N123" s="117">
        <f>72.5*1.64</f>
        <v>118.89999999999999</v>
      </c>
      <c r="O123" s="117">
        <f>70*1.64</f>
        <v>114.8</v>
      </c>
      <c r="P123" s="117">
        <f>75*1.64</f>
        <v>122.99999999999999</v>
      </c>
      <c r="Q123" s="117">
        <f>79*1.64</f>
        <v>129.56</v>
      </c>
      <c r="R123" s="117">
        <v>86.4</v>
      </c>
      <c r="S123" s="117">
        <f>76.6*1.6</f>
        <v>122.56</v>
      </c>
      <c r="T123" s="117">
        <f>88.5*1.6</f>
        <v>141.6</v>
      </c>
      <c r="U123" s="117">
        <f>84.3*1.6</f>
        <v>134.88</v>
      </c>
      <c r="V123" s="117">
        <f>82.7*1.6</f>
        <v>132.32000000000002</v>
      </c>
      <c r="W123" s="117">
        <f>82.7*1.6</f>
        <v>132.32000000000002</v>
      </c>
      <c r="X123" s="117">
        <f>68*1.6</f>
        <v>108.80000000000001</v>
      </c>
      <c r="Y123" s="117">
        <f>81.4*1.6</f>
        <v>130.24</v>
      </c>
      <c r="Z123" s="117">
        <f>96.3*1.6</f>
        <v>154.08000000000001</v>
      </c>
      <c r="AA123" s="117">
        <f>47*1.5</f>
        <v>70.5</v>
      </c>
      <c r="AB123" s="117">
        <f>1.64*31.5</f>
        <v>51.66</v>
      </c>
      <c r="AC123" s="117">
        <f>1.64*58.7</f>
        <v>96.268000000000001</v>
      </c>
      <c r="AD123" s="117">
        <f>53*1.6</f>
        <v>84.800000000000011</v>
      </c>
      <c r="AE123" s="117">
        <f>70*1.64</f>
        <v>114.8</v>
      </c>
      <c r="AF123" s="117">
        <v>95</v>
      </c>
      <c r="AG123" s="118">
        <v>120</v>
      </c>
      <c r="AH123" s="47">
        <f t="shared" si="185"/>
        <v>154.08000000000001</v>
      </c>
      <c r="AI123" s="48">
        <f t="shared" si="186"/>
        <v>51.66</v>
      </c>
    </row>
    <row r="124" spans="1:35" x14ac:dyDescent="0.25">
      <c r="A124" s="173" t="s">
        <v>258</v>
      </c>
      <c r="B124" s="117">
        <v>72</v>
      </c>
      <c r="C124" s="117">
        <v>74</v>
      </c>
      <c r="D124" s="117">
        <v>74.099999999999994</v>
      </c>
      <c r="E124" s="117">
        <v>75</v>
      </c>
      <c r="F124" s="117">
        <v>82.2</v>
      </c>
      <c r="G124" s="117">
        <v>87.7</v>
      </c>
      <c r="H124" s="117">
        <v>84</v>
      </c>
      <c r="I124" s="117">
        <v>79.2</v>
      </c>
      <c r="J124" s="117">
        <v>76.3</v>
      </c>
      <c r="K124" s="117">
        <v>85.6</v>
      </c>
      <c r="L124" s="117">
        <v>90.3</v>
      </c>
      <c r="M124" s="117">
        <v>81.400000000000006</v>
      </c>
      <c r="N124" s="117">
        <v>79.3</v>
      </c>
      <c r="O124" s="117">
        <v>77.7</v>
      </c>
      <c r="P124" s="117">
        <v>80.099999999999994</v>
      </c>
      <c r="Q124" s="117">
        <v>85.2</v>
      </c>
      <c r="R124" s="117">
        <v>90.9</v>
      </c>
      <c r="S124" s="117">
        <v>81.599999999999994</v>
      </c>
      <c r="T124" s="117">
        <v>92.5</v>
      </c>
      <c r="U124" s="117">
        <v>87.6</v>
      </c>
      <c r="V124" s="117">
        <v>86.9</v>
      </c>
      <c r="W124" s="117">
        <v>86.9</v>
      </c>
      <c r="X124" s="117">
        <v>74.599999999999994</v>
      </c>
      <c r="Y124" s="117">
        <v>84.9</v>
      </c>
      <c r="Z124" s="117">
        <v>96.1</v>
      </c>
      <c r="AA124" s="117">
        <v>56.6</v>
      </c>
      <c r="AB124" s="117">
        <v>46.4</v>
      </c>
      <c r="AC124" s="117">
        <v>70.099999999999994</v>
      </c>
      <c r="AD124" s="117">
        <v>65</v>
      </c>
      <c r="AE124" s="117">
        <v>80</v>
      </c>
      <c r="AF124" s="117">
        <v>72</v>
      </c>
      <c r="AG124" s="118"/>
      <c r="AH124" s="47"/>
      <c r="AI124" s="48"/>
    </row>
    <row r="125" spans="1:35" x14ac:dyDescent="0.25">
      <c r="A125" s="173" t="s">
        <v>255</v>
      </c>
      <c r="B125" s="117">
        <v>52</v>
      </c>
      <c r="C125" s="117">
        <v>54</v>
      </c>
      <c r="D125" s="117">
        <v>59.4</v>
      </c>
      <c r="E125" s="117">
        <v>62</v>
      </c>
      <c r="F125" s="117">
        <v>63</v>
      </c>
      <c r="G125" s="117">
        <v>64.8</v>
      </c>
      <c r="H125" s="117">
        <v>52.2</v>
      </c>
      <c r="I125" s="117">
        <v>26.3</v>
      </c>
      <c r="J125" s="117">
        <v>-4.5999999999999996</v>
      </c>
      <c r="K125" s="117">
        <v>-11.7</v>
      </c>
      <c r="L125" s="117">
        <v>-11.7</v>
      </c>
      <c r="M125" s="117">
        <v>-16.7</v>
      </c>
      <c r="N125" s="117">
        <v>-7.8</v>
      </c>
      <c r="O125" s="117">
        <v>-2.2999999999999998</v>
      </c>
      <c r="P125" s="117">
        <v>6</v>
      </c>
      <c r="Q125" s="117">
        <v>23.7</v>
      </c>
      <c r="R125" s="117">
        <v>35.799999999999997</v>
      </c>
      <c r="S125" s="117">
        <v>25.2</v>
      </c>
      <c r="T125" s="117">
        <v>36.200000000000003</v>
      </c>
      <c r="U125" s="117">
        <v>26.4</v>
      </c>
      <c r="V125" s="117">
        <v>20.5</v>
      </c>
      <c r="W125" s="117">
        <v>20.5</v>
      </c>
      <c r="X125" s="117">
        <v>-11.2</v>
      </c>
      <c r="Y125" s="117">
        <v>-21.2</v>
      </c>
      <c r="Z125" s="117">
        <v>-14.9</v>
      </c>
      <c r="AA125" s="117">
        <v>-60.7</v>
      </c>
      <c r="AB125" s="117">
        <v>-58.5</v>
      </c>
      <c r="AC125" s="117">
        <v>-70.5</v>
      </c>
      <c r="AD125" s="117">
        <v>-12</v>
      </c>
      <c r="AE125" s="117">
        <v>38</v>
      </c>
      <c r="AF125" s="117">
        <v>47</v>
      </c>
      <c r="AG125" s="118"/>
      <c r="AH125" s="47"/>
      <c r="AI125" s="48"/>
    </row>
    <row r="126" spans="1:35" ht="15.75" thickBot="1" x14ac:dyDescent="0.3">
      <c r="A126" s="173" t="s">
        <v>254</v>
      </c>
      <c r="B126" s="117">
        <v>81</v>
      </c>
      <c r="C126" s="117">
        <v>85</v>
      </c>
      <c r="D126" s="117">
        <v>79.2</v>
      </c>
      <c r="E126" s="117">
        <v>86.4</v>
      </c>
      <c r="F126" s="117">
        <v>95</v>
      </c>
      <c r="G126" s="117">
        <v>101.4</v>
      </c>
      <c r="H126" s="117">
        <v>95.2</v>
      </c>
      <c r="I126" s="117">
        <v>84.8</v>
      </c>
      <c r="J126" s="117">
        <v>80.400000000000006</v>
      </c>
      <c r="K126" s="117">
        <v>82.7</v>
      </c>
      <c r="L126" s="117">
        <v>95.6</v>
      </c>
      <c r="M126" s="117">
        <v>92.9</v>
      </c>
      <c r="N126" s="117">
        <v>86</v>
      </c>
      <c r="O126" s="117">
        <v>84.9</v>
      </c>
      <c r="P126" s="117">
        <v>92.8</v>
      </c>
      <c r="Q126" s="117">
        <v>88.5</v>
      </c>
      <c r="R126" s="117">
        <v>98.7</v>
      </c>
      <c r="S126" s="117">
        <v>82.5</v>
      </c>
      <c r="T126" s="117">
        <v>103.4</v>
      </c>
      <c r="U126" s="117">
        <v>91.2</v>
      </c>
      <c r="V126" s="117">
        <v>91.4</v>
      </c>
      <c r="W126" s="117">
        <v>91.4</v>
      </c>
      <c r="X126" s="117">
        <v>83.5</v>
      </c>
      <c r="Y126" s="117">
        <v>85.5</v>
      </c>
      <c r="Z126" s="117">
        <v>95.9</v>
      </c>
      <c r="AA126" s="117">
        <v>49</v>
      </c>
      <c r="AB126" s="117">
        <v>34.9</v>
      </c>
      <c r="AC126" s="117">
        <v>76.599999999999994</v>
      </c>
      <c r="AD126" s="117">
        <v>67</v>
      </c>
      <c r="AE126" s="117">
        <v>80</v>
      </c>
      <c r="AF126" s="117">
        <v>90</v>
      </c>
      <c r="AG126" s="114"/>
      <c r="AH126" s="47">
        <f>MAX(B126:AF126)</f>
        <v>103.4</v>
      </c>
      <c r="AI126" s="48">
        <f>MIN(B126:AF126)</f>
        <v>34.9</v>
      </c>
    </row>
    <row r="127" spans="1:35" x14ac:dyDescent="0.25">
      <c r="A127" s="172" t="s">
        <v>587</v>
      </c>
      <c r="B127" s="117">
        <v>12</v>
      </c>
      <c r="C127" s="117">
        <v>20</v>
      </c>
      <c r="D127" s="117">
        <v>23.4</v>
      </c>
      <c r="E127" s="117">
        <v>23.8</v>
      </c>
      <c r="F127" s="117">
        <v>25.1</v>
      </c>
      <c r="G127" s="117">
        <v>25</v>
      </c>
      <c r="H127" s="117">
        <v>18.2</v>
      </c>
      <c r="I127" s="117">
        <v>6.7</v>
      </c>
      <c r="J127" s="117">
        <v>0</v>
      </c>
      <c r="K127" s="117">
        <v>3.7</v>
      </c>
      <c r="L127" s="117">
        <v>1</v>
      </c>
      <c r="M127" s="117">
        <v>-3.9</v>
      </c>
      <c r="N127" s="117">
        <v>-1.3</v>
      </c>
      <c r="O127" s="117">
        <v>-1.3</v>
      </c>
      <c r="P127" s="117">
        <v>4.8</v>
      </c>
      <c r="Q127" s="117">
        <v>4.4000000000000004</v>
      </c>
      <c r="R127" s="117">
        <v>6.2</v>
      </c>
      <c r="S127" s="117">
        <v>-7.1</v>
      </c>
      <c r="T127" s="117">
        <v>-3.6</v>
      </c>
      <c r="U127" s="117">
        <v>-5.0999999999999996</v>
      </c>
      <c r="V127" s="117">
        <v>-4.5999999999999996</v>
      </c>
      <c r="W127" s="117">
        <v>-4.5999999999999996</v>
      </c>
      <c r="X127" s="117">
        <v>-11.1</v>
      </c>
      <c r="Y127" s="117">
        <v>-14.8</v>
      </c>
      <c r="Z127" s="117">
        <v>-6.4</v>
      </c>
      <c r="AA127" s="117">
        <v>-15.9</v>
      </c>
      <c r="AB127" s="117">
        <v>-9.1</v>
      </c>
      <c r="AC127" s="117">
        <v>0</v>
      </c>
      <c r="AD127" s="117">
        <v>0</v>
      </c>
      <c r="AE127" s="117">
        <v>1.6</v>
      </c>
      <c r="AF127" s="117">
        <v>-1.8</v>
      </c>
      <c r="AG127" s="114"/>
      <c r="AH127" s="47">
        <f>MAX(B127:AF127)</f>
        <v>25.1</v>
      </c>
      <c r="AI127" s="48">
        <f>MIN(B127:AF127)</f>
        <v>-15.9</v>
      </c>
    </row>
    <row r="128" spans="1:35" x14ac:dyDescent="0.25">
      <c r="A128" s="173" t="s">
        <v>123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>
        <v>-36.700000000000003</v>
      </c>
      <c r="T128" s="106">
        <v>-29.5</v>
      </c>
      <c r="U128" s="106">
        <v>-42.5</v>
      </c>
      <c r="V128" s="106">
        <v>-49.5</v>
      </c>
      <c r="W128" s="106">
        <v>-49.5</v>
      </c>
      <c r="X128" s="106">
        <v>-61</v>
      </c>
      <c r="Y128" s="106"/>
      <c r="Z128" s="106">
        <v>-66.3</v>
      </c>
      <c r="AA128" s="106">
        <v>-56</v>
      </c>
      <c r="AB128" s="106">
        <v>-43.2</v>
      </c>
      <c r="AC128" s="106">
        <v>-37.5</v>
      </c>
      <c r="AD128" s="106">
        <v>-34</v>
      </c>
      <c r="AE128" s="106">
        <v>-24</v>
      </c>
      <c r="AF128" s="106">
        <v>-18</v>
      </c>
      <c r="AG128" s="114"/>
      <c r="AH128" s="47">
        <f>MAX(B128:AF128)</f>
        <v>-18</v>
      </c>
      <c r="AI128" s="48">
        <f>MIN(B128:AF128)</f>
        <v>-66.3</v>
      </c>
    </row>
    <row r="129" spans="1:37" x14ac:dyDescent="0.25">
      <c r="A129" s="173" t="s">
        <v>260</v>
      </c>
      <c r="B129" s="106">
        <v>-17</v>
      </c>
      <c r="C129" s="106">
        <v>-21</v>
      </c>
      <c r="D129" s="106">
        <v>-22.4</v>
      </c>
      <c r="E129" s="106">
        <v>-24.1</v>
      </c>
      <c r="F129" s="106">
        <v>-37.1</v>
      </c>
      <c r="G129" s="106">
        <v>-36.799999999999997</v>
      </c>
      <c r="H129" s="106">
        <v>-30.4</v>
      </c>
      <c r="I129" s="106">
        <v>-20.399999999999999</v>
      </c>
      <c r="J129" s="106">
        <v>-11.5</v>
      </c>
      <c r="K129" s="106">
        <v>-31.4</v>
      </c>
      <c r="L129" s="106">
        <v>-32.9</v>
      </c>
      <c r="M129" s="106">
        <v>-9.6</v>
      </c>
      <c r="N129" s="106">
        <v>-9.4</v>
      </c>
      <c r="O129" s="106">
        <v>-6.4</v>
      </c>
      <c r="P129" s="106">
        <v>-8.6</v>
      </c>
      <c r="Q129" s="106">
        <v>-22.9</v>
      </c>
      <c r="R129" s="106">
        <v>-31.4</v>
      </c>
      <c r="S129" s="106">
        <v>-18.7</v>
      </c>
      <c r="T129" s="106">
        <v>-29.3</v>
      </c>
      <c r="U129" s="106">
        <v>-23.2</v>
      </c>
      <c r="V129" s="106">
        <v>-37.799999999999997</v>
      </c>
      <c r="W129" s="106">
        <v>-37.799999999999997</v>
      </c>
      <c r="X129" s="106">
        <v>1.3</v>
      </c>
      <c r="Y129" s="106">
        <v>2.7</v>
      </c>
      <c r="Z129" s="106">
        <v>-13.9</v>
      </c>
      <c r="AA129" s="106">
        <v>6.6</v>
      </c>
      <c r="AB129" s="106">
        <v>16.399999999999999</v>
      </c>
      <c r="AC129" s="106">
        <v>-14.8</v>
      </c>
      <c r="AD129" s="106">
        <v>-6</v>
      </c>
      <c r="AE129" s="106">
        <v>-20</v>
      </c>
      <c r="AF129" s="106">
        <v>-19</v>
      </c>
      <c r="AG129" s="114"/>
      <c r="AH129" s="47">
        <f>MAX(B129:AF129)</f>
        <v>16.399999999999999</v>
      </c>
      <c r="AI129" s="48">
        <f>MIN(B129:AF129)</f>
        <v>-37.799999999999997</v>
      </c>
    </row>
    <row r="130" spans="1:37" ht="15.75" thickBot="1" x14ac:dyDescent="0.3">
      <c r="A130" s="173" t="s">
        <v>257</v>
      </c>
      <c r="B130" s="106">
        <v>98</v>
      </c>
      <c r="C130" s="106">
        <v>92</v>
      </c>
      <c r="D130" s="106">
        <v>91</v>
      </c>
      <c r="E130" s="106">
        <v>90.7</v>
      </c>
      <c r="F130" s="106">
        <v>96</v>
      </c>
      <c r="G130" s="106">
        <v>95</v>
      </c>
      <c r="H130" s="106">
        <v>98.5</v>
      </c>
      <c r="I130" s="106">
        <v>108.5</v>
      </c>
      <c r="J130" s="106">
        <v>113.5</v>
      </c>
      <c r="K130" s="106">
        <v>107.8</v>
      </c>
      <c r="L130" s="106">
        <v>114.9</v>
      </c>
      <c r="M130" s="106">
        <v>109.7</v>
      </c>
      <c r="N130" s="106">
        <v>102.1</v>
      </c>
      <c r="O130" s="106">
        <v>102</v>
      </c>
      <c r="P130" s="106">
        <v>116.2</v>
      </c>
      <c r="Q130" s="106">
        <v>119.3</v>
      </c>
      <c r="R130" s="106">
        <v>125.7</v>
      </c>
      <c r="S130" s="106">
        <v>126.2</v>
      </c>
      <c r="T130" s="106">
        <v>119.8</v>
      </c>
      <c r="U130" s="106">
        <v>123.5</v>
      </c>
      <c r="V130" s="106">
        <v>123.5</v>
      </c>
      <c r="W130" s="106">
        <v>123.5</v>
      </c>
      <c r="X130" s="106">
        <v>109.9</v>
      </c>
      <c r="Y130" s="106">
        <v>124.6</v>
      </c>
      <c r="Z130" s="106">
        <v>118.4</v>
      </c>
      <c r="AA130" s="106">
        <v>100</v>
      </c>
      <c r="AB130" s="106">
        <v>65.599999999999994</v>
      </c>
      <c r="AC130" s="106">
        <v>95.4</v>
      </c>
      <c r="AD130" s="106">
        <v>102</v>
      </c>
      <c r="AE130" s="106">
        <v>111</v>
      </c>
      <c r="AF130" s="106">
        <v>109</v>
      </c>
      <c r="AG130" s="114"/>
      <c r="AH130" s="47">
        <f>MAX(B130:AF130)</f>
        <v>126.2</v>
      </c>
      <c r="AI130" s="48">
        <f>MIN(B130:AF130)</f>
        <v>65.599999999999994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1983.65</v>
      </c>
      <c r="C132" s="147">
        <v>1983.9</v>
      </c>
      <c r="D132" s="147">
        <v>1984.15</v>
      </c>
      <c r="E132" s="147">
        <v>1984.35</v>
      </c>
      <c r="F132" s="147">
        <v>1984.55</v>
      </c>
      <c r="G132" s="147">
        <v>1984.75</v>
      </c>
      <c r="H132" s="147"/>
      <c r="I132" s="147">
        <v>1984.95</v>
      </c>
      <c r="J132" s="147"/>
      <c r="K132" s="147">
        <v>1985.03</v>
      </c>
      <c r="L132" s="147"/>
      <c r="M132" s="117">
        <v>1984.97</v>
      </c>
      <c r="N132" s="117">
        <v>1984.82</v>
      </c>
      <c r="O132" s="117">
        <v>1984.9</v>
      </c>
      <c r="P132" s="117">
        <v>1984.95</v>
      </c>
      <c r="Q132" s="117">
        <v>1984.98</v>
      </c>
      <c r="R132" s="117">
        <v>1985.06</v>
      </c>
      <c r="S132" s="147">
        <v>1985.09</v>
      </c>
      <c r="T132" s="147">
        <v>1985.15</v>
      </c>
      <c r="U132" s="147">
        <v>1985.2</v>
      </c>
      <c r="V132" s="147">
        <v>1985.21</v>
      </c>
      <c r="W132" s="147"/>
      <c r="X132" s="147">
        <v>1985.31</v>
      </c>
      <c r="Y132" s="147"/>
      <c r="Z132" s="147"/>
      <c r="AA132" s="147"/>
      <c r="AB132" s="147"/>
      <c r="AC132" s="147"/>
      <c r="AD132" s="147">
        <v>1985.5</v>
      </c>
      <c r="AE132" s="147">
        <v>1985.75</v>
      </c>
      <c r="AF132" s="148">
        <v>1985.55</v>
      </c>
      <c r="AG132" s="149"/>
      <c r="AH132" s="47"/>
      <c r="AI132" s="48"/>
    </row>
    <row r="133" spans="1:37" x14ac:dyDescent="0.25">
      <c r="A133" s="185" t="s">
        <v>238</v>
      </c>
      <c r="B133" s="150">
        <v>519.76</v>
      </c>
      <c r="C133" s="150">
        <v>520.14</v>
      </c>
      <c r="D133" s="150">
        <v>520.48</v>
      </c>
      <c r="E133" s="150">
        <v>520.82000000000005</v>
      </c>
      <c r="F133" s="150">
        <v>521.14</v>
      </c>
      <c r="G133" s="150">
        <v>521.46</v>
      </c>
      <c r="H133" s="150"/>
      <c r="I133" s="150">
        <v>521.6</v>
      </c>
      <c r="J133" s="150"/>
      <c r="K133" s="150">
        <v>521.38</v>
      </c>
      <c r="L133" s="150"/>
      <c r="M133" s="117">
        <v>521.32000000000005</v>
      </c>
      <c r="N133" s="117">
        <v>521.17999999999995</v>
      </c>
      <c r="O133" s="117">
        <v>521.12</v>
      </c>
      <c r="P133" s="117">
        <v>521.04999999999995</v>
      </c>
      <c r="Q133" s="117">
        <v>520.99</v>
      </c>
      <c r="R133" s="117">
        <v>521.04999999999995</v>
      </c>
      <c r="S133" s="150">
        <v>521.08000000000004</v>
      </c>
      <c r="T133" s="150">
        <v>521.1</v>
      </c>
      <c r="U133" s="150">
        <v>521.02</v>
      </c>
      <c r="V133" s="150">
        <v>520.87</v>
      </c>
      <c r="W133" s="150"/>
      <c r="X133" s="150">
        <v>520.66300000000001</v>
      </c>
      <c r="Y133" s="150"/>
      <c r="Z133" s="150">
        <v>519.58000000000004</v>
      </c>
      <c r="AA133" s="150"/>
      <c r="AB133" s="150">
        <v>519.48</v>
      </c>
      <c r="AC133" s="150"/>
      <c r="AD133" s="150">
        <v>519.38</v>
      </c>
      <c r="AE133" s="150">
        <v>519.55999999999995</v>
      </c>
      <c r="AF133" s="151">
        <v>519.72</v>
      </c>
      <c r="AG133" s="149"/>
      <c r="AH133" s="47"/>
      <c r="AI133" s="48"/>
    </row>
    <row r="134" spans="1:37" x14ac:dyDescent="0.25">
      <c r="A134" s="185" t="s">
        <v>239</v>
      </c>
      <c r="B134" s="150">
        <v>622.71</v>
      </c>
      <c r="C134" s="150">
        <v>623.12</v>
      </c>
      <c r="D134" s="150">
        <v>623.51</v>
      </c>
      <c r="E134" s="150">
        <v>623.85</v>
      </c>
      <c r="F134" s="150">
        <v>624.16</v>
      </c>
      <c r="G134" s="150">
        <v>624.52</v>
      </c>
      <c r="H134" s="150"/>
      <c r="I134" s="150">
        <v>624.55999999999995</v>
      </c>
      <c r="J134" s="150"/>
      <c r="K134" s="150">
        <v>624.22</v>
      </c>
      <c r="L134" s="150"/>
      <c r="M134" s="117">
        <v>624.09</v>
      </c>
      <c r="N134" s="117">
        <v>623.99</v>
      </c>
      <c r="O134" s="117">
        <v>623.03</v>
      </c>
      <c r="P134" s="117">
        <v>622.66999999999996</v>
      </c>
      <c r="Q134" s="117">
        <v>622.17999999999995</v>
      </c>
      <c r="R134" s="117"/>
      <c r="S134" s="150">
        <v>621.70000000000005</v>
      </c>
      <c r="T134" s="150">
        <v>621.80999999999995</v>
      </c>
      <c r="U134" s="150">
        <v>621.66</v>
      </c>
      <c r="V134" s="150">
        <v>621.63</v>
      </c>
      <c r="W134" s="150"/>
      <c r="X134" s="150">
        <v>622.38</v>
      </c>
      <c r="Y134" s="150"/>
      <c r="Z134" s="150">
        <v>622.47</v>
      </c>
      <c r="AA134" s="150"/>
      <c r="AB134" s="150">
        <v>621.98</v>
      </c>
      <c r="AC134" s="150"/>
      <c r="AD134" s="150">
        <v>622</v>
      </c>
      <c r="AE134" s="150">
        <v>622.72</v>
      </c>
      <c r="AF134" s="151">
        <v>622.73</v>
      </c>
      <c r="AG134" s="149"/>
      <c r="AH134" s="47"/>
      <c r="AI134" s="48"/>
    </row>
    <row r="135" spans="1:37" x14ac:dyDescent="0.25">
      <c r="A135" s="185" t="s">
        <v>240</v>
      </c>
      <c r="B135" s="150">
        <v>334.99</v>
      </c>
      <c r="C135" s="150">
        <v>335.52</v>
      </c>
      <c r="D135" s="150">
        <v>336</v>
      </c>
      <c r="E135" s="150">
        <v>336.3</v>
      </c>
      <c r="F135" s="150">
        <v>336.59</v>
      </c>
      <c r="G135" s="150">
        <v>336.83</v>
      </c>
      <c r="H135" s="150"/>
      <c r="I135" s="150">
        <v>336.95</v>
      </c>
      <c r="J135" s="150"/>
      <c r="K135" s="150">
        <v>336.68</v>
      </c>
      <c r="L135" s="150"/>
      <c r="M135" s="117">
        <v>336.32</v>
      </c>
      <c r="N135" s="117">
        <v>335.94</v>
      </c>
      <c r="O135" s="117">
        <v>335.56</v>
      </c>
      <c r="P135" s="117">
        <v>335.15</v>
      </c>
      <c r="Q135" s="117">
        <v>334.57</v>
      </c>
      <c r="R135" s="117"/>
      <c r="S135" s="150">
        <v>334.6</v>
      </c>
      <c r="T135" s="150">
        <v>335.88</v>
      </c>
      <c r="U135" s="150">
        <v>335.16</v>
      </c>
      <c r="V135" s="150">
        <v>335.45</v>
      </c>
      <c r="W135" s="150"/>
      <c r="X135" s="150">
        <v>335.68</v>
      </c>
      <c r="Y135" s="150"/>
      <c r="Z135" s="150">
        <v>335.47</v>
      </c>
      <c r="AA135" s="150"/>
      <c r="AB135" s="150">
        <v>335.09</v>
      </c>
      <c r="AC135" s="150"/>
      <c r="AD135" s="150">
        <v>334.77</v>
      </c>
      <c r="AE135" s="150">
        <v>334.72</v>
      </c>
      <c r="AF135" s="151">
        <v>334.98</v>
      </c>
      <c r="AG135" s="149"/>
      <c r="AH135" s="47"/>
      <c r="AI135" s="48"/>
    </row>
    <row r="136" spans="1:37" x14ac:dyDescent="0.25">
      <c r="A136" s="185" t="s">
        <v>384</v>
      </c>
      <c r="B136" s="150">
        <v>884.8</v>
      </c>
      <c r="C136" s="150">
        <v>885.4</v>
      </c>
      <c r="D136" s="150">
        <v>885.9</v>
      </c>
      <c r="E136" s="150">
        <v>886.5</v>
      </c>
      <c r="F136" s="150">
        <v>886.9</v>
      </c>
      <c r="G136" s="150">
        <v>887.3</v>
      </c>
      <c r="H136" s="150"/>
      <c r="I136" s="150">
        <v>887.4</v>
      </c>
      <c r="J136" s="150"/>
      <c r="K136" s="150">
        <v>887.4</v>
      </c>
      <c r="L136" s="150"/>
      <c r="M136" s="117">
        <v>887.1</v>
      </c>
      <c r="N136" s="117">
        <v>887</v>
      </c>
      <c r="O136" s="117">
        <v>886.9</v>
      </c>
      <c r="P136" s="117">
        <v>886.9</v>
      </c>
      <c r="Q136" s="117">
        <v>886.8</v>
      </c>
      <c r="R136" s="117"/>
      <c r="S136" s="150">
        <v>887.2</v>
      </c>
      <c r="T136" s="150">
        <v>887.6</v>
      </c>
      <c r="U136" s="150">
        <v>887.4</v>
      </c>
      <c r="V136" s="150">
        <v>887.2</v>
      </c>
      <c r="W136" s="150"/>
      <c r="X136" s="150">
        <v>887</v>
      </c>
      <c r="Y136" s="150"/>
      <c r="Z136" s="150">
        <v>886</v>
      </c>
      <c r="AA136" s="150"/>
      <c r="AB136" s="150">
        <v>885</v>
      </c>
      <c r="AC136" s="150"/>
      <c r="AD136" s="150">
        <v>885.7</v>
      </c>
      <c r="AE136" s="150">
        <v>884.7</v>
      </c>
      <c r="AF136" s="151">
        <v>884.7</v>
      </c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1519.75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17"/>
      <c r="N137" s="117"/>
      <c r="O137" s="117"/>
      <c r="P137" s="117"/>
      <c r="Q137" s="117"/>
      <c r="R137" s="117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273">SUM(B139:B243)</f>
        <v>0</v>
      </c>
      <c r="C244" s="134">
        <f t="shared" si="273"/>
        <v>0</v>
      </c>
      <c r="D244" s="134">
        <f t="shared" si="273"/>
        <v>0</v>
      </c>
      <c r="E244" s="134">
        <f t="shared" si="273"/>
        <v>0</v>
      </c>
      <c r="F244" s="134">
        <f t="shared" si="273"/>
        <v>0</v>
      </c>
      <c r="G244" s="134">
        <f t="shared" si="273"/>
        <v>0</v>
      </c>
      <c r="H244" s="134">
        <f t="shared" si="273"/>
        <v>0</v>
      </c>
      <c r="I244" s="134">
        <f t="shared" si="273"/>
        <v>0</v>
      </c>
      <c r="J244" s="134">
        <f t="shared" si="273"/>
        <v>0</v>
      </c>
      <c r="K244" s="134">
        <f t="shared" si="273"/>
        <v>0</v>
      </c>
      <c r="L244" s="134">
        <f t="shared" si="273"/>
        <v>0</v>
      </c>
      <c r="M244" s="134">
        <f t="shared" si="273"/>
        <v>0</v>
      </c>
      <c r="N244" s="134">
        <f t="shared" si="273"/>
        <v>0</v>
      </c>
      <c r="O244" s="134">
        <f t="shared" si="273"/>
        <v>0</v>
      </c>
      <c r="P244" s="134">
        <f t="shared" si="273"/>
        <v>0</v>
      </c>
      <c r="Q244" s="134">
        <f t="shared" si="273"/>
        <v>0</v>
      </c>
      <c r="R244" s="134">
        <f t="shared" si="273"/>
        <v>0</v>
      </c>
      <c r="S244" s="134">
        <f t="shared" si="273"/>
        <v>0</v>
      </c>
      <c r="T244" s="134">
        <f t="shared" si="273"/>
        <v>0</v>
      </c>
      <c r="U244" s="134">
        <f t="shared" si="273"/>
        <v>0</v>
      </c>
      <c r="V244" s="134">
        <f t="shared" si="273"/>
        <v>0</v>
      </c>
      <c r="W244" s="134">
        <f t="shared" si="273"/>
        <v>0</v>
      </c>
      <c r="X244" s="134">
        <f t="shared" si="273"/>
        <v>0</v>
      </c>
      <c r="Y244" s="134">
        <f t="shared" si="273"/>
        <v>0</v>
      </c>
      <c r="Z244" s="134">
        <f t="shared" si="273"/>
        <v>0</v>
      </c>
      <c r="AA244" s="134">
        <f t="shared" si="273"/>
        <v>0</v>
      </c>
      <c r="AB244" s="134">
        <f t="shared" si="273"/>
        <v>0</v>
      </c>
      <c r="AC244" s="134">
        <f t="shared" si="273"/>
        <v>0</v>
      </c>
      <c r="AD244" s="134">
        <f t="shared" si="273"/>
        <v>0</v>
      </c>
      <c r="AE244" s="134">
        <f t="shared" si="273"/>
        <v>0</v>
      </c>
      <c r="AF244" s="135">
        <f t="shared" si="273"/>
        <v>0</v>
      </c>
      <c r="AG244" s="136">
        <f t="shared" si="273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274">AF246</f>
        <v>0.3</v>
      </c>
      <c r="C246" s="138">
        <v>0.3</v>
      </c>
      <c r="D246" s="138">
        <f t="shared" ref="D246:S251" si="275">C246</f>
        <v>0.3</v>
      </c>
      <c r="E246" s="138">
        <f t="shared" si="275"/>
        <v>0.3</v>
      </c>
      <c r="F246" s="138">
        <f t="shared" si="275"/>
        <v>0.3</v>
      </c>
      <c r="G246" s="138">
        <f t="shared" si="275"/>
        <v>0.3</v>
      </c>
      <c r="H246" s="138">
        <f t="shared" si="275"/>
        <v>0.3</v>
      </c>
      <c r="I246" s="138">
        <f t="shared" si="275"/>
        <v>0.3</v>
      </c>
      <c r="J246" s="138">
        <f t="shared" si="275"/>
        <v>0.3</v>
      </c>
      <c r="K246" s="138">
        <f t="shared" si="275"/>
        <v>0.3</v>
      </c>
      <c r="L246" s="138">
        <f t="shared" si="275"/>
        <v>0.3</v>
      </c>
      <c r="M246" s="138">
        <f t="shared" si="275"/>
        <v>0.3</v>
      </c>
      <c r="N246" s="138">
        <f t="shared" si="275"/>
        <v>0.3</v>
      </c>
      <c r="O246" s="138">
        <f t="shared" si="275"/>
        <v>0.3</v>
      </c>
      <c r="P246" s="138">
        <f t="shared" si="275"/>
        <v>0.3</v>
      </c>
      <c r="Q246" s="138">
        <f t="shared" si="275"/>
        <v>0.3</v>
      </c>
      <c r="R246" s="138">
        <f t="shared" si="275"/>
        <v>0.3</v>
      </c>
      <c r="S246" s="138">
        <f t="shared" si="275"/>
        <v>0.3</v>
      </c>
      <c r="T246" s="138">
        <f t="shared" ref="T246:AF251" si="276">S246</f>
        <v>0.3</v>
      </c>
      <c r="U246" s="138">
        <f t="shared" si="276"/>
        <v>0.3</v>
      </c>
      <c r="V246" s="138">
        <f t="shared" si="276"/>
        <v>0.3</v>
      </c>
      <c r="W246" s="138">
        <f t="shared" si="276"/>
        <v>0.3</v>
      </c>
      <c r="X246" s="138">
        <f t="shared" si="276"/>
        <v>0.3</v>
      </c>
      <c r="Y246" s="138">
        <f t="shared" si="276"/>
        <v>0.3</v>
      </c>
      <c r="Z246" s="138">
        <f t="shared" si="276"/>
        <v>0.3</v>
      </c>
      <c r="AA246" s="138">
        <f t="shared" si="276"/>
        <v>0.3</v>
      </c>
      <c r="AB246" s="138">
        <f t="shared" si="276"/>
        <v>0.3</v>
      </c>
      <c r="AC246" s="138">
        <f t="shared" si="276"/>
        <v>0.3</v>
      </c>
      <c r="AD246" s="138">
        <f t="shared" si="276"/>
        <v>0.3</v>
      </c>
      <c r="AE246" s="138">
        <f t="shared" si="276"/>
        <v>0.3</v>
      </c>
      <c r="AF246" s="138">
        <f t="shared" si="276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274"/>
        <v>0.4</v>
      </c>
      <c r="C247" s="126">
        <v>0.4</v>
      </c>
      <c r="D247" s="126">
        <f t="shared" si="275"/>
        <v>0.4</v>
      </c>
      <c r="E247" s="126">
        <f t="shared" si="275"/>
        <v>0.4</v>
      </c>
      <c r="F247" s="126">
        <f t="shared" si="275"/>
        <v>0.4</v>
      </c>
      <c r="G247" s="126">
        <f t="shared" si="275"/>
        <v>0.4</v>
      </c>
      <c r="H247" s="126">
        <f t="shared" si="275"/>
        <v>0.4</v>
      </c>
      <c r="I247" s="126">
        <f t="shared" si="275"/>
        <v>0.4</v>
      </c>
      <c r="J247" s="126">
        <f t="shared" si="275"/>
        <v>0.4</v>
      </c>
      <c r="K247" s="126">
        <f t="shared" si="275"/>
        <v>0.4</v>
      </c>
      <c r="L247" s="126">
        <f t="shared" si="275"/>
        <v>0.4</v>
      </c>
      <c r="M247" s="126">
        <f t="shared" si="275"/>
        <v>0.4</v>
      </c>
      <c r="N247" s="126">
        <f t="shared" si="275"/>
        <v>0.4</v>
      </c>
      <c r="O247" s="126">
        <f t="shared" si="275"/>
        <v>0.4</v>
      </c>
      <c r="P247" s="126">
        <f t="shared" si="275"/>
        <v>0.4</v>
      </c>
      <c r="Q247" s="126">
        <f t="shared" si="275"/>
        <v>0.4</v>
      </c>
      <c r="R247" s="126">
        <f t="shared" si="275"/>
        <v>0.4</v>
      </c>
      <c r="S247" s="126">
        <f t="shared" si="275"/>
        <v>0.4</v>
      </c>
      <c r="T247" s="126">
        <f t="shared" si="276"/>
        <v>0.4</v>
      </c>
      <c r="U247" s="126">
        <f t="shared" si="276"/>
        <v>0.4</v>
      </c>
      <c r="V247" s="126">
        <f t="shared" si="276"/>
        <v>0.4</v>
      </c>
      <c r="W247" s="126">
        <f t="shared" si="276"/>
        <v>0.4</v>
      </c>
      <c r="X247" s="126">
        <f t="shared" si="276"/>
        <v>0.4</v>
      </c>
      <c r="Y247" s="126">
        <f t="shared" si="276"/>
        <v>0.4</v>
      </c>
      <c r="Z247" s="126">
        <f t="shared" si="276"/>
        <v>0.4</v>
      </c>
      <c r="AA247" s="126">
        <f t="shared" si="276"/>
        <v>0.4</v>
      </c>
      <c r="AB247" s="126">
        <f t="shared" si="276"/>
        <v>0.4</v>
      </c>
      <c r="AC247" s="126">
        <f t="shared" si="276"/>
        <v>0.4</v>
      </c>
      <c r="AD247" s="126">
        <f t="shared" si="276"/>
        <v>0.4</v>
      </c>
      <c r="AE247" s="126">
        <f t="shared" si="276"/>
        <v>0.4</v>
      </c>
      <c r="AF247" s="126">
        <f t="shared" si="276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274"/>
        <v>1.5</v>
      </c>
      <c r="C248" s="126">
        <v>1.5</v>
      </c>
      <c r="D248" s="126">
        <f t="shared" si="275"/>
        <v>1.5</v>
      </c>
      <c r="E248" s="126">
        <f t="shared" si="275"/>
        <v>1.5</v>
      </c>
      <c r="F248" s="126">
        <f t="shared" si="275"/>
        <v>1.5</v>
      </c>
      <c r="G248" s="126">
        <f t="shared" si="275"/>
        <v>1.5</v>
      </c>
      <c r="H248" s="126">
        <f t="shared" si="275"/>
        <v>1.5</v>
      </c>
      <c r="I248" s="126">
        <f t="shared" si="275"/>
        <v>1.5</v>
      </c>
      <c r="J248" s="126">
        <f t="shared" si="275"/>
        <v>1.5</v>
      </c>
      <c r="K248" s="126">
        <f t="shared" si="275"/>
        <v>1.5</v>
      </c>
      <c r="L248" s="126">
        <f t="shared" si="275"/>
        <v>1.5</v>
      </c>
      <c r="M248" s="126">
        <f t="shared" si="275"/>
        <v>1.5</v>
      </c>
      <c r="N248" s="126">
        <f t="shared" si="275"/>
        <v>1.5</v>
      </c>
      <c r="O248" s="126">
        <f t="shared" si="275"/>
        <v>1.5</v>
      </c>
      <c r="P248" s="126">
        <f t="shared" si="275"/>
        <v>1.5</v>
      </c>
      <c r="Q248" s="126">
        <f t="shared" si="275"/>
        <v>1.5</v>
      </c>
      <c r="R248" s="126">
        <f t="shared" si="275"/>
        <v>1.5</v>
      </c>
      <c r="S248" s="126">
        <f t="shared" si="275"/>
        <v>1.5</v>
      </c>
      <c r="T248" s="126">
        <f t="shared" si="276"/>
        <v>1.5</v>
      </c>
      <c r="U248" s="126">
        <f t="shared" si="276"/>
        <v>1.5</v>
      </c>
      <c r="V248" s="126">
        <f t="shared" si="276"/>
        <v>1.5</v>
      </c>
      <c r="W248" s="126">
        <f t="shared" si="276"/>
        <v>1.5</v>
      </c>
      <c r="X248" s="126">
        <f t="shared" si="276"/>
        <v>1.5</v>
      </c>
      <c r="Y248" s="126">
        <f t="shared" si="276"/>
        <v>1.5</v>
      </c>
      <c r="Z248" s="126">
        <f t="shared" si="276"/>
        <v>1.5</v>
      </c>
      <c r="AA248" s="126">
        <f t="shared" si="276"/>
        <v>1.5</v>
      </c>
      <c r="AB248" s="126">
        <f t="shared" si="276"/>
        <v>1.5</v>
      </c>
      <c r="AC248" s="126">
        <f t="shared" si="276"/>
        <v>1.5</v>
      </c>
      <c r="AD248" s="126">
        <f t="shared" si="276"/>
        <v>1.5</v>
      </c>
      <c r="AE248" s="126">
        <f t="shared" si="276"/>
        <v>1.5</v>
      </c>
      <c r="AF248" s="126">
        <f t="shared" si="276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274"/>
        <v>0.3</v>
      </c>
      <c r="C249" s="126">
        <v>0.3</v>
      </c>
      <c r="D249" s="126">
        <f t="shared" si="275"/>
        <v>0.3</v>
      </c>
      <c r="E249" s="126">
        <f t="shared" si="275"/>
        <v>0.3</v>
      </c>
      <c r="F249" s="126">
        <f t="shared" si="275"/>
        <v>0.3</v>
      </c>
      <c r="G249" s="126">
        <f t="shared" si="275"/>
        <v>0.3</v>
      </c>
      <c r="H249" s="126">
        <f t="shared" si="275"/>
        <v>0.3</v>
      </c>
      <c r="I249" s="126">
        <f t="shared" si="275"/>
        <v>0.3</v>
      </c>
      <c r="J249" s="126">
        <f t="shared" si="275"/>
        <v>0.3</v>
      </c>
      <c r="K249" s="126">
        <f t="shared" si="275"/>
        <v>0.3</v>
      </c>
      <c r="L249" s="126">
        <f t="shared" si="275"/>
        <v>0.3</v>
      </c>
      <c r="M249" s="126">
        <f t="shared" si="275"/>
        <v>0.3</v>
      </c>
      <c r="N249" s="126">
        <f t="shared" si="275"/>
        <v>0.3</v>
      </c>
      <c r="O249" s="126">
        <f t="shared" si="275"/>
        <v>0.3</v>
      </c>
      <c r="P249" s="126">
        <f t="shared" si="275"/>
        <v>0.3</v>
      </c>
      <c r="Q249" s="126">
        <f t="shared" si="275"/>
        <v>0.3</v>
      </c>
      <c r="R249" s="126">
        <f t="shared" si="275"/>
        <v>0.3</v>
      </c>
      <c r="S249" s="126">
        <f t="shared" si="275"/>
        <v>0.3</v>
      </c>
      <c r="T249" s="126">
        <f t="shared" si="276"/>
        <v>0.3</v>
      </c>
      <c r="U249" s="126">
        <f t="shared" si="276"/>
        <v>0.3</v>
      </c>
      <c r="V249" s="126">
        <f t="shared" si="276"/>
        <v>0.3</v>
      </c>
      <c r="W249" s="126">
        <f t="shared" si="276"/>
        <v>0.3</v>
      </c>
      <c r="X249" s="126">
        <f t="shared" si="276"/>
        <v>0.3</v>
      </c>
      <c r="Y249" s="126">
        <f t="shared" si="276"/>
        <v>0.3</v>
      </c>
      <c r="Z249" s="126">
        <f t="shared" si="276"/>
        <v>0.3</v>
      </c>
      <c r="AA249" s="126">
        <f t="shared" si="276"/>
        <v>0.3</v>
      </c>
      <c r="AB249" s="126">
        <f t="shared" si="276"/>
        <v>0.3</v>
      </c>
      <c r="AC249" s="126">
        <f t="shared" si="276"/>
        <v>0.3</v>
      </c>
      <c r="AD249" s="126">
        <f t="shared" si="276"/>
        <v>0.3</v>
      </c>
      <c r="AE249" s="126">
        <f t="shared" si="276"/>
        <v>0.3</v>
      </c>
      <c r="AF249" s="126">
        <f t="shared" si="276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274"/>
        <v>0.4</v>
      </c>
      <c r="C250" s="126">
        <v>0.4</v>
      </c>
      <c r="D250" s="126">
        <f t="shared" si="275"/>
        <v>0.4</v>
      </c>
      <c r="E250" s="126">
        <f t="shared" si="275"/>
        <v>0.4</v>
      </c>
      <c r="F250" s="126">
        <f t="shared" si="275"/>
        <v>0.4</v>
      </c>
      <c r="G250" s="126">
        <f t="shared" si="275"/>
        <v>0.4</v>
      </c>
      <c r="H250" s="126">
        <f t="shared" si="275"/>
        <v>0.4</v>
      </c>
      <c r="I250" s="126">
        <f t="shared" si="275"/>
        <v>0.4</v>
      </c>
      <c r="J250" s="126">
        <f t="shared" si="275"/>
        <v>0.4</v>
      </c>
      <c r="K250" s="126">
        <f t="shared" si="275"/>
        <v>0.4</v>
      </c>
      <c r="L250" s="126">
        <f t="shared" si="275"/>
        <v>0.4</v>
      </c>
      <c r="M250" s="126">
        <f t="shared" si="275"/>
        <v>0.4</v>
      </c>
      <c r="N250" s="126">
        <f t="shared" si="275"/>
        <v>0.4</v>
      </c>
      <c r="O250" s="126">
        <f t="shared" si="275"/>
        <v>0.4</v>
      </c>
      <c r="P250" s="126">
        <f t="shared" si="275"/>
        <v>0.4</v>
      </c>
      <c r="Q250" s="126">
        <f t="shared" si="275"/>
        <v>0.4</v>
      </c>
      <c r="R250" s="126">
        <f t="shared" si="275"/>
        <v>0.4</v>
      </c>
      <c r="S250" s="126">
        <f t="shared" si="275"/>
        <v>0.4</v>
      </c>
      <c r="T250" s="126">
        <f t="shared" si="276"/>
        <v>0.4</v>
      </c>
      <c r="U250" s="126">
        <f t="shared" si="276"/>
        <v>0.4</v>
      </c>
      <c r="V250" s="126">
        <f t="shared" si="276"/>
        <v>0.4</v>
      </c>
      <c r="W250" s="126">
        <f t="shared" si="276"/>
        <v>0.4</v>
      </c>
      <c r="X250" s="126">
        <f t="shared" si="276"/>
        <v>0.4</v>
      </c>
      <c r="Y250" s="126">
        <f t="shared" si="276"/>
        <v>0.4</v>
      </c>
      <c r="Z250" s="126">
        <f t="shared" si="276"/>
        <v>0.4</v>
      </c>
      <c r="AA250" s="126">
        <f t="shared" si="276"/>
        <v>0.4</v>
      </c>
      <c r="AB250" s="126">
        <f t="shared" si="276"/>
        <v>0.4</v>
      </c>
      <c r="AC250" s="126">
        <f t="shared" si="276"/>
        <v>0.4</v>
      </c>
      <c r="AD250" s="126">
        <f t="shared" si="276"/>
        <v>0.4</v>
      </c>
      <c r="AE250" s="126">
        <f t="shared" si="276"/>
        <v>0.4</v>
      </c>
      <c r="AF250" s="126">
        <f t="shared" si="276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274"/>
        <v>0.64</v>
      </c>
      <c r="C251" s="130">
        <v>0.64</v>
      </c>
      <c r="D251" s="130">
        <f t="shared" si="275"/>
        <v>0.64</v>
      </c>
      <c r="E251" s="130">
        <f t="shared" si="275"/>
        <v>0.64</v>
      </c>
      <c r="F251" s="130">
        <f t="shared" si="275"/>
        <v>0.64</v>
      </c>
      <c r="G251" s="130">
        <f t="shared" si="275"/>
        <v>0.64</v>
      </c>
      <c r="H251" s="130">
        <f t="shared" si="275"/>
        <v>0.64</v>
      </c>
      <c r="I251" s="130">
        <f t="shared" si="275"/>
        <v>0.64</v>
      </c>
      <c r="J251" s="130">
        <f t="shared" si="275"/>
        <v>0.64</v>
      </c>
      <c r="K251" s="130">
        <f t="shared" si="275"/>
        <v>0.64</v>
      </c>
      <c r="L251" s="130">
        <f t="shared" si="275"/>
        <v>0.64</v>
      </c>
      <c r="M251" s="130">
        <f t="shared" si="275"/>
        <v>0.64</v>
      </c>
      <c r="N251" s="130">
        <f t="shared" si="275"/>
        <v>0.64</v>
      </c>
      <c r="O251" s="130">
        <f t="shared" si="275"/>
        <v>0.64</v>
      </c>
      <c r="P251" s="130">
        <f t="shared" si="275"/>
        <v>0.64</v>
      </c>
      <c r="Q251" s="130">
        <f t="shared" si="275"/>
        <v>0.64</v>
      </c>
      <c r="R251" s="130">
        <f t="shared" si="275"/>
        <v>0.64</v>
      </c>
      <c r="S251" s="130">
        <f t="shared" si="275"/>
        <v>0.64</v>
      </c>
      <c r="T251" s="130">
        <f t="shared" si="276"/>
        <v>0.64</v>
      </c>
      <c r="U251" s="130">
        <f t="shared" si="276"/>
        <v>0.64</v>
      </c>
      <c r="V251" s="130">
        <f t="shared" si="276"/>
        <v>0.64</v>
      </c>
      <c r="W251" s="130">
        <f t="shared" si="276"/>
        <v>0.64</v>
      </c>
      <c r="X251" s="130">
        <f t="shared" si="276"/>
        <v>0.64</v>
      </c>
      <c r="Y251" s="130">
        <f t="shared" si="276"/>
        <v>0.64</v>
      </c>
      <c r="Z251" s="130">
        <f t="shared" si="276"/>
        <v>0.64</v>
      </c>
      <c r="AA251" s="130">
        <f t="shared" si="276"/>
        <v>0.64</v>
      </c>
      <c r="AB251" s="130">
        <f t="shared" si="276"/>
        <v>0.64</v>
      </c>
      <c r="AC251" s="130">
        <f t="shared" si="276"/>
        <v>0.64</v>
      </c>
      <c r="AD251" s="130">
        <f t="shared" si="276"/>
        <v>0.64</v>
      </c>
      <c r="AE251" s="130">
        <f t="shared" si="276"/>
        <v>0.64</v>
      </c>
      <c r="AF251" s="130">
        <f t="shared" si="276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277">SUM(B246:B251)</f>
        <v>3.54</v>
      </c>
      <c r="C252" s="134">
        <f t="shared" si="277"/>
        <v>3.54</v>
      </c>
      <c r="D252" s="134">
        <f t="shared" si="277"/>
        <v>3.54</v>
      </c>
      <c r="E252" s="134">
        <f t="shared" si="277"/>
        <v>3.54</v>
      </c>
      <c r="F252" s="134">
        <f t="shared" si="277"/>
        <v>3.54</v>
      </c>
      <c r="G252" s="134">
        <f t="shared" si="277"/>
        <v>3.54</v>
      </c>
      <c r="H252" s="134">
        <f t="shared" si="277"/>
        <v>3.54</v>
      </c>
      <c r="I252" s="134">
        <f t="shared" si="277"/>
        <v>3.54</v>
      </c>
      <c r="J252" s="134">
        <f t="shared" si="277"/>
        <v>3.54</v>
      </c>
      <c r="K252" s="134">
        <f t="shared" si="277"/>
        <v>3.54</v>
      </c>
      <c r="L252" s="134">
        <f t="shared" si="277"/>
        <v>3.54</v>
      </c>
      <c r="M252" s="134">
        <f t="shared" si="277"/>
        <v>3.54</v>
      </c>
      <c r="N252" s="134">
        <f t="shared" si="277"/>
        <v>3.54</v>
      </c>
      <c r="O252" s="134">
        <f t="shared" si="277"/>
        <v>3.54</v>
      </c>
      <c r="P252" s="134">
        <f t="shared" si="277"/>
        <v>3.54</v>
      </c>
      <c r="Q252" s="134">
        <f t="shared" si="277"/>
        <v>3.54</v>
      </c>
      <c r="R252" s="134">
        <f t="shared" si="277"/>
        <v>3.54</v>
      </c>
      <c r="S252" s="134">
        <f t="shared" si="277"/>
        <v>3.54</v>
      </c>
      <c r="T252" s="134">
        <f t="shared" si="277"/>
        <v>3.54</v>
      </c>
      <c r="U252" s="134">
        <f t="shared" si="277"/>
        <v>3.54</v>
      </c>
      <c r="V252" s="134">
        <f t="shared" si="277"/>
        <v>3.54</v>
      </c>
      <c r="W252" s="134">
        <f t="shared" si="277"/>
        <v>3.54</v>
      </c>
      <c r="X252" s="134">
        <f t="shared" si="277"/>
        <v>3.54</v>
      </c>
      <c r="Y252" s="134">
        <f t="shared" si="277"/>
        <v>3.54</v>
      </c>
      <c r="Z252" s="134">
        <f t="shared" si="277"/>
        <v>3.54</v>
      </c>
      <c r="AA252" s="134">
        <f t="shared" si="277"/>
        <v>3.54</v>
      </c>
      <c r="AB252" s="134">
        <f t="shared" si="277"/>
        <v>3.54</v>
      </c>
      <c r="AC252" s="134">
        <f t="shared" si="277"/>
        <v>3.54</v>
      </c>
      <c r="AD252" s="134">
        <f t="shared" si="277"/>
        <v>3.54</v>
      </c>
      <c r="AE252" s="134">
        <f t="shared" si="277"/>
        <v>3.54</v>
      </c>
      <c r="AF252" s="134">
        <f t="shared" si="277"/>
        <v>3.54</v>
      </c>
      <c r="AG252" s="143">
        <f t="shared" si="277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1679.6799999999998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2080/10/30)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50">
    <mergeCell ref="AN92:AN93"/>
    <mergeCell ref="A258:B258"/>
    <mergeCell ref="V9:V10"/>
    <mergeCell ref="W9:W10"/>
    <mergeCell ref="X9:X10"/>
    <mergeCell ref="Y9:Y10"/>
    <mergeCell ref="Z9:Z10"/>
    <mergeCell ref="Q9:Q10"/>
    <mergeCell ref="R9:R10"/>
    <mergeCell ref="S9:S10"/>
    <mergeCell ref="T9:T10"/>
    <mergeCell ref="P9:P10"/>
    <mergeCell ref="A9:A10"/>
    <mergeCell ref="BZ8:CF8"/>
    <mergeCell ref="AB9:AB10"/>
    <mergeCell ref="AC9:AC10"/>
    <mergeCell ref="AD9:AD10"/>
    <mergeCell ref="AE9:AE10"/>
    <mergeCell ref="AF9:AF10"/>
    <mergeCell ref="AG9:AG10"/>
    <mergeCell ref="AB8:AF8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AA9:AA10"/>
    <mergeCell ref="O9:O10"/>
    <mergeCell ref="U9:U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06" priority="90">
      <formula>$AH11=0</formula>
    </cfRule>
  </conditionalFormatting>
  <conditionalFormatting sqref="A132:A253">
    <cfRule type="expression" dxfId="405" priority="91">
      <formula>$AH132=0</formula>
    </cfRule>
  </conditionalFormatting>
  <conditionalFormatting sqref="B8">
    <cfRule type="expression" dxfId="404" priority="150">
      <formula>AND(C$9&gt;=8/24,C$9&lt;14/24)</formula>
    </cfRule>
    <cfRule type="expression" dxfId="403" priority="151">
      <formula>C$9&lt;8/24</formula>
    </cfRule>
    <cfRule type="expression" dxfId="402" priority="149">
      <formula>AND(C$9&gt;=14/24,C$9&lt;20/24)</formula>
    </cfRule>
    <cfRule type="expression" dxfId="401" priority="152">
      <formula>C$9&gt;=20/24</formula>
    </cfRule>
  </conditionalFormatting>
  <conditionalFormatting sqref="B11:G52 H12:J52 K13:Y52 B59:G74 H69:AF74 B77:AF99 B9:AF10 B101:AF117 B119:AF137 B244:AF244 B246:B252">
    <cfRule type="expression" dxfId="400" priority="41">
      <formula>B$9&gt;=20/24</formula>
    </cfRule>
  </conditionalFormatting>
  <conditionalFormatting sqref="B53:Y57">
    <cfRule type="expression" dxfId="399" priority="53">
      <formula>B$9&lt;8/24</formula>
    </cfRule>
  </conditionalFormatting>
  <conditionalFormatting sqref="B9:AF10 B11:G52 H12:J52 K13:Y52 B59:G74 H69:AF74 B77:AF99 B101:AF117 B119:AF137 B244:AF244 B246:B252">
    <cfRule type="expression" dxfId="398" priority="44">
      <formula>B$9&lt;8/24</formula>
    </cfRule>
    <cfRule type="expression" dxfId="397" priority="43">
      <formula>AND(B$9&gt;=8/24,B$9&lt;14/24)</formula>
    </cfRule>
    <cfRule type="expression" dxfId="396" priority="42">
      <formula>AND(B$9&gt;=14/24,B$9&lt;20/24)</formula>
    </cfRule>
  </conditionalFormatting>
  <conditionalFormatting sqref="D246:AF252">
    <cfRule type="expression" dxfId="395" priority="137">
      <formula>D$9&lt;8/24</formula>
    </cfRule>
    <cfRule type="expression" dxfId="394" priority="136">
      <formula>AND(D$9&gt;=8/24,D$9&lt;14/24)</formula>
    </cfRule>
    <cfRule type="expression" dxfId="393" priority="135">
      <formula>AND(D$9&gt;=14/24,D$9&lt;20/24)</formula>
    </cfRule>
    <cfRule type="expression" dxfId="392" priority="134">
      <formula>D$9&gt;=20/24</formula>
    </cfRule>
  </conditionalFormatting>
  <conditionalFormatting sqref="E11:G74 H12:J61 M13:Y56 K13:L61 D18:D76 B18:C80 B11:D17 M57:R61 S57:Y80 AB58:AF61 Z58:AA80 AB62:AG62 H62:R74 AB63:AF80 E75:R76 D77:R80 AG80">
    <cfRule type="expression" dxfId="391" priority="40">
      <formula>B11&gt;$AG11</formula>
    </cfRule>
  </conditionalFormatting>
  <conditionalFormatting sqref="H63:I67 J64:J67 K67">
    <cfRule type="expression" dxfId="390" priority="56">
      <formula>AND(H$9&gt;=8/24,H$9&lt;14/24)</formula>
    </cfRule>
    <cfRule type="expression" dxfId="389" priority="55">
      <formula>AND(H$9&gt;=14/24,H$9&lt;20/24)</formula>
    </cfRule>
    <cfRule type="expression" dxfId="388" priority="54">
      <formula>H$9&gt;=20/24</formula>
    </cfRule>
    <cfRule type="expression" dxfId="387" priority="57">
      <formula>H$9&lt;8/24</formula>
    </cfRule>
  </conditionalFormatting>
  <conditionalFormatting sqref="H63:L65">
    <cfRule type="expression" dxfId="386" priority="83">
      <formula>AND(H$9&gt;=14/24,H$9&lt;20/24)</formula>
    </cfRule>
    <cfRule type="expression" dxfId="385" priority="85">
      <formula>H$9&lt;8/24</formula>
    </cfRule>
    <cfRule type="expression" dxfId="384" priority="84">
      <formula>AND(H$9&gt;=8/24,H$9&lt;14/24)</formula>
    </cfRule>
    <cfRule type="expression" dxfId="383" priority="82">
      <formula>H$9&gt;=20/24</formula>
    </cfRule>
  </conditionalFormatting>
  <conditionalFormatting sqref="H11:Q11 R11:Y12 Z11:AF52 K12:Q12">
    <cfRule type="expression" dxfId="382" priority="62">
      <formula>H$9&lt;8/24</formula>
    </cfRule>
    <cfRule type="expression" dxfId="381" priority="61">
      <formula>AND(H$9&gt;=8/24,H$9&lt;14/24)</formula>
    </cfRule>
    <cfRule type="expression" dxfId="380" priority="60">
      <formula>AND(H$9&gt;=14/24,H$9&lt;20/24)</formula>
    </cfRule>
    <cfRule type="expression" dxfId="379" priority="59">
      <formula>H$9&gt;=20/24</formula>
    </cfRule>
    <cfRule type="expression" dxfId="378" priority="58">
      <formula>H11&gt;$AG11</formula>
    </cfRule>
  </conditionalFormatting>
  <conditionalFormatting sqref="H68:Y68">
    <cfRule type="expression" dxfId="377" priority="51">
      <formula>AND(H$9&gt;=8/24,H$9&lt;14/24)</formula>
    </cfRule>
    <cfRule type="expression" dxfId="376" priority="52">
      <formula>H$9&lt;8/24</formula>
    </cfRule>
    <cfRule type="expression" dxfId="375" priority="50">
      <formula>AND(H$9&gt;=14/24,H$9&lt;20/24)</formula>
    </cfRule>
    <cfRule type="expression" dxfId="374" priority="49">
      <formula>H$9&gt;=20/24</formula>
    </cfRule>
  </conditionalFormatting>
  <conditionalFormatting sqref="H59:AF62">
    <cfRule type="expression" dxfId="373" priority="68">
      <formula>H$9&gt;=20/24</formula>
    </cfRule>
    <cfRule type="expression" dxfId="372" priority="71">
      <formula>H$9&lt;8/24</formula>
    </cfRule>
    <cfRule type="expression" dxfId="371" priority="70">
      <formula>AND(H$9&gt;=8/24,H$9&lt;14/24)</formula>
    </cfRule>
    <cfRule type="expression" dxfId="370" priority="69">
      <formula>AND(H$9&gt;=14/24,H$9&lt;20/24)</formula>
    </cfRule>
  </conditionalFormatting>
  <conditionalFormatting sqref="M8 S8 AB8">
    <cfRule type="expression" dxfId="369" priority="141">
      <formula>AND(N$9&gt;=14/24,N$9&lt;20/24)</formula>
    </cfRule>
    <cfRule type="expression" dxfId="368" priority="142">
      <formula>AND(N$9&gt;=8/24,N$9&lt;14/24)</formula>
    </cfRule>
    <cfRule type="expression" dxfId="367" priority="143">
      <formula>N$9&lt;8/24</formula>
    </cfRule>
  </conditionalFormatting>
  <conditionalFormatting sqref="M56:Y57">
    <cfRule type="expression" dxfId="366" priority="46">
      <formula>M$9&gt;=20/24</formula>
    </cfRule>
    <cfRule type="expression" dxfId="365" priority="47">
      <formula>AND(M$9&gt;=14/24,M$9&lt;20/24)</formula>
    </cfRule>
    <cfRule type="expression" dxfId="364" priority="48">
      <formula>AND(M$9&gt;=8/24,M$9&lt;14/24)</formula>
    </cfRule>
  </conditionalFormatting>
  <conditionalFormatting sqref="M63:Y67">
    <cfRule type="expression" dxfId="363" priority="88">
      <formula>AND(M$9&gt;=8/24,M$9&lt;14/24)</formula>
    </cfRule>
    <cfRule type="expression" dxfId="362" priority="89">
      <formula>M$9&lt;8/24</formula>
    </cfRule>
    <cfRule type="expression" dxfId="361" priority="86">
      <formula>M$9&gt;=20/24</formula>
    </cfRule>
    <cfRule type="expression" dxfId="360" priority="87">
      <formula>AND(M$9&gt;=14/24,M$9&lt;20/24)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59" priority="140">
      <formula>N$9&gt;=20/24</formula>
    </cfRule>
  </conditionalFormatting>
  <conditionalFormatting sqref="S8">
    <cfRule type="expression" dxfId="358" priority="127">
      <formula>U$9&gt;=20/24</formula>
    </cfRule>
    <cfRule type="expression" dxfId="357" priority="128">
      <formula>AND(U$9&gt;=14/24,U$9&lt;20/24)</formula>
    </cfRule>
    <cfRule type="expression" dxfId="356" priority="129">
      <formula>AND(U$9&gt;=8/24,U$9&lt;14/24)</formula>
    </cfRule>
    <cfRule type="expression" dxfId="355" priority="130">
      <formula>U$9&lt;8/24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Z53:AF54 M53:Y55 B53:L57">
    <cfRule type="expression" dxfId="354" priority="37">
      <formula>B$9&gt;=20/24</formula>
    </cfRule>
    <cfRule type="expression" dxfId="353" priority="38">
      <formula>AND(B$9&gt;=14/24,B$9&lt;20/24)</formula>
    </cfRule>
    <cfRule type="expression" dxfId="352" priority="39">
      <formula>AND(B$9&gt;=8/24,B$9&lt;14/24)</formula>
    </cfRule>
  </conditionalFormatting>
  <conditionalFormatting sqref="Z53:AF55">
    <cfRule type="expression" dxfId="351" priority="77">
      <formula>Z53&gt;$AG53</formula>
    </cfRule>
  </conditionalFormatting>
  <conditionalFormatting sqref="Z53:AF57">
    <cfRule type="expression" dxfId="350" priority="76">
      <formula>Z$9&lt;8/24</formula>
    </cfRule>
  </conditionalFormatting>
  <conditionalFormatting sqref="Z55:AF57">
    <cfRule type="expression" dxfId="349" priority="66">
      <formula>AND(Z$9&gt;=8/24,Z$9&lt;14/24)</formula>
    </cfRule>
    <cfRule type="expression" dxfId="348" priority="65">
      <formula>AND(Z$9&gt;=14/24,Z$9&lt;20/24)</formula>
    </cfRule>
    <cfRule type="expression" dxfId="347" priority="64">
      <formula>Z$9&gt;=20/24</formula>
    </cfRule>
  </conditionalFormatting>
  <conditionalFormatting sqref="Z56:AF57">
    <cfRule type="expression" dxfId="346" priority="63">
      <formula>Z56&gt;$AG56</formula>
    </cfRule>
  </conditionalFormatting>
  <conditionalFormatting sqref="Z63:AF68">
    <cfRule type="expression" dxfId="345" priority="74">
      <formula>AND(Z$9&gt;=8/24,Z$9&lt;14/24)</formula>
    </cfRule>
    <cfRule type="expression" dxfId="344" priority="75">
      <formula>Z$9&lt;8/24</formula>
    </cfRule>
    <cfRule type="expression" dxfId="343" priority="72">
      <formula>Z$9&gt;=20/24</formula>
    </cfRule>
    <cfRule type="expression" dxfId="342" priority="73">
      <formula>AND(Z$9&gt;=14/24,Z$9&lt;20/24)</formula>
    </cfRule>
  </conditionalFormatting>
  <conditionalFormatting sqref="AB8">
    <cfRule type="expression" dxfId="341" priority="125">
      <formula>AND(AD$9&gt;=8/24,AD$9&lt;14/24)</formula>
    </cfRule>
    <cfRule type="expression" dxfId="340" priority="123">
      <formula>AD$9&gt;=20/24</formula>
    </cfRule>
    <cfRule type="expression" dxfId="339" priority="124">
      <formula>AND(AD$9&gt;=14/24,AD$9&lt;20/24)</formula>
    </cfRule>
    <cfRule type="expression" dxfId="338" priority="126">
      <formula>AD$9&lt;8/24</formula>
    </cfRule>
  </conditionalFormatting>
  <conditionalFormatting sqref="AG58">
    <cfRule type="expression" dxfId="337" priority="118">
      <formula>AG58&gt;$AG58</formula>
    </cfRule>
  </conditionalFormatting>
  <conditionalFormatting sqref="AG62">
    <cfRule type="expression" dxfId="336" priority="104">
      <formula>AG$9&lt;8/24</formula>
    </cfRule>
    <cfRule type="expression" dxfId="335" priority="102">
      <formula>AND(AG$9&gt;=14/24,AG$9&lt;20/24)</formula>
    </cfRule>
    <cfRule type="expression" dxfId="334" priority="101">
      <formula>AG$9&gt;=20/24</formula>
    </cfRule>
    <cfRule type="expression" dxfId="333" priority="103">
      <formula>AND(AG$9&gt;=8/24,AG$9&lt;14/24)</formula>
    </cfRule>
  </conditionalFormatting>
  <conditionalFormatting sqref="AG75:AG76">
    <cfRule type="expression" dxfId="332" priority="96">
      <formula>AG75&gt;$AG75</formula>
    </cfRule>
  </conditionalFormatting>
  <conditionalFormatting sqref="AG80">
    <cfRule type="expression" dxfId="331" priority="100">
      <formula>AG$9&lt;8/24</formula>
    </cfRule>
    <cfRule type="expression" dxfId="330" priority="97">
      <formula>AG$9&gt;=20/24</formula>
    </cfRule>
    <cfRule type="expression" dxfId="329" priority="98">
      <formula>AND(AG$9&gt;=14/24,AG$9&lt;20/24)</formula>
    </cfRule>
    <cfRule type="expression" dxfId="328" priority="99">
      <formula>AND(AG$9&gt;=8/24,AG$9&lt;14/24)</formula>
    </cfRule>
  </conditionalFormatting>
  <conditionalFormatting sqref="AG97">
    <cfRule type="expression" dxfId="327" priority="122">
      <formula>AG$9&lt;8/24</formula>
    </cfRule>
    <cfRule type="expression" dxfId="326" priority="120">
      <formula>AND(AG$9&gt;=14/24,AG$9&lt;20/24)</formula>
    </cfRule>
    <cfRule type="expression" dxfId="325" priority="119">
      <formula>AG$9&gt;=20/24</formula>
    </cfRule>
    <cfRule type="expression" dxfId="324" priority="121">
      <formula>AND(AG$9&gt;=8/24,AG$9&lt;14/24)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23" priority="144">
      <formula>AJ$9&gt;=20/24</formula>
    </cfRule>
    <cfRule type="expression" dxfId="322" priority="145">
      <formula>AND(AJ$9&gt;=14/24,AJ$9&lt;20/24)</formula>
    </cfRule>
    <cfRule type="expression" dxfId="321" priority="146">
      <formula>AND(AJ$9&gt;=8/24,AJ$9&lt;14/24)</formula>
    </cfRule>
    <cfRule type="expression" dxfId="320" priority="147">
      <formula>AJ$9&lt;8/24</formula>
    </cfRule>
  </conditionalFormatting>
  <conditionalFormatting sqref="AL88:AN88 AL94:AN94">
    <cfRule type="expression" dxfId="319" priority="112">
      <formula>AND(AL$9&gt;=14/24,AL$9&lt;20/24)</formula>
    </cfRule>
    <cfRule type="expression" dxfId="318" priority="113">
      <formula>AND(AL$9&gt;=8/24,AL$9&lt;14/24)</formula>
    </cfRule>
    <cfRule type="expression" dxfId="317" priority="114">
      <formula>AL$9&lt;8/24</formula>
    </cfRule>
    <cfRule type="expression" dxfId="316" priority="111">
      <formula>AL$9&gt;=20/24</formula>
    </cfRule>
  </conditionalFormatting>
  <conditionalFormatting sqref="AM15:AM21 AN16:AR21">
    <cfRule type="expression" dxfId="315" priority="16">
      <formula>AX$9&lt;8/24</formula>
    </cfRule>
    <cfRule type="expression" dxfId="314" priority="15">
      <formula>AND(AX$9&gt;=8/24,AX$9&lt;14/24)</formula>
    </cfRule>
    <cfRule type="expression" dxfId="313" priority="14">
      <formula>AND(AX$9&gt;=14/24,AX$9&lt;20/24)</formula>
    </cfRule>
    <cfRule type="expression" dxfId="312" priority="13">
      <formula>AX$9&gt;=20/24</formula>
    </cfRule>
  </conditionalFormatting>
  <conditionalFormatting sqref="AN89:AN92">
    <cfRule type="expression" dxfId="311" priority="107">
      <formula>AN$9&gt;=20/24</formula>
    </cfRule>
    <cfRule type="expression" dxfId="310" priority="108">
      <formula>AND(AN$9&gt;=14/24,AN$9&lt;20/24)</formula>
    </cfRule>
    <cfRule type="expression" dxfId="309" priority="109">
      <formula>AND(AN$9&gt;=8/24,AN$9&lt;14/24)</formula>
    </cfRule>
    <cfRule type="expression" dxfId="308" priority="110">
      <formula>AN$9&lt;8/24</formula>
    </cfRule>
  </conditionalFormatting>
  <conditionalFormatting sqref="AN15:AR15">
    <cfRule type="expression" dxfId="307" priority="3">
      <formula>AND(U$9&gt;=8/24,U$9&lt;14/24)</formula>
    </cfRule>
    <cfRule type="expression" dxfId="306" priority="4">
      <formula>U$9&lt;8/24</formula>
    </cfRule>
    <cfRule type="expression" dxfId="305" priority="1">
      <formula>U$9&gt;=20/24</formula>
    </cfRule>
    <cfRule type="expression" dxfId="304" priority="2">
      <formula>AND(U$9&gt;=14/24,U$9&lt;20/24)</formula>
    </cfRule>
  </conditionalFormatting>
  <conditionalFormatting sqref="AS15">
    <cfRule type="expression" dxfId="303" priority="12">
      <formula>AA$9&lt;8/24</formula>
    </cfRule>
    <cfRule type="expression" dxfId="302" priority="11">
      <formula>AND(AA$9&gt;=8/24,AA$9&lt;14/24)</formula>
    </cfRule>
    <cfRule type="expression" dxfId="301" priority="10">
      <formula>AND(AA$9&gt;=14/24,AA$9&lt;20/24)</formula>
    </cfRule>
    <cfRule type="expression" dxfId="300" priority="9">
      <formula>AA$9&gt;=20/24</formula>
    </cfRule>
  </conditionalFormatting>
  <conditionalFormatting sqref="AS16:AS21">
    <cfRule type="expression" dxfId="299" priority="20">
      <formula>BE$9&lt;8/24</formula>
    </cfRule>
    <cfRule type="expression" dxfId="298" priority="18">
      <formula>AND(BE$9&gt;=14/24,BE$9&lt;20/24)</formula>
    </cfRule>
    <cfRule type="expression" dxfId="297" priority="17">
      <formula>BE$9&gt;=20/24</formula>
    </cfRule>
    <cfRule type="expression" dxfId="296" priority="19">
      <formula>AND(BE$9&gt;=8/24,BE$9&lt;14/24)</formula>
    </cfRule>
  </conditionalFormatting>
  <conditionalFormatting sqref="AT15 AX15 AZ15 BB15 BD15 BF15 BH15 BJ15 BL15 BN15 BP15">
    <cfRule type="expression" dxfId="295" priority="23">
      <formula>AND(AC$9&gt;=8/24,AC$9&lt;14/24)</formula>
    </cfRule>
    <cfRule type="expression" dxfId="294" priority="22">
      <formula>AND(AC$9&gt;=14/24,AC$9&lt;20/24)</formula>
    </cfRule>
    <cfRule type="expression" dxfId="293" priority="21">
      <formula>AC$9&gt;=20/24</formula>
    </cfRule>
    <cfRule type="expression" dxfId="292" priority="24">
      <formula>AC$9&lt;8/24</formula>
    </cfRule>
  </conditionalFormatting>
  <conditionalFormatting sqref="AT16:AT21">
    <cfRule type="expression" dxfId="291" priority="25">
      <formula>BG$9&gt;=20/24</formula>
    </cfRule>
    <cfRule type="expression" dxfId="290" priority="26">
      <formula>AND(BG$9&gt;=14/24,BG$9&lt;20/24)</formula>
    </cfRule>
    <cfRule type="expression" dxfId="289" priority="27">
      <formula>AND(BG$9&gt;=8/24,BG$9&lt;14/24)</formula>
    </cfRule>
    <cfRule type="expression" dxfId="288" priority="28">
      <formula>BG$9&lt;8/24</formula>
    </cfRule>
  </conditionalFormatting>
  <conditionalFormatting sqref="AU15:AV15">
    <cfRule type="expression" dxfId="287" priority="32">
      <formula>AE$9&lt;8/24</formula>
    </cfRule>
    <cfRule type="expression" dxfId="286" priority="29">
      <formula>AE$9&gt;=20/24</formula>
    </cfRule>
    <cfRule type="expression" dxfId="285" priority="30">
      <formula>AND(AE$9&gt;=14/24,AE$9&lt;20/24)</formula>
    </cfRule>
    <cfRule type="expression" dxfId="284" priority="31">
      <formula>AND(AE$9&gt;=8/24,AE$9&lt;14/24)</formula>
    </cfRule>
  </conditionalFormatting>
  <conditionalFormatting sqref="AU16:BQ21">
    <cfRule type="expression" dxfId="283" priority="34">
      <formula>AND(BI$9&gt;=14/24,BI$9&lt;20/24)</formula>
    </cfRule>
    <cfRule type="expression" dxfId="282" priority="35">
      <formula>AND(BI$9&gt;=8/24,BI$9&lt;14/24)</formula>
    </cfRule>
    <cfRule type="expression" dxfId="281" priority="36">
      <formula>BI$9&lt;8/24</formula>
    </cfRule>
    <cfRule type="expression" dxfId="280" priority="33">
      <formula>BI$9&gt;=20/24</formula>
    </cfRule>
  </conditionalFormatting>
  <conditionalFormatting sqref="AW15 AY15 BA15 BC15 BE15 BG15 BI15 BK15 BM15 BO15 BQ15">
    <cfRule type="expression" dxfId="279" priority="6">
      <formula>AND(B$9&gt;=14/24,B$9&lt;20/24)</formula>
    </cfRule>
    <cfRule type="expression" dxfId="278" priority="5">
      <formula>B$9&gt;=20/24</formula>
    </cfRule>
    <cfRule type="expression" dxfId="277" priority="8">
      <formula>B$9&lt;8/24</formula>
    </cfRule>
    <cfRule type="expression" dxfId="276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42E7-EEF6-4194-A130-D02312501860}">
  <dimension ref="A1:CJ294"/>
  <sheetViews>
    <sheetView zoomScale="106" workbookViewId="0">
      <pane xSplit="1" ySplit="10" topLeftCell="B112" activePane="bottomRight" state="frozen"/>
      <selection activeCell="Z63" sqref="Z63"/>
      <selection pane="topRight" activeCell="Z63" sqref="Z63"/>
      <selection pane="bottomLeft" activeCell="Z63" sqref="Z63"/>
      <selection pane="bottomRight" activeCell="B137" sqref="B13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str">
        <f ca="1">"2080/"&amp;"10/"&amp;INT(MID(CELL("filename",D6),FIND("]",CELL("filename",D6))+1,200))</f>
        <v>2080/10/31</v>
      </c>
      <c r="C4" s="272"/>
      <c r="D4" s="272"/>
      <c r="E4" s="273" t="str">
        <f ca="1">"2080/"&amp;"10/"&amp;INT(MID(CELL("filename",G6),FIND("]",CELL("filename",G6))+1,200))</f>
        <v>2080/10/31</v>
      </c>
      <c r="F4" s="273"/>
      <c r="G4" s="273"/>
      <c r="H4" s="273" t="str">
        <f ca="1">TEXT(E4,"dddd")</f>
        <v>Thursday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581</v>
      </c>
      <c r="C5" s="30">
        <f t="shared" ref="C5:AE5" si="0">D92</f>
        <v>575</v>
      </c>
      <c r="D5" s="30">
        <f t="shared" si="0"/>
        <v>565.4</v>
      </c>
      <c r="E5" s="30">
        <f t="shared" si="0"/>
        <v>579.29999999999995</v>
      </c>
      <c r="F5" s="30">
        <f t="shared" si="0"/>
        <v>613.4</v>
      </c>
      <c r="G5" s="30">
        <f t="shared" si="0"/>
        <v>653.29999999999995</v>
      </c>
      <c r="H5" s="30">
        <f t="shared" si="0"/>
        <v>655.29999999999995</v>
      </c>
      <c r="I5" s="30">
        <f t="shared" si="0"/>
        <v>593.20000000000005</v>
      </c>
      <c r="J5" s="30">
        <f t="shared" si="0"/>
        <v>340.09999999999997</v>
      </c>
      <c r="K5" s="30">
        <f t="shared" si="0"/>
        <v>217</v>
      </c>
      <c r="L5" s="30">
        <f t="shared" si="0"/>
        <v>118.19999999999999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594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>B100</f>
        <v>1295.79</v>
      </c>
      <c r="C7" s="35">
        <f t="shared" ref="C7:AF7" si="1">C100</f>
        <v>1244.29</v>
      </c>
      <c r="D7" s="35">
        <f t="shared" si="1"/>
        <v>1238.29</v>
      </c>
      <c r="E7" s="35">
        <f t="shared" si="1"/>
        <v>1242.19</v>
      </c>
      <c r="F7" s="35">
        <f t="shared" si="1"/>
        <v>1256.0899999999999</v>
      </c>
      <c r="G7" s="35">
        <f t="shared" si="1"/>
        <v>1290.19</v>
      </c>
      <c r="H7" s="35">
        <f t="shared" si="1"/>
        <v>1327.3899999999999</v>
      </c>
      <c r="I7" s="35">
        <f t="shared" si="1"/>
        <v>1404.1899999999998</v>
      </c>
      <c r="J7" s="35">
        <f t="shared" si="1"/>
        <v>1556.58</v>
      </c>
      <c r="K7" s="35">
        <f t="shared" si="1"/>
        <v>1443.5899999999997</v>
      </c>
      <c r="L7" s="35">
        <f t="shared" si="1"/>
        <v>1625.49</v>
      </c>
      <c r="M7" s="35">
        <f t="shared" si="1"/>
        <v>1595.6899999999998</v>
      </c>
      <c r="N7" s="35">
        <f t="shared" si="1"/>
        <v>153.54</v>
      </c>
      <c r="O7" s="35">
        <f t="shared" si="1"/>
        <v>153.54</v>
      </c>
      <c r="P7" s="35">
        <f t="shared" si="1"/>
        <v>153.54</v>
      </c>
      <c r="Q7" s="35">
        <f t="shared" si="1"/>
        <v>153.54</v>
      </c>
      <c r="R7" s="35">
        <f t="shared" si="1"/>
        <v>153.54</v>
      </c>
      <c r="S7" s="35">
        <f t="shared" si="1"/>
        <v>153.54</v>
      </c>
      <c r="T7" s="35">
        <f t="shared" si="1"/>
        <v>153.54</v>
      </c>
      <c r="U7" s="35">
        <f t="shared" si="1"/>
        <v>153.54</v>
      </c>
      <c r="V7" s="35">
        <f t="shared" si="1"/>
        <v>153.54</v>
      </c>
      <c r="W7" s="35">
        <f t="shared" si="1"/>
        <v>153.54</v>
      </c>
      <c r="X7" s="35">
        <f t="shared" si="1"/>
        <v>153.54</v>
      </c>
      <c r="Y7" s="35">
        <f t="shared" si="1"/>
        <v>153.5</v>
      </c>
      <c r="Z7" s="35">
        <f t="shared" si="1"/>
        <v>155.5</v>
      </c>
      <c r="AA7" s="35">
        <f t="shared" si="1"/>
        <v>153.54</v>
      </c>
      <c r="AB7" s="35">
        <f t="shared" si="1"/>
        <v>153.54</v>
      </c>
      <c r="AC7" s="35">
        <f t="shared" si="1"/>
        <v>153.54</v>
      </c>
      <c r="AD7" s="35">
        <f t="shared" si="1"/>
        <v>153.54</v>
      </c>
      <c r="AE7" s="35">
        <f t="shared" si="1"/>
        <v>153.54</v>
      </c>
      <c r="AF7" s="35">
        <f t="shared" si="1"/>
        <v>153.54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1595.69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1595.69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>
        <v>24.4</v>
      </c>
      <c r="C11" s="45">
        <v>24.4</v>
      </c>
      <c r="D11" s="45">
        <v>24.4</v>
      </c>
      <c r="E11" s="45">
        <v>25.4</v>
      </c>
      <c r="F11" s="45">
        <v>25.4</v>
      </c>
      <c r="G11" s="45">
        <v>25.4</v>
      </c>
      <c r="H11" s="45">
        <v>24.6</v>
      </c>
      <c r="I11" s="45">
        <v>24.6</v>
      </c>
      <c r="J11" s="45">
        <v>23.7</v>
      </c>
      <c r="K11" s="45">
        <v>23.7</v>
      </c>
      <c r="L11" s="45">
        <v>23.7</v>
      </c>
      <c r="M11" s="45">
        <v>24.8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16" si="2">MAX(B11:AF11)</f>
        <v>25.4</v>
      </c>
      <c r="AI11" s="48">
        <f t="shared" ref="AI11:AI16" si="3">MIN(B11:AF11)</f>
        <v>23.7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8</v>
      </c>
      <c r="AI12" s="48">
        <f t="shared" si="3"/>
        <v>8</v>
      </c>
      <c r="AK12" s="50"/>
      <c r="AL12" s="157" t="str">
        <f ca="1">MID(CELL("filename",C7),FIND("]",CELL("filename",C7))+1,600)</f>
        <v>31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>
        <v>10</v>
      </c>
      <c r="C13" s="45">
        <v>10</v>
      </c>
      <c r="D13" s="45">
        <v>10</v>
      </c>
      <c r="E13" s="45">
        <v>10</v>
      </c>
      <c r="F13" s="45">
        <v>10</v>
      </c>
      <c r="G13" s="45">
        <v>10</v>
      </c>
      <c r="H13" s="45">
        <v>10</v>
      </c>
      <c r="I13" s="45">
        <v>10</v>
      </c>
      <c r="J13" s="45">
        <v>10</v>
      </c>
      <c r="K13" s="45">
        <v>9.4</v>
      </c>
      <c r="L13" s="45">
        <v>9.4</v>
      </c>
      <c r="M13" s="45">
        <v>9.4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v>54</v>
      </c>
      <c r="AH13" s="47">
        <f t="shared" si="2"/>
        <v>10</v>
      </c>
      <c r="AI13" s="48">
        <f t="shared" si="3"/>
        <v>9.4</v>
      </c>
      <c r="AK13" s="50"/>
      <c r="AL13" s="157" t="str">
        <f ca="1">"Daily Load Curve(Excluding of Export) of Nepal ("&amp;A4&amp;" "&amp;B4&amp;")"</f>
        <v>Daily Load Curve(Excluding of Export) of Nepal (Nepali Date: 2080/10/31)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>
        <v>14.2</v>
      </c>
      <c r="C14" s="45">
        <v>14.2</v>
      </c>
      <c r="D14" s="45">
        <v>14.2</v>
      </c>
      <c r="E14" s="45">
        <v>14.2</v>
      </c>
      <c r="F14" s="45">
        <v>14.2</v>
      </c>
      <c r="G14" s="45">
        <v>14.2</v>
      </c>
      <c r="H14" s="45">
        <v>13.4</v>
      </c>
      <c r="I14" s="45">
        <v>13.4</v>
      </c>
      <c r="J14" s="45">
        <v>13.4</v>
      </c>
      <c r="K14" s="45">
        <v>13.5</v>
      </c>
      <c r="L14" s="45">
        <v>13.5</v>
      </c>
      <c r="M14" s="45">
        <v>13.5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52.4</v>
      </c>
      <c r="AH14" s="47">
        <f t="shared" si="2"/>
        <v>14.2</v>
      </c>
      <c r="AI14" s="48">
        <f t="shared" si="3"/>
        <v>13.4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>
        <v>25.2</v>
      </c>
      <c r="C15" s="45">
        <v>25.2</v>
      </c>
      <c r="D15" s="45">
        <v>25.2</v>
      </c>
      <c r="E15" s="45">
        <v>25.2</v>
      </c>
      <c r="F15" s="45">
        <v>25.2</v>
      </c>
      <c r="G15" s="45">
        <v>25.2</v>
      </c>
      <c r="H15" s="45">
        <v>25.3</v>
      </c>
      <c r="I15" s="45">
        <v>25.3</v>
      </c>
      <c r="J15" s="45">
        <v>25.3</v>
      </c>
      <c r="K15" s="45">
        <v>25.3</v>
      </c>
      <c r="L15" s="45">
        <v>25.3</v>
      </c>
      <c r="M15" s="45">
        <v>28.1</v>
      </c>
      <c r="N15" s="45"/>
      <c r="O15" s="45"/>
      <c r="P15" s="45"/>
      <c r="Q15" s="45"/>
      <c r="R15" s="45"/>
      <c r="S15" s="45"/>
      <c r="T15" s="45"/>
      <c r="U15" s="45"/>
      <c r="V15" s="45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49">
        <v>50</v>
      </c>
      <c r="AH15" s="47">
        <f t="shared" si="2"/>
        <v>28.1</v>
      </c>
      <c r="AI15" s="48">
        <f t="shared" si="3"/>
        <v>25.2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14.9</v>
      </c>
      <c r="C16" s="45">
        <v>14.9</v>
      </c>
      <c r="D16" s="45">
        <v>14.9</v>
      </c>
      <c r="E16" s="45">
        <v>14.9</v>
      </c>
      <c r="F16" s="45">
        <v>14.9</v>
      </c>
      <c r="G16" s="45">
        <v>14.9</v>
      </c>
      <c r="H16" s="45">
        <v>15.9</v>
      </c>
      <c r="I16" s="45">
        <v>15.9</v>
      </c>
      <c r="J16" s="45">
        <v>14.8</v>
      </c>
      <c r="K16" s="45">
        <v>14.8</v>
      </c>
      <c r="L16" s="45">
        <v>14.8</v>
      </c>
      <c r="M16" s="45">
        <v>13.7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45</v>
      </c>
      <c r="AH16" s="47">
        <f t="shared" si="2"/>
        <v>15.9</v>
      </c>
      <c r="AI16" s="48">
        <f t="shared" si="3"/>
        <v>13.7</v>
      </c>
      <c r="AK16" s="50"/>
      <c r="AL16" s="160" t="s">
        <v>7</v>
      </c>
      <c r="AM16" s="227">
        <f>B58</f>
        <v>461.34999999999997</v>
      </c>
      <c r="AN16" s="227">
        <f t="shared" ref="AN16:AR16" si="4">C58</f>
        <v>461.34999999999997</v>
      </c>
      <c r="AO16" s="227">
        <f t="shared" si="4"/>
        <v>461.34999999999997</v>
      </c>
      <c r="AP16" s="227">
        <f t="shared" si="4"/>
        <v>462.34999999999997</v>
      </c>
      <c r="AQ16" s="227">
        <f t="shared" si="4"/>
        <v>462.34999999999997</v>
      </c>
      <c r="AR16" s="227">
        <f t="shared" si="4"/>
        <v>462.34999999999997</v>
      </c>
      <c r="AS16" s="227">
        <f>I58</f>
        <v>461.84999999999997</v>
      </c>
      <c r="AT16" s="227">
        <f>K58</f>
        <v>459.34999999999997</v>
      </c>
      <c r="AU16" s="227">
        <f t="shared" ref="AU16:AX16" si="5">M58</f>
        <v>451.74999999999994</v>
      </c>
      <c r="AV16" s="227">
        <f t="shared" si="5"/>
        <v>150</v>
      </c>
      <c r="AW16" s="227">
        <f t="shared" si="5"/>
        <v>150</v>
      </c>
      <c r="AX16" s="227">
        <f t="shared" si="5"/>
        <v>150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44</v>
      </c>
      <c r="AH17" s="47">
        <f>MAX(B17:AG17)</f>
        <v>44</v>
      </c>
      <c r="AI17" s="48">
        <f>MIN(B17:AG17)</f>
        <v>14</v>
      </c>
      <c r="AK17" s="50"/>
      <c r="AL17" s="160" t="s">
        <v>592</v>
      </c>
      <c r="AM17" s="227">
        <f>B62</f>
        <v>62.1</v>
      </c>
      <c r="AN17" s="227">
        <f t="shared" ref="AN17:AR17" si="6">C62</f>
        <v>77.099999999999994</v>
      </c>
      <c r="AO17" s="227">
        <f t="shared" si="6"/>
        <v>77.099999999999994</v>
      </c>
      <c r="AP17" s="227">
        <f t="shared" si="6"/>
        <v>87.1</v>
      </c>
      <c r="AQ17" s="227">
        <f t="shared" si="6"/>
        <v>87.1</v>
      </c>
      <c r="AR17" s="227">
        <f t="shared" si="6"/>
        <v>87.1</v>
      </c>
      <c r="AS17" s="227">
        <f>I62</f>
        <v>67.099999999999994</v>
      </c>
      <c r="AT17" s="227">
        <f>K62</f>
        <v>237.1</v>
      </c>
      <c r="AU17" s="227">
        <f t="shared" ref="AU17:AX17" si="7">M62</f>
        <v>387.1</v>
      </c>
      <c r="AV17" s="227">
        <f t="shared" si="7"/>
        <v>0</v>
      </c>
      <c r="AW17" s="227">
        <f t="shared" si="7"/>
        <v>0</v>
      </c>
      <c r="AX17" s="227">
        <f t="shared" si="7"/>
        <v>0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>
        <v>7</v>
      </c>
      <c r="C18" s="45">
        <v>7</v>
      </c>
      <c r="D18" s="45">
        <v>7</v>
      </c>
      <c r="E18" s="45">
        <v>7</v>
      </c>
      <c r="F18" s="45">
        <v>7</v>
      </c>
      <c r="G18" s="45">
        <v>7</v>
      </c>
      <c r="H18" s="45">
        <v>7</v>
      </c>
      <c r="I18" s="45">
        <v>7</v>
      </c>
      <c r="J18" s="45">
        <v>7</v>
      </c>
      <c r="K18" s="45">
        <v>7</v>
      </c>
      <c r="L18" s="45">
        <v>7</v>
      </c>
      <c r="M18" s="45">
        <v>7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42</v>
      </c>
      <c r="AH18" s="47">
        <f t="shared" ref="AH18:AH81" si="8">MAX(B18:AF18)</f>
        <v>7</v>
      </c>
      <c r="AI18" s="48">
        <f t="shared" ref="AI18:AI81" si="9">MIN(B18:AF18)</f>
        <v>7</v>
      </c>
      <c r="AK18" s="50"/>
      <c r="AL18" s="160" t="s">
        <v>593</v>
      </c>
      <c r="AM18" s="227">
        <f>B76</f>
        <v>128.34</v>
      </c>
      <c r="AN18" s="227">
        <f t="shared" ref="AN18:AR18" si="10">C76</f>
        <v>74.84</v>
      </c>
      <c r="AO18" s="227">
        <f t="shared" si="10"/>
        <v>74.84</v>
      </c>
      <c r="AP18" s="227">
        <f t="shared" si="10"/>
        <v>77.34</v>
      </c>
      <c r="AQ18" s="227">
        <f t="shared" si="10"/>
        <v>77.34</v>
      </c>
      <c r="AR18" s="227">
        <f t="shared" si="10"/>
        <v>77.34</v>
      </c>
      <c r="AS18" s="227">
        <f>I76</f>
        <v>169.93999999999997</v>
      </c>
      <c r="AT18" s="227">
        <f>K76</f>
        <v>357.03999999999996</v>
      </c>
      <c r="AU18" s="227">
        <f t="shared" ref="AU18:AX18" si="11">M76</f>
        <v>351.93999999999994</v>
      </c>
      <c r="AV18" s="227">
        <f t="shared" si="11"/>
        <v>3.54</v>
      </c>
      <c r="AW18" s="227">
        <f t="shared" si="11"/>
        <v>3.54</v>
      </c>
      <c r="AX18" s="227">
        <f t="shared" si="11"/>
        <v>3.54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>
        <v>11</v>
      </c>
      <c r="C19" s="45">
        <v>11</v>
      </c>
      <c r="D19" s="45">
        <v>11</v>
      </c>
      <c r="E19" s="45">
        <v>11</v>
      </c>
      <c r="F19" s="45">
        <v>11</v>
      </c>
      <c r="G19" s="45">
        <v>11</v>
      </c>
      <c r="H19" s="45">
        <v>11</v>
      </c>
      <c r="I19" s="45">
        <v>11</v>
      </c>
      <c r="J19" s="45">
        <v>11</v>
      </c>
      <c r="K19" s="45">
        <v>11</v>
      </c>
      <c r="L19" s="45">
        <v>11</v>
      </c>
      <c r="M19" s="45">
        <v>11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38.46</v>
      </c>
      <c r="AH19" s="47">
        <f t="shared" si="8"/>
        <v>11</v>
      </c>
      <c r="AI19" s="48">
        <f t="shared" si="9"/>
        <v>11</v>
      </c>
      <c r="AK19" s="50"/>
      <c r="AL19" s="160" t="s">
        <v>594</v>
      </c>
      <c r="AM19" s="227">
        <f>B92</f>
        <v>594</v>
      </c>
      <c r="AN19" s="227">
        <f t="shared" ref="AN19:AR19" si="12">C92</f>
        <v>581</v>
      </c>
      <c r="AO19" s="227">
        <f t="shared" si="12"/>
        <v>575</v>
      </c>
      <c r="AP19" s="227">
        <f t="shared" si="12"/>
        <v>565.4</v>
      </c>
      <c r="AQ19" s="227">
        <f t="shared" si="12"/>
        <v>579.29999999999995</v>
      </c>
      <c r="AR19" s="227">
        <f t="shared" si="12"/>
        <v>613.4</v>
      </c>
      <c r="AS19" s="227">
        <f>I92</f>
        <v>655.29999999999995</v>
      </c>
      <c r="AT19" s="227">
        <f>K92</f>
        <v>340.09999999999997</v>
      </c>
      <c r="AU19" s="227">
        <f t="shared" ref="AU19:AX19" si="13">M92</f>
        <v>118.19999999999999</v>
      </c>
      <c r="AV19" s="227">
        <f t="shared" si="13"/>
        <v>0</v>
      </c>
      <c r="AW19" s="227">
        <f t="shared" si="13"/>
        <v>0</v>
      </c>
      <c r="AX19" s="227">
        <f t="shared" si="13"/>
        <v>0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7.8</v>
      </c>
      <c r="C20" s="45">
        <v>7.8</v>
      </c>
      <c r="D20" s="45">
        <v>7.8</v>
      </c>
      <c r="E20" s="45">
        <v>7.8</v>
      </c>
      <c r="F20" s="45">
        <v>7.8</v>
      </c>
      <c r="G20" s="45">
        <v>7.8</v>
      </c>
      <c r="H20" s="45">
        <v>7.8</v>
      </c>
      <c r="I20" s="45">
        <v>7.8</v>
      </c>
      <c r="J20" s="45">
        <v>7.8</v>
      </c>
      <c r="K20" s="45">
        <v>7.8</v>
      </c>
      <c r="L20" s="45">
        <v>7.8</v>
      </c>
      <c r="M20" s="45">
        <v>7.8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9">
        <v>38.46</v>
      </c>
      <c r="AH20" s="47">
        <f t="shared" si="8"/>
        <v>7.8</v>
      </c>
      <c r="AI20" s="48">
        <f t="shared" si="9"/>
        <v>7.8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36.700000000000003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13</v>
      </c>
      <c r="C21" s="45">
        <v>13</v>
      </c>
      <c r="D21" s="45">
        <v>13</v>
      </c>
      <c r="E21" s="45">
        <v>13</v>
      </c>
      <c r="F21" s="45">
        <v>13</v>
      </c>
      <c r="G21" s="45">
        <v>13</v>
      </c>
      <c r="H21" s="45">
        <v>13</v>
      </c>
      <c r="I21" s="45">
        <v>13</v>
      </c>
      <c r="J21" s="45">
        <v>13</v>
      </c>
      <c r="K21" s="45">
        <v>13</v>
      </c>
      <c r="L21" s="45">
        <v>13</v>
      </c>
      <c r="M21" s="45">
        <v>13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36</v>
      </c>
      <c r="AH21" s="47">
        <f t="shared" si="8"/>
        <v>13</v>
      </c>
      <c r="AI21" s="48">
        <f t="shared" si="9"/>
        <v>13</v>
      </c>
      <c r="AK21" s="50"/>
      <c r="AL21" s="160" t="s">
        <v>596</v>
      </c>
      <c r="AM21" s="227">
        <f>B98</f>
        <v>50</v>
      </c>
      <c r="AN21" s="227">
        <f t="shared" ref="AN21:AR21" si="16">C98</f>
        <v>50</v>
      </c>
      <c r="AO21" s="227">
        <f t="shared" si="16"/>
        <v>50</v>
      </c>
      <c r="AP21" s="227">
        <f t="shared" si="16"/>
        <v>50</v>
      </c>
      <c r="AQ21" s="227">
        <f t="shared" si="16"/>
        <v>50</v>
      </c>
      <c r="AR21" s="227">
        <f t="shared" si="16"/>
        <v>50</v>
      </c>
      <c r="AS21" s="227">
        <f>I98</f>
        <v>50</v>
      </c>
      <c r="AT21" s="227">
        <f>K98</f>
        <v>50</v>
      </c>
      <c r="AU21" s="227">
        <f t="shared" ref="AU21:AX21" si="17">M98</f>
        <v>250</v>
      </c>
      <c r="AV21" s="227">
        <f t="shared" si="17"/>
        <v>0</v>
      </c>
      <c r="AW21" s="227">
        <f t="shared" si="17"/>
        <v>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6.9</v>
      </c>
      <c r="C22" s="45">
        <v>6.9</v>
      </c>
      <c r="D22" s="45">
        <v>6.9</v>
      </c>
      <c r="E22" s="45">
        <v>6.9</v>
      </c>
      <c r="F22" s="45">
        <v>6.9</v>
      </c>
      <c r="G22" s="45">
        <v>6.9</v>
      </c>
      <c r="H22" s="45">
        <v>6.9</v>
      </c>
      <c r="I22" s="45">
        <v>6.9</v>
      </c>
      <c r="J22" s="45">
        <v>6.9</v>
      </c>
      <c r="K22" s="45">
        <v>6.9</v>
      </c>
      <c r="L22" s="45">
        <v>6.9</v>
      </c>
      <c r="M22" s="45">
        <v>7.5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2">
        <v>30</v>
      </c>
      <c r="AH22" s="47">
        <f t="shared" si="8"/>
        <v>7.5</v>
      </c>
      <c r="AI22" s="48">
        <f t="shared" si="9"/>
        <v>6.9</v>
      </c>
      <c r="AK22" s="50"/>
      <c r="AL22" s="229" t="s">
        <v>597</v>
      </c>
      <c r="AM22" s="228">
        <f>SUM(AM16:AM21)</f>
        <v>1295.79</v>
      </c>
      <c r="AN22" s="228">
        <f t="shared" ref="AN22:AX22" si="18">SUM(AN16:AN21)</f>
        <v>1244.29</v>
      </c>
      <c r="AO22" s="228">
        <f t="shared" si="18"/>
        <v>1238.29</v>
      </c>
      <c r="AP22" s="228">
        <f t="shared" si="18"/>
        <v>1242.19</v>
      </c>
      <c r="AQ22" s="228">
        <f t="shared" si="18"/>
        <v>1256.0899999999999</v>
      </c>
      <c r="AR22" s="228">
        <f t="shared" si="18"/>
        <v>1290.19</v>
      </c>
      <c r="AS22" s="228">
        <f t="shared" si="18"/>
        <v>1404.1899999999998</v>
      </c>
      <c r="AT22" s="228">
        <f t="shared" si="18"/>
        <v>1443.5899999999997</v>
      </c>
      <c r="AU22" s="228">
        <f t="shared" si="18"/>
        <v>1595.69</v>
      </c>
      <c r="AV22" s="228">
        <f t="shared" si="18"/>
        <v>153.54</v>
      </c>
      <c r="AW22" s="228">
        <f t="shared" si="18"/>
        <v>153.54</v>
      </c>
      <c r="AX22" s="228">
        <f t="shared" si="18"/>
        <v>153.54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5.5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9">
        <v>24.2</v>
      </c>
      <c r="AH23" s="47">
        <f t="shared" si="8"/>
        <v>5.5</v>
      </c>
      <c r="AI23" s="48">
        <f t="shared" si="9"/>
        <v>5.5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>
        <v>6.3</v>
      </c>
      <c r="C24" s="45">
        <v>6.3</v>
      </c>
      <c r="D24" s="45">
        <v>6.3</v>
      </c>
      <c r="E24" s="45">
        <v>6.3</v>
      </c>
      <c r="F24" s="45">
        <v>6.3</v>
      </c>
      <c r="G24" s="45">
        <v>6.3</v>
      </c>
      <c r="H24" s="45">
        <v>6.3</v>
      </c>
      <c r="I24" s="45">
        <v>6.3</v>
      </c>
      <c r="J24" s="45">
        <v>6.3</v>
      </c>
      <c r="K24" s="45">
        <v>6.3</v>
      </c>
      <c r="L24" s="45">
        <v>6.3</v>
      </c>
      <c r="M24" s="45">
        <v>6.4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28</v>
      </c>
      <c r="AH24" s="47">
        <f t="shared" si="8"/>
        <v>6.4</v>
      </c>
      <c r="AI24" s="48">
        <f t="shared" si="9"/>
        <v>6.3</v>
      </c>
      <c r="AK24" s="50"/>
      <c r="AL24" s="229" t="s">
        <v>598</v>
      </c>
      <c r="AM24" s="228">
        <f>AM22+AM23</f>
        <v>1295.79</v>
      </c>
      <c r="AN24" s="228">
        <f t="shared" ref="AN24:AX24" si="21">AN22+AN23</f>
        <v>1244.29</v>
      </c>
      <c r="AO24" s="228">
        <f t="shared" si="21"/>
        <v>1238.29</v>
      </c>
      <c r="AP24" s="228">
        <f t="shared" si="21"/>
        <v>1242.19</v>
      </c>
      <c r="AQ24" s="228">
        <f t="shared" si="21"/>
        <v>1256.0899999999999</v>
      </c>
      <c r="AR24" s="228">
        <f t="shared" si="21"/>
        <v>1290.19</v>
      </c>
      <c r="AS24" s="228">
        <f t="shared" si="21"/>
        <v>1404.1899999999998</v>
      </c>
      <c r="AT24" s="228">
        <f t="shared" si="21"/>
        <v>1443.5899999999997</v>
      </c>
      <c r="AU24" s="228">
        <f t="shared" si="21"/>
        <v>1595.69</v>
      </c>
      <c r="AV24" s="228">
        <f t="shared" si="21"/>
        <v>153.54</v>
      </c>
      <c r="AW24" s="228">
        <f t="shared" si="21"/>
        <v>153.54</v>
      </c>
      <c r="AX24" s="228">
        <f t="shared" si="21"/>
        <v>153.54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>
        <v>9.3000000000000007</v>
      </c>
      <c r="C25" s="45">
        <v>9.3000000000000007</v>
      </c>
      <c r="D25" s="45">
        <v>9.3000000000000007</v>
      </c>
      <c r="E25" s="45">
        <v>9.3000000000000007</v>
      </c>
      <c r="F25" s="45">
        <v>9.3000000000000007</v>
      </c>
      <c r="G25" s="45">
        <v>9.3000000000000007</v>
      </c>
      <c r="H25" s="45">
        <v>9.3000000000000007</v>
      </c>
      <c r="I25" s="45">
        <v>9.3000000000000007</v>
      </c>
      <c r="J25" s="45">
        <v>9.3000000000000007</v>
      </c>
      <c r="K25" s="45">
        <v>9.3000000000000007</v>
      </c>
      <c r="L25" s="45">
        <v>9.3000000000000007</v>
      </c>
      <c r="M25" s="45">
        <v>5.9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2">
        <v>30</v>
      </c>
      <c r="AH25" s="47">
        <f t="shared" si="8"/>
        <v>9.3000000000000007</v>
      </c>
      <c r="AI25" s="48">
        <f t="shared" si="9"/>
        <v>5.9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>
        <v>8.6999999999999993</v>
      </c>
      <c r="C26" s="45">
        <v>8.6999999999999993</v>
      </c>
      <c r="D26" s="45">
        <v>8.6999999999999993</v>
      </c>
      <c r="E26" s="45">
        <v>8.6999999999999993</v>
      </c>
      <c r="F26" s="45">
        <v>8.6999999999999993</v>
      </c>
      <c r="G26" s="45">
        <v>8.6999999999999993</v>
      </c>
      <c r="H26" s="45">
        <v>8.6999999999999993</v>
      </c>
      <c r="I26" s="45">
        <v>8.6999999999999993</v>
      </c>
      <c r="J26" s="45">
        <v>8.6999999999999993</v>
      </c>
      <c r="K26" s="45">
        <v>8.6999999999999993</v>
      </c>
      <c r="L26" s="45">
        <v>8.6999999999999993</v>
      </c>
      <c r="M26" s="45">
        <v>6.7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8"/>
        <v>8.6999999999999993</v>
      </c>
      <c r="AI26" s="48">
        <f t="shared" si="9"/>
        <v>6.7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>
        <v>5</v>
      </c>
      <c r="C27" s="45">
        <v>5</v>
      </c>
      <c r="D27" s="45">
        <v>5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8"/>
        <v>5</v>
      </c>
      <c r="AI27" s="48">
        <f t="shared" si="9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>
        <v>6</v>
      </c>
      <c r="C28" s="45">
        <v>6</v>
      </c>
      <c r="D28" s="45">
        <v>6</v>
      </c>
      <c r="E28" s="45">
        <v>6</v>
      </c>
      <c r="F28" s="45">
        <v>6</v>
      </c>
      <c r="G28" s="45">
        <v>6</v>
      </c>
      <c r="H28" s="45">
        <v>6</v>
      </c>
      <c r="I28" s="45">
        <v>6</v>
      </c>
      <c r="J28" s="45">
        <v>6</v>
      </c>
      <c r="K28" s="45">
        <v>6</v>
      </c>
      <c r="L28" s="45">
        <v>6</v>
      </c>
      <c r="M28" s="45">
        <v>6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25</v>
      </c>
      <c r="AH28" s="47">
        <f t="shared" si="8"/>
        <v>6</v>
      </c>
      <c r="AI28" s="48">
        <f t="shared" si="9"/>
        <v>6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>
        <v>6.6</v>
      </c>
      <c r="C29" s="45">
        <v>6.6</v>
      </c>
      <c r="D29" s="45">
        <v>6.6</v>
      </c>
      <c r="E29" s="45">
        <v>6.6</v>
      </c>
      <c r="F29" s="45">
        <v>6.6</v>
      </c>
      <c r="G29" s="45">
        <v>6.6</v>
      </c>
      <c r="H29" s="45">
        <v>6.6</v>
      </c>
      <c r="I29" s="45">
        <v>6.6</v>
      </c>
      <c r="J29" s="45">
        <v>6.6</v>
      </c>
      <c r="K29" s="45">
        <v>6.6</v>
      </c>
      <c r="L29" s="45">
        <v>6.6</v>
      </c>
      <c r="M29" s="45">
        <v>6.2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25</v>
      </c>
      <c r="AH29" s="47">
        <f t="shared" si="8"/>
        <v>6.6</v>
      </c>
      <c r="AI29" s="48">
        <f t="shared" si="9"/>
        <v>6.2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>
        <v>6.5</v>
      </c>
      <c r="C30" s="45">
        <v>6.5</v>
      </c>
      <c r="D30" s="45">
        <v>6.5</v>
      </c>
      <c r="E30" s="45">
        <v>6.5</v>
      </c>
      <c r="F30" s="45">
        <v>6.5</v>
      </c>
      <c r="G30" s="45">
        <v>6.5</v>
      </c>
      <c r="H30" s="45">
        <v>6.5</v>
      </c>
      <c r="I30" s="45">
        <v>6.5</v>
      </c>
      <c r="J30" s="45">
        <v>6.5</v>
      </c>
      <c r="K30" s="45">
        <v>6.5</v>
      </c>
      <c r="L30" s="45">
        <v>6.5</v>
      </c>
      <c r="M30" s="45">
        <v>5.6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23.5</v>
      </c>
      <c r="AH30" s="47">
        <f t="shared" si="8"/>
        <v>6.5</v>
      </c>
      <c r="AI30" s="48">
        <f t="shared" si="9"/>
        <v>5.6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>
        <v>3</v>
      </c>
      <c r="C31" s="45">
        <v>3</v>
      </c>
      <c r="D31" s="45">
        <v>3</v>
      </c>
      <c r="E31" s="45">
        <v>3</v>
      </c>
      <c r="F31" s="45">
        <v>3</v>
      </c>
      <c r="G31" s="45">
        <v>3</v>
      </c>
      <c r="H31" s="45">
        <v>3</v>
      </c>
      <c r="I31" s="45">
        <v>3</v>
      </c>
      <c r="J31" s="45">
        <v>3</v>
      </c>
      <c r="K31" s="45">
        <v>3</v>
      </c>
      <c r="L31" s="45">
        <v>3</v>
      </c>
      <c r="M31" s="45">
        <v>3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22.2</v>
      </c>
      <c r="AH31" s="47">
        <f t="shared" si="8"/>
        <v>3</v>
      </c>
      <c r="AI31" s="48">
        <f t="shared" si="9"/>
        <v>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>
        <v>5.5</v>
      </c>
      <c r="C32" s="45">
        <v>5.5</v>
      </c>
      <c r="D32" s="45">
        <v>5.5</v>
      </c>
      <c r="E32" s="45">
        <v>5.5</v>
      </c>
      <c r="F32" s="45">
        <v>5.5</v>
      </c>
      <c r="G32" s="45">
        <v>5.5</v>
      </c>
      <c r="H32" s="45">
        <v>5.5</v>
      </c>
      <c r="I32" s="45">
        <v>5.5</v>
      </c>
      <c r="J32" s="45">
        <v>5.5</v>
      </c>
      <c r="K32" s="45">
        <v>5.5</v>
      </c>
      <c r="L32" s="45">
        <v>5.5</v>
      </c>
      <c r="M32" s="45">
        <v>5.5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22.1</v>
      </c>
      <c r="AH32" s="47">
        <f t="shared" si="8"/>
        <v>5.5</v>
      </c>
      <c r="AI32" s="48">
        <f t="shared" si="9"/>
        <v>5.5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22</v>
      </c>
      <c r="AH33" s="47">
        <f t="shared" si="8"/>
        <v>6</v>
      </c>
      <c r="AI33" s="48">
        <f t="shared" si="9"/>
        <v>6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>
        <v>6.1</v>
      </c>
      <c r="C34" s="45">
        <v>6.1</v>
      </c>
      <c r="D34" s="45">
        <v>6.1</v>
      </c>
      <c r="E34" s="45">
        <v>6.1</v>
      </c>
      <c r="F34" s="45">
        <v>6.1</v>
      </c>
      <c r="G34" s="45">
        <v>6.1</v>
      </c>
      <c r="H34" s="45">
        <v>6.1</v>
      </c>
      <c r="I34" s="45">
        <v>6.1</v>
      </c>
      <c r="J34" s="45">
        <v>6.1</v>
      </c>
      <c r="K34" s="45">
        <v>6.1</v>
      </c>
      <c r="L34" s="45">
        <v>6.1</v>
      </c>
      <c r="M34" s="45">
        <v>6.7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22</v>
      </c>
      <c r="AH34" s="47">
        <f t="shared" si="8"/>
        <v>6.7</v>
      </c>
      <c r="AI34" s="48">
        <f t="shared" si="9"/>
        <v>6.1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>
        <v>4</v>
      </c>
      <c r="C35" s="45">
        <v>4</v>
      </c>
      <c r="D35" s="45">
        <v>4</v>
      </c>
      <c r="E35" s="45">
        <v>4</v>
      </c>
      <c r="F35" s="45">
        <v>4</v>
      </c>
      <c r="G35" s="45">
        <v>4</v>
      </c>
      <c r="H35" s="45">
        <v>4</v>
      </c>
      <c r="I35" s="45">
        <v>4</v>
      </c>
      <c r="J35" s="45">
        <v>4</v>
      </c>
      <c r="K35" s="45">
        <v>4</v>
      </c>
      <c r="L35" s="45">
        <v>4</v>
      </c>
      <c r="M35" s="45">
        <v>4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20</v>
      </c>
      <c r="AH35" s="47">
        <f t="shared" si="8"/>
        <v>4</v>
      </c>
      <c r="AI35" s="48">
        <f t="shared" si="9"/>
        <v>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>
        <v>4</v>
      </c>
      <c r="C36" s="45">
        <v>4</v>
      </c>
      <c r="D36" s="45">
        <v>4</v>
      </c>
      <c r="E36" s="45">
        <v>4</v>
      </c>
      <c r="F36" s="45">
        <v>4</v>
      </c>
      <c r="G36" s="45">
        <v>4</v>
      </c>
      <c r="H36" s="45">
        <v>4</v>
      </c>
      <c r="I36" s="45">
        <v>4</v>
      </c>
      <c r="J36" s="45">
        <v>4</v>
      </c>
      <c r="K36" s="45">
        <v>4</v>
      </c>
      <c r="L36" s="45">
        <v>4</v>
      </c>
      <c r="M36" s="45">
        <v>4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20</v>
      </c>
      <c r="AH36" s="47">
        <f t="shared" si="8"/>
        <v>4</v>
      </c>
      <c r="AI36" s="48">
        <f t="shared" si="9"/>
        <v>4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>
        <v>5.7</v>
      </c>
      <c r="C37" s="45">
        <v>5.7</v>
      </c>
      <c r="D37" s="45">
        <v>5.7</v>
      </c>
      <c r="E37" s="45">
        <v>5.7</v>
      </c>
      <c r="F37" s="45">
        <v>5.7</v>
      </c>
      <c r="G37" s="45">
        <v>5.7</v>
      </c>
      <c r="H37" s="45">
        <v>5.7</v>
      </c>
      <c r="I37" s="45">
        <v>5.7</v>
      </c>
      <c r="J37" s="45">
        <v>5.7</v>
      </c>
      <c r="K37" s="45">
        <v>5.7</v>
      </c>
      <c r="L37" s="45">
        <v>5.7</v>
      </c>
      <c r="M37" s="45">
        <v>5.7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18</v>
      </c>
      <c r="AH37" s="47">
        <f t="shared" si="8"/>
        <v>5.7</v>
      </c>
      <c r="AI37" s="48">
        <f t="shared" si="9"/>
        <v>5.7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>
        <v>7.2</v>
      </c>
      <c r="C38" s="45">
        <v>7.2</v>
      </c>
      <c r="D38" s="45">
        <v>7.2</v>
      </c>
      <c r="E38" s="45">
        <v>7.2</v>
      </c>
      <c r="F38" s="45">
        <v>7.2</v>
      </c>
      <c r="G38" s="45">
        <v>7.2</v>
      </c>
      <c r="H38" s="45">
        <v>7.2</v>
      </c>
      <c r="I38" s="45">
        <v>7.2</v>
      </c>
      <c r="J38" s="45">
        <v>7.2</v>
      </c>
      <c r="K38" s="45">
        <v>7.2</v>
      </c>
      <c r="L38" s="45">
        <v>7.2</v>
      </c>
      <c r="M38" s="45">
        <v>7.2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14.9</v>
      </c>
      <c r="AH38" s="47">
        <f t="shared" si="8"/>
        <v>7.2</v>
      </c>
      <c r="AI38" s="48">
        <f t="shared" si="9"/>
        <v>7.2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>
        <v>5</v>
      </c>
      <c r="C40" s="45">
        <v>5</v>
      </c>
      <c r="D40" s="45">
        <v>5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14.9</v>
      </c>
      <c r="AH40" s="47">
        <f t="shared" si="8"/>
        <v>5</v>
      </c>
      <c r="AI40" s="48">
        <f t="shared" si="9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>
        <v>4</v>
      </c>
      <c r="C41" s="45">
        <v>4</v>
      </c>
      <c r="D41" s="45">
        <v>4</v>
      </c>
      <c r="E41" s="45">
        <v>4</v>
      </c>
      <c r="F41" s="45">
        <v>4</v>
      </c>
      <c r="G41" s="45">
        <v>4</v>
      </c>
      <c r="H41" s="45">
        <v>4</v>
      </c>
      <c r="I41" s="45">
        <v>4</v>
      </c>
      <c r="J41" s="45">
        <v>4</v>
      </c>
      <c r="K41" s="45">
        <v>4</v>
      </c>
      <c r="L41" s="45">
        <v>4</v>
      </c>
      <c r="M41" s="45">
        <v>4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14.9</v>
      </c>
      <c r="AH41" s="47">
        <f t="shared" si="8"/>
        <v>4</v>
      </c>
      <c r="AI41" s="48">
        <f t="shared" si="9"/>
        <v>4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>
        <v>1.8</v>
      </c>
      <c r="C42" s="45">
        <v>1.8</v>
      </c>
      <c r="D42" s="45">
        <v>1.8</v>
      </c>
      <c r="E42" s="45">
        <v>1.8</v>
      </c>
      <c r="F42" s="45">
        <v>1.8</v>
      </c>
      <c r="G42" s="45">
        <v>1.8</v>
      </c>
      <c r="H42" s="45">
        <v>1.8</v>
      </c>
      <c r="I42" s="45">
        <v>1.8</v>
      </c>
      <c r="J42" s="45">
        <v>1.8</v>
      </c>
      <c r="K42" s="45">
        <v>1.8</v>
      </c>
      <c r="L42" s="45">
        <v>1.8</v>
      </c>
      <c r="M42" s="45">
        <v>1.8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9">
        <v>13.6</v>
      </c>
      <c r="AH42" s="47">
        <f t="shared" si="8"/>
        <v>1.8</v>
      </c>
      <c r="AI42" s="48">
        <f t="shared" si="9"/>
        <v>1.8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>
        <v>3.8</v>
      </c>
      <c r="C43" s="45">
        <v>3.8</v>
      </c>
      <c r="D43" s="45">
        <v>3.8</v>
      </c>
      <c r="E43" s="45">
        <v>3.8</v>
      </c>
      <c r="F43" s="45">
        <v>3.8</v>
      </c>
      <c r="G43" s="45">
        <v>3.8</v>
      </c>
      <c r="H43" s="45">
        <v>3.8</v>
      </c>
      <c r="I43" s="45">
        <v>3.8</v>
      </c>
      <c r="J43" s="45">
        <v>3.8</v>
      </c>
      <c r="K43" s="45">
        <v>3.8</v>
      </c>
      <c r="L43" s="45">
        <v>3.8</v>
      </c>
      <c r="M43" s="45">
        <v>3.8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9">
        <v>13</v>
      </c>
      <c r="AH43" s="47">
        <f t="shared" si="8"/>
        <v>3.8</v>
      </c>
      <c r="AI43" s="48">
        <f t="shared" si="9"/>
        <v>3.8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>
        <v>7.5</v>
      </c>
      <c r="C44" s="45">
        <v>7.5</v>
      </c>
      <c r="D44" s="45">
        <v>7.5</v>
      </c>
      <c r="E44" s="45">
        <v>7.5</v>
      </c>
      <c r="F44" s="45">
        <v>7.5</v>
      </c>
      <c r="G44" s="45">
        <v>7.5</v>
      </c>
      <c r="H44" s="45">
        <v>7.5</v>
      </c>
      <c r="I44" s="45">
        <v>7.5</v>
      </c>
      <c r="J44" s="45">
        <v>7.5</v>
      </c>
      <c r="K44" s="45">
        <v>7.5</v>
      </c>
      <c r="L44" s="45">
        <v>7.5</v>
      </c>
      <c r="M44" s="45">
        <v>2.5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9">
        <v>12</v>
      </c>
      <c r="AH44" s="47">
        <f t="shared" si="8"/>
        <v>7.5</v>
      </c>
      <c r="AI44" s="48">
        <f t="shared" si="9"/>
        <v>2.5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9">
        <v>12</v>
      </c>
      <c r="AH45" s="47">
        <f t="shared" si="8"/>
        <v>9</v>
      </c>
      <c r="AI45" s="48">
        <f t="shared" si="9"/>
        <v>9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>
        <v>3</v>
      </c>
      <c r="C46" s="45">
        <v>3</v>
      </c>
      <c r="D46" s="45">
        <v>3</v>
      </c>
      <c r="E46" s="45">
        <v>3</v>
      </c>
      <c r="F46" s="45">
        <v>3</v>
      </c>
      <c r="G46" s="45">
        <v>3</v>
      </c>
      <c r="H46" s="45">
        <v>3</v>
      </c>
      <c r="I46" s="45">
        <v>3</v>
      </c>
      <c r="J46" s="45">
        <v>3</v>
      </c>
      <c r="K46" s="45">
        <v>3</v>
      </c>
      <c r="L46" s="45">
        <v>3</v>
      </c>
      <c r="M46" s="45">
        <v>3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9">
        <v>12</v>
      </c>
      <c r="AH46" s="47">
        <f t="shared" si="8"/>
        <v>3</v>
      </c>
      <c r="AI46" s="48">
        <f t="shared" si="9"/>
        <v>3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>
        <v>3.5</v>
      </c>
      <c r="C47" s="45">
        <v>3.5</v>
      </c>
      <c r="D47" s="45">
        <v>3.5</v>
      </c>
      <c r="E47" s="45">
        <v>3.5</v>
      </c>
      <c r="F47" s="45">
        <v>3.5</v>
      </c>
      <c r="G47" s="45">
        <v>3.5</v>
      </c>
      <c r="H47" s="45">
        <v>3.5</v>
      </c>
      <c r="I47" s="45">
        <v>3.5</v>
      </c>
      <c r="J47" s="45">
        <v>3.5</v>
      </c>
      <c r="K47" s="45">
        <v>3.5</v>
      </c>
      <c r="L47" s="45">
        <v>3.5</v>
      </c>
      <c r="M47" s="45">
        <v>3.5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3">
        <v>22</v>
      </c>
      <c r="AH47" s="47">
        <f t="shared" si="8"/>
        <v>3.5</v>
      </c>
      <c r="AI47" s="48">
        <f t="shared" si="9"/>
        <v>3.5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>
        <v>5</v>
      </c>
      <c r="C48" s="45">
        <v>5</v>
      </c>
      <c r="D48" s="45">
        <v>5</v>
      </c>
      <c r="E48" s="45">
        <v>5</v>
      </c>
      <c r="F48" s="45">
        <v>5</v>
      </c>
      <c r="G48" s="45">
        <v>5</v>
      </c>
      <c r="H48" s="45">
        <v>5</v>
      </c>
      <c r="I48" s="45">
        <v>5</v>
      </c>
      <c r="J48" s="45">
        <v>5</v>
      </c>
      <c r="K48" s="45">
        <v>5</v>
      </c>
      <c r="L48" s="45">
        <v>5</v>
      </c>
      <c r="M48" s="45">
        <v>5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52">
        <v>11.88</v>
      </c>
      <c r="AH48" s="47">
        <f t="shared" si="8"/>
        <v>5</v>
      </c>
      <c r="AI48" s="48">
        <f t="shared" si="9"/>
        <v>5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>
        <v>3</v>
      </c>
      <c r="C49" s="45">
        <v>3</v>
      </c>
      <c r="D49" s="45">
        <v>3</v>
      </c>
      <c r="E49" s="45">
        <v>3</v>
      </c>
      <c r="F49" s="45">
        <v>3</v>
      </c>
      <c r="G49" s="45">
        <v>3</v>
      </c>
      <c r="H49" s="45">
        <v>3</v>
      </c>
      <c r="I49" s="45">
        <v>3</v>
      </c>
      <c r="J49" s="45">
        <v>3</v>
      </c>
      <c r="K49" s="45">
        <v>3</v>
      </c>
      <c r="L49" s="45">
        <v>3</v>
      </c>
      <c r="M49" s="45">
        <v>3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5">
        <v>11</v>
      </c>
      <c r="AH49" s="47">
        <f t="shared" si="8"/>
        <v>3</v>
      </c>
      <c r="AI49" s="48">
        <f t="shared" si="9"/>
        <v>3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>
        <v>2.4500000000000002</v>
      </c>
      <c r="C50" s="45">
        <v>2.4500000000000002</v>
      </c>
      <c r="D50" s="45">
        <v>2.4500000000000002</v>
      </c>
      <c r="E50" s="45">
        <v>2.4500000000000002</v>
      </c>
      <c r="F50" s="45">
        <v>2.4500000000000002</v>
      </c>
      <c r="G50" s="45">
        <v>2.4500000000000002</v>
      </c>
      <c r="H50" s="45">
        <v>2.4500000000000002</v>
      </c>
      <c r="I50" s="45">
        <v>2.4500000000000002</v>
      </c>
      <c r="J50" s="45">
        <v>2.4500000000000002</v>
      </c>
      <c r="K50" s="45">
        <v>2.4500000000000002</v>
      </c>
      <c r="L50" s="45">
        <v>2.4500000000000002</v>
      </c>
      <c r="M50" s="45">
        <v>2.4500000000000002</v>
      </c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55">
        <v>11</v>
      </c>
      <c r="AH50" s="47">
        <f t="shared" si="8"/>
        <v>2.4500000000000002</v>
      </c>
      <c r="AI50" s="48">
        <f t="shared" si="9"/>
        <v>2.4500000000000002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>
        <v>3</v>
      </c>
      <c r="C51" s="45">
        <v>3</v>
      </c>
      <c r="D51" s="45">
        <v>3</v>
      </c>
      <c r="E51" s="45">
        <v>3</v>
      </c>
      <c r="F51" s="45">
        <v>3</v>
      </c>
      <c r="G51" s="45">
        <v>3</v>
      </c>
      <c r="H51" s="45">
        <v>3</v>
      </c>
      <c r="I51" s="45">
        <v>3</v>
      </c>
      <c r="J51" s="45">
        <v>3</v>
      </c>
      <c r="K51" s="45">
        <v>3</v>
      </c>
      <c r="L51" s="45">
        <v>3</v>
      </c>
      <c r="M51" s="45">
        <v>3</v>
      </c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5">
        <v>11</v>
      </c>
      <c r="AH51" s="47">
        <f t="shared" si="8"/>
        <v>3</v>
      </c>
      <c r="AI51" s="48">
        <f t="shared" si="9"/>
        <v>3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>
        <v>4</v>
      </c>
      <c r="C52" s="45">
        <v>4</v>
      </c>
      <c r="D52" s="45">
        <v>4</v>
      </c>
      <c r="E52" s="45">
        <v>4</v>
      </c>
      <c r="F52" s="45">
        <v>4</v>
      </c>
      <c r="G52" s="45">
        <v>4</v>
      </c>
      <c r="H52" s="45">
        <v>4</v>
      </c>
      <c r="I52" s="45">
        <v>4</v>
      </c>
      <c r="J52" s="45">
        <v>4</v>
      </c>
      <c r="K52" s="45">
        <v>4</v>
      </c>
      <c r="L52" s="45">
        <v>4</v>
      </c>
      <c r="M52" s="45">
        <v>4</v>
      </c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55">
        <v>10</v>
      </c>
      <c r="AH52" s="47">
        <f t="shared" si="8"/>
        <v>4</v>
      </c>
      <c r="AI52" s="48">
        <f t="shared" si="9"/>
        <v>4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>
        <v>4.5</v>
      </c>
      <c r="C53" s="45">
        <v>4.5</v>
      </c>
      <c r="D53" s="45">
        <v>4.5</v>
      </c>
      <c r="E53" s="45">
        <v>4.5</v>
      </c>
      <c r="F53" s="45">
        <v>4.5</v>
      </c>
      <c r="G53" s="45">
        <v>4.5</v>
      </c>
      <c r="H53" s="45">
        <v>4.5</v>
      </c>
      <c r="I53" s="45">
        <v>4.5</v>
      </c>
      <c r="J53" s="45">
        <v>4.5</v>
      </c>
      <c r="K53" s="45">
        <v>4.5</v>
      </c>
      <c r="L53" s="45">
        <v>4.5</v>
      </c>
      <c r="M53" s="45">
        <v>4.5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5">
        <v>10</v>
      </c>
      <c r="AH53" s="47">
        <f t="shared" si="8"/>
        <v>4.5</v>
      </c>
      <c r="AI53" s="48">
        <f t="shared" si="9"/>
        <v>4.5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55">
        <v>10</v>
      </c>
      <c r="AH54" s="47">
        <f t="shared" si="8"/>
        <v>0</v>
      </c>
      <c r="AI54" s="48">
        <f t="shared" si="9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>
        <v>0</v>
      </c>
      <c r="C55" s="45">
        <v>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5">
        <v>10</v>
      </c>
      <c r="AH55" s="47">
        <f t="shared" si="8"/>
        <v>0</v>
      </c>
      <c r="AI55" s="48">
        <f t="shared" si="9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8"/>
        <v>150</v>
      </c>
      <c r="AI56" s="48">
        <f t="shared" si="9"/>
        <v>150</v>
      </c>
      <c r="AK56" s="50"/>
    </row>
    <row r="57" spans="1:88" ht="15.75" thickBot="1" x14ac:dyDescent="0.3">
      <c r="A57" s="58" t="s">
        <v>57</v>
      </c>
      <c r="B57" s="57">
        <v>14.3</v>
      </c>
      <c r="C57" s="57">
        <v>14.3</v>
      </c>
      <c r="D57" s="57">
        <v>14.3</v>
      </c>
      <c r="E57" s="57">
        <v>21.4</v>
      </c>
      <c r="F57" s="57">
        <v>21.4</v>
      </c>
      <c r="G57" s="57">
        <v>21.4</v>
      </c>
      <c r="H57" s="57">
        <v>18.7</v>
      </c>
      <c r="I57" s="57">
        <v>18.3</v>
      </c>
      <c r="J57" s="57">
        <v>18.399999999999999</v>
      </c>
      <c r="K57" s="57">
        <v>18.2</v>
      </c>
      <c r="L57" s="57">
        <v>18.2</v>
      </c>
      <c r="M57" s="57">
        <f>4.8+11.2</f>
        <v>16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8"/>
        <v>21.4</v>
      </c>
      <c r="AI57" s="48">
        <f t="shared" si="9"/>
        <v>14.3</v>
      </c>
      <c r="AK57" s="50"/>
    </row>
    <row r="58" spans="1:88" ht="15.75" thickBot="1" x14ac:dyDescent="0.3">
      <c r="A58" s="59" t="s">
        <v>58</v>
      </c>
      <c r="B58" s="60">
        <f t="shared" ref="B58:AF58" si="22">SUM(B11:B56)</f>
        <v>461.34999999999997</v>
      </c>
      <c r="C58" s="60">
        <f t="shared" si="22"/>
        <v>461.34999999999997</v>
      </c>
      <c r="D58" s="60">
        <f t="shared" si="22"/>
        <v>461.34999999999997</v>
      </c>
      <c r="E58" s="60">
        <f t="shared" si="22"/>
        <v>462.34999999999997</v>
      </c>
      <c r="F58" s="60">
        <f t="shared" ref="F58:G58" si="23">SUM(F11:F56)</f>
        <v>462.34999999999997</v>
      </c>
      <c r="G58" s="60">
        <f t="shared" si="23"/>
        <v>462.34999999999997</v>
      </c>
      <c r="H58" s="60">
        <f t="shared" si="22"/>
        <v>461.84999999999997</v>
      </c>
      <c r="I58" s="60">
        <f t="shared" si="22"/>
        <v>461.84999999999997</v>
      </c>
      <c r="J58" s="60">
        <f t="shared" si="22"/>
        <v>459.84999999999997</v>
      </c>
      <c r="K58" s="60">
        <f t="shared" si="22"/>
        <v>459.34999999999997</v>
      </c>
      <c r="L58" s="60">
        <f t="shared" si="22"/>
        <v>459.34999999999997</v>
      </c>
      <c r="M58" s="60">
        <f t="shared" si="22"/>
        <v>451.74999999999994</v>
      </c>
      <c r="N58" s="60">
        <f t="shared" si="22"/>
        <v>150</v>
      </c>
      <c r="O58" s="60">
        <f t="shared" si="22"/>
        <v>150</v>
      </c>
      <c r="P58" s="60">
        <f t="shared" si="22"/>
        <v>150</v>
      </c>
      <c r="Q58" s="60">
        <f t="shared" si="22"/>
        <v>150</v>
      </c>
      <c r="R58" s="60">
        <f t="shared" si="22"/>
        <v>150</v>
      </c>
      <c r="S58" s="60">
        <f t="shared" si="22"/>
        <v>150</v>
      </c>
      <c r="T58" s="60">
        <f t="shared" si="22"/>
        <v>150</v>
      </c>
      <c r="U58" s="60">
        <f t="shared" si="22"/>
        <v>150</v>
      </c>
      <c r="V58" s="60">
        <f t="shared" si="22"/>
        <v>150</v>
      </c>
      <c r="W58" s="60">
        <f t="shared" si="22"/>
        <v>150</v>
      </c>
      <c r="X58" s="60">
        <f t="shared" si="22"/>
        <v>150</v>
      </c>
      <c r="Y58" s="60">
        <f t="shared" si="22"/>
        <v>150</v>
      </c>
      <c r="Z58" s="60">
        <f t="shared" si="22"/>
        <v>150</v>
      </c>
      <c r="AA58" s="60">
        <f t="shared" si="22"/>
        <v>150</v>
      </c>
      <c r="AB58" s="60">
        <f t="shared" si="22"/>
        <v>150</v>
      </c>
      <c r="AC58" s="60">
        <f t="shared" si="22"/>
        <v>150</v>
      </c>
      <c r="AD58" s="60">
        <f t="shared" si="22"/>
        <v>150</v>
      </c>
      <c r="AE58" s="60">
        <f t="shared" si="22"/>
        <v>150</v>
      </c>
      <c r="AF58" s="60">
        <f t="shared" si="22"/>
        <v>150</v>
      </c>
      <c r="AG58" s="61">
        <f>SUM(AG14:AG56)</f>
        <v>1042.4000000000001</v>
      </c>
      <c r="AH58" s="47">
        <f t="shared" si="8"/>
        <v>462.34999999999997</v>
      </c>
      <c r="AI58" s="48">
        <f t="shared" si="9"/>
        <v>150</v>
      </c>
      <c r="AK58" s="50"/>
    </row>
    <row r="59" spans="1:88" x14ac:dyDescent="0.25">
      <c r="A59" s="62" t="s">
        <v>59</v>
      </c>
      <c r="B59" s="45">
        <v>25</v>
      </c>
      <c r="C59" s="45">
        <v>40</v>
      </c>
      <c r="D59" s="45">
        <v>40</v>
      </c>
      <c r="E59" s="45">
        <v>50</v>
      </c>
      <c r="F59" s="45">
        <v>50</v>
      </c>
      <c r="G59" s="45">
        <v>50</v>
      </c>
      <c r="H59" s="45">
        <v>35</v>
      </c>
      <c r="I59" s="45">
        <v>30</v>
      </c>
      <c r="J59" s="45">
        <v>110</v>
      </c>
      <c r="K59" s="45">
        <v>200</v>
      </c>
      <c r="L59" s="45">
        <v>305</v>
      </c>
      <c r="M59" s="45">
        <v>350</v>
      </c>
      <c r="N59" s="63"/>
      <c r="O59" s="63"/>
      <c r="P59" s="63"/>
      <c r="Q59" s="63"/>
      <c r="R59" s="63"/>
      <c r="S59" s="63"/>
      <c r="T59" s="63"/>
      <c r="U59" s="63"/>
      <c r="V59" s="63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456</v>
      </c>
      <c r="AH59" s="47">
        <f t="shared" si="8"/>
        <v>350</v>
      </c>
      <c r="AI59" s="48">
        <f t="shared" si="9"/>
        <v>25</v>
      </c>
      <c r="AK59" s="50"/>
    </row>
    <row r="60" spans="1:88" x14ac:dyDescent="0.25">
      <c r="A60" s="64" t="s">
        <v>60</v>
      </c>
      <c r="B60" s="65">
        <v>27</v>
      </c>
      <c r="C60" s="65">
        <v>27</v>
      </c>
      <c r="D60" s="65">
        <v>27</v>
      </c>
      <c r="E60" s="65">
        <v>27</v>
      </c>
      <c r="F60" s="65">
        <v>27</v>
      </c>
      <c r="G60" s="65">
        <v>27</v>
      </c>
      <c r="H60" s="65">
        <v>27</v>
      </c>
      <c r="I60" s="65">
        <v>27</v>
      </c>
      <c r="J60" s="65">
        <v>27</v>
      </c>
      <c r="K60" s="65">
        <v>27</v>
      </c>
      <c r="L60" s="65">
        <v>27</v>
      </c>
      <c r="M60" s="65">
        <v>27</v>
      </c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60</v>
      </c>
      <c r="AH60" s="47">
        <f t="shared" si="8"/>
        <v>27</v>
      </c>
      <c r="AI60" s="48">
        <f t="shared" si="9"/>
        <v>27</v>
      </c>
      <c r="AK60" s="50"/>
    </row>
    <row r="61" spans="1:88" ht="15.75" thickBot="1" x14ac:dyDescent="0.3">
      <c r="A61" s="66" t="s">
        <v>61</v>
      </c>
      <c r="B61" s="67">
        <v>10.1</v>
      </c>
      <c r="C61" s="67">
        <v>10.1</v>
      </c>
      <c r="D61" s="67">
        <v>10.1</v>
      </c>
      <c r="E61" s="67">
        <v>10.1</v>
      </c>
      <c r="F61" s="67">
        <v>10.1</v>
      </c>
      <c r="G61" s="67">
        <v>10.1</v>
      </c>
      <c r="H61" s="67">
        <v>10.1</v>
      </c>
      <c r="I61" s="67">
        <v>10.1</v>
      </c>
      <c r="J61" s="67">
        <v>10.1</v>
      </c>
      <c r="K61" s="67">
        <v>10.1</v>
      </c>
      <c r="L61" s="67">
        <v>10.1</v>
      </c>
      <c r="M61" s="67">
        <v>10.1</v>
      </c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22.1</v>
      </c>
      <c r="AH61" s="47">
        <f t="shared" si="8"/>
        <v>10.1</v>
      </c>
      <c r="AI61" s="48">
        <f t="shared" si="9"/>
        <v>10.1</v>
      </c>
      <c r="AK61" s="50"/>
    </row>
    <row r="62" spans="1:88" ht="15.75" thickBot="1" x14ac:dyDescent="0.3">
      <c r="A62" s="69" t="s">
        <v>62</v>
      </c>
      <c r="B62" s="60">
        <f t="shared" ref="B62:AG62" si="24">SUM(B59:B61)</f>
        <v>62.1</v>
      </c>
      <c r="C62" s="60">
        <f t="shared" si="24"/>
        <v>77.099999999999994</v>
      </c>
      <c r="D62" s="60">
        <f t="shared" si="24"/>
        <v>77.099999999999994</v>
      </c>
      <c r="E62" s="60">
        <f t="shared" si="24"/>
        <v>87.1</v>
      </c>
      <c r="F62" s="60">
        <f t="shared" ref="F62:G62" si="25">SUM(F59:F61)</f>
        <v>87.1</v>
      </c>
      <c r="G62" s="60">
        <f t="shared" si="25"/>
        <v>87.1</v>
      </c>
      <c r="H62" s="60">
        <f t="shared" si="24"/>
        <v>72.099999999999994</v>
      </c>
      <c r="I62" s="60">
        <f t="shared" si="24"/>
        <v>67.099999999999994</v>
      </c>
      <c r="J62" s="60">
        <f t="shared" si="24"/>
        <v>147.1</v>
      </c>
      <c r="K62" s="60">
        <f t="shared" si="24"/>
        <v>237.1</v>
      </c>
      <c r="L62" s="60">
        <f t="shared" si="24"/>
        <v>342.1</v>
      </c>
      <c r="M62" s="60">
        <f t="shared" si="24"/>
        <v>387.1</v>
      </c>
      <c r="N62" s="60">
        <f t="shared" si="24"/>
        <v>0</v>
      </c>
      <c r="O62" s="60">
        <f t="shared" si="24"/>
        <v>0</v>
      </c>
      <c r="P62" s="60">
        <f t="shared" si="24"/>
        <v>0</v>
      </c>
      <c r="Q62" s="60">
        <f t="shared" si="24"/>
        <v>0</v>
      </c>
      <c r="R62" s="60">
        <f t="shared" si="24"/>
        <v>0</v>
      </c>
      <c r="S62" s="60">
        <f t="shared" si="24"/>
        <v>0</v>
      </c>
      <c r="T62" s="60">
        <f t="shared" si="24"/>
        <v>0</v>
      </c>
      <c r="U62" s="60">
        <f t="shared" si="24"/>
        <v>0</v>
      </c>
      <c r="V62" s="60">
        <f t="shared" si="24"/>
        <v>0</v>
      </c>
      <c r="W62" s="60">
        <f t="shared" si="24"/>
        <v>0</v>
      </c>
      <c r="X62" s="60">
        <f t="shared" si="24"/>
        <v>0</v>
      </c>
      <c r="Y62" s="60">
        <f t="shared" si="24"/>
        <v>0</v>
      </c>
      <c r="Z62" s="60">
        <f t="shared" si="24"/>
        <v>0</v>
      </c>
      <c r="AA62" s="60">
        <f t="shared" si="24"/>
        <v>0</v>
      </c>
      <c r="AB62" s="60">
        <f t="shared" si="24"/>
        <v>0</v>
      </c>
      <c r="AC62" s="60">
        <f t="shared" si="24"/>
        <v>0</v>
      </c>
      <c r="AD62" s="60">
        <f t="shared" si="24"/>
        <v>0</v>
      </c>
      <c r="AE62" s="60">
        <f t="shared" si="24"/>
        <v>0</v>
      </c>
      <c r="AF62" s="60">
        <f t="shared" si="24"/>
        <v>0</v>
      </c>
      <c r="AG62" s="61">
        <f t="shared" si="24"/>
        <v>538.1</v>
      </c>
      <c r="AH62" s="47">
        <f t="shared" si="8"/>
        <v>387.1</v>
      </c>
      <c r="AI62" s="48">
        <f t="shared" si="9"/>
        <v>0</v>
      </c>
      <c r="AK62" s="50"/>
    </row>
    <row r="63" spans="1:88" x14ac:dyDescent="0.25">
      <c r="A63" s="44" t="s">
        <v>63</v>
      </c>
      <c r="B63" s="45">
        <v>35.5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30.3</v>
      </c>
      <c r="J63" s="45">
        <v>98.4</v>
      </c>
      <c r="K63" s="45">
        <v>121</v>
      </c>
      <c r="L63" s="45">
        <v>121</v>
      </c>
      <c r="M63" s="45">
        <v>142.19999999999999</v>
      </c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144</v>
      </c>
      <c r="AH63" s="47">
        <f t="shared" si="8"/>
        <v>142.19999999999999</v>
      </c>
      <c r="AI63" s="48">
        <f t="shared" si="9"/>
        <v>0</v>
      </c>
      <c r="AK63" s="50"/>
    </row>
    <row r="64" spans="1:88" x14ac:dyDescent="0.25">
      <c r="A64" s="54" t="s">
        <v>64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24.8</v>
      </c>
      <c r="J64" s="65">
        <v>48.3</v>
      </c>
      <c r="K64" s="65">
        <v>69</v>
      </c>
      <c r="L64" s="65">
        <v>69</v>
      </c>
      <c r="M64" s="65">
        <v>53.7</v>
      </c>
      <c r="N64" s="65"/>
      <c r="O64" s="65"/>
      <c r="P64" s="65"/>
      <c r="Q64" s="65"/>
      <c r="R64" s="65"/>
      <c r="S64" s="65"/>
      <c r="T64" s="65"/>
      <c r="U64" s="65"/>
      <c r="V64" s="6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55">
        <v>70</v>
      </c>
      <c r="AH64" s="47">
        <f t="shared" si="8"/>
        <v>69</v>
      </c>
      <c r="AI64" s="48">
        <f t="shared" si="9"/>
        <v>0</v>
      </c>
      <c r="AK64" s="50"/>
    </row>
    <row r="65" spans="1:75" x14ac:dyDescent="0.25">
      <c r="A65" s="54" t="s">
        <v>65</v>
      </c>
      <c r="B65" s="65">
        <v>18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14.9</v>
      </c>
      <c r="J65" s="65">
        <v>58.39</v>
      </c>
      <c r="K65" s="65">
        <v>69</v>
      </c>
      <c r="L65" s="65">
        <v>69</v>
      </c>
      <c r="M65" s="65">
        <v>50.9</v>
      </c>
      <c r="N65" s="65"/>
      <c r="O65" s="65"/>
      <c r="P65" s="65"/>
      <c r="Q65" s="65"/>
      <c r="R65" s="65"/>
      <c r="S65" s="65"/>
      <c r="T65" s="65"/>
      <c r="U65" s="65"/>
      <c r="V65" s="6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55">
        <v>69</v>
      </c>
      <c r="AH65" s="47">
        <f t="shared" si="8"/>
        <v>69</v>
      </c>
      <c r="AI65" s="48">
        <f t="shared" si="9"/>
        <v>0</v>
      </c>
      <c r="AK65" s="50"/>
    </row>
    <row r="66" spans="1:75" x14ac:dyDescent="0.25">
      <c r="A66" s="54" t="s">
        <v>66</v>
      </c>
      <c r="B66" s="65">
        <v>34</v>
      </c>
      <c r="C66" s="65">
        <v>34</v>
      </c>
      <c r="D66" s="65">
        <v>34</v>
      </c>
      <c r="E66" s="65">
        <v>35.299999999999997</v>
      </c>
      <c r="F66" s="65">
        <v>35.299999999999997</v>
      </c>
      <c r="G66" s="65">
        <v>35.299999999999997</v>
      </c>
      <c r="H66" s="65">
        <v>35.299999999999997</v>
      </c>
      <c r="I66" s="65">
        <v>35.299999999999997</v>
      </c>
      <c r="J66" s="65">
        <v>35.200000000000003</v>
      </c>
      <c r="K66" s="65">
        <v>35.200000000000003</v>
      </c>
      <c r="L66" s="65">
        <v>35.200000000000003</v>
      </c>
      <c r="M66" s="65">
        <v>36</v>
      </c>
      <c r="N66" s="65"/>
      <c r="O66" s="65"/>
      <c r="P66" s="65"/>
      <c r="Q66" s="65"/>
      <c r="R66" s="65"/>
      <c r="S66" s="65"/>
      <c r="T66" s="65"/>
      <c r="U66" s="65"/>
      <c r="V66" s="6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55">
        <v>60</v>
      </c>
      <c r="AH66" s="47">
        <f t="shared" si="8"/>
        <v>36</v>
      </c>
      <c r="AI66" s="48">
        <f t="shared" si="9"/>
        <v>34</v>
      </c>
      <c r="AK66" s="50"/>
    </row>
    <row r="67" spans="1:75" x14ac:dyDescent="0.25">
      <c r="A67" s="54" t="s">
        <v>67</v>
      </c>
      <c r="B67" s="45">
        <v>0</v>
      </c>
      <c r="C67" s="45">
        <v>0</v>
      </c>
      <c r="D67" s="45">
        <v>0</v>
      </c>
      <c r="E67" s="65">
        <v>0</v>
      </c>
      <c r="F67" s="65">
        <v>0</v>
      </c>
      <c r="G67" s="65">
        <v>0</v>
      </c>
      <c r="H67" s="65">
        <v>14.9</v>
      </c>
      <c r="I67" s="65">
        <v>24.7</v>
      </c>
      <c r="J67" s="65">
        <v>26.3</v>
      </c>
      <c r="K67" s="65">
        <v>23</v>
      </c>
      <c r="L67" s="65">
        <v>23</v>
      </c>
      <c r="M67" s="65">
        <v>23.4</v>
      </c>
      <c r="N67" s="65"/>
      <c r="O67" s="65"/>
      <c r="P67" s="65"/>
      <c r="Q67" s="65"/>
      <c r="R67" s="65"/>
      <c r="S67" s="65"/>
      <c r="T67" s="65"/>
      <c r="U67" s="65"/>
      <c r="V67" s="6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5">
        <v>30</v>
      </c>
      <c r="AH67" s="47">
        <f t="shared" si="8"/>
        <v>26.3</v>
      </c>
      <c r="AI67" s="48">
        <f t="shared" si="9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>
        <v>0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0.4</v>
      </c>
      <c r="K68" s="45">
        <v>0.4</v>
      </c>
      <c r="L68" s="45">
        <v>0.4</v>
      </c>
      <c r="M68" s="65">
        <v>6.4</v>
      </c>
      <c r="N68" s="65"/>
      <c r="O68" s="65"/>
      <c r="P68" s="65"/>
      <c r="Q68" s="65"/>
      <c r="R68" s="65"/>
      <c r="S68" s="65"/>
      <c r="T68" s="65"/>
      <c r="U68" s="65"/>
      <c r="V68" s="6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55">
        <v>25</v>
      </c>
      <c r="AH68" s="47">
        <f t="shared" si="8"/>
        <v>6.4</v>
      </c>
      <c r="AI68" s="48">
        <f t="shared" si="9"/>
        <v>0</v>
      </c>
      <c r="AK68" s="50"/>
      <c r="AY68" s="1" t="s">
        <v>377</v>
      </c>
      <c r="AZ68" s="233">
        <f>ROUND(C81,0)</f>
        <v>60</v>
      </c>
      <c r="BA68" s="232">
        <f t="shared" ref="BA68:BD72" si="26">D81</f>
        <v>58</v>
      </c>
      <c r="BB68" s="232">
        <f t="shared" si="26"/>
        <v>61</v>
      </c>
      <c r="BC68" s="232">
        <f t="shared" si="26"/>
        <v>51.2</v>
      </c>
      <c r="BD68" s="232">
        <f t="shared" si="26"/>
        <v>48</v>
      </c>
      <c r="BE68" s="233">
        <f>I81</f>
        <v>58</v>
      </c>
      <c r="BF68" s="233">
        <f>K81</f>
        <v>65.7</v>
      </c>
      <c r="BG68" s="233">
        <f t="shared" ref="BG68:BP72" si="27">M81</f>
        <v>50.3</v>
      </c>
      <c r="BH68" s="233">
        <f t="shared" si="27"/>
        <v>0</v>
      </c>
      <c r="BI68" s="233">
        <f t="shared" si="27"/>
        <v>0</v>
      </c>
      <c r="BJ68" s="233">
        <f t="shared" si="27"/>
        <v>0</v>
      </c>
      <c r="BK68" s="233">
        <f t="shared" si="27"/>
        <v>0</v>
      </c>
      <c r="BL68" s="233">
        <f t="shared" si="27"/>
        <v>0</v>
      </c>
      <c r="BM68" s="233">
        <f t="shared" si="27"/>
        <v>0</v>
      </c>
      <c r="BN68" s="233">
        <f t="shared" si="27"/>
        <v>0</v>
      </c>
      <c r="BO68" s="233">
        <f t="shared" si="27"/>
        <v>0</v>
      </c>
      <c r="BP68" s="233">
        <f t="shared" si="27"/>
        <v>0</v>
      </c>
      <c r="BQ68" s="233">
        <f>X81</f>
        <v>0</v>
      </c>
      <c r="BR68" s="233">
        <f>Z81</f>
        <v>0</v>
      </c>
      <c r="BS68" s="232">
        <f>AB81</f>
        <v>0</v>
      </c>
      <c r="BT68" s="232">
        <f>AD81</f>
        <v>0</v>
      </c>
      <c r="BU68" s="232">
        <f>AE81</f>
        <v>0</v>
      </c>
      <c r="BV68" s="232">
        <f>AF81</f>
        <v>0</v>
      </c>
      <c r="BW68" s="232">
        <f>B81</f>
        <v>65</v>
      </c>
    </row>
    <row r="69" spans="1:75" x14ac:dyDescent="0.25">
      <c r="A69" s="54" t="s">
        <v>69</v>
      </c>
      <c r="B69" s="65">
        <v>16</v>
      </c>
      <c r="C69" s="65">
        <v>16</v>
      </c>
      <c r="D69" s="65">
        <v>16</v>
      </c>
      <c r="E69" s="65">
        <v>15</v>
      </c>
      <c r="F69" s="65">
        <v>15</v>
      </c>
      <c r="G69" s="65">
        <v>15</v>
      </c>
      <c r="H69" s="65">
        <v>15</v>
      </c>
      <c r="I69" s="65">
        <v>15</v>
      </c>
      <c r="J69" s="65">
        <v>15</v>
      </c>
      <c r="K69" s="65">
        <v>15</v>
      </c>
      <c r="L69" s="65">
        <v>15</v>
      </c>
      <c r="M69" s="65">
        <v>15</v>
      </c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5">
        <v>24</v>
      </c>
      <c r="AH69" s="47">
        <f t="shared" si="8"/>
        <v>16</v>
      </c>
      <c r="AI69" s="48">
        <f t="shared" si="9"/>
        <v>15</v>
      </c>
      <c r="AK69" s="50"/>
      <c r="AY69" s="1" t="s">
        <v>604</v>
      </c>
      <c r="AZ69" s="233">
        <f>ROUND(C82,0)</f>
        <v>0</v>
      </c>
      <c r="BA69" s="232">
        <f t="shared" si="26"/>
        <v>0</v>
      </c>
      <c r="BB69" s="232">
        <f t="shared" si="26"/>
        <v>0</v>
      </c>
      <c r="BC69" s="232">
        <f t="shared" si="26"/>
        <v>0</v>
      </c>
      <c r="BD69" s="232">
        <f t="shared" si="26"/>
        <v>0</v>
      </c>
      <c r="BE69" s="233">
        <f t="shared" ref="BE69:BE72" si="28">I82</f>
        <v>0</v>
      </c>
      <c r="BF69" s="233">
        <f t="shared" ref="BF69:BF72" si="29">K82</f>
        <v>0</v>
      </c>
      <c r="BG69" s="233">
        <f t="shared" si="27"/>
        <v>0</v>
      </c>
      <c r="BH69" s="233">
        <f t="shared" si="27"/>
        <v>0</v>
      </c>
      <c r="BI69" s="233">
        <f t="shared" si="27"/>
        <v>0</v>
      </c>
      <c r="BJ69" s="233">
        <f t="shared" si="27"/>
        <v>0</v>
      </c>
      <c r="BK69" s="233">
        <f t="shared" si="27"/>
        <v>0</v>
      </c>
      <c r="BL69" s="233">
        <f t="shared" si="27"/>
        <v>0</v>
      </c>
      <c r="BM69" s="233">
        <f t="shared" si="27"/>
        <v>0</v>
      </c>
      <c r="BN69" s="233">
        <f t="shared" si="27"/>
        <v>0</v>
      </c>
      <c r="BO69" s="233">
        <f t="shared" si="27"/>
        <v>0</v>
      </c>
      <c r="BP69" s="233">
        <f t="shared" si="27"/>
        <v>0</v>
      </c>
      <c r="BQ69" s="233">
        <f t="shared" ref="BQ69:BQ72" si="30">X82</f>
        <v>0</v>
      </c>
      <c r="BR69" s="233">
        <f t="shared" ref="BR69:BR72" si="31">Z82</f>
        <v>0</v>
      </c>
      <c r="BS69" s="232">
        <f t="shared" ref="BS69:BS72" si="32">AB82</f>
        <v>0</v>
      </c>
      <c r="BT69" s="232">
        <f t="shared" ref="BT69:BV72" si="33">AD82</f>
        <v>0</v>
      </c>
      <c r="BU69" s="232">
        <f t="shared" si="33"/>
        <v>0</v>
      </c>
      <c r="BV69" s="232">
        <f t="shared" si="33"/>
        <v>0</v>
      </c>
      <c r="BW69" s="232">
        <f t="shared" ref="BW69:BW72" si="34">B82</f>
        <v>0</v>
      </c>
    </row>
    <row r="70" spans="1:75" x14ac:dyDescent="0.25">
      <c r="A70" s="54" t="s">
        <v>70</v>
      </c>
      <c r="B70" s="65">
        <v>4</v>
      </c>
      <c r="C70" s="65">
        <v>4</v>
      </c>
      <c r="D70" s="65">
        <v>4</v>
      </c>
      <c r="E70" s="65">
        <v>4</v>
      </c>
      <c r="F70" s="65">
        <v>4</v>
      </c>
      <c r="G70" s="65">
        <v>4</v>
      </c>
      <c r="H70" s="65">
        <v>4</v>
      </c>
      <c r="I70" s="65">
        <v>4</v>
      </c>
      <c r="J70" s="65">
        <v>4</v>
      </c>
      <c r="K70" s="65">
        <v>4</v>
      </c>
      <c r="L70" s="65">
        <v>4</v>
      </c>
      <c r="M70" s="65">
        <v>4</v>
      </c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5">
        <v>15</v>
      </c>
      <c r="AH70" s="47">
        <f t="shared" si="8"/>
        <v>4</v>
      </c>
      <c r="AI70" s="48">
        <f t="shared" si="9"/>
        <v>4</v>
      </c>
      <c r="AK70" s="50"/>
      <c r="AL70" s="70"/>
      <c r="AO70" s="70"/>
      <c r="AY70" s="1" t="s">
        <v>605</v>
      </c>
      <c r="AZ70" s="233">
        <f>ROUND(C83,0)</f>
        <v>411</v>
      </c>
      <c r="BA70" s="232">
        <f t="shared" si="26"/>
        <v>401</v>
      </c>
      <c r="BB70" s="232">
        <f t="shared" si="26"/>
        <v>392</v>
      </c>
      <c r="BC70" s="232">
        <f t="shared" si="26"/>
        <v>411</v>
      </c>
      <c r="BD70" s="232">
        <f t="shared" si="26"/>
        <v>446</v>
      </c>
      <c r="BE70" s="233">
        <f t="shared" si="28"/>
        <v>471</v>
      </c>
      <c r="BF70" s="233">
        <f t="shared" si="29"/>
        <v>204</v>
      </c>
      <c r="BG70" s="233">
        <f t="shared" si="27"/>
        <v>2</v>
      </c>
      <c r="BH70" s="233">
        <f t="shared" si="27"/>
        <v>0</v>
      </c>
      <c r="BI70" s="233">
        <f t="shared" si="27"/>
        <v>0</v>
      </c>
      <c r="BJ70" s="233">
        <f t="shared" si="27"/>
        <v>0</v>
      </c>
      <c r="BK70" s="233">
        <f t="shared" si="27"/>
        <v>0</v>
      </c>
      <c r="BL70" s="233">
        <f t="shared" si="27"/>
        <v>0</v>
      </c>
      <c r="BM70" s="233">
        <f t="shared" si="27"/>
        <v>0</v>
      </c>
      <c r="BN70" s="233">
        <f t="shared" si="27"/>
        <v>0</v>
      </c>
      <c r="BO70" s="233">
        <f t="shared" si="27"/>
        <v>0</v>
      </c>
      <c r="BP70" s="233">
        <f t="shared" si="27"/>
        <v>0</v>
      </c>
      <c r="BQ70" s="233">
        <f t="shared" si="30"/>
        <v>0</v>
      </c>
      <c r="BR70" s="233">
        <f t="shared" si="31"/>
        <v>0</v>
      </c>
      <c r="BS70" s="232">
        <f t="shared" si="32"/>
        <v>0</v>
      </c>
      <c r="BT70" s="232">
        <f t="shared" si="33"/>
        <v>0</v>
      </c>
      <c r="BU70" s="232">
        <f t="shared" si="33"/>
        <v>0</v>
      </c>
      <c r="BV70" s="232">
        <f t="shared" si="33"/>
        <v>0</v>
      </c>
      <c r="BW70" s="232">
        <f t="shared" si="34"/>
        <v>402</v>
      </c>
    </row>
    <row r="71" spans="1:75" s="70" customFormat="1" x14ac:dyDescent="0.25">
      <c r="A71" s="54" t="s">
        <v>71</v>
      </c>
      <c r="B71" s="65">
        <v>8.3000000000000007</v>
      </c>
      <c r="C71" s="65">
        <v>8.3000000000000007</v>
      </c>
      <c r="D71" s="65">
        <v>8.3000000000000007</v>
      </c>
      <c r="E71" s="65">
        <v>10.199999999999999</v>
      </c>
      <c r="F71" s="65">
        <v>10.199999999999999</v>
      </c>
      <c r="G71" s="65">
        <v>10.199999999999999</v>
      </c>
      <c r="H71" s="65">
        <v>9.6999999999999993</v>
      </c>
      <c r="I71" s="65">
        <v>9.6999999999999993</v>
      </c>
      <c r="J71" s="65">
        <v>9.1999999999999993</v>
      </c>
      <c r="K71" s="65">
        <v>9.1999999999999993</v>
      </c>
      <c r="L71" s="65">
        <v>9.1999999999999993</v>
      </c>
      <c r="M71" s="65">
        <v>9.5</v>
      </c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5">
        <v>14.1</v>
      </c>
      <c r="AH71" s="47">
        <f t="shared" si="8"/>
        <v>10.199999999999999</v>
      </c>
      <c r="AI71" s="48">
        <f t="shared" si="9"/>
        <v>8.3000000000000007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50</v>
      </c>
      <c r="BA71" s="232">
        <f t="shared" si="26"/>
        <v>54</v>
      </c>
      <c r="BB71" s="232">
        <f t="shared" si="26"/>
        <v>52.3</v>
      </c>
      <c r="BC71" s="232">
        <f t="shared" si="26"/>
        <v>54.8</v>
      </c>
      <c r="BD71" s="232">
        <f t="shared" si="26"/>
        <v>58.4</v>
      </c>
      <c r="BE71" s="233">
        <f t="shared" si="28"/>
        <v>59.3</v>
      </c>
      <c r="BF71" s="233">
        <f t="shared" si="29"/>
        <v>8.4</v>
      </c>
      <c r="BG71" s="233">
        <f t="shared" si="27"/>
        <v>5.9</v>
      </c>
      <c r="BH71" s="233">
        <f t="shared" si="27"/>
        <v>0</v>
      </c>
      <c r="BI71" s="233">
        <f t="shared" si="27"/>
        <v>0</v>
      </c>
      <c r="BJ71" s="233">
        <f t="shared" si="27"/>
        <v>0</v>
      </c>
      <c r="BK71" s="233">
        <f t="shared" si="27"/>
        <v>0</v>
      </c>
      <c r="BL71" s="233">
        <f t="shared" si="27"/>
        <v>0</v>
      </c>
      <c r="BM71" s="233">
        <f t="shared" si="27"/>
        <v>0</v>
      </c>
      <c r="BN71" s="233">
        <f t="shared" si="27"/>
        <v>0</v>
      </c>
      <c r="BO71" s="233">
        <f t="shared" si="27"/>
        <v>0</v>
      </c>
      <c r="BP71" s="233">
        <f t="shared" si="27"/>
        <v>0</v>
      </c>
      <c r="BQ71" s="233">
        <f t="shared" si="30"/>
        <v>0</v>
      </c>
      <c r="BR71" s="233">
        <f t="shared" si="31"/>
        <v>0</v>
      </c>
      <c r="BS71" s="232">
        <f t="shared" si="32"/>
        <v>0</v>
      </c>
      <c r="BT71" s="232">
        <f t="shared" si="33"/>
        <v>0</v>
      </c>
      <c r="BU71" s="232">
        <f t="shared" si="33"/>
        <v>0</v>
      </c>
      <c r="BV71" s="232">
        <f t="shared" si="33"/>
        <v>0</v>
      </c>
      <c r="BW71" s="232">
        <f t="shared" si="34"/>
        <v>49</v>
      </c>
    </row>
    <row r="72" spans="1:75" x14ac:dyDescent="0.25">
      <c r="A72" s="71" t="s">
        <v>72</v>
      </c>
      <c r="B72" s="65">
        <v>4</v>
      </c>
      <c r="C72" s="65">
        <v>4</v>
      </c>
      <c r="D72" s="65">
        <v>4</v>
      </c>
      <c r="E72" s="65">
        <v>4.3</v>
      </c>
      <c r="F72" s="65">
        <v>4.3</v>
      </c>
      <c r="G72" s="65">
        <v>4.3</v>
      </c>
      <c r="H72" s="65">
        <v>2.7</v>
      </c>
      <c r="I72" s="65">
        <v>2.7</v>
      </c>
      <c r="J72" s="65">
        <v>2.7</v>
      </c>
      <c r="K72" s="65">
        <v>2.7</v>
      </c>
      <c r="L72" s="65">
        <v>2.7</v>
      </c>
      <c r="M72" s="65">
        <v>2.2999999999999998</v>
      </c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5">
        <v>14</v>
      </c>
      <c r="AH72" s="47">
        <f t="shared" si="8"/>
        <v>4.3</v>
      </c>
      <c r="AI72" s="48">
        <f t="shared" si="9"/>
        <v>2.2999999999999998</v>
      </c>
      <c r="AK72" s="50"/>
      <c r="AY72" s="1" t="s">
        <v>607</v>
      </c>
      <c r="AZ72" s="233">
        <f>ROUND(C85,0)</f>
        <v>0</v>
      </c>
      <c r="BA72" s="232">
        <f t="shared" si="26"/>
        <v>0</v>
      </c>
      <c r="BB72" s="232">
        <f t="shared" si="26"/>
        <v>0</v>
      </c>
      <c r="BC72" s="232">
        <f t="shared" si="26"/>
        <v>0</v>
      </c>
      <c r="BD72" s="232">
        <f t="shared" si="26"/>
        <v>0</v>
      </c>
      <c r="BE72" s="233">
        <f t="shared" si="28"/>
        <v>0</v>
      </c>
      <c r="BF72" s="233">
        <f t="shared" si="29"/>
        <v>0</v>
      </c>
      <c r="BG72" s="233">
        <f t="shared" si="27"/>
        <v>0</v>
      </c>
      <c r="BH72" s="233">
        <f t="shared" si="27"/>
        <v>0</v>
      </c>
      <c r="BI72" s="233">
        <f t="shared" si="27"/>
        <v>0</v>
      </c>
      <c r="BJ72" s="233">
        <f t="shared" si="27"/>
        <v>0</v>
      </c>
      <c r="BK72" s="233">
        <f t="shared" si="27"/>
        <v>0</v>
      </c>
      <c r="BL72" s="233">
        <f t="shared" si="27"/>
        <v>0</v>
      </c>
      <c r="BM72" s="233">
        <f t="shared" si="27"/>
        <v>0</v>
      </c>
      <c r="BN72" s="233">
        <f t="shared" si="27"/>
        <v>0</v>
      </c>
      <c r="BO72" s="233">
        <f t="shared" si="27"/>
        <v>0</v>
      </c>
      <c r="BP72" s="233">
        <f t="shared" si="27"/>
        <v>0</v>
      </c>
      <c r="BQ72" s="233">
        <f t="shared" si="30"/>
        <v>0</v>
      </c>
      <c r="BR72" s="233">
        <f t="shared" si="31"/>
        <v>0</v>
      </c>
      <c r="BS72" s="232">
        <f t="shared" si="32"/>
        <v>0</v>
      </c>
      <c r="BT72" s="232">
        <f t="shared" si="33"/>
        <v>0</v>
      </c>
      <c r="BU72" s="232">
        <f t="shared" si="33"/>
        <v>0</v>
      </c>
      <c r="BV72" s="232">
        <f t="shared" si="33"/>
        <v>0</v>
      </c>
      <c r="BW72" s="232">
        <f t="shared" si="34"/>
        <v>0</v>
      </c>
    </row>
    <row r="73" spans="1:75" x14ac:dyDescent="0.25">
      <c r="A73" s="54" t="s">
        <v>73</v>
      </c>
      <c r="B73" s="65">
        <v>3</v>
      </c>
      <c r="C73" s="65">
        <v>3</v>
      </c>
      <c r="D73" s="65">
        <v>3</v>
      </c>
      <c r="E73" s="65">
        <v>3</v>
      </c>
      <c r="F73" s="65">
        <v>3</v>
      </c>
      <c r="G73" s="65">
        <v>3</v>
      </c>
      <c r="H73" s="65">
        <v>3</v>
      </c>
      <c r="I73" s="65">
        <v>3</v>
      </c>
      <c r="J73" s="65">
        <v>3</v>
      </c>
      <c r="K73" s="65">
        <v>3</v>
      </c>
      <c r="L73" s="65">
        <v>3</v>
      </c>
      <c r="M73" s="65">
        <v>3</v>
      </c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5">
        <v>10.050000000000001</v>
      </c>
      <c r="AH73" s="47">
        <f t="shared" si="8"/>
        <v>3</v>
      </c>
      <c r="AI73" s="48">
        <f t="shared" si="9"/>
        <v>3</v>
      </c>
      <c r="AK73" s="50"/>
      <c r="AY73" s="1" t="s">
        <v>608</v>
      </c>
      <c r="AZ73" s="233">
        <f>ROUND(C91,0)</f>
        <v>60</v>
      </c>
      <c r="BA73" s="233">
        <f>D91</f>
        <v>62</v>
      </c>
      <c r="BB73" s="233">
        <f>E91</f>
        <v>60.1</v>
      </c>
      <c r="BC73" s="233">
        <f>F91</f>
        <v>62.3</v>
      </c>
      <c r="BD73" s="233">
        <f>G91</f>
        <v>61</v>
      </c>
      <c r="BE73" s="233">
        <f>I91</f>
        <v>67</v>
      </c>
      <c r="BF73" s="233">
        <f>K91</f>
        <v>62</v>
      </c>
      <c r="BG73" s="233">
        <f t="shared" ref="BG73:BP73" si="35">M91</f>
        <v>60</v>
      </c>
      <c r="BH73" s="233">
        <f t="shared" si="35"/>
        <v>0</v>
      </c>
      <c r="BI73" s="233">
        <f t="shared" si="35"/>
        <v>0</v>
      </c>
      <c r="BJ73" s="233">
        <f t="shared" si="35"/>
        <v>0</v>
      </c>
      <c r="BK73" s="233">
        <f t="shared" si="35"/>
        <v>0</v>
      </c>
      <c r="BL73" s="233">
        <f t="shared" si="35"/>
        <v>0</v>
      </c>
      <c r="BM73" s="233">
        <f t="shared" si="35"/>
        <v>0</v>
      </c>
      <c r="BN73" s="233">
        <f t="shared" si="35"/>
        <v>0</v>
      </c>
      <c r="BO73" s="233">
        <f t="shared" si="35"/>
        <v>0</v>
      </c>
      <c r="BP73" s="233">
        <f t="shared" si="35"/>
        <v>0</v>
      </c>
      <c r="BQ73" s="233">
        <f>X91</f>
        <v>0</v>
      </c>
      <c r="BR73" s="233">
        <f>Z91</f>
        <v>0</v>
      </c>
      <c r="BS73" s="233">
        <f>AB91</f>
        <v>0</v>
      </c>
      <c r="BT73" s="233">
        <f>AD91</f>
        <v>0</v>
      </c>
      <c r="BU73" s="233">
        <f>AE91</f>
        <v>0</v>
      </c>
      <c r="BV73" s="233">
        <f>AF91</f>
        <v>0</v>
      </c>
      <c r="BW73" s="233">
        <f>B91</f>
        <v>78</v>
      </c>
    </row>
    <row r="74" spans="1:75" x14ac:dyDescent="0.25">
      <c r="A74" s="54" t="s">
        <v>74</v>
      </c>
      <c r="B74" s="65">
        <v>2</v>
      </c>
      <c r="C74" s="65">
        <v>2</v>
      </c>
      <c r="D74" s="65">
        <v>2</v>
      </c>
      <c r="E74" s="65">
        <v>2</v>
      </c>
      <c r="F74" s="65">
        <v>2</v>
      </c>
      <c r="G74" s="65">
        <v>2</v>
      </c>
      <c r="H74" s="65">
        <v>2</v>
      </c>
      <c r="I74" s="65">
        <v>2</v>
      </c>
      <c r="J74" s="65">
        <v>2</v>
      </c>
      <c r="K74" s="65">
        <v>2</v>
      </c>
      <c r="L74" s="65">
        <v>2</v>
      </c>
      <c r="M74" s="65">
        <v>2</v>
      </c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>
        <v>6.2</v>
      </c>
      <c r="AH74" s="47">
        <f t="shared" si="8"/>
        <v>2</v>
      </c>
      <c r="AI74" s="48">
        <f t="shared" si="9"/>
        <v>2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8"/>
        <v>5.5</v>
      </c>
      <c r="AI75" s="48">
        <f t="shared" si="9"/>
        <v>3.5</v>
      </c>
      <c r="AK75" s="50"/>
      <c r="AZ75" s="233">
        <f>VALUE(AZ68)</f>
        <v>60</v>
      </c>
      <c r="BA75" s="233">
        <f t="shared" ref="BA75:BW75" si="36">VALUE(BA68)</f>
        <v>58</v>
      </c>
      <c r="BB75" s="233">
        <f t="shared" si="36"/>
        <v>61</v>
      </c>
      <c r="BC75" s="233">
        <f t="shared" si="36"/>
        <v>51.2</v>
      </c>
      <c r="BD75" s="233">
        <f t="shared" si="36"/>
        <v>48</v>
      </c>
      <c r="BE75" s="233">
        <f t="shared" si="36"/>
        <v>58</v>
      </c>
      <c r="BF75" s="233">
        <f t="shared" si="36"/>
        <v>65.7</v>
      </c>
      <c r="BG75" s="233">
        <f t="shared" si="36"/>
        <v>50.3</v>
      </c>
      <c r="BH75" s="233">
        <f t="shared" si="36"/>
        <v>0</v>
      </c>
      <c r="BI75" s="233">
        <f t="shared" si="36"/>
        <v>0</v>
      </c>
      <c r="BJ75" s="233">
        <f t="shared" si="36"/>
        <v>0</v>
      </c>
      <c r="BK75" s="233">
        <f t="shared" si="36"/>
        <v>0</v>
      </c>
      <c r="BL75" s="233">
        <f t="shared" si="36"/>
        <v>0</v>
      </c>
      <c r="BM75" s="233">
        <f t="shared" si="36"/>
        <v>0</v>
      </c>
      <c r="BN75" s="233">
        <f t="shared" si="36"/>
        <v>0</v>
      </c>
      <c r="BO75" s="233">
        <f t="shared" si="36"/>
        <v>0</v>
      </c>
      <c r="BP75" s="233">
        <f t="shared" si="36"/>
        <v>0</v>
      </c>
      <c r="BQ75" s="233">
        <f t="shared" si="36"/>
        <v>0</v>
      </c>
      <c r="BR75" s="233">
        <f t="shared" si="36"/>
        <v>0</v>
      </c>
      <c r="BS75" s="233">
        <f t="shared" si="36"/>
        <v>0</v>
      </c>
      <c r="BT75" s="233">
        <f t="shared" si="36"/>
        <v>0</v>
      </c>
      <c r="BU75" s="233">
        <f t="shared" si="36"/>
        <v>0</v>
      </c>
      <c r="BV75" s="233">
        <f t="shared" si="36"/>
        <v>0</v>
      </c>
      <c r="BW75" s="233">
        <f t="shared" si="36"/>
        <v>65</v>
      </c>
    </row>
    <row r="76" spans="1:75" ht="15.75" thickBot="1" x14ac:dyDescent="0.3">
      <c r="A76" s="74" t="s">
        <v>76</v>
      </c>
      <c r="B76" s="60">
        <f t="shared" ref="B76:AG76" si="37">SUM(B63:B75)</f>
        <v>128.34</v>
      </c>
      <c r="C76" s="60">
        <f t="shared" si="37"/>
        <v>74.84</v>
      </c>
      <c r="D76" s="60">
        <f t="shared" si="37"/>
        <v>74.84</v>
      </c>
      <c r="E76" s="60">
        <f t="shared" si="37"/>
        <v>77.34</v>
      </c>
      <c r="F76" s="60">
        <f t="shared" si="37"/>
        <v>77.34</v>
      </c>
      <c r="G76" s="60">
        <f t="shared" si="37"/>
        <v>77.34</v>
      </c>
      <c r="H76" s="60">
        <f t="shared" si="37"/>
        <v>90.14</v>
      </c>
      <c r="I76" s="60">
        <f t="shared" si="37"/>
        <v>169.93999999999997</v>
      </c>
      <c r="J76" s="60">
        <f t="shared" si="37"/>
        <v>306.42999999999995</v>
      </c>
      <c r="K76" s="60">
        <f t="shared" si="37"/>
        <v>357.03999999999996</v>
      </c>
      <c r="L76" s="60">
        <f t="shared" si="37"/>
        <v>357.03999999999996</v>
      </c>
      <c r="M76" s="60">
        <f t="shared" si="37"/>
        <v>351.93999999999994</v>
      </c>
      <c r="N76" s="60">
        <f t="shared" si="37"/>
        <v>3.54</v>
      </c>
      <c r="O76" s="60">
        <f t="shared" si="37"/>
        <v>3.54</v>
      </c>
      <c r="P76" s="60">
        <f t="shared" si="37"/>
        <v>3.54</v>
      </c>
      <c r="Q76" s="60">
        <f t="shared" si="37"/>
        <v>3.54</v>
      </c>
      <c r="R76" s="60">
        <f t="shared" si="37"/>
        <v>3.54</v>
      </c>
      <c r="S76" s="60">
        <f t="shared" si="37"/>
        <v>3.54</v>
      </c>
      <c r="T76" s="60">
        <f t="shared" si="37"/>
        <v>3.54</v>
      </c>
      <c r="U76" s="60">
        <f t="shared" si="37"/>
        <v>3.54</v>
      </c>
      <c r="V76" s="60">
        <f t="shared" si="37"/>
        <v>3.54</v>
      </c>
      <c r="W76" s="60">
        <f t="shared" si="37"/>
        <v>3.54</v>
      </c>
      <c r="X76" s="60">
        <f t="shared" si="37"/>
        <v>3.54</v>
      </c>
      <c r="Y76" s="60">
        <f>SUM(Y63:Y75)</f>
        <v>3.5</v>
      </c>
      <c r="Z76" s="60">
        <f>SUM(Z63:Z75)</f>
        <v>5.5</v>
      </c>
      <c r="AA76" s="60">
        <f t="shared" si="37"/>
        <v>3.54</v>
      </c>
      <c r="AB76" s="60">
        <f t="shared" si="37"/>
        <v>3.54</v>
      </c>
      <c r="AC76" s="60">
        <f t="shared" si="37"/>
        <v>3.54</v>
      </c>
      <c r="AD76" s="60">
        <f t="shared" si="37"/>
        <v>3.54</v>
      </c>
      <c r="AE76" s="60">
        <f t="shared" si="37"/>
        <v>3.54</v>
      </c>
      <c r="AF76" s="60">
        <f t="shared" si="37"/>
        <v>3.54</v>
      </c>
      <c r="AG76" s="61">
        <f t="shared" si="37"/>
        <v>489.91</v>
      </c>
      <c r="AH76" s="47">
        <f t="shared" si="8"/>
        <v>357.03999999999996</v>
      </c>
      <c r="AI76" s="48">
        <f t="shared" si="9"/>
        <v>3.5</v>
      </c>
      <c r="AK76" s="50"/>
      <c r="AZ76" s="233">
        <f t="shared" ref="AZ76:BW80" si="38">VALUE(AZ69)</f>
        <v>0</v>
      </c>
      <c r="BA76" s="233">
        <f t="shared" si="38"/>
        <v>0</v>
      </c>
      <c r="BB76" s="233">
        <f t="shared" si="38"/>
        <v>0</v>
      </c>
      <c r="BC76" s="233">
        <f t="shared" si="38"/>
        <v>0</v>
      </c>
      <c r="BD76" s="233">
        <f t="shared" si="38"/>
        <v>0</v>
      </c>
      <c r="BE76" s="233">
        <f t="shared" si="38"/>
        <v>0</v>
      </c>
      <c r="BF76" s="233">
        <f t="shared" si="38"/>
        <v>0</v>
      </c>
      <c r="BG76" s="233">
        <f t="shared" si="38"/>
        <v>0</v>
      </c>
      <c r="BH76" s="233">
        <f t="shared" si="38"/>
        <v>0</v>
      </c>
      <c r="BI76" s="233">
        <f t="shared" si="38"/>
        <v>0</v>
      </c>
      <c r="BJ76" s="233">
        <f t="shared" si="38"/>
        <v>0</v>
      </c>
      <c r="BK76" s="233">
        <f t="shared" si="38"/>
        <v>0</v>
      </c>
      <c r="BL76" s="233">
        <f t="shared" si="38"/>
        <v>0</v>
      </c>
      <c r="BM76" s="233">
        <f t="shared" si="38"/>
        <v>0</v>
      </c>
      <c r="BN76" s="233">
        <f t="shared" si="38"/>
        <v>0</v>
      </c>
      <c r="BO76" s="233">
        <f t="shared" si="38"/>
        <v>0</v>
      </c>
      <c r="BP76" s="233">
        <f t="shared" si="38"/>
        <v>0</v>
      </c>
      <c r="BQ76" s="233">
        <f t="shared" si="38"/>
        <v>0</v>
      </c>
      <c r="BR76" s="233">
        <f t="shared" si="38"/>
        <v>0</v>
      </c>
      <c r="BS76" s="233">
        <f t="shared" si="38"/>
        <v>0</v>
      </c>
      <c r="BT76" s="233">
        <f t="shared" si="38"/>
        <v>0</v>
      </c>
      <c r="BU76" s="233">
        <f t="shared" si="38"/>
        <v>0</v>
      </c>
      <c r="BV76" s="233">
        <f t="shared" si="38"/>
        <v>0</v>
      </c>
      <c r="BW76" s="233">
        <f t="shared" si="38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>
        <v>20</v>
      </c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8"/>
        <v>20</v>
      </c>
      <c r="AI77" s="48">
        <f t="shared" si="9"/>
        <v>20</v>
      </c>
      <c r="AK77" s="50"/>
      <c r="AZ77" s="233">
        <f t="shared" si="38"/>
        <v>411</v>
      </c>
      <c r="BA77" s="233">
        <f t="shared" si="38"/>
        <v>401</v>
      </c>
      <c r="BB77" s="233">
        <f t="shared" si="38"/>
        <v>392</v>
      </c>
      <c r="BC77" s="233">
        <f t="shared" si="38"/>
        <v>411</v>
      </c>
      <c r="BD77" s="233">
        <f t="shared" si="38"/>
        <v>446</v>
      </c>
      <c r="BE77" s="233">
        <f t="shared" si="38"/>
        <v>471</v>
      </c>
      <c r="BF77" s="233">
        <f t="shared" si="38"/>
        <v>204</v>
      </c>
      <c r="BG77" s="233">
        <f t="shared" si="38"/>
        <v>2</v>
      </c>
      <c r="BH77" s="233">
        <f t="shared" si="38"/>
        <v>0</v>
      </c>
      <c r="BI77" s="233">
        <f t="shared" si="38"/>
        <v>0</v>
      </c>
      <c r="BJ77" s="233">
        <f t="shared" si="38"/>
        <v>0</v>
      </c>
      <c r="BK77" s="233">
        <f t="shared" si="38"/>
        <v>0</v>
      </c>
      <c r="BL77" s="233">
        <f t="shared" si="38"/>
        <v>0</v>
      </c>
      <c r="BM77" s="233">
        <f t="shared" si="38"/>
        <v>0</v>
      </c>
      <c r="BN77" s="233">
        <f t="shared" si="38"/>
        <v>0</v>
      </c>
      <c r="BO77" s="233">
        <f t="shared" si="38"/>
        <v>0</v>
      </c>
      <c r="BP77" s="233">
        <f t="shared" si="38"/>
        <v>0</v>
      </c>
      <c r="BQ77" s="233">
        <f t="shared" si="38"/>
        <v>0</v>
      </c>
      <c r="BR77" s="233">
        <f t="shared" si="38"/>
        <v>0</v>
      </c>
      <c r="BS77" s="233">
        <f t="shared" si="38"/>
        <v>0</v>
      </c>
      <c r="BT77" s="233">
        <f t="shared" si="38"/>
        <v>0</v>
      </c>
      <c r="BU77" s="233">
        <f t="shared" si="38"/>
        <v>0</v>
      </c>
      <c r="BV77" s="233">
        <f t="shared" si="38"/>
        <v>0</v>
      </c>
      <c r="BW77" s="233">
        <f t="shared" si="38"/>
        <v>402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>
        <v>12.2</v>
      </c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8"/>
        <v>12.2</v>
      </c>
      <c r="AI78" s="48">
        <f t="shared" si="9"/>
        <v>12.2</v>
      </c>
      <c r="AK78" s="50"/>
      <c r="AZ78" s="233">
        <f t="shared" si="38"/>
        <v>50</v>
      </c>
      <c r="BA78" s="233">
        <f t="shared" si="38"/>
        <v>54</v>
      </c>
      <c r="BB78" s="233">
        <f t="shared" si="38"/>
        <v>52.3</v>
      </c>
      <c r="BC78" s="233">
        <f t="shared" si="38"/>
        <v>54.8</v>
      </c>
      <c r="BD78" s="233">
        <f t="shared" si="38"/>
        <v>58.4</v>
      </c>
      <c r="BE78" s="233">
        <f t="shared" si="38"/>
        <v>59.3</v>
      </c>
      <c r="BF78" s="233">
        <f t="shared" si="38"/>
        <v>8.4</v>
      </c>
      <c r="BG78" s="233">
        <f t="shared" si="38"/>
        <v>5.9</v>
      </c>
      <c r="BH78" s="233">
        <f t="shared" si="38"/>
        <v>0</v>
      </c>
      <c r="BI78" s="233">
        <f t="shared" si="38"/>
        <v>0</v>
      </c>
      <c r="BJ78" s="233">
        <f t="shared" si="38"/>
        <v>0</v>
      </c>
      <c r="BK78" s="233">
        <f t="shared" si="38"/>
        <v>0</v>
      </c>
      <c r="BL78" s="233">
        <f t="shared" si="38"/>
        <v>0</v>
      </c>
      <c r="BM78" s="233">
        <f t="shared" si="38"/>
        <v>0</v>
      </c>
      <c r="BN78" s="233">
        <f t="shared" si="38"/>
        <v>0</v>
      </c>
      <c r="BO78" s="233">
        <f t="shared" si="38"/>
        <v>0</v>
      </c>
      <c r="BP78" s="233">
        <f t="shared" si="38"/>
        <v>0</v>
      </c>
      <c r="BQ78" s="233">
        <f t="shared" si="38"/>
        <v>0</v>
      </c>
      <c r="BR78" s="233">
        <f t="shared" si="38"/>
        <v>0</v>
      </c>
      <c r="BS78" s="233">
        <f t="shared" si="38"/>
        <v>0</v>
      </c>
      <c r="BT78" s="233">
        <f t="shared" si="38"/>
        <v>0</v>
      </c>
      <c r="BU78" s="233">
        <f t="shared" si="38"/>
        <v>0</v>
      </c>
      <c r="BV78" s="233">
        <f t="shared" si="38"/>
        <v>0</v>
      </c>
      <c r="BW78" s="233">
        <f t="shared" si="38"/>
        <v>49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>
        <v>4.5</v>
      </c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8"/>
        <v>4.5</v>
      </c>
      <c r="AI79" s="48">
        <f t="shared" si="9"/>
        <v>4.5</v>
      </c>
      <c r="AK79" s="50"/>
      <c r="AZ79" s="233">
        <f t="shared" si="38"/>
        <v>0</v>
      </c>
      <c r="BA79" s="233">
        <f t="shared" si="38"/>
        <v>0</v>
      </c>
      <c r="BB79" s="233">
        <f t="shared" si="38"/>
        <v>0</v>
      </c>
      <c r="BC79" s="233">
        <f t="shared" si="38"/>
        <v>0</v>
      </c>
      <c r="BD79" s="233">
        <f t="shared" si="38"/>
        <v>0</v>
      </c>
      <c r="BE79" s="233">
        <f t="shared" si="38"/>
        <v>0</v>
      </c>
      <c r="BF79" s="233">
        <f t="shared" si="38"/>
        <v>0</v>
      </c>
      <c r="BG79" s="233">
        <f t="shared" si="38"/>
        <v>0</v>
      </c>
      <c r="BH79" s="233">
        <f t="shared" si="38"/>
        <v>0</v>
      </c>
      <c r="BI79" s="233">
        <f t="shared" si="38"/>
        <v>0</v>
      </c>
      <c r="BJ79" s="233">
        <f t="shared" si="38"/>
        <v>0</v>
      </c>
      <c r="BK79" s="233">
        <f t="shared" si="38"/>
        <v>0</v>
      </c>
      <c r="BL79" s="233">
        <f t="shared" si="38"/>
        <v>0</v>
      </c>
      <c r="BM79" s="233">
        <f t="shared" si="38"/>
        <v>0</v>
      </c>
      <c r="BN79" s="233">
        <f t="shared" si="38"/>
        <v>0</v>
      </c>
      <c r="BO79" s="233">
        <f t="shared" si="38"/>
        <v>0</v>
      </c>
      <c r="BP79" s="233">
        <f t="shared" si="38"/>
        <v>0</v>
      </c>
      <c r="BQ79" s="233">
        <f t="shared" si="38"/>
        <v>0</v>
      </c>
      <c r="BR79" s="233">
        <f t="shared" si="38"/>
        <v>0</v>
      </c>
      <c r="BS79" s="233">
        <f t="shared" si="38"/>
        <v>0</v>
      </c>
      <c r="BT79" s="233">
        <f t="shared" si="38"/>
        <v>0</v>
      </c>
      <c r="BU79" s="233">
        <f t="shared" si="38"/>
        <v>0</v>
      </c>
      <c r="BV79" s="233">
        <f t="shared" si="38"/>
        <v>0</v>
      </c>
      <c r="BW79" s="233">
        <f t="shared" si="38"/>
        <v>0</v>
      </c>
    </row>
    <row r="80" spans="1:75" ht="15.75" thickBot="1" x14ac:dyDescent="0.3">
      <c r="A80" s="74" t="s">
        <v>80</v>
      </c>
      <c r="B80" s="60">
        <f t="shared" ref="B80:AF80" si="39">B77+B78+B79</f>
        <v>0</v>
      </c>
      <c r="C80" s="60">
        <f t="shared" si="39"/>
        <v>0</v>
      </c>
      <c r="D80" s="60">
        <f t="shared" si="39"/>
        <v>0</v>
      </c>
      <c r="E80" s="60">
        <f t="shared" si="39"/>
        <v>0</v>
      </c>
      <c r="F80" s="60">
        <f t="shared" si="39"/>
        <v>0</v>
      </c>
      <c r="G80" s="60">
        <f t="shared" si="39"/>
        <v>0</v>
      </c>
      <c r="H80" s="60">
        <f t="shared" si="39"/>
        <v>0</v>
      </c>
      <c r="I80" s="60">
        <f t="shared" si="39"/>
        <v>0</v>
      </c>
      <c r="J80" s="60">
        <f t="shared" si="39"/>
        <v>0</v>
      </c>
      <c r="K80" s="60">
        <f t="shared" si="39"/>
        <v>0</v>
      </c>
      <c r="L80" s="60">
        <f t="shared" si="39"/>
        <v>0</v>
      </c>
      <c r="M80" s="60">
        <f t="shared" si="39"/>
        <v>36.700000000000003</v>
      </c>
      <c r="N80" s="60">
        <f t="shared" si="39"/>
        <v>0</v>
      </c>
      <c r="O80" s="60">
        <f t="shared" si="39"/>
        <v>0</v>
      </c>
      <c r="P80" s="60">
        <f t="shared" si="39"/>
        <v>0</v>
      </c>
      <c r="Q80" s="60">
        <f t="shared" si="39"/>
        <v>0</v>
      </c>
      <c r="R80" s="60">
        <f t="shared" si="39"/>
        <v>0</v>
      </c>
      <c r="S80" s="60">
        <f t="shared" si="39"/>
        <v>0</v>
      </c>
      <c r="T80" s="60">
        <f t="shared" si="39"/>
        <v>0</v>
      </c>
      <c r="U80" s="60">
        <f t="shared" si="39"/>
        <v>0</v>
      </c>
      <c r="V80" s="60">
        <f t="shared" si="39"/>
        <v>0</v>
      </c>
      <c r="W80" s="60">
        <f t="shared" si="39"/>
        <v>0</v>
      </c>
      <c r="X80" s="60">
        <f t="shared" si="39"/>
        <v>0</v>
      </c>
      <c r="Y80" s="60">
        <f>Y77+Y78+Y79</f>
        <v>0</v>
      </c>
      <c r="Z80" s="60">
        <f>Z77+Z78+Z79</f>
        <v>0</v>
      </c>
      <c r="AA80" s="60">
        <f t="shared" si="39"/>
        <v>0</v>
      </c>
      <c r="AB80" s="60">
        <f t="shared" si="39"/>
        <v>0</v>
      </c>
      <c r="AC80" s="60">
        <f t="shared" si="39"/>
        <v>0</v>
      </c>
      <c r="AD80" s="60">
        <f t="shared" si="39"/>
        <v>0</v>
      </c>
      <c r="AE80" s="60">
        <f t="shared" si="39"/>
        <v>0</v>
      </c>
      <c r="AF80" s="60">
        <f t="shared" si="39"/>
        <v>0</v>
      </c>
      <c r="AG80" s="61">
        <f>SUM(AG77:AG79)</f>
        <v>106</v>
      </c>
      <c r="AH80" s="47">
        <f t="shared" si="8"/>
        <v>36.700000000000003</v>
      </c>
      <c r="AI80" s="48">
        <f t="shared" si="9"/>
        <v>0</v>
      </c>
      <c r="AK80" s="50"/>
      <c r="AZ80" s="233">
        <f t="shared" si="38"/>
        <v>60</v>
      </c>
      <c r="BA80" s="233">
        <f t="shared" si="38"/>
        <v>62</v>
      </c>
      <c r="BB80" s="233">
        <f t="shared" si="38"/>
        <v>60.1</v>
      </c>
      <c r="BC80" s="233">
        <f t="shared" si="38"/>
        <v>62.3</v>
      </c>
      <c r="BD80" s="233">
        <f t="shared" si="38"/>
        <v>61</v>
      </c>
      <c r="BE80" s="233">
        <f t="shared" si="38"/>
        <v>67</v>
      </c>
      <c r="BF80" s="233">
        <f t="shared" si="38"/>
        <v>62</v>
      </c>
      <c r="BG80" s="233">
        <f t="shared" si="38"/>
        <v>60</v>
      </c>
      <c r="BH80" s="233">
        <f t="shared" si="38"/>
        <v>0</v>
      </c>
      <c r="BI80" s="233">
        <f t="shared" si="38"/>
        <v>0</v>
      </c>
      <c r="BJ80" s="233">
        <f t="shared" si="38"/>
        <v>0</v>
      </c>
      <c r="BK80" s="233">
        <f t="shared" si="38"/>
        <v>0</v>
      </c>
      <c r="BL80" s="233">
        <f t="shared" si="38"/>
        <v>0</v>
      </c>
      <c r="BM80" s="233">
        <f t="shared" si="38"/>
        <v>0</v>
      </c>
      <c r="BN80" s="233">
        <f t="shared" si="38"/>
        <v>0</v>
      </c>
      <c r="BO80" s="233">
        <f t="shared" si="38"/>
        <v>0</v>
      </c>
      <c r="BP80" s="233">
        <f t="shared" si="38"/>
        <v>0</v>
      </c>
      <c r="BQ80" s="233">
        <f t="shared" si="38"/>
        <v>0</v>
      </c>
      <c r="BR80" s="233">
        <f t="shared" si="38"/>
        <v>0</v>
      </c>
      <c r="BS80" s="233">
        <f t="shared" si="38"/>
        <v>0</v>
      </c>
      <c r="BT80" s="233">
        <f t="shared" si="38"/>
        <v>0</v>
      </c>
      <c r="BU80" s="233">
        <f t="shared" si="38"/>
        <v>0</v>
      </c>
      <c r="BV80" s="233">
        <f t="shared" si="38"/>
        <v>0</v>
      </c>
      <c r="BW80" s="233">
        <f t="shared" si="38"/>
        <v>78</v>
      </c>
    </row>
    <row r="81" spans="1:64" x14ac:dyDescent="0.25">
      <c r="A81" s="44" t="s">
        <v>81</v>
      </c>
      <c r="B81" s="45">
        <v>65</v>
      </c>
      <c r="C81" s="45">
        <v>60</v>
      </c>
      <c r="D81" s="45">
        <v>58</v>
      </c>
      <c r="E81" s="45">
        <v>61</v>
      </c>
      <c r="F81" s="45">
        <v>51.2</v>
      </c>
      <c r="G81" s="45">
        <v>48</v>
      </c>
      <c r="H81" s="45">
        <v>62</v>
      </c>
      <c r="I81" s="45">
        <v>58</v>
      </c>
      <c r="J81" s="45">
        <v>65</v>
      </c>
      <c r="K81" s="45">
        <v>65.7</v>
      </c>
      <c r="L81" s="45">
        <v>57</v>
      </c>
      <c r="M81" s="45">
        <v>50.3</v>
      </c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52"/>
      <c r="AH81" s="47">
        <f t="shared" si="8"/>
        <v>65.7</v>
      </c>
      <c r="AI81" s="48">
        <f t="shared" si="9"/>
        <v>48</v>
      </c>
      <c r="AK81" s="50"/>
      <c r="AY81" s="233"/>
    </row>
    <row r="82" spans="1:64" x14ac:dyDescent="0.25">
      <c r="A82" s="54" t="s">
        <v>82</v>
      </c>
      <c r="B82" s="65">
        <v>0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25" si="40">MAX(B82:AF82)</f>
        <v>0</v>
      </c>
      <c r="AI82" s="48">
        <f t="shared" ref="AI82:AI125" si="41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>
        <v>402</v>
      </c>
      <c r="C83" s="65">
        <v>411</v>
      </c>
      <c r="D83" s="65">
        <v>401</v>
      </c>
      <c r="E83" s="65">
        <v>392</v>
      </c>
      <c r="F83" s="65">
        <v>411</v>
      </c>
      <c r="G83" s="65">
        <v>446</v>
      </c>
      <c r="H83" s="65">
        <v>465</v>
      </c>
      <c r="I83" s="65">
        <v>471</v>
      </c>
      <c r="J83" s="65">
        <v>412</v>
      </c>
      <c r="K83" s="65">
        <v>204</v>
      </c>
      <c r="L83" s="65">
        <v>91</v>
      </c>
      <c r="M83" s="65">
        <v>2</v>
      </c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75"/>
      <c r="AH83" s="47">
        <f t="shared" si="40"/>
        <v>471</v>
      </c>
      <c r="AI83" s="48">
        <f t="shared" si="41"/>
        <v>2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>
        <v>49</v>
      </c>
      <c r="C84" s="65">
        <v>50</v>
      </c>
      <c r="D84" s="65">
        <v>54</v>
      </c>
      <c r="E84" s="76">
        <v>52.3</v>
      </c>
      <c r="F84" s="76">
        <v>54.8</v>
      </c>
      <c r="G84" s="76">
        <v>58.4</v>
      </c>
      <c r="H84" s="76">
        <v>54.3</v>
      </c>
      <c r="I84" s="76">
        <v>59.3</v>
      </c>
      <c r="J84" s="76">
        <v>54.2</v>
      </c>
      <c r="K84" s="76">
        <v>8.4</v>
      </c>
      <c r="L84" s="76">
        <v>7</v>
      </c>
      <c r="M84" s="76">
        <v>5.9</v>
      </c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40"/>
        <v>59.3</v>
      </c>
      <c r="AI84" s="48">
        <f t="shared" si="41"/>
        <v>5.9</v>
      </c>
      <c r="AK84" s="50"/>
      <c r="AY84" s="233"/>
      <c r="BF84" s="232"/>
      <c r="BG84" s="233">
        <f t="array" ref="BG84:BL107">TRANSPOSE(AZ68:BW73)</f>
        <v>60</v>
      </c>
      <c r="BH84" s="233">
        <v>0</v>
      </c>
      <c r="BI84" s="233">
        <v>411</v>
      </c>
      <c r="BJ84" s="233">
        <v>50</v>
      </c>
      <c r="BK84" s="233">
        <v>0</v>
      </c>
      <c r="BL84" s="233">
        <v>60</v>
      </c>
    </row>
    <row r="85" spans="1:64" x14ac:dyDescent="0.25">
      <c r="A85" s="54" t="s">
        <v>85</v>
      </c>
      <c r="B85" s="45">
        <v>0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si="40"/>
        <v>0</v>
      </c>
      <c r="AI85" s="48">
        <f t="shared" si="41"/>
        <v>0</v>
      </c>
      <c r="AK85" s="50"/>
      <c r="AY85" s="233"/>
      <c r="BF85" s="232"/>
      <c r="BG85" s="233">
        <v>58</v>
      </c>
      <c r="BH85" s="233">
        <v>0</v>
      </c>
      <c r="BI85" s="233">
        <v>401</v>
      </c>
      <c r="BJ85" s="233">
        <v>54</v>
      </c>
      <c r="BK85" s="233">
        <v>0</v>
      </c>
      <c r="BL85" s="233">
        <v>62</v>
      </c>
    </row>
    <row r="86" spans="1:64" x14ac:dyDescent="0.25">
      <c r="A86" s="54" t="s">
        <v>86</v>
      </c>
      <c r="B86" s="45">
        <v>0</v>
      </c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0"/>
        <v>0</v>
      </c>
      <c r="AI86" s="48">
        <f t="shared" si="41"/>
        <v>0</v>
      </c>
      <c r="AK86" s="50"/>
      <c r="AY86" s="233"/>
      <c r="BF86" s="232"/>
      <c r="BG86" s="233">
        <v>61</v>
      </c>
      <c r="BH86" s="233">
        <v>0</v>
      </c>
      <c r="BI86" s="233">
        <v>392</v>
      </c>
      <c r="BJ86" s="233">
        <v>52.3</v>
      </c>
      <c r="BK86" s="233">
        <v>0</v>
      </c>
      <c r="BL86" s="233">
        <v>60.1</v>
      </c>
    </row>
    <row r="87" spans="1:64" ht="15.75" thickBot="1" x14ac:dyDescent="0.3">
      <c r="A87" s="54" t="s">
        <v>87</v>
      </c>
      <c r="B87" s="45">
        <v>0</v>
      </c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0"/>
        <v>0</v>
      </c>
      <c r="AI87" s="48">
        <f t="shared" si="41"/>
        <v>0</v>
      </c>
      <c r="AK87" s="50"/>
      <c r="AL87" s="78" t="s">
        <v>88</v>
      </c>
      <c r="AM87" s="78"/>
      <c r="AY87" s="233"/>
      <c r="BF87" s="233"/>
      <c r="BG87" s="233">
        <v>51.2</v>
      </c>
      <c r="BH87" s="233">
        <v>0</v>
      </c>
      <c r="BI87" s="233">
        <v>411</v>
      </c>
      <c r="BJ87" s="233">
        <v>54.8</v>
      </c>
      <c r="BK87" s="233">
        <v>0</v>
      </c>
      <c r="BL87" s="233">
        <v>62.3</v>
      </c>
    </row>
    <row r="88" spans="1:64" x14ac:dyDescent="0.25">
      <c r="A88" s="54" t="s">
        <v>89</v>
      </c>
      <c r="B88" s="45">
        <v>0</v>
      </c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0"/>
        <v>0</v>
      </c>
      <c r="AI88" s="48">
        <f t="shared" si="41"/>
        <v>0</v>
      </c>
      <c r="AK88" s="79"/>
      <c r="AL88" s="80"/>
      <c r="AM88" s="80"/>
      <c r="AN88" s="81"/>
      <c r="AY88" s="233"/>
      <c r="BF88" s="233"/>
      <c r="BG88" s="233">
        <v>48</v>
      </c>
      <c r="BH88" s="233">
        <v>0</v>
      </c>
      <c r="BI88" s="233">
        <v>446</v>
      </c>
      <c r="BJ88" s="233">
        <v>58.4</v>
      </c>
      <c r="BK88" s="233">
        <v>0</v>
      </c>
      <c r="BL88" s="233">
        <v>61</v>
      </c>
    </row>
    <row r="89" spans="1:64" x14ac:dyDescent="0.25">
      <c r="A89" s="54" t="s">
        <v>90</v>
      </c>
      <c r="B89" s="45">
        <v>0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0"/>
        <v>0</v>
      </c>
      <c r="AI89" s="48">
        <f t="shared" si="41"/>
        <v>0</v>
      </c>
      <c r="AK89" s="82" t="s">
        <v>91</v>
      </c>
      <c r="AL89" s="65"/>
      <c r="AM89" s="76"/>
      <c r="AN89" s="83"/>
      <c r="AY89" s="233"/>
      <c r="BF89" s="233"/>
      <c r="BG89" s="233">
        <v>58</v>
      </c>
      <c r="BH89" s="233">
        <v>0</v>
      </c>
      <c r="BI89" s="233">
        <v>471</v>
      </c>
      <c r="BJ89" s="233">
        <v>59.3</v>
      </c>
      <c r="BK89" s="233">
        <v>0</v>
      </c>
      <c r="BL89" s="233">
        <v>67</v>
      </c>
    </row>
    <row r="90" spans="1:64" x14ac:dyDescent="0.25">
      <c r="A90" s="84" t="s">
        <v>92</v>
      </c>
      <c r="B90" s="45">
        <v>0</v>
      </c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0"/>
        <v>0</v>
      </c>
      <c r="AI90" s="48">
        <f t="shared" si="41"/>
        <v>0</v>
      </c>
      <c r="AK90" s="82" t="s">
        <v>93</v>
      </c>
      <c r="AL90" s="76"/>
      <c r="AM90" s="76"/>
      <c r="AN90" s="83"/>
      <c r="AY90" s="233"/>
      <c r="BF90" s="233"/>
      <c r="BG90" s="233">
        <v>65.7</v>
      </c>
      <c r="BH90" s="233">
        <v>0</v>
      </c>
      <c r="BI90" s="233">
        <v>204</v>
      </c>
      <c r="BJ90" s="233">
        <v>8.4</v>
      </c>
      <c r="BK90" s="233">
        <v>0</v>
      </c>
      <c r="BL90" s="233">
        <v>62</v>
      </c>
    </row>
    <row r="91" spans="1:64" ht="15.75" thickBot="1" x14ac:dyDescent="0.3">
      <c r="A91" s="84" t="s">
        <v>394</v>
      </c>
      <c r="B91" s="77">
        <v>78</v>
      </c>
      <c r="C91" s="77">
        <v>60</v>
      </c>
      <c r="D91" s="77">
        <v>62</v>
      </c>
      <c r="E91" s="77">
        <v>60.1</v>
      </c>
      <c r="F91" s="77">
        <v>62.3</v>
      </c>
      <c r="G91" s="77">
        <v>61</v>
      </c>
      <c r="H91" s="77">
        <v>72</v>
      </c>
      <c r="I91" s="77">
        <v>67</v>
      </c>
      <c r="J91" s="77">
        <v>62</v>
      </c>
      <c r="K91" s="77">
        <v>62</v>
      </c>
      <c r="L91" s="77">
        <v>62</v>
      </c>
      <c r="M91" s="77">
        <v>60</v>
      </c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40"/>
        <v>78</v>
      </c>
      <c r="AI91" s="48">
        <f t="shared" si="41"/>
        <v>60</v>
      </c>
      <c r="AK91" s="86"/>
      <c r="AL91" s="45"/>
      <c r="AM91" s="45"/>
      <c r="AN91" s="87"/>
      <c r="AY91" s="233"/>
      <c r="BF91" s="233"/>
      <c r="BG91" s="233">
        <v>50.3</v>
      </c>
      <c r="BH91" s="233">
        <v>0</v>
      </c>
      <c r="BI91" s="233">
        <v>2</v>
      </c>
      <c r="BJ91" s="233">
        <v>5.9</v>
      </c>
      <c r="BK91" s="233">
        <v>0</v>
      </c>
      <c r="BL91" s="233">
        <v>60</v>
      </c>
    </row>
    <row r="92" spans="1:64" ht="15.75" thickBot="1" x14ac:dyDescent="0.3">
      <c r="A92" s="74" t="s">
        <v>94</v>
      </c>
      <c r="B92" s="60">
        <f t="shared" ref="B92:AF92" si="42">SUMIF(B81:B91,"&gt;0")</f>
        <v>594</v>
      </c>
      <c r="C92" s="60">
        <f t="shared" si="42"/>
        <v>581</v>
      </c>
      <c r="D92" s="60">
        <f t="shared" si="42"/>
        <v>575</v>
      </c>
      <c r="E92" s="60">
        <f t="shared" si="42"/>
        <v>565.4</v>
      </c>
      <c r="F92" s="60">
        <f t="shared" si="42"/>
        <v>579.29999999999995</v>
      </c>
      <c r="G92" s="60">
        <f t="shared" si="42"/>
        <v>613.4</v>
      </c>
      <c r="H92" s="60">
        <f t="shared" si="42"/>
        <v>653.29999999999995</v>
      </c>
      <c r="I92" s="60">
        <f t="shared" si="42"/>
        <v>655.29999999999995</v>
      </c>
      <c r="J92" s="60">
        <f t="shared" si="42"/>
        <v>593.20000000000005</v>
      </c>
      <c r="K92" s="60">
        <f t="shared" si="42"/>
        <v>340.09999999999997</v>
      </c>
      <c r="L92" s="60">
        <f t="shared" si="42"/>
        <v>217</v>
      </c>
      <c r="M92" s="60">
        <f t="shared" si="42"/>
        <v>118.19999999999999</v>
      </c>
      <c r="N92" s="60">
        <f t="shared" si="42"/>
        <v>0</v>
      </c>
      <c r="O92" s="60">
        <f t="shared" si="42"/>
        <v>0</v>
      </c>
      <c r="P92" s="60">
        <f t="shared" si="42"/>
        <v>0</v>
      </c>
      <c r="Q92" s="60">
        <f t="shared" si="42"/>
        <v>0</v>
      </c>
      <c r="R92" s="60">
        <f t="shared" si="42"/>
        <v>0</v>
      </c>
      <c r="S92" s="60">
        <f t="shared" si="42"/>
        <v>0</v>
      </c>
      <c r="T92" s="60">
        <f t="shared" si="42"/>
        <v>0</v>
      </c>
      <c r="U92" s="60">
        <f t="shared" si="42"/>
        <v>0</v>
      </c>
      <c r="V92" s="60">
        <f t="shared" si="42"/>
        <v>0</v>
      </c>
      <c r="W92" s="60">
        <f t="shared" si="42"/>
        <v>0</v>
      </c>
      <c r="X92" s="60">
        <f t="shared" si="42"/>
        <v>0</v>
      </c>
      <c r="Y92" s="60">
        <f>SUMIF(Y81:Y91,"&gt;0")</f>
        <v>0</v>
      </c>
      <c r="Z92" s="60">
        <f>SUMIF(Z81:Z91,"&gt;0")</f>
        <v>0</v>
      </c>
      <c r="AA92" s="60">
        <f t="shared" si="42"/>
        <v>0</v>
      </c>
      <c r="AB92" s="60">
        <f t="shared" si="42"/>
        <v>0</v>
      </c>
      <c r="AC92" s="60">
        <f t="shared" si="42"/>
        <v>0</v>
      </c>
      <c r="AD92" s="60">
        <f t="shared" si="42"/>
        <v>0</v>
      </c>
      <c r="AE92" s="60">
        <f t="shared" si="42"/>
        <v>0</v>
      </c>
      <c r="AF92" s="60">
        <f t="shared" si="42"/>
        <v>0</v>
      </c>
      <c r="AG92" s="88">
        <f>SUM(AG81:AG91)</f>
        <v>0</v>
      </c>
      <c r="AH92" s="47">
        <f t="shared" si="40"/>
        <v>655.29999999999995</v>
      </c>
      <c r="AI92" s="48">
        <f t="shared" si="41"/>
        <v>0</v>
      </c>
      <c r="AK92" s="86"/>
      <c r="AL92" s="77"/>
      <c r="AM92" s="89"/>
      <c r="AN92" s="257"/>
      <c r="AY92" s="233"/>
      <c r="BF92" s="233"/>
      <c r="BG92" s="233">
        <v>0</v>
      </c>
      <c r="BH92" s="233">
        <v>0</v>
      </c>
      <c r="BI92" s="233">
        <v>0</v>
      </c>
      <c r="BJ92" s="233">
        <v>0</v>
      </c>
      <c r="BK92" s="233">
        <v>0</v>
      </c>
      <c r="BL92" s="233">
        <v>0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0"/>
        <v>0</v>
      </c>
      <c r="AI93" s="48">
        <f t="shared" si="41"/>
        <v>0</v>
      </c>
      <c r="AK93" s="86"/>
      <c r="AL93" s="77"/>
      <c r="AM93" s="77"/>
      <c r="AN93" s="258"/>
      <c r="BF93" s="233"/>
      <c r="BG93" s="233">
        <v>0</v>
      </c>
      <c r="BH93" s="233">
        <v>0</v>
      </c>
      <c r="BI93" s="233">
        <v>0</v>
      </c>
      <c r="BJ93" s="233">
        <v>0</v>
      </c>
      <c r="BK93" s="233">
        <v>0</v>
      </c>
      <c r="BL93" s="233">
        <v>0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0"/>
        <v>0</v>
      </c>
      <c r="AI94" s="48">
        <f t="shared" si="41"/>
        <v>0</v>
      </c>
      <c r="AK94" s="91"/>
      <c r="AL94" s="92"/>
      <c r="AM94" s="92"/>
      <c r="AN94" s="93"/>
      <c r="BF94" s="233"/>
      <c r="BG94" s="233">
        <v>0</v>
      </c>
      <c r="BH94" s="233">
        <v>0</v>
      </c>
      <c r="BI94" s="233">
        <v>0</v>
      </c>
      <c r="BJ94" s="233">
        <v>0</v>
      </c>
      <c r="BK94" s="233">
        <v>0</v>
      </c>
      <c r="BL94" s="233">
        <v>0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0"/>
        <v>0</v>
      </c>
      <c r="AI95" s="48">
        <f t="shared" si="41"/>
        <v>0</v>
      </c>
      <c r="BF95" s="233"/>
      <c r="BG95" s="233">
        <v>0</v>
      </c>
      <c r="BH95" s="233">
        <v>0</v>
      </c>
      <c r="BI95" s="233">
        <v>0</v>
      </c>
      <c r="BJ95" s="233">
        <v>0</v>
      </c>
      <c r="BK95" s="233">
        <v>0</v>
      </c>
      <c r="BL95" s="233">
        <v>0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0"/>
        <v>0</v>
      </c>
      <c r="AI96" s="48">
        <f t="shared" si="41"/>
        <v>0</v>
      </c>
      <c r="BF96" s="233"/>
      <c r="BG96" s="233">
        <v>0</v>
      </c>
      <c r="BH96" s="233">
        <v>0</v>
      </c>
      <c r="BI96" s="233">
        <v>0</v>
      </c>
      <c r="BJ96" s="233">
        <v>0</v>
      </c>
      <c r="BK96" s="233">
        <v>0</v>
      </c>
      <c r="BL96" s="233">
        <v>0</v>
      </c>
    </row>
    <row r="97" spans="1:64" ht="15.75" thickBot="1" x14ac:dyDescent="0.3">
      <c r="A97" s="74" t="s">
        <v>99</v>
      </c>
      <c r="B97" s="95">
        <f t="shared" ref="B97:AG97" si="43">B58+B62+B80+B76+B92+B96</f>
        <v>1245.79</v>
      </c>
      <c r="C97" s="95">
        <f t="shared" si="43"/>
        <v>1194.29</v>
      </c>
      <c r="D97" s="95">
        <f t="shared" si="43"/>
        <v>1188.29</v>
      </c>
      <c r="E97" s="95">
        <f t="shared" si="43"/>
        <v>1192.19</v>
      </c>
      <c r="F97" s="95">
        <f t="shared" si="43"/>
        <v>1206.0899999999999</v>
      </c>
      <c r="G97" s="95">
        <f t="shared" si="43"/>
        <v>1240.19</v>
      </c>
      <c r="H97" s="95">
        <f t="shared" si="43"/>
        <v>1277.3899999999999</v>
      </c>
      <c r="I97" s="95">
        <f t="shared" si="43"/>
        <v>1354.1899999999998</v>
      </c>
      <c r="J97" s="95">
        <f t="shared" si="43"/>
        <v>1506.58</v>
      </c>
      <c r="K97" s="95">
        <f t="shared" si="43"/>
        <v>1393.5899999999997</v>
      </c>
      <c r="L97" s="95">
        <f t="shared" si="43"/>
        <v>1375.49</v>
      </c>
      <c r="M97" s="95">
        <f t="shared" si="43"/>
        <v>1345.6899999999998</v>
      </c>
      <c r="N97" s="95">
        <f t="shared" si="43"/>
        <v>153.54</v>
      </c>
      <c r="O97" s="95">
        <f t="shared" si="43"/>
        <v>153.54</v>
      </c>
      <c r="P97" s="95">
        <f t="shared" si="43"/>
        <v>153.54</v>
      </c>
      <c r="Q97" s="95">
        <f t="shared" si="43"/>
        <v>153.54</v>
      </c>
      <c r="R97" s="95">
        <f t="shared" si="43"/>
        <v>153.54</v>
      </c>
      <c r="S97" s="95">
        <f t="shared" si="43"/>
        <v>153.54</v>
      </c>
      <c r="T97" s="95">
        <f t="shared" si="43"/>
        <v>153.54</v>
      </c>
      <c r="U97" s="95">
        <f t="shared" si="43"/>
        <v>153.54</v>
      </c>
      <c r="V97" s="95">
        <f t="shared" si="43"/>
        <v>153.54</v>
      </c>
      <c r="W97" s="95">
        <f t="shared" si="43"/>
        <v>153.54</v>
      </c>
      <c r="X97" s="95">
        <f t="shared" si="43"/>
        <v>153.54</v>
      </c>
      <c r="Y97" s="95">
        <f>Y58+Y62+Y80+Y76+Y92+Y96</f>
        <v>153.5</v>
      </c>
      <c r="Z97" s="95">
        <f>Z58+Z62+Z80+Z76+Z92+Z96</f>
        <v>155.5</v>
      </c>
      <c r="AA97" s="95">
        <f t="shared" si="43"/>
        <v>153.54</v>
      </c>
      <c r="AB97" s="95">
        <f t="shared" si="43"/>
        <v>153.54</v>
      </c>
      <c r="AC97" s="95">
        <f t="shared" si="43"/>
        <v>153.54</v>
      </c>
      <c r="AD97" s="95">
        <f t="shared" si="43"/>
        <v>153.54</v>
      </c>
      <c r="AE97" s="95">
        <f t="shared" si="43"/>
        <v>153.54</v>
      </c>
      <c r="AF97" s="95">
        <f t="shared" si="43"/>
        <v>153.54</v>
      </c>
      <c r="AG97" s="61">
        <f t="shared" si="43"/>
        <v>2231.81</v>
      </c>
      <c r="AH97" s="47">
        <f t="shared" si="40"/>
        <v>1506.58</v>
      </c>
      <c r="AI97" s="48">
        <f t="shared" si="41"/>
        <v>153.5</v>
      </c>
      <c r="BF97" s="233"/>
      <c r="BG97" s="233">
        <v>0</v>
      </c>
      <c r="BH97" s="233">
        <v>0</v>
      </c>
      <c r="BI97" s="233">
        <v>0</v>
      </c>
      <c r="BJ97" s="233">
        <v>0</v>
      </c>
      <c r="BK97" s="233">
        <v>0</v>
      </c>
      <c r="BL97" s="233">
        <v>0</v>
      </c>
    </row>
    <row r="98" spans="1:64" ht="15.75" thickBot="1" x14ac:dyDescent="0.3">
      <c r="A98" s="96" t="s">
        <v>100</v>
      </c>
      <c r="B98" s="97">
        <v>50</v>
      </c>
      <c r="C98" s="97">
        <v>50</v>
      </c>
      <c r="D98" s="97">
        <v>50</v>
      </c>
      <c r="E98" s="97">
        <v>50</v>
      </c>
      <c r="F98" s="97">
        <v>50</v>
      </c>
      <c r="G98" s="97">
        <v>50</v>
      </c>
      <c r="H98" s="97">
        <v>50</v>
      </c>
      <c r="I98" s="97">
        <v>50</v>
      </c>
      <c r="J98" s="97">
        <v>50</v>
      </c>
      <c r="K98" s="97">
        <v>50</v>
      </c>
      <c r="L98" s="97">
        <v>250</v>
      </c>
      <c r="M98" s="97">
        <v>250</v>
      </c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40"/>
        <v>250</v>
      </c>
      <c r="AI98" s="48">
        <f t="shared" si="41"/>
        <v>50</v>
      </c>
      <c r="BF98" s="233"/>
      <c r="BG98" s="233">
        <v>0</v>
      </c>
      <c r="BH98" s="233">
        <v>0</v>
      </c>
      <c r="BI98" s="233">
        <v>0</v>
      </c>
      <c r="BJ98" s="233">
        <v>0</v>
      </c>
      <c r="BK98" s="233">
        <v>0</v>
      </c>
      <c r="BL98" s="233">
        <v>0</v>
      </c>
    </row>
    <row r="99" spans="1:64" ht="15.75" thickBot="1" x14ac:dyDescent="0.3">
      <c r="A99" s="74" t="s">
        <v>101</v>
      </c>
      <c r="B99" s="95">
        <f t="shared" ref="B99:AF99" si="44">B97+B98</f>
        <v>1295.79</v>
      </c>
      <c r="C99" s="95">
        <f t="shared" si="44"/>
        <v>1244.29</v>
      </c>
      <c r="D99" s="95">
        <f t="shared" si="44"/>
        <v>1238.29</v>
      </c>
      <c r="E99" s="95">
        <f t="shared" si="44"/>
        <v>1242.19</v>
      </c>
      <c r="F99" s="95">
        <f t="shared" si="44"/>
        <v>1256.0899999999999</v>
      </c>
      <c r="G99" s="95">
        <f t="shared" si="44"/>
        <v>1290.19</v>
      </c>
      <c r="H99" s="95">
        <f t="shared" si="44"/>
        <v>1327.3899999999999</v>
      </c>
      <c r="I99" s="95">
        <f t="shared" si="44"/>
        <v>1404.1899999999998</v>
      </c>
      <c r="J99" s="95">
        <f t="shared" si="44"/>
        <v>1556.58</v>
      </c>
      <c r="K99" s="95">
        <f t="shared" si="44"/>
        <v>1443.5899999999997</v>
      </c>
      <c r="L99" s="95">
        <f t="shared" si="44"/>
        <v>1625.49</v>
      </c>
      <c r="M99" s="95">
        <f t="shared" si="44"/>
        <v>1595.6899999999998</v>
      </c>
      <c r="N99" s="95">
        <f t="shared" si="44"/>
        <v>153.54</v>
      </c>
      <c r="O99" s="95">
        <f t="shared" si="44"/>
        <v>153.54</v>
      </c>
      <c r="P99" s="95">
        <f t="shared" si="44"/>
        <v>153.54</v>
      </c>
      <c r="Q99" s="95">
        <f t="shared" si="44"/>
        <v>153.54</v>
      </c>
      <c r="R99" s="95">
        <f t="shared" si="44"/>
        <v>153.54</v>
      </c>
      <c r="S99" s="95">
        <f t="shared" si="44"/>
        <v>153.54</v>
      </c>
      <c r="T99" s="95">
        <f t="shared" si="44"/>
        <v>153.54</v>
      </c>
      <c r="U99" s="95">
        <f t="shared" si="44"/>
        <v>153.54</v>
      </c>
      <c r="V99" s="95">
        <f t="shared" si="44"/>
        <v>153.54</v>
      </c>
      <c r="W99" s="95">
        <f t="shared" si="44"/>
        <v>153.54</v>
      </c>
      <c r="X99" s="95">
        <f t="shared" si="44"/>
        <v>153.54</v>
      </c>
      <c r="Y99" s="95">
        <f>Y97+Y98</f>
        <v>153.5</v>
      </c>
      <c r="Z99" s="95">
        <f>Z97+Z98</f>
        <v>155.5</v>
      </c>
      <c r="AA99" s="95">
        <f t="shared" si="44"/>
        <v>153.54</v>
      </c>
      <c r="AB99" s="95">
        <f t="shared" si="44"/>
        <v>153.54</v>
      </c>
      <c r="AC99" s="95">
        <f t="shared" si="44"/>
        <v>153.54</v>
      </c>
      <c r="AD99" s="95">
        <f t="shared" si="44"/>
        <v>153.54</v>
      </c>
      <c r="AE99" s="95">
        <f t="shared" si="44"/>
        <v>153.54</v>
      </c>
      <c r="AF99" s="95">
        <f t="shared" si="44"/>
        <v>153.54</v>
      </c>
      <c r="AG99" s="88">
        <f>AG96+AG92+AG80+AG76+AG58+AG98</f>
        <v>1693.71</v>
      </c>
      <c r="AH99" s="47">
        <f t="shared" si="40"/>
        <v>1625.49</v>
      </c>
      <c r="AI99" s="48">
        <f t="shared" si="41"/>
        <v>153.5</v>
      </c>
      <c r="BF99" s="233"/>
      <c r="BG99" s="233">
        <v>0</v>
      </c>
      <c r="BH99" s="233">
        <v>0</v>
      </c>
      <c r="BI99" s="233">
        <v>0</v>
      </c>
      <c r="BJ99" s="233">
        <v>0</v>
      </c>
      <c r="BK99" s="233">
        <v>0</v>
      </c>
      <c r="BL99" s="233">
        <v>0</v>
      </c>
    </row>
    <row r="100" spans="1:64" ht="15.75" thickBot="1" x14ac:dyDescent="0.3">
      <c r="A100" s="74" t="s">
        <v>102</v>
      </c>
      <c r="B100" s="95">
        <f t="shared" ref="B100:M100" si="45">B99-(B107)</f>
        <v>1295.79</v>
      </c>
      <c r="C100" s="95">
        <f t="shared" si="45"/>
        <v>1244.29</v>
      </c>
      <c r="D100" s="95">
        <f t="shared" si="45"/>
        <v>1238.29</v>
      </c>
      <c r="E100" s="95">
        <f t="shared" si="45"/>
        <v>1242.19</v>
      </c>
      <c r="F100" s="95">
        <f t="shared" si="45"/>
        <v>1256.0899999999999</v>
      </c>
      <c r="G100" s="95">
        <f t="shared" si="45"/>
        <v>1290.19</v>
      </c>
      <c r="H100" s="95">
        <f t="shared" si="45"/>
        <v>1327.3899999999999</v>
      </c>
      <c r="I100" s="95">
        <f t="shared" si="45"/>
        <v>1404.1899999999998</v>
      </c>
      <c r="J100" s="95">
        <f t="shared" si="45"/>
        <v>1556.58</v>
      </c>
      <c r="K100" s="95">
        <f t="shared" si="45"/>
        <v>1443.5899999999997</v>
      </c>
      <c r="L100" s="95">
        <f t="shared" si="45"/>
        <v>1625.49</v>
      </c>
      <c r="M100" s="95">
        <f t="shared" si="45"/>
        <v>1595.6899999999998</v>
      </c>
      <c r="N100" s="95">
        <f>N99-(N107)</f>
        <v>153.54</v>
      </c>
      <c r="O100" s="95">
        <f t="shared" ref="O100:AF100" si="46">O99-(O107)</f>
        <v>153.54</v>
      </c>
      <c r="P100" s="95">
        <f t="shared" si="46"/>
        <v>153.54</v>
      </c>
      <c r="Q100" s="95">
        <f t="shared" si="46"/>
        <v>153.54</v>
      </c>
      <c r="R100" s="95">
        <f t="shared" si="46"/>
        <v>153.54</v>
      </c>
      <c r="S100" s="95">
        <f t="shared" si="46"/>
        <v>153.54</v>
      </c>
      <c r="T100" s="95">
        <f t="shared" si="46"/>
        <v>153.54</v>
      </c>
      <c r="U100" s="95">
        <f t="shared" si="46"/>
        <v>153.54</v>
      </c>
      <c r="V100" s="95">
        <f t="shared" si="46"/>
        <v>153.54</v>
      </c>
      <c r="W100" s="95">
        <f t="shared" si="46"/>
        <v>153.54</v>
      </c>
      <c r="X100" s="95">
        <f t="shared" si="46"/>
        <v>153.54</v>
      </c>
      <c r="Y100" s="95">
        <f t="shared" si="46"/>
        <v>153.5</v>
      </c>
      <c r="Z100" s="95">
        <f t="shared" si="46"/>
        <v>155.5</v>
      </c>
      <c r="AA100" s="95">
        <f t="shared" si="46"/>
        <v>153.54</v>
      </c>
      <c r="AB100" s="95">
        <f t="shared" si="46"/>
        <v>153.54</v>
      </c>
      <c r="AC100" s="95">
        <f t="shared" si="46"/>
        <v>153.54</v>
      </c>
      <c r="AD100" s="95">
        <f t="shared" si="46"/>
        <v>153.54</v>
      </c>
      <c r="AE100" s="95">
        <f t="shared" si="46"/>
        <v>153.54</v>
      </c>
      <c r="AF100" s="95">
        <f t="shared" si="46"/>
        <v>153.54</v>
      </c>
      <c r="AG100" s="88"/>
      <c r="AH100" s="47">
        <f t="shared" si="40"/>
        <v>1625.49</v>
      </c>
      <c r="AI100" s="48">
        <f t="shared" si="41"/>
        <v>153.5</v>
      </c>
      <c r="BF100" s="233"/>
      <c r="BG100" s="233">
        <v>0</v>
      </c>
      <c r="BH100" s="233">
        <v>0</v>
      </c>
      <c r="BI100" s="233">
        <v>0</v>
      </c>
      <c r="BJ100" s="233">
        <v>0</v>
      </c>
      <c r="BK100" s="233">
        <v>0</v>
      </c>
      <c r="BL100" s="233">
        <v>0</v>
      </c>
    </row>
    <row r="101" spans="1:64" x14ac:dyDescent="0.25">
      <c r="A101" s="44" t="s">
        <v>84</v>
      </c>
      <c r="B101" s="76">
        <f t="shared" ref="B101:AF101" si="47">IF(B84&lt;0,B84*-1,0)</f>
        <v>0</v>
      </c>
      <c r="C101" s="76">
        <f t="shared" si="47"/>
        <v>0</v>
      </c>
      <c r="D101" s="76">
        <f t="shared" si="47"/>
        <v>0</v>
      </c>
      <c r="E101" s="76">
        <f t="shared" si="47"/>
        <v>0</v>
      </c>
      <c r="F101" s="76">
        <f t="shared" si="47"/>
        <v>0</v>
      </c>
      <c r="G101" s="76">
        <f t="shared" si="47"/>
        <v>0</v>
      </c>
      <c r="H101" s="76">
        <f t="shared" si="47"/>
        <v>0</v>
      </c>
      <c r="I101" s="76">
        <f t="shared" si="47"/>
        <v>0</v>
      </c>
      <c r="J101" s="76">
        <f t="shared" si="47"/>
        <v>0</v>
      </c>
      <c r="K101" s="76">
        <f t="shared" si="47"/>
        <v>0</v>
      </c>
      <c r="L101" s="76">
        <f t="shared" si="47"/>
        <v>0</v>
      </c>
      <c r="M101" s="76">
        <f t="shared" si="47"/>
        <v>0</v>
      </c>
      <c r="N101" s="76">
        <f t="shared" si="47"/>
        <v>0</v>
      </c>
      <c r="O101" s="76">
        <f t="shared" si="47"/>
        <v>0</v>
      </c>
      <c r="P101" s="76">
        <f t="shared" si="47"/>
        <v>0</v>
      </c>
      <c r="Q101" s="76">
        <f t="shared" si="47"/>
        <v>0</v>
      </c>
      <c r="R101" s="76">
        <f t="shared" si="47"/>
        <v>0</v>
      </c>
      <c r="S101" s="76">
        <f t="shared" si="47"/>
        <v>0</v>
      </c>
      <c r="T101" s="76">
        <f t="shared" si="47"/>
        <v>0</v>
      </c>
      <c r="U101" s="76">
        <f t="shared" si="47"/>
        <v>0</v>
      </c>
      <c r="V101" s="76">
        <f t="shared" si="47"/>
        <v>0</v>
      </c>
      <c r="W101" s="76">
        <f t="shared" si="47"/>
        <v>0</v>
      </c>
      <c r="X101" s="76">
        <f t="shared" si="47"/>
        <v>0</v>
      </c>
      <c r="Y101" s="76">
        <f t="shared" si="47"/>
        <v>0</v>
      </c>
      <c r="Z101" s="76">
        <f t="shared" si="47"/>
        <v>0</v>
      </c>
      <c r="AA101" s="76">
        <f t="shared" si="47"/>
        <v>0</v>
      </c>
      <c r="AB101" s="76">
        <f t="shared" si="47"/>
        <v>0</v>
      </c>
      <c r="AC101" s="76">
        <f t="shared" si="47"/>
        <v>0</v>
      </c>
      <c r="AD101" s="76">
        <f t="shared" si="47"/>
        <v>0</v>
      </c>
      <c r="AE101" s="76">
        <f t="shared" si="47"/>
        <v>0</v>
      </c>
      <c r="AF101" s="76">
        <f t="shared" si="47"/>
        <v>0</v>
      </c>
      <c r="AG101" s="52"/>
      <c r="AH101" s="47">
        <f t="shared" si="40"/>
        <v>0</v>
      </c>
      <c r="AI101" s="48">
        <f t="shared" si="41"/>
        <v>0</v>
      </c>
      <c r="BF101" s="232"/>
      <c r="BG101" s="233">
        <v>0</v>
      </c>
      <c r="BH101" s="233">
        <v>0</v>
      </c>
      <c r="BI101" s="233">
        <v>0</v>
      </c>
      <c r="BJ101" s="233">
        <v>0</v>
      </c>
      <c r="BK101" s="233">
        <v>0</v>
      </c>
      <c r="BL101" s="233">
        <v>0</v>
      </c>
    </row>
    <row r="102" spans="1:64" x14ac:dyDescent="0.25">
      <c r="A102" s="54" t="s">
        <v>82</v>
      </c>
      <c r="B102" s="76">
        <f t="shared" ref="B102:AF102" si="48">IF(B82&lt;0,B82*-1,0)</f>
        <v>0</v>
      </c>
      <c r="C102" s="76">
        <f t="shared" si="48"/>
        <v>0</v>
      </c>
      <c r="D102" s="76">
        <f t="shared" si="48"/>
        <v>0</v>
      </c>
      <c r="E102" s="76">
        <f t="shared" si="48"/>
        <v>0</v>
      </c>
      <c r="F102" s="76">
        <f t="shared" si="48"/>
        <v>0</v>
      </c>
      <c r="G102" s="76">
        <f t="shared" si="48"/>
        <v>0</v>
      </c>
      <c r="H102" s="76">
        <f t="shared" si="48"/>
        <v>0</v>
      </c>
      <c r="I102" s="76">
        <f t="shared" si="48"/>
        <v>0</v>
      </c>
      <c r="J102" s="76">
        <f t="shared" si="48"/>
        <v>0</v>
      </c>
      <c r="K102" s="76">
        <f t="shared" si="48"/>
        <v>0</v>
      </c>
      <c r="L102" s="76">
        <f t="shared" si="48"/>
        <v>0</v>
      </c>
      <c r="M102" s="76">
        <f t="shared" si="48"/>
        <v>0</v>
      </c>
      <c r="N102" s="76">
        <f t="shared" si="48"/>
        <v>0</v>
      </c>
      <c r="O102" s="76">
        <f t="shared" si="48"/>
        <v>0</v>
      </c>
      <c r="P102" s="76">
        <f t="shared" si="48"/>
        <v>0</v>
      </c>
      <c r="Q102" s="76">
        <f t="shared" si="48"/>
        <v>0</v>
      </c>
      <c r="R102" s="76">
        <f t="shared" si="48"/>
        <v>0</v>
      </c>
      <c r="S102" s="76">
        <f t="shared" si="48"/>
        <v>0</v>
      </c>
      <c r="T102" s="76">
        <f t="shared" si="48"/>
        <v>0</v>
      </c>
      <c r="U102" s="76">
        <f t="shared" si="48"/>
        <v>0</v>
      </c>
      <c r="V102" s="76">
        <f t="shared" si="48"/>
        <v>0</v>
      </c>
      <c r="W102" s="76">
        <f t="shared" si="48"/>
        <v>0</v>
      </c>
      <c r="X102" s="76">
        <f t="shared" si="48"/>
        <v>0</v>
      </c>
      <c r="Y102" s="76">
        <f t="shared" si="48"/>
        <v>0</v>
      </c>
      <c r="Z102" s="76">
        <f t="shared" si="48"/>
        <v>0</v>
      </c>
      <c r="AA102" s="76">
        <f t="shared" si="48"/>
        <v>0</v>
      </c>
      <c r="AB102" s="76">
        <f t="shared" si="48"/>
        <v>0</v>
      </c>
      <c r="AC102" s="76">
        <f t="shared" si="48"/>
        <v>0</v>
      </c>
      <c r="AD102" s="76">
        <f t="shared" si="48"/>
        <v>0</v>
      </c>
      <c r="AE102" s="76">
        <f t="shared" si="48"/>
        <v>0</v>
      </c>
      <c r="AF102" s="76">
        <f t="shared" si="48"/>
        <v>0</v>
      </c>
      <c r="AG102" s="55"/>
      <c r="AH102" s="47">
        <f t="shared" si="40"/>
        <v>0</v>
      </c>
      <c r="AI102" s="48">
        <f t="shared" si="41"/>
        <v>0</v>
      </c>
      <c r="BF102" s="232"/>
      <c r="BG102" s="233">
        <v>0</v>
      </c>
      <c r="BH102" s="233">
        <v>0</v>
      </c>
      <c r="BI102" s="233">
        <v>0</v>
      </c>
      <c r="BJ102" s="233">
        <v>0</v>
      </c>
      <c r="BK102" s="233">
        <v>0</v>
      </c>
      <c r="BL102" s="233">
        <v>0</v>
      </c>
    </row>
    <row r="103" spans="1:64" x14ac:dyDescent="0.25">
      <c r="A103" s="84" t="s">
        <v>103</v>
      </c>
      <c r="B103" s="76">
        <f t="shared" ref="B103:AF103" si="49">IF(B85&lt;0,B85*-1,0)</f>
        <v>0</v>
      </c>
      <c r="C103" s="76">
        <f t="shared" si="49"/>
        <v>0</v>
      </c>
      <c r="D103" s="76">
        <f t="shared" si="49"/>
        <v>0</v>
      </c>
      <c r="E103" s="76">
        <f t="shared" si="49"/>
        <v>0</v>
      </c>
      <c r="F103" s="76">
        <f t="shared" si="49"/>
        <v>0</v>
      </c>
      <c r="G103" s="76">
        <f t="shared" si="49"/>
        <v>0</v>
      </c>
      <c r="H103" s="76">
        <f t="shared" si="49"/>
        <v>0</v>
      </c>
      <c r="I103" s="76">
        <f t="shared" si="49"/>
        <v>0</v>
      </c>
      <c r="J103" s="76">
        <f t="shared" si="49"/>
        <v>0</v>
      </c>
      <c r="K103" s="76">
        <f t="shared" si="49"/>
        <v>0</v>
      </c>
      <c r="L103" s="76">
        <f t="shared" si="49"/>
        <v>0</v>
      </c>
      <c r="M103" s="76">
        <f t="shared" si="49"/>
        <v>0</v>
      </c>
      <c r="N103" s="76">
        <f t="shared" si="49"/>
        <v>0</v>
      </c>
      <c r="O103" s="76">
        <f t="shared" si="49"/>
        <v>0</v>
      </c>
      <c r="P103" s="76">
        <f t="shared" si="49"/>
        <v>0</v>
      </c>
      <c r="Q103" s="76">
        <f t="shared" si="49"/>
        <v>0</v>
      </c>
      <c r="R103" s="76">
        <f t="shared" si="49"/>
        <v>0</v>
      </c>
      <c r="S103" s="76">
        <f t="shared" si="49"/>
        <v>0</v>
      </c>
      <c r="T103" s="76">
        <f t="shared" si="49"/>
        <v>0</v>
      </c>
      <c r="U103" s="76">
        <f t="shared" si="49"/>
        <v>0</v>
      </c>
      <c r="V103" s="76">
        <f t="shared" si="49"/>
        <v>0</v>
      </c>
      <c r="W103" s="76">
        <f t="shared" si="49"/>
        <v>0</v>
      </c>
      <c r="X103" s="76">
        <f t="shared" si="49"/>
        <v>0</v>
      </c>
      <c r="Y103" s="76">
        <f t="shared" si="49"/>
        <v>0</v>
      </c>
      <c r="Z103" s="76">
        <f t="shared" si="49"/>
        <v>0</v>
      </c>
      <c r="AA103" s="76">
        <f t="shared" si="49"/>
        <v>0</v>
      </c>
      <c r="AB103" s="76">
        <f t="shared" si="49"/>
        <v>0</v>
      </c>
      <c r="AC103" s="76">
        <f t="shared" si="49"/>
        <v>0</v>
      </c>
      <c r="AD103" s="76">
        <f t="shared" si="49"/>
        <v>0</v>
      </c>
      <c r="AE103" s="76">
        <f t="shared" si="49"/>
        <v>0</v>
      </c>
      <c r="AF103" s="76">
        <f t="shared" si="49"/>
        <v>0</v>
      </c>
      <c r="AG103" s="98"/>
      <c r="AH103" s="47">
        <f t="shared" si="40"/>
        <v>0</v>
      </c>
      <c r="AI103" s="48">
        <f t="shared" si="41"/>
        <v>0</v>
      </c>
      <c r="BF103" s="232"/>
      <c r="BG103" s="233">
        <v>0</v>
      </c>
      <c r="BH103" s="233">
        <v>0</v>
      </c>
      <c r="BI103" s="233">
        <v>0</v>
      </c>
      <c r="BJ103" s="233">
        <v>0</v>
      </c>
      <c r="BK103" s="233">
        <v>0</v>
      </c>
      <c r="BL103" s="233">
        <v>0</v>
      </c>
    </row>
    <row r="104" spans="1:64" x14ac:dyDescent="0.25">
      <c r="A104" s="84" t="s">
        <v>104</v>
      </c>
      <c r="B104" s="76">
        <f t="shared" ref="B104:AF104" si="50">IF(B83&lt;0,B83*-1,0)</f>
        <v>0</v>
      </c>
      <c r="C104" s="76">
        <f t="shared" si="50"/>
        <v>0</v>
      </c>
      <c r="D104" s="76">
        <f t="shared" si="50"/>
        <v>0</v>
      </c>
      <c r="E104" s="76">
        <f t="shared" si="50"/>
        <v>0</v>
      </c>
      <c r="F104" s="76">
        <f t="shared" si="50"/>
        <v>0</v>
      </c>
      <c r="G104" s="76">
        <f t="shared" si="50"/>
        <v>0</v>
      </c>
      <c r="H104" s="76">
        <f t="shared" si="50"/>
        <v>0</v>
      </c>
      <c r="I104" s="76">
        <f t="shared" si="50"/>
        <v>0</v>
      </c>
      <c r="J104" s="76">
        <f t="shared" si="50"/>
        <v>0</v>
      </c>
      <c r="K104" s="76">
        <f t="shared" si="50"/>
        <v>0</v>
      </c>
      <c r="L104" s="76">
        <f t="shared" si="50"/>
        <v>0</v>
      </c>
      <c r="M104" s="76">
        <f t="shared" si="50"/>
        <v>0</v>
      </c>
      <c r="N104" s="76">
        <f t="shared" si="50"/>
        <v>0</v>
      </c>
      <c r="O104" s="76">
        <f t="shared" si="50"/>
        <v>0</v>
      </c>
      <c r="P104" s="76">
        <f t="shared" si="50"/>
        <v>0</v>
      </c>
      <c r="Q104" s="76">
        <f t="shared" si="50"/>
        <v>0</v>
      </c>
      <c r="R104" s="76">
        <f t="shared" si="50"/>
        <v>0</v>
      </c>
      <c r="S104" s="76">
        <f t="shared" si="50"/>
        <v>0</v>
      </c>
      <c r="T104" s="76">
        <f t="shared" si="50"/>
        <v>0</v>
      </c>
      <c r="U104" s="76">
        <f t="shared" si="50"/>
        <v>0</v>
      </c>
      <c r="V104" s="76">
        <f t="shared" si="50"/>
        <v>0</v>
      </c>
      <c r="W104" s="76">
        <f t="shared" si="50"/>
        <v>0</v>
      </c>
      <c r="X104" s="76">
        <f t="shared" si="50"/>
        <v>0</v>
      </c>
      <c r="Y104" s="76">
        <f t="shared" si="50"/>
        <v>0</v>
      </c>
      <c r="Z104" s="76">
        <f t="shared" si="50"/>
        <v>0</v>
      </c>
      <c r="AA104" s="76">
        <f t="shared" si="50"/>
        <v>0</v>
      </c>
      <c r="AB104" s="76">
        <f t="shared" si="50"/>
        <v>0</v>
      </c>
      <c r="AC104" s="76">
        <f t="shared" si="50"/>
        <v>0</v>
      </c>
      <c r="AD104" s="76">
        <f t="shared" si="50"/>
        <v>0</v>
      </c>
      <c r="AE104" s="76">
        <f t="shared" si="50"/>
        <v>0</v>
      </c>
      <c r="AF104" s="76">
        <f t="shared" si="50"/>
        <v>0</v>
      </c>
      <c r="AG104" s="98"/>
      <c r="AH104" s="47">
        <f t="shared" si="40"/>
        <v>0</v>
      </c>
      <c r="AI104" s="48">
        <f t="shared" si="41"/>
        <v>0</v>
      </c>
      <c r="BF104" s="232"/>
      <c r="BG104" s="233">
        <v>0</v>
      </c>
      <c r="BH104" s="233">
        <v>0</v>
      </c>
      <c r="BI104" s="233">
        <v>0</v>
      </c>
      <c r="BJ104" s="233">
        <v>0</v>
      </c>
      <c r="BK104" s="233">
        <v>0</v>
      </c>
      <c r="BL104" s="233">
        <v>0</v>
      </c>
    </row>
    <row r="105" spans="1:64" x14ac:dyDescent="0.25">
      <c r="A105" s="84" t="s">
        <v>81</v>
      </c>
      <c r="B105" s="76">
        <f t="shared" ref="B105:AF105" si="51">IF(B81&lt;0,B81*-1,0)</f>
        <v>0</v>
      </c>
      <c r="C105" s="76">
        <f t="shared" si="51"/>
        <v>0</v>
      </c>
      <c r="D105" s="76">
        <f t="shared" si="51"/>
        <v>0</v>
      </c>
      <c r="E105" s="76">
        <f t="shared" si="51"/>
        <v>0</v>
      </c>
      <c r="F105" s="76">
        <f t="shared" si="51"/>
        <v>0</v>
      </c>
      <c r="G105" s="76">
        <f t="shared" si="51"/>
        <v>0</v>
      </c>
      <c r="H105" s="76">
        <f t="shared" si="51"/>
        <v>0</v>
      </c>
      <c r="I105" s="76">
        <f t="shared" si="51"/>
        <v>0</v>
      </c>
      <c r="J105" s="76">
        <f t="shared" si="51"/>
        <v>0</v>
      </c>
      <c r="K105" s="76">
        <f t="shared" si="51"/>
        <v>0</v>
      </c>
      <c r="L105" s="76">
        <f t="shared" si="51"/>
        <v>0</v>
      </c>
      <c r="M105" s="76">
        <f t="shared" si="51"/>
        <v>0</v>
      </c>
      <c r="N105" s="76">
        <f t="shared" si="51"/>
        <v>0</v>
      </c>
      <c r="O105" s="76">
        <f t="shared" si="51"/>
        <v>0</v>
      </c>
      <c r="P105" s="76">
        <f t="shared" si="51"/>
        <v>0</v>
      </c>
      <c r="Q105" s="76">
        <f t="shared" si="51"/>
        <v>0</v>
      </c>
      <c r="R105" s="76">
        <f t="shared" si="51"/>
        <v>0</v>
      </c>
      <c r="S105" s="76">
        <f t="shared" si="51"/>
        <v>0</v>
      </c>
      <c r="T105" s="76">
        <f t="shared" si="51"/>
        <v>0</v>
      </c>
      <c r="U105" s="76">
        <f t="shared" si="51"/>
        <v>0</v>
      </c>
      <c r="V105" s="76">
        <f t="shared" si="51"/>
        <v>0</v>
      </c>
      <c r="W105" s="76">
        <f t="shared" si="51"/>
        <v>0</v>
      </c>
      <c r="X105" s="76">
        <f t="shared" si="51"/>
        <v>0</v>
      </c>
      <c r="Y105" s="76">
        <f t="shared" si="51"/>
        <v>0</v>
      </c>
      <c r="Z105" s="76">
        <f t="shared" si="51"/>
        <v>0</v>
      </c>
      <c r="AA105" s="76">
        <f t="shared" si="51"/>
        <v>0</v>
      </c>
      <c r="AB105" s="76">
        <f t="shared" si="51"/>
        <v>0</v>
      </c>
      <c r="AC105" s="76">
        <f t="shared" si="51"/>
        <v>0</v>
      </c>
      <c r="AD105" s="76">
        <f t="shared" si="51"/>
        <v>0</v>
      </c>
      <c r="AE105" s="76">
        <f t="shared" si="51"/>
        <v>0</v>
      </c>
      <c r="AF105" s="76">
        <f t="shared" si="51"/>
        <v>0</v>
      </c>
      <c r="AG105" s="98"/>
      <c r="AH105" s="47">
        <f t="shared" si="40"/>
        <v>0</v>
      </c>
      <c r="AI105" s="48">
        <f t="shared" si="41"/>
        <v>0</v>
      </c>
      <c r="BF105" s="232"/>
      <c r="BG105" s="233">
        <v>0</v>
      </c>
      <c r="BH105" s="233">
        <v>0</v>
      </c>
      <c r="BI105" s="233">
        <v>0</v>
      </c>
      <c r="BJ105" s="233">
        <v>0</v>
      </c>
      <c r="BK105" s="233">
        <v>0</v>
      </c>
      <c r="BL105" s="233">
        <v>0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0"/>
        <v>0</v>
      </c>
      <c r="AI106" s="48">
        <f t="shared" si="41"/>
        <v>0</v>
      </c>
      <c r="BG106" s="233">
        <v>0</v>
      </c>
      <c r="BH106" s="233">
        <v>0</v>
      </c>
      <c r="BI106" s="233">
        <v>0</v>
      </c>
      <c r="BJ106" s="233">
        <v>0</v>
      </c>
      <c r="BK106" s="233">
        <v>0</v>
      </c>
      <c r="BL106" s="233">
        <v>0</v>
      </c>
    </row>
    <row r="107" spans="1:64" ht="15.75" thickBot="1" x14ac:dyDescent="0.3">
      <c r="A107" s="99" t="s">
        <v>106</v>
      </c>
      <c r="B107" s="60">
        <f t="shared" ref="B107:C107" si="52">SUM(B101:B106)</f>
        <v>0</v>
      </c>
      <c r="C107" s="60">
        <f t="shared" si="52"/>
        <v>0</v>
      </c>
      <c r="D107" s="60">
        <f t="shared" ref="D107:AF107" si="53">SUM(D101:D106)</f>
        <v>0</v>
      </c>
      <c r="E107" s="60">
        <f t="shared" si="53"/>
        <v>0</v>
      </c>
      <c r="F107" s="60">
        <f t="shared" si="53"/>
        <v>0</v>
      </c>
      <c r="G107" s="60">
        <f t="shared" si="53"/>
        <v>0</v>
      </c>
      <c r="H107" s="60">
        <f t="shared" si="53"/>
        <v>0</v>
      </c>
      <c r="I107" s="60">
        <f t="shared" si="53"/>
        <v>0</v>
      </c>
      <c r="J107" s="60">
        <f t="shared" si="53"/>
        <v>0</v>
      </c>
      <c r="K107" s="60">
        <f t="shared" si="53"/>
        <v>0</v>
      </c>
      <c r="L107" s="60">
        <f t="shared" si="53"/>
        <v>0</v>
      </c>
      <c r="M107" s="60">
        <f t="shared" si="53"/>
        <v>0</v>
      </c>
      <c r="N107" s="60">
        <f t="shared" si="53"/>
        <v>0</v>
      </c>
      <c r="O107" s="60">
        <f t="shared" si="53"/>
        <v>0</v>
      </c>
      <c r="P107" s="60">
        <f t="shared" si="53"/>
        <v>0</v>
      </c>
      <c r="Q107" s="60">
        <f t="shared" si="53"/>
        <v>0</v>
      </c>
      <c r="R107" s="60">
        <f t="shared" si="53"/>
        <v>0</v>
      </c>
      <c r="S107" s="60">
        <f t="shared" si="53"/>
        <v>0</v>
      </c>
      <c r="T107" s="60">
        <f t="shared" si="53"/>
        <v>0</v>
      </c>
      <c r="U107" s="60">
        <f t="shared" si="53"/>
        <v>0</v>
      </c>
      <c r="V107" s="60">
        <f t="shared" si="53"/>
        <v>0</v>
      </c>
      <c r="W107" s="60">
        <f t="shared" si="53"/>
        <v>0</v>
      </c>
      <c r="X107" s="60">
        <f t="shared" si="53"/>
        <v>0</v>
      </c>
      <c r="Y107" s="60">
        <f t="shared" si="53"/>
        <v>0</v>
      </c>
      <c r="Z107" s="60">
        <f t="shared" si="53"/>
        <v>0</v>
      </c>
      <c r="AA107" s="60">
        <f t="shared" si="53"/>
        <v>0</v>
      </c>
      <c r="AB107" s="60">
        <f t="shared" si="53"/>
        <v>0</v>
      </c>
      <c r="AC107" s="60">
        <f t="shared" si="53"/>
        <v>0</v>
      </c>
      <c r="AD107" s="60">
        <f t="shared" si="53"/>
        <v>0</v>
      </c>
      <c r="AE107" s="60">
        <f t="shared" si="53"/>
        <v>0</v>
      </c>
      <c r="AF107" s="60">
        <f t="shared" si="53"/>
        <v>0</v>
      </c>
      <c r="AG107" s="88"/>
      <c r="AH107" s="47">
        <f t="shared" si="40"/>
        <v>0</v>
      </c>
      <c r="AI107" s="48">
        <f t="shared" si="41"/>
        <v>0</v>
      </c>
      <c r="AK107" s="50"/>
      <c r="BG107" s="233">
        <v>65</v>
      </c>
      <c r="BH107" s="233">
        <v>0</v>
      </c>
      <c r="BI107" s="233">
        <v>402</v>
      </c>
      <c r="BJ107" s="233">
        <v>49</v>
      </c>
      <c r="BK107" s="233">
        <v>0</v>
      </c>
      <c r="BL107" s="233">
        <v>78</v>
      </c>
    </row>
    <row r="108" spans="1:64" ht="15.75" thickBot="1" x14ac:dyDescent="0.3">
      <c r="A108" s="74" t="s">
        <v>107</v>
      </c>
      <c r="B108" s="60">
        <f t="shared" ref="B108:AF108" si="54">B92-B107</f>
        <v>594</v>
      </c>
      <c r="C108" s="60">
        <f t="shared" si="54"/>
        <v>581</v>
      </c>
      <c r="D108" s="60">
        <f t="shared" si="54"/>
        <v>575</v>
      </c>
      <c r="E108" s="60">
        <f t="shared" si="54"/>
        <v>565.4</v>
      </c>
      <c r="F108" s="60">
        <f t="shared" si="54"/>
        <v>579.29999999999995</v>
      </c>
      <c r="G108" s="60">
        <f t="shared" si="54"/>
        <v>613.4</v>
      </c>
      <c r="H108" s="60">
        <f t="shared" si="54"/>
        <v>653.29999999999995</v>
      </c>
      <c r="I108" s="60">
        <f t="shared" si="54"/>
        <v>655.29999999999995</v>
      </c>
      <c r="J108" s="60">
        <f t="shared" si="54"/>
        <v>593.20000000000005</v>
      </c>
      <c r="K108" s="60">
        <f t="shared" si="54"/>
        <v>340.09999999999997</v>
      </c>
      <c r="L108" s="60">
        <f t="shared" si="54"/>
        <v>217</v>
      </c>
      <c r="M108" s="60">
        <f t="shared" si="54"/>
        <v>118.19999999999999</v>
      </c>
      <c r="N108" s="60">
        <f t="shared" si="54"/>
        <v>0</v>
      </c>
      <c r="O108" s="60">
        <f t="shared" si="54"/>
        <v>0</v>
      </c>
      <c r="P108" s="60">
        <f t="shared" si="54"/>
        <v>0</v>
      </c>
      <c r="Q108" s="60">
        <f t="shared" si="54"/>
        <v>0</v>
      </c>
      <c r="R108" s="60">
        <f t="shared" si="54"/>
        <v>0</v>
      </c>
      <c r="S108" s="60">
        <f t="shared" si="54"/>
        <v>0</v>
      </c>
      <c r="T108" s="60">
        <f t="shared" si="54"/>
        <v>0</v>
      </c>
      <c r="U108" s="60">
        <f t="shared" si="54"/>
        <v>0</v>
      </c>
      <c r="V108" s="60">
        <f t="shared" si="54"/>
        <v>0</v>
      </c>
      <c r="W108" s="60">
        <f t="shared" si="54"/>
        <v>0</v>
      </c>
      <c r="X108" s="60">
        <f t="shared" si="54"/>
        <v>0</v>
      </c>
      <c r="Y108" s="60">
        <f>Y92-Y107</f>
        <v>0</v>
      </c>
      <c r="Z108" s="60">
        <f>Z92-Z107</f>
        <v>0</v>
      </c>
      <c r="AA108" s="60">
        <f t="shared" si="54"/>
        <v>0</v>
      </c>
      <c r="AB108" s="60">
        <f t="shared" si="54"/>
        <v>0</v>
      </c>
      <c r="AC108" s="60">
        <f t="shared" si="54"/>
        <v>0</v>
      </c>
      <c r="AD108" s="60">
        <f t="shared" si="54"/>
        <v>0</v>
      </c>
      <c r="AE108" s="60">
        <f t="shared" si="54"/>
        <v>0</v>
      </c>
      <c r="AF108" s="60">
        <f t="shared" si="54"/>
        <v>0</v>
      </c>
      <c r="AG108" s="88"/>
      <c r="AH108" s="47">
        <f t="shared" si="40"/>
        <v>655.29999999999995</v>
      </c>
      <c r="AI108" s="48">
        <f t="shared" si="41"/>
        <v>0</v>
      </c>
    </row>
    <row r="109" spans="1:64" x14ac:dyDescent="0.25">
      <c r="A109" s="100" t="s">
        <v>108</v>
      </c>
      <c r="B109" s="101">
        <v>50.005000000000003</v>
      </c>
      <c r="C109" s="101">
        <v>49.942999999999998</v>
      </c>
      <c r="D109" s="101">
        <v>49.942999999999998</v>
      </c>
      <c r="E109" s="101">
        <v>50.015999999999998</v>
      </c>
      <c r="F109" s="101">
        <v>49.985100000000003</v>
      </c>
      <c r="G109" s="101">
        <v>49.981999999999999</v>
      </c>
      <c r="H109" s="101">
        <v>49.9</v>
      </c>
      <c r="I109" s="101">
        <v>49.965000000000003</v>
      </c>
      <c r="J109" s="101">
        <v>49.95</v>
      </c>
      <c r="K109" s="101">
        <v>50.005000000000003</v>
      </c>
      <c r="L109" s="101">
        <v>50.005000000000003</v>
      </c>
      <c r="M109" s="101">
        <v>50.07</v>
      </c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2"/>
      <c r="AH109" s="47">
        <f t="shared" si="40"/>
        <v>50.07</v>
      </c>
      <c r="AI109" s="48">
        <f t="shared" si="41"/>
        <v>49.9</v>
      </c>
    </row>
    <row r="110" spans="1:64" x14ac:dyDescent="0.25">
      <c r="A110" s="103" t="s">
        <v>109</v>
      </c>
      <c r="B110" s="65">
        <v>128.6</v>
      </c>
      <c r="C110" s="65">
        <v>127.2</v>
      </c>
      <c r="D110" s="65">
        <v>128.6</v>
      </c>
      <c r="E110" s="65">
        <v>129</v>
      </c>
      <c r="F110" s="65">
        <v>127.9</v>
      </c>
      <c r="G110" s="65">
        <v>126.3</v>
      </c>
      <c r="H110" s="65">
        <v>125.2</v>
      </c>
      <c r="I110" s="65">
        <v>126</v>
      </c>
      <c r="J110" s="65">
        <v>125.3</v>
      </c>
      <c r="K110" s="65">
        <v>126</v>
      </c>
      <c r="L110" s="65">
        <v>126</v>
      </c>
      <c r="M110" s="65">
        <v>128</v>
      </c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104"/>
      <c r="AH110" s="47">
        <f t="shared" si="40"/>
        <v>129</v>
      </c>
      <c r="AI110" s="48">
        <f t="shared" si="41"/>
        <v>125.2</v>
      </c>
    </row>
    <row r="111" spans="1:64" x14ac:dyDescent="0.25">
      <c r="A111" s="103" t="s">
        <v>110</v>
      </c>
      <c r="B111" s="65">
        <v>132.80000000000001</v>
      </c>
      <c r="C111" s="65">
        <v>131.6</v>
      </c>
      <c r="D111" s="65">
        <v>132.9</v>
      </c>
      <c r="E111" s="65">
        <v>133.1</v>
      </c>
      <c r="F111" s="65">
        <v>132.30000000000001</v>
      </c>
      <c r="G111" s="65">
        <v>131</v>
      </c>
      <c r="H111" s="65">
        <v>129.6</v>
      </c>
      <c r="I111" s="65">
        <v>129.80000000000001</v>
      </c>
      <c r="J111" s="65">
        <v>128.69999999999999</v>
      </c>
      <c r="K111" s="65">
        <v>128.1</v>
      </c>
      <c r="L111" s="65">
        <v>128.1</v>
      </c>
      <c r="M111" s="65">
        <v>129.5</v>
      </c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40"/>
        <v>133.1</v>
      </c>
      <c r="AI111" s="48">
        <f t="shared" si="41"/>
        <v>128.1</v>
      </c>
    </row>
    <row r="112" spans="1:64" x14ac:dyDescent="0.25">
      <c r="A112" s="103" t="s">
        <v>111</v>
      </c>
      <c r="B112" s="65">
        <v>130.9</v>
      </c>
      <c r="C112" s="65">
        <v>127.9</v>
      </c>
      <c r="D112" s="65">
        <v>129.69999999999999</v>
      </c>
      <c r="E112" s="65">
        <v>126.3</v>
      </c>
      <c r="F112" s="65">
        <v>126.8</v>
      </c>
      <c r="G112" s="65">
        <v>126.5</v>
      </c>
      <c r="H112" s="65">
        <v>126</v>
      </c>
      <c r="I112" s="65">
        <v>120.8</v>
      </c>
      <c r="J112" s="65">
        <v>126.1</v>
      </c>
      <c r="K112" s="65">
        <v>125.1</v>
      </c>
      <c r="L112" s="65">
        <v>125.1</v>
      </c>
      <c r="M112" s="65">
        <v>128.5</v>
      </c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40"/>
        <v>130.9</v>
      </c>
      <c r="AI112" s="48">
        <f t="shared" si="41"/>
        <v>120.8</v>
      </c>
    </row>
    <row r="113" spans="1:35" x14ac:dyDescent="0.25">
      <c r="A113" s="105" t="s">
        <v>112</v>
      </c>
      <c r="B113" s="65">
        <v>133.30000000000001</v>
      </c>
      <c r="C113" s="65">
        <v>131.9</v>
      </c>
      <c r="D113" s="65">
        <v>132.1</v>
      </c>
      <c r="E113" s="65">
        <v>130.19999999999999</v>
      </c>
      <c r="F113" s="65">
        <v>130.80000000000001</v>
      </c>
      <c r="G113" s="65">
        <v>129.9</v>
      </c>
      <c r="H113" s="65">
        <v>127.7</v>
      </c>
      <c r="I113" s="65">
        <v>123</v>
      </c>
      <c r="J113" s="65">
        <v>126.1</v>
      </c>
      <c r="K113" s="65">
        <v>122.2</v>
      </c>
      <c r="L113" s="65">
        <v>122.2</v>
      </c>
      <c r="M113" s="65">
        <v>125.4</v>
      </c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40"/>
        <v>133.30000000000001</v>
      </c>
      <c r="AI113" s="48">
        <f t="shared" si="41"/>
        <v>122.2</v>
      </c>
    </row>
    <row r="114" spans="1:35" x14ac:dyDescent="0.25">
      <c r="A114" s="105" t="s">
        <v>113</v>
      </c>
      <c r="B114" s="106">
        <v>135.69999999999999</v>
      </c>
      <c r="C114" s="106">
        <v>134.1</v>
      </c>
      <c r="D114" s="106">
        <v>135.1</v>
      </c>
      <c r="E114" s="106">
        <v>13.1</v>
      </c>
      <c r="F114" s="106">
        <v>135</v>
      </c>
      <c r="G114" s="106">
        <v>136.19999999999999</v>
      </c>
      <c r="H114" s="106">
        <v>134.9</v>
      </c>
      <c r="I114" s="106">
        <v>134.9</v>
      </c>
      <c r="J114" s="106">
        <v>132.30000000000001</v>
      </c>
      <c r="K114" s="106">
        <v>131.19999999999999</v>
      </c>
      <c r="L114" s="106">
        <v>131.19999999999999</v>
      </c>
      <c r="M114" s="106">
        <v>134.4</v>
      </c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7"/>
      <c r="AH114" s="47">
        <f t="shared" si="40"/>
        <v>136.19999999999999</v>
      </c>
      <c r="AI114" s="48">
        <f t="shared" si="41"/>
        <v>13.1</v>
      </c>
    </row>
    <row r="115" spans="1:35" x14ac:dyDescent="0.25">
      <c r="A115" s="103" t="s">
        <v>114</v>
      </c>
      <c r="B115" s="65">
        <v>129.1</v>
      </c>
      <c r="C115" s="65">
        <v>129.4</v>
      </c>
      <c r="D115" s="65">
        <v>134.19999999999999</v>
      </c>
      <c r="E115" s="65">
        <v>128.80000000000001</v>
      </c>
      <c r="F115" s="65">
        <v>132.19999999999999</v>
      </c>
      <c r="G115" s="65">
        <v>125</v>
      </c>
      <c r="H115" s="65">
        <v>125.1</v>
      </c>
      <c r="I115" s="65">
        <v>128.6</v>
      </c>
      <c r="J115" s="65">
        <v>124.5</v>
      </c>
      <c r="K115" s="65">
        <v>131.30000000000001</v>
      </c>
      <c r="L115" s="65">
        <v>131.30000000000001</v>
      </c>
      <c r="M115" s="65">
        <v>128.9</v>
      </c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104"/>
      <c r="AH115" s="47">
        <f t="shared" si="40"/>
        <v>134.19999999999999</v>
      </c>
      <c r="AI115" s="48">
        <f t="shared" si="41"/>
        <v>124.5</v>
      </c>
    </row>
    <row r="116" spans="1:35" ht="15.75" thickBot="1" x14ac:dyDescent="0.3">
      <c r="A116" s="103" t="s">
        <v>115</v>
      </c>
      <c r="B116" s="92">
        <v>66.8</v>
      </c>
      <c r="C116" s="92">
        <v>66</v>
      </c>
      <c r="D116" s="92">
        <v>66.8</v>
      </c>
      <c r="E116" s="92">
        <v>66.900000000000006</v>
      </c>
      <c r="F116" s="92">
        <v>66.599999999999994</v>
      </c>
      <c r="G116" s="92">
        <v>65.7</v>
      </c>
      <c r="H116" s="92">
        <v>65</v>
      </c>
      <c r="I116" s="92">
        <v>65</v>
      </c>
      <c r="J116" s="92">
        <v>64.599999999999994</v>
      </c>
      <c r="K116" s="92">
        <v>64.3</v>
      </c>
      <c r="L116" s="92">
        <v>64.3</v>
      </c>
      <c r="M116" s="92">
        <v>65.099999999999994</v>
      </c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40"/>
        <v>66.900000000000006</v>
      </c>
      <c r="AI116" s="48">
        <f t="shared" si="41"/>
        <v>64.3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40"/>
        <v>0</v>
      </c>
      <c r="AI117" s="48">
        <f t="shared" si="41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133.94</v>
      </c>
      <c r="C118" s="111">
        <f>SUM(C22,C28,C31:C32,C66,C68:C69,C71,C73,C119:C123,C155,C161,C167,C176,C178,C190,C197,C200:C201,C208,C210,C212,C216:C218,C220:C222,C227,C233:C234,C236:C238,C246,C251)</f>
        <v>106.54</v>
      </c>
      <c r="D118" s="111">
        <f t="shared" ref="D118:O118" si="55">SUM(D22,D28,D31:D32,D66,D68:D69,D71,D73,D119:D123,D155,D161,D167,D176,D178,D190,D197,D200:D201,D208,D210,D212,D216:D218,D220:D222,D227,D233:D234,D236:D238,D246,D251)</f>
        <v>114.84</v>
      </c>
      <c r="E118" s="111">
        <f t="shared" si="55"/>
        <v>127.21199999999999</v>
      </c>
      <c r="F118" s="111">
        <f t="shared" si="55"/>
        <v>129.65199999999999</v>
      </c>
      <c r="G118" s="111">
        <f t="shared" si="55"/>
        <v>169.50399999999999</v>
      </c>
      <c r="H118" s="111">
        <f t="shared" si="55"/>
        <v>181.2</v>
      </c>
      <c r="I118" s="111">
        <f t="shared" si="55"/>
        <v>225.75199999999998</v>
      </c>
      <c r="J118" s="111">
        <f t="shared" si="55"/>
        <v>283.27999999999997</v>
      </c>
      <c r="K118" s="111">
        <f t="shared" si="55"/>
        <v>333.82</v>
      </c>
      <c r="L118" s="111">
        <f t="shared" si="55"/>
        <v>333.82</v>
      </c>
      <c r="M118" s="111">
        <f t="shared" si="55"/>
        <v>292.83999999999997</v>
      </c>
      <c r="N118" s="111">
        <f t="shared" si="55"/>
        <v>0.94</v>
      </c>
      <c r="O118" s="111">
        <f t="shared" si="55"/>
        <v>0.94</v>
      </c>
      <c r="P118" s="111">
        <v>42</v>
      </c>
      <c r="Q118" s="111">
        <f t="shared" ref="Q118:AF118" si="56">SUM(Q22,Q28,Q31:Q32,Q66,Q68:Q69,Q71,Q73,Q119:Q123,Q155,Q161,Q167,Q176,Q178,Q190,Q197,Q200:Q201,Q208,Q210,Q212,Q216:Q218,Q220:Q222,Q227,Q233:Q234,Q236:Q238,Q246,Q251)</f>
        <v>0.94</v>
      </c>
      <c r="R118" s="111">
        <f t="shared" si="56"/>
        <v>0.94</v>
      </c>
      <c r="S118" s="111">
        <f t="shared" si="56"/>
        <v>0.94</v>
      </c>
      <c r="T118" s="111">
        <f t="shared" si="56"/>
        <v>0.94</v>
      </c>
      <c r="U118" s="111">
        <f t="shared" si="56"/>
        <v>0.94</v>
      </c>
      <c r="V118" s="111">
        <f t="shared" si="56"/>
        <v>0.94</v>
      </c>
      <c r="W118" s="111">
        <f t="shared" si="56"/>
        <v>0.94</v>
      </c>
      <c r="X118" s="111">
        <f t="shared" si="56"/>
        <v>0.94</v>
      </c>
      <c r="Y118" s="111">
        <f t="shared" ref="Y118:Z118" si="57">SUM(Y20,Y26,Y37:Y38,Y66,Y68:Y69,Y71,Y73,Y119:Y123,Y148,Y154,Y160,Y169,Y171,Y183,Y190,Y193:Y194,Y201,Y203,Y205,Y209:Y211,Y213:Y215,Y220,Y226:Y227,Y229:Y231,Y239,Y244)</f>
        <v>0</v>
      </c>
      <c r="Z118" s="111">
        <f t="shared" si="57"/>
        <v>0</v>
      </c>
      <c r="AA118" s="111">
        <f t="shared" si="56"/>
        <v>0.94</v>
      </c>
      <c r="AB118" s="111">
        <f t="shared" si="56"/>
        <v>0.94</v>
      </c>
      <c r="AC118" s="111">
        <f t="shared" si="56"/>
        <v>0.94</v>
      </c>
      <c r="AD118" s="111">
        <f t="shared" si="56"/>
        <v>0.94</v>
      </c>
      <c r="AE118" s="111">
        <f t="shared" si="56"/>
        <v>0.94</v>
      </c>
      <c r="AF118" s="111">
        <f t="shared" si="56"/>
        <v>0.94</v>
      </c>
      <c r="AG118" s="112"/>
      <c r="AH118" s="47">
        <f t="shared" si="40"/>
        <v>333.82</v>
      </c>
      <c r="AI118" s="48">
        <f t="shared" si="41"/>
        <v>0</v>
      </c>
    </row>
    <row r="119" spans="1:35" x14ac:dyDescent="0.25">
      <c r="A119" s="172" t="s">
        <v>118</v>
      </c>
      <c r="B119" s="113">
        <v>7.6</v>
      </c>
      <c r="C119" s="113">
        <v>-0.6</v>
      </c>
      <c r="D119" s="113">
        <v>-0.8</v>
      </c>
      <c r="E119" s="113">
        <v>0.3</v>
      </c>
      <c r="F119" s="113">
        <v>-0.6</v>
      </c>
      <c r="G119" s="113">
        <v>1.4</v>
      </c>
      <c r="H119" s="113">
        <v>0.8</v>
      </c>
      <c r="I119" s="113">
        <v>14</v>
      </c>
      <c r="J119" s="113">
        <v>39.299999999999997</v>
      </c>
      <c r="K119" s="113">
        <v>50</v>
      </c>
      <c r="L119" s="113">
        <v>50</v>
      </c>
      <c r="M119" s="113">
        <v>42.5</v>
      </c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40"/>
        <v>50</v>
      </c>
      <c r="AI119" s="48">
        <f t="shared" si="41"/>
        <v>-0.8</v>
      </c>
    </row>
    <row r="120" spans="1:35" x14ac:dyDescent="0.25">
      <c r="A120" s="173" t="s">
        <v>119</v>
      </c>
      <c r="B120" s="115">
        <v>5.7</v>
      </c>
      <c r="C120" s="115">
        <v>-4.5</v>
      </c>
      <c r="D120" s="115">
        <v>-4.8</v>
      </c>
      <c r="E120" s="115">
        <v>-3.3</v>
      </c>
      <c r="F120" s="115">
        <v>-3.5</v>
      </c>
      <c r="G120" s="115">
        <v>-2.1</v>
      </c>
      <c r="H120" s="115">
        <v>-3.7</v>
      </c>
      <c r="I120" s="115">
        <v>13.7</v>
      </c>
      <c r="J120" s="115">
        <v>48.2</v>
      </c>
      <c r="K120" s="115">
        <v>72</v>
      </c>
      <c r="L120" s="115">
        <v>72</v>
      </c>
      <c r="M120" s="115">
        <v>61.3</v>
      </c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40"/>
        <v>72</v>
      </c>
      <c r="AI120" s="48">
        <f t="shared" si="41"/>
        <v>-4.8</v>
      </c>
    </row>
    <row r="121" spans="1:35" x14ac:dyDescent="0.25">
      <c r="A121" s="173" t="s">
        <v>120</v>
      </c>
      <c r="B121" s="115">
        <v>-38</v>
      </c>
      <c r="C121" s="115">
        <v>-42</v>
      </c>
      <c r="D121" s="115">
        <v>-36</v>
      </c>
      <c r="E121" s="115">
        <v>-40</v>
      </c>
      <c r="F121" s="115">
        <v>-42.5</v>
      </c>
      <c r="G121" s="115">
        <v>-25.8</v>
      </c>
      <c r="H121" s="115">
        <v>-21.2</v>
      </c>
      <c r="I121" s="115">
        <v>-13.1</v>
      </c>
      <c r="J121" s="115">
        <v>-10.6</v>
      </c>
      <c r="K121" s="115">
        <v>9</v>
      </c>
      <c r="L121" s="115">
        <v>9</v>
      </c>
      <c r="M121" s="115">
        <f>8.3+5.9</f>
        <v>14.200000000000001</v>
      </c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4">
        <v>240</v>
      </c>
      <c r="AH121" s="47">
        <f t="shared" si="40"/>
        <v>14.200000000000001</v>
      </c>
      <c r="AI121" s="48">
        <f t="shared" si="41"/>
        <v>-42.5</v>
      </c>
    </row>
    <row r="122" spans="1:35" ht="15.75" thickBot="1" x14ac:dyDescent="0.3">
      <c r="A122" s="173" t="s">
        <v>121</v>
      </c>
      <c r="B122" s="115">
        <v>-5</v>
      </c>
      <c r="C122" s="115">
        <v>-10</v>
      </c>
      <c r="D122" s="115">
        <v>-9.1999999999999993</v>
      </c>
      <c r="E122" s="115">
        <v>-9.6</v>
      </c>
      <c r="F122" s="115">
        <v>-9.3000000000000007</v>
      </c>
      <c r="G122" s="115">
        <v>-4.8</v>
      </c>
      <c r="H122" s="115">
        <v>-5.5</v>
      </c>
      <c r="I122" s="115">
        <v>1.5</v>
      </c>
      <c r="J122" s="115">
        <v>8.9</v>
      </c>
      <c r="K122" s="115">
        <v>16</v>
      </c>
      <c r="L122" s="115">
        <v>16</v>
      </c>
      <c r="M122" s="115">
        <v>26.1</v>
      </c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40"/>
        <v>26.1</v>
      </c>
      <c r="AI122" s="48">
        <f t="shared" si="41"/>
        <v>-10</v>
      </c>
    </row>
    <row r="123" spans="1:35" x14ac:dyDescent="0.25">
      <c r="A123" s="172" t="s">
        <v>259</v>
      </c>
      <c r="B123" s="117">
        <v>80</v>
      </c>
      <c r="C123" s="117">
        <v>80</v>
      </c>
      <c r="D123" s="117">
        <v>82</v>
      </c>
      <c r="E123" s="117">
        <f>1.64*57.3</f>
        <v>93.971999999999994</v>
      </c>
      <c r="F123" s="117">
        <f>1.64*60.8</f>
        <v>99.711999999999989</v>
      </c>
      <c r="G123" s="117">
        <f>1.64*70.1</f>
        <v>114.96399999999998</v>
      </c>
      <c r="H123" s="117">
        <f>1.64*76.5</f>
        <v>125.46</v>
      </c>
      <c r="I123" s="117">
        <f>1.64*75.8</f>
        <v>124.31199999999998</v>
      </c>
      <c r="J123" s="117">
        <f>1.64*68.5</f>
        <v>112.33999999999999</v>
      </c>
      <c r="K123" s="117">
        <f>62*1.64</f>
        <v>101.67999999999999</v>
      </c>
      <c r="L123" s="117">
        <f>62*1.64</f>
        <v>101.67999999999999</v>
      </c>
      <c r="M123" s="117">
        <v>55.9</v>
      </c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40"/>
        <v>125.46</v>
      </c>
      <c r="AI123" s="48">
        <f t="shared" si="41"/>
        <v>55.9</v>
      </c>
    </row>
    <row r="124" spans="1:35" x14ac:dyDescent="0.25">
      <c r="A124" s="173" t="s">
        <v>258</v>
      </c>
      <c r="B124" s="117">
        <v>66.900000000000006</v>
      </c>
      <c r="C124" s="117">
        <v>75</v>
      </c>
      <c r="D124" s="117">
        <v>70</v>
      </c>
      <c r="E124" s="117">
        <v>69.2</v>
      </c>
      <c r="F124" s="117">
        <v>71.7</v>
      </c>
      <c r="G124" s="117">
        <v>78.8</v>
      </c>
      <c r="H124" s="117">
        <v>83.5</v>
      </c>
      <c r="I124" s="117">
        <v>83.2</v>
      </c>
      <c r="J124" s="117">
        <v>76.2</v>
      </c>
      <c r="K124" s="117">
        <v>71</v>
      </c>
      <c r="L124" s="117">
        <v>71</v>
      </c>
      <c r="M124" s="117">
        <v>65.599999999999994</v>
      </c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47">
        <f t="shared" si="40"/>
        <v>83.5</v>
      </c>
      <c r="AI124" s="48">
        <f t="shared" si="41"/>
        <v>65.599999999999994</v>
      </c>
    </row>
    <row r="125" spans="1:35" x14ac:dyDescent="0.25">
      <c r="A125" s="173" t="s">
        <v>255</v>
      </c>
      <c r="B125" s="117">
        <v>50</v>
      </c>
      <c r="C125" s="117">
        <v>67</v>
      </c>
      <c r="D125" s="117">
        <v>60</v>
      </c>
      <c r="E125" s="117">
        <v>59.1</v>
      </c>
      <c r="F125" s="117">
        <v>63.9</v>
      </c>
      <c r="G125" s="117">
        <v>55.5</v>
      </c>
      <c r="H125" s="117">
        <v>57.3</v>
      </c>
      <c r="I125" s="117">
        <v>36.5</v>
      </c>
      <c r="J125" s="117">
        <v>-3.3</v>
      </c>
      <c r="K125" s="117">
        <v>-40</v>
      </c>
      <c r="L125" s="117">
        <v>-40</v>
      </c>
      <c r="M125" s="117">
        <v>-39.6</v>
      </c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47">
        <f t="shared" si="40"/>
        <v>67</v>
      </c>
      <c r="AI125" s="48">
        <f t="shared" si="41"/>
        <v>-40</v>
      </c>
    </row>
    <row r="126" spans="1:35" ht="15.75" thickBot="1" x14ac:dyDescent="0.3">
      <c r="A126" s="173" t="s">
        <v>254</v>
      </c>
      <c r="B126" s="117">
        <v>88.9</v>
      </c>
      <c r="C126" s="117">
        <v>101</v>
      </c>
      <c r="D126" s="117">
        <v>84</v>
      </c>
      <c r="E126" s="117">
        <v>91</v>
      </c>
      <c r="F126" s="117">
        <v>97.7</v>
      </c>
      <c r="G126" s="117">
        <v>103.5</v>
      </c>
      <c r="H126" s="117">
        <v>111.2</v>
      </c>
      <c r="I126" s="117">
        <v>101.2</v>
      </c>
      <c r="J126" s="117">
        <v>89</v>
      </c>
      <c r="K126" s="117">
        <v>60</v>
      </c>
      <c r="L126" s="117">
        <v>60</v>
      </c>
      <c r="M126" s="117">
        <v>45</v>
      </c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4"/>
      <c r="AH126" s="47">
        <f>MAX(B126:AF126)</f>
        <v>111.2</v>
      </c>
      <c r="AI126" s="48">
        <f>MIN(B126:AF126)</f>
        <v>45</v>
      </c>
    </row>
    <row r="127" spans="1:35" x14ac:dyDescent="0.25">
      <c r="A127" s="172" t="s">
        <v>587</v>
      </c>
      <c r="B127" s="117">
        <v>1.3</v>
      </c>
      <c r="C127" s="117">
        <v>3.7</v>
      </c>
      <c r="D127" s="117">
        <v>5.3</v>
      </c>
      <c r="E127" s="117">
        <v>3.5</v>
      </c>
      <c r="F127" s="117">
        <v>3.7</v>
      </c>
      <c r="G127" s="117">
        <v>0</v>
      </c>
      <c r="H127" s="117">
        <v>0</v>
      </c>
      <c r="I127" s="117">
        <v>-3.9</v>
      </c>
      <c r="J127" s="117">
        <v>-16.899999999999999</v>
      </c>
      <c r="K127" s="117">
        <v>-13</v>
      </c>
      <c r="L127" s="117">
        <v>-13</v>
      </c>
      <c r="M127" s="117">
        <v>-14.1</v>
      </c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4"/>
      <c r="AH127" s="47">
        <f>MAX(B127:AF127)</f>
        <v>5.3</v>
      </c>
      <c r="AI127" s="48">
        <f>MIN(B127:AF127)</f>
        <v>-16.899999999999999</v>
      </c>
    </row>
    <row r="128" spans="1:35" x14ac:dyDescent="0.25">
      <c r="A128" s="173" t="s">
        <v>123</v>
      </c>
      <c r="B128" s="106">
        <v>-19</v>
      </c>
      <c r="C128" s="106">
        <v>-16</v>
      </c>
      <c r="D128" s="106">
        <v>-16</v>
      </c>
      <c r="E128" s="106">
        <v>-13.6</v>
      </c>
      <c r="F128" s="106">
        <v>-15.2</v>
      </c>
      <c r="G128" s="106">
        <v>-23</v>
      </c>
      <c r="H128" s="106">
        <v>-25.7</v>
      </c>
      <c r="I128" s="106">
        <v>-35.1</v>
      </c>
      <c r="J128" s="106">
        <v>-47.5</v>
      </c>
      <c r="K128" s="106">
        <v>-57</v>
      </c>
      <c r="L128" s="106">
        <v>-57</v>
      </c>
      <c r="M128" s="106">
        <v>-52.1</v>
      </c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>MAX(B128:AF128)</f>
        <v>-13.6</v>
      </c>
      <c r="AI128" s="48">
        <f>MIN(B128:AF128)</f>
        <v>-57</v>
      </c>
    </row>
    <row r="129" spans="1:37" x14ac:dyDescent="0.25">
      <c r="A129" s="173" t="s">
        <v>260</v>
      </c>
      <c r="B129" s="106">
        <v>18.100000000000001</v>
      </c>
      <c r="C129" s="106">
        <v>16</v>
      </c>
      <c r="D129" s="106">
        <v>12</v>
      </c>
      <c r="E129" s="106">
        <v>17.600000000000001</v>
      </c>
      <c r="F129" s="106">
        <v>16.3</v>
      </c>
      <c r="G129" s="106">
        <v>6.8</v>
      </c>
      <c r="H129" s="106">
        <v>0</v>
      </c>
      <c r="I129" s="106">
        <v>3.5</v>
      </c>
      <c r="J129" s="106">
        <v>20.6</v>
      </c>
      <c r="K129" s="106">
        <v>14</v>
      </c>
      <c r="L129" s="106">
        <v>14</v>
      </c>
      <c r="M129" s="106">
        <v>16.100000000000001</v>
      </c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14"/>
      <c r="AH129" s="47">
        <f>MAX(B129:AF129)</f>
        <v>20.6</v>
      </c>
      <c r="AI129" s="48">
        <f>MIN(B129:AF129)</f>
        <v>0</v>
      </c>
    </row>
    <row r="130" spans="1:37" ht="15.75" thickBot="1" x14ac:dyDescent="0.3">
      <c r="A130" s="173" t="s">
        <v>257</v>
      </c>
      <c r="B130" s="106">
        <v>95.6</v>
      </c>
      <c r="C130" s="106">
        <v>100</v>
      </c>
      <c r="D130" s="106">
        <v>100</v>
      </c>
      <c r="E130" s="106">
        <v>103.4</v>
      </c>
      <c r="F130" s="106">
        <v>101.3</v>
      </c>
      <c r="G130" s="106">
        <v>99.3</v>
      </c>
      <c r="H130" s="106">
        <v>101</v>
      </c>
      <c r="I130" s="106">
        <v>112</v>
      </c>
      <c r="J130" s="106">
        <v>125</v>
      </c>
      <c r="K130" s="106">
        <v>110</v>
      </c>
      <c r="L130" s="106">
        <v>110</v>
      </c>
      <c r="M130" s="106">
        <v>93.2</v>
      </c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14"/>
      <c r="AH130" s="47">
        <f>MAX(B130:AF130)</f>
        <v>125</v>
      </c>
      <c r="AI130" s="48">
        <f>MIN(B130:AF130)</f>
        <v>93.2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>
        <v>1985.65</v>
      </c>
      <c r="C132" s="147">
        <v>1985.75</v>
      </c>
      <c r="D132" s="147">
        <v>1985.8</v>
      </c>
      <c r="E132" s="147">
        <v>1985.9</v>
      </c>
      <c r="F132" s="147">
        <v>1986</v>
      </c>
      <c r="G132" s="147">
        <v>1986.1</v>
      </c>
      <c r="H132" s="147"/>
      <c r="I132" s="147">
        <v>1986.2</v>
      </c>
      <c r="J132" s="147"/>
      <c r="K132" s="147">
        <v>1986.14</v>
      </c>
      <c r="L132" s="147"/>
      <c r="M132" s="147">
        <v>1985.75</v>
      </c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8"/>
      <c r="AG132" s="149"/>
      <c r="AH132" s="47"/>
      <c r="AI132" s="48"/>
    </row>
    <row r="133" spans="1:37" x14ac:dyDescent="0.25">
      <c r="A133" s="185" t="s">
        <v>238</v>
      </c>
      <c r="B133" s="150">
        <v>519.87</v>
      </c>
      <c r="C133" s="150">
        <v>520.23</v>
      </c>
      <c r="D133" s="150">
        <v>520.58000000000004</v>
      </c>
      <c r="E133" s="150">
        <v>520.92999999999995</v>
      </c>
      <c r="F133" s="150">
        <v>521.24</v>
      </c>
      <c r="G133" s="150">
        <v>521.54</v>
      </c>
      <c r="H133" s="150"/>
      <c r="I133" s="150">
        <v>521.78</v>
      </c>
      <c r="J133" s="150"/>
      <c r="K133" s="150">
        <v>521.62</v>
      </c>
      <c r="L133" s="150"/>
      <c r="M133" s="150" t="s">
        <v>654</v>
      </c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1"/>
      <c r="AG133" s="149"/>
      <c r="AH133" s="47"/>
      <c r="AI133" s="48"/>
    </row>
    <row r="134" spans="1:37" x14ac:dyDescent="0.25">
      <c r="A134" s="185" t="s">
        <v>239</v>
      </c>
      <c r="B134" s="150">
        <v>623.27</v>
      </c>
      <c r="C134" s="150">
        <v>623.65</v>
      </c>
      <c r="D134" s="150">
        <v>623.95000000000005</v>
      </c>
      <c r="E134" s="150">
        <v>624.22</v>
      </c>
      <c r="F134" s="150">
        <v>624.51</v>
      </c>
      <c r="G134" s="150">
        <v>624.92999999999995</v>
      </c>
      <c r="H134" s="150"/>
      <c r="I134" s="150">
        <v>625.1</v>
      </c>
      <c r="J134" s="150"/>
      <c r="K134" s="150">
        <v>624.91999999999996</v>
      </c>
      <c r="L134" s="150"/>
      <c r="M134" s="150">
        <v>624.4</v>
      </c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1"/>
      <c r="AG134" s="149"/>
      <c r="AH134" s="47"/>
      <c r="AI134" s="48"/>
    </row>
    <row r="135" spans="1:37" x14ac:dyDescent="0.25">
      <c r="A135" s="185" t="s">
        <v>240</v>
      </c>
      <c r="B135" s="150">
        <v>335.08</v>
      </c>
      <c r="C135" s="150">
        <v>335.23</v>
      </c>
      <c r="D135" s="150">
        <v>335.57</v>
      </c>
      <c r="E135" s="150">
        <v>335.88</v>
      </c>
      <c r="F135" s="150">
        <v>336.14</v>
      </c>
      <c r="G135" s="150">
        <v>336.4</v>
      </c>
      <c r="H135" s="150"/>
      <c r="I135" s="150">
        <v>336.45</v>
      </c>
      <c r="J135" s="150"/>
      <c r="K135" s="150">
        <v>336.3</v>
      </c>
      <c r="L135" s="150"/>
      <c r="M135" s="150">
        <v>335.7</v>
      </c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1"/>
      <c r="AG135" s="149"/>
      <c r="AH135" s="47"/>
      <c r="AI135" s="48"/>
    </row>
    <row r="136" spans="1:37" x14ac:dyDescent="0.25">
      <c r="A136" s="185" t="s">
        <v>384</v>
      </c>
      <c r="B136" s="150">
        <v>885.4</v>
      </c>
      <c r="C136" s="150">
        <v>885.8</v>
      </c>
      <c r="D136" s="150">
        <v>886.3</v>
      </c>
      <c r="E136" s="150">
        <v>886.8</v>
      </c>
      <c r="F136" s="150">
        <v>887.3</v>
      </c>
      <c r="G136" s="150">
        <v>887.5</v>
      </c>
      <c r="H136" s="150"/>
      <c r="I136" s="150">
        <v>887</v>
      </c>
      <c r="J136" s="150">
        <v>885.9</v>
      </c>
      <c r="K136" s="150"/>
      <c r="L136" s="150"/>
      <c r="M136" s="150">
        <v>885.1</v>
      </c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1"/>
      <c r="AG136" s="149"/>
      <c r="AH136" s="47"/>
      <c r="AI136" s="48"/>
    </row>
    <row r="137" spans="1:37" ht="15.75" thickBot="1" x14ac:dyDescent="0.3">
      <c r="A137" s="185" t="s">
        <v>241</v>
      </c>
      <c r="B137" s="152">
        <v>1519.71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58">SUM(B139:B243)</f>
        <v>0</v>
      </c>
      <c r="C244" s="134">
        <f t="shared" si="58"/>
        <v>0</v>
      </c>
      <c r="D244" s="134">
        <f t="shared" si="58"/>
        <v>0</v>
      </c>
      <c r="E244" s="134">
        <f t="shared" si="58"/>
        <v>0</v>
      </c>
      <c r="F244" s="134">
        <f t="shared" si="58"/>
        <v>0</v>
      </c>
      <c r="G244" s="134">
        <f t="shared" si="58"/>
        <v>0</v>
      </c>
      <c r="H244" s="134">
        <f t="shared" si="58"/>
        <v>0</v>
      </c>
      <c r="I244" s="134">
        <f t="shared" si="58"/>
        <v>0</v>
      </c>
      <c r="J244" s="134">
        <f t="shared" si="58"/>
        <v>0</v>
      </c>
      <c r="K244" s="134">
        <f t="shared" si="58"/>
        <v>0</v>
      </c>
      <c r="L244" s="134">
        <f t="shared" si="58"/>
        <v>0</v>
      </c>
      <c r="M244" s="134">
        <f t="shared" si="58"/>
        <v>0</v>
      </c>
      <c r="N244" s="134">
        <f t="shared" si="58"/>
        <v>0</v>
      </c>
      <c r="O244" s="134">
        <f t="shared" si="58"/>
        <v>0</v>
      </c>
      <c r="P244" s="134">
        <f t="shared" si="58"/>
        <v>0</v>
      </c>
      <c r="Q244" s="134">
        <f t="shared" si="58"/>
        <v>0</v>
      </c>
      <c r="R244" s="134">
        <f t="shared" si="58"/>
        <v>0</v>
      </c>
      <c r="S244" s="134">
        <f t="shared" si="58"/>
        <v>0</v>
      </c>
      <c r="T244" s="134">
        <f t="shared" si="58"/>
        <v>0</v>
      </c>
      <c r="U244" s="134">
        <f t="shared" si="58"/>
        <v>0</v>
      </c>
      <c r="V244" s="134">
        <f t="shared" si="58"/>
        <v>0</v>
      </c>
      <c r="W244" s="134">
        <f t="shared" si="58"/>
        <v>0</v>
      </c>
      <c r="X244" s="134">
        <f t="shared" si="58"/>
        <v>0</v>
      </c>
      <c r="Y244" s="134">
        <f t="shared" si="58"/>
        <v>0</v>
      </c>
      <c r="Z244" s="134">
        <f t="shared" si="58"/>
        <v>0</v>
      </c>
      <c r="AA244" s="134">
        <f t="shared" si="58"/>
        <v>0</v>
      </c>
      <c r="AB244" s="134">
        <f t="shared" si="58"/>
        <v>0</v>
      </c>
      <c r="AC244" s="134">
        <f t="shared" si="58"/>
        <v>0</v>
      </c>
      <c r="AD244" s="134">
        <f t="shared" si="58"/>
        <v>0</v>
      </c>
      <c r="AE244" s="134">
        <f t="shared" si="58"/>
        <v>0</v>
      </c>
      <c r="AF244" s="135">
        <f t="shared" si="58"/>
        <v>0</v>
      </c>
      <c r="AG244" s="136">
        <f t="shared" si="58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59">AF246</f>
        <v>0.3</v>
      </c>
      <c r="C246" s="138">
        <v>0.3</v>
      </c>
      <c r="D246" s="138">
        <f t="shared" ref="D246:S251" si="60">C246</f>
        <v>0.3</v>
      </c>
      <c r="E246" s="138">
        <f t="shared" si="60"/>
        <v>0.3</v>
      </c>
      <c r="F246" s="138">
        <f t="shared" si="60"/>
        <v>0.3</v>
      </c>
      <c r="G246" s="138">
        <f t="shared" si="60"/>
        <v>0.3</v>
      </c>
      <c r="H246" s="138">
        <f t="shared" si="60"/>
        <v>0.3</v>
      </c>
      <c r="I246" s="138">
        <f t="shared" si="60"/>
        <v>0.3</v>
      </c>
      <c r="J246" s="138">
        <f t="shared" si="60"/>
        <v>0.3</v>
      </c>
      <c r="K246" s="138">
        <f t="shared" si="60"/>
        <v>0.3</v>
      </c>
      <c r="L246" s="138">
        <f t="shared" si="60"/>
        <v>0.3</v>
      </c>
      <c r="M246" s="138">
        <f t="shared" si="60"/>
        <v>0.3</v>
      </c>
      <c r="N246" s="138">
        <f t="shared" si="60"/>
        <v>0.3</v>
      </c>
      <c r="O246" s="138">
        <f t="shared" si="60"/>
        <v>0.3</v>
      </c>
      <c r="P246" s="138">
        <f t="shared" si="60"/>
        <v>0.3</v>
      </c>
      <c r="Q246" s="138">
        <f t="shared" si="60"/>
        <v>0.3</v>
      </c>
      <c r="R246" s="138">
        <f t="shared" si="60"/>
        <v>0.3</v>
      </c>
      <c r="S246" s="138">
        <f t="shared" si="60"/>
        <v>0.3</v>
      </c>
      <c r="T246" s="138">
        <f t="shared" ref="T246:AF251" si="61">S246</f>
        <v>0.3</v>
      </c>
      <c r="U246" s="138">
        <f t="shared" si="61"/>
        <v>0.3</v>
      </c>
      <c r="V246" s="138">
        <f t="shared" si="61"/>
        <v>0.3</v>
      </c>
      <c r="W246" s="138">
        <f t="shared" si="61"/>
        <v>0.3</v>
      </c>
      <c r="X246" s="138">
        <f t="shared" si="61"/>
        <v>0.3</v>
      </c>
      <c r="Y246" s="138">
        <f t="shared" si="61"/>
        <v>0.3</v>
      </c>
      <c r="Z246" s="138">
        <f t="shared" si="61"/>
        <v>0.3</v>
      </c>
      <c r="AA246" s="138">
        <f t="shared" si="61"/>
        <v>0.3</v>
      </c>
      <c r="AB246" s="138">
        <f t="shared" si="61"/>
        <v>0.3</v>
      </c>
      <c r="AC246" s="138">
        <f t="shared" si="61"/>
        <v>0.3</v>
      </c>
      <c r="AD246" s="138">
        <f t="shared" si="61"/>
        <v>0.3</v>
      </c>
      <c r="AE246" s="138">
        <f t="shared" si="61"/>
        <v>0.3</v>
      </c>
      <c r="AF246" s="138">
        <f t="shared" si="61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59"/>
        <v>0.4</v>
      </c>
      <c r="C247" s="126">
        <v>0.4</v>
      </c>
      <c r="D247" s="126">
        <f t="shared" si="60"/>
        <v>0.4</v>
      </c>
      <c r="E247" s="126">
        <f t="shared" si="60"/>
        <v>0.4</v>
      </c>
      <c r="F247" s="126">
        <f t="shared" si="60"/>
        <v>0.4</v>
      </c>
      <c r="G247" s="126">
        <f t="shared" si="60"/>
        <v>0.4</v>
      </c>
      <c r="H247" s="126">
        <f t="shared" si="60"/>
        <v>0.4</v>
      </c>
      <c r="I247" s="126">
        <f t="shared" si="60"/>
        <v>0.4</v>
      </c>
      <c r="J247" s="126">
        <f t="shared" si="60"/>
        <v>0.4</v>
      </c>
      <c r="K247" s="126">
        <f t="shared" si="60"/>
        <v>0.4</v>
      </c>
      <c r="L247" s="126">
        <f t="shared" si="60"/>
        <v>0.4</v>
      </c>
      <c r="M247" s="126">
        <f t="shared" si="60"/>
        <v>0.4</v>
      </c>
      <c r="N247" s="126">
        <f t="shared" si="60"/>
        <v>0.4</v>
      </c>
      <c r="O247" s="126">
        <f t="shared" si="60"/>
        <v>0.4</v>
      </c>
      <c r="P247" s="126">
        <f t="shared" si="60"/>
        <v>0.4</v>
      </c>
      <c r="Q247" s="126">
        <f t="shared" si="60"/>
        <v>0.4</v>
      </c>
      <c r="R247" s="126">
        <f t="shared" si="60"/>
        <v>0.4</v>
      </c>
      <c r="S247" s="126">
        <f t="shared" si="60"/>
        <v>0.4</v>
      </c>
      <c r="T247" s="126">
        <f t="shared" si="61"/>
        <v>0.4</v>
      </c>
      <c r="U247" s="126">
        <f t="shared" si="61"/>
        <v>0.4</v>
      </c>
      <c r="V247" s="126">
        <f t="shared" si="61"/>
        <v>0.4</v>
      </c>
      <c r="W247" s="126">
        <f t="shared" si="61"/>
        <v>0.4</v>
      </c>
      <c r="X247" s="126">
        <f t="shared" si="61"/>
        <v>0.4</v>
      </c>
      <c r="Y247" s="126">
        <f t="shared" si="61"/>
        <v>0.4</v>
      </c>
      <c r="Z247" s="126">
        <f t="shared" si="61"/>
        <v>0.4</v>
      </c>
      <c r="AA247" s="126">
        <f t="shared" si="61"/>
        <v>0.4</v>
      </c>
      <c r="AB247" s="126">
        <f t="shared" si="61"/>
        <v>0.4</v>
      </c>
      <c r="AC247" s="126">
        <f t="shared" si="61"/>
        <v>0.4</v>
      </c>
      <c r="AD247" s="126">
        <f t="shared" si="61"/>
        <v>0.4</v>
      </c>
      <c r="AE247" s="126">
        <f t="shared" si="61"/>
        <v>0.4</v>
      </c>
      <c r="AF247" s="126">
        <f t="shared" si="61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59"/>
        <v>1.5</v>
      </c>
      <c r="C248" s="126">
        <v>1.5</v>
      </c>
      <c r="D248" s="126">
        <f t="shared" si="60"/>
        <v>1.5</v>
      </c>
      <c r="E248" s="126">
        <f t="shared" si="60"/>
        <v>1.5</v>
      </c>
      <c r="F248" s="126">
        <f t="shared" si="60"/>
        <v>1.5</v>
      </c>
      <c r="G248" s="126">
        <f t="shared" si="60"/>
        <v>1.5</v>
      </c>
      <c r="H248" s="126">
        <f t="shared" si="60"/>
        <v>1.5</v>
      </c>
      <c r="I248" s="126">
        <f t="shared" si="60"/>
        <v>1.5</v>
      </c>
      <c r="J248" s="126">
        <f t="shared" si="60"/>
        <v>1.5</v>
      </c>
      <c r="K248" s="126">
        <f t="shared" si="60"/>
        <v>1.5</v>
      </c>
      <c r="L248" s="126">
        <f t="shared" si="60"/>
        <v>1.5</v>
      </c>
      <c r="M248" s="126">
        <f t="shared" si="60"/>
        <v>1.5</v>
      </c>
      <c r="N248" s="126">
        <f t="shared" si="60"/>
        <v>1.5</v>
      </c>
      <c r="O248" s="126">
        <f t="shared" si="60"/>
        <v>1.5</v>
      </c>
      <c r="P248" s="126">
        <f t="shared" si="60"/>
        <v>1.5</v>
      </c>
      <c r="Q248" s="126">
        <f t="shared" si="60"/>
        <v>1.5</v>
      </c>
      <c r="R248" s="126">
        <f t="shared" si="60"/>
        <v>1.5</v>
      </c>
      <c r="S248" s="126">
        <f t="shared" si="60"/>
        <v>1.5</v>
      </c>
      <c r="T248" s="126">
        <f t="shared" si="61"/>
        <v>1.5</v>
      </c>
      <c r="U248" s="126">
        <f t="shared" si="61"/>
        <v>1.5</v>
      </c>
      <c r="V248" s="126">
        <f t="shared" si="61"/>
        <v>1.5</v>
      </c>
      <c r="W248" s="126">
        <f t="shared" si="61"/>
        <v>1.5</v>
      </c>
      <c r="X248" s="126">
        <f t="shared" si="61"/>
        <v>1.5</v>
      </c>
      <c r="Y248" s="126">
        <f t="shared" si="61"/>
        <v>1.5</v>
      </c>
      <c r="Z248" s="126">
        <f t="shared" si="61"/>
        <v>1.5</v>
      </c>
      <c r="AA248" s="126">
        <f t="shared" si="61"/>
        <v>1.5</v>
      </c>
      <c r="AB248" s="126">
        <f t="shared" si="61"/>
        <v>1.5</v>
      </c>
      <c r="AC248" s="126">
        <f t="shared" si="61"/>
        <v>1.5</v>
      </c>
      <c r="AD248" s="126">
        <f t="shared" si="61"/>
        <v>1.5</v>
      </c>
      <c r="AE248" s="126">
        <f t="shared" si="61"/>
        <v>1.5</v>
      </c>
      <c r="AF248" s="126">
        <f t="shared" si="61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59"/>
        <v>0.3</v>
      </c>
      <c r="C249" s="126">
        <v>0.3</v>
      </c>
      <c r="D249" s="126">
        <f t="shared" si="60"/>
        <v>0.3</v>
      </c>
      <c r="E249" s="126">
        <f t="shared" si="60"/>
        <v>0.3</v>
      </c>
      <c r="F249" s="126">
        <f t="shared" si="60"/>
        <v>0.3</v>
      </c>
      <c r="G249" s="126">
        <f t="shared" si="60"/>
        <v>0.3</v>
      </c>
      <c r="H249" s="126">
        <f t="shared" si="60"/>
        <v>0.3</v>
      </c>
      <c r="I249" s="126">
        <f t="shared" si="60"/>
        <v>0.3</v>
      </c>
      <c r="J249" s="126">
        <f t="shared" si="60"/>
        <v>0.3</v>
      </c>
      <c r="K249" s="126">
        <f t="shared" si="60"/>
        <v>0.3</v>
      </c>
      <c r="L249" s="126">
        <f t="shared" si="60"/>
        <v>0.3</v>
      </c>
      <c r="M249" s="126">
        <f t="shared" si="60"/>
        <v>0.3</v>
      </c>
      <c r="N249" s="126">
        <f t="shared" si="60"/>
        <v>0.3</v>
      </c>
      <c r="O249" s="126">
        <f t="shared" si="60"/>
        <v>0.3</v>
      </c>
      <c r="P249" s="126">
        <f t="shared" si="60"/>
        <v>0.3</v>
      </c>
      <c r="Q249" s="126">
        <f t="shared" si="60"/>
        <v>0.3</v>
      </c>
      <c r="R249" s="126">
        <f t="shared" si="60"/>
        <v>0.3</v>
      </c>
      <c r="S249" s="126">
        <f t="shared" si="60"/>
        <v>0.3</v>
      </c>
      <c r="T249" s="126">
        <f t="shared" si="61"/>
        <v>0.3</v>
      </c>
      <c r="U249" s="126">
        <f t="shared" si="61"/>
        <v>0.3</v>
      </c>
      <c r="V249" s="126">
        <f t="shared" si="61"/>
        <v>0.3</v>
      </c>
      <c r="W249" s="126">
        <f t="shared" si="61"/>
        <v>0.3</v>
      </c>
      <c r="X249" s="126">
        <f t="shared" si="61"/>
        <v>0.3</v>
      </c>
      <c r="Y249" s="126">
        <f t="shared" si="61"/>
        <v>0.3</v>
      </c>
      <c r="Z249" s="126">
        <f t="shared" si="61"/>
        <v>0.3</v>
      </c>
      <c r="AA249" s="126">
        <f t="shared" si="61"/>
        <v>0.3</v>
      </c>
      <c r="AB249" s="126">
        <f t="shared" si="61"/>
        <v>0.3</v>
      </c>
      <c r="AC249" s="126">
        <f t="shared" si="61"/>
        <v>0.3</v>
      </c>
      <c r="AD249" s="126">
        <f t="shared" si="61"/>
        <v>0.3</v>
      </c>
      <c r="AE249" s="126">
        <f t="shared" si="61"/>
        <v>0.3</v>
      </c>
      <c r="AF249" s="126">
        <f t="shared" si="61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59"/>
        <v>0.4</v>
      </c>
      <c r="C250" s="126">
        <v>0.4</v>
      </c>
      <c r="D250" s="126">
        <f t="shared" si="60"/>
        <v>0.4</v>
      </c>
      <c r="E250" s="126">
        <f t="shared" si="60"/>
        <v>0.4</v>
      </c>
      <c r="F250" s="126">
        <f t="shared" si="60"/>
        <v>0.4</v>
      </c>
      <c r="G250" s="126">
        <f t="shared" si="60"/>
        <v>0.4</v>
      </c>
      <c r="H250" s="126">
        <f t="shared" si="60"/>
        <v>0.4</v>
      </c>
      <c r="I250" s="126">
        <f t="shared" si="60"/>
        <v>0.4</v>
      </c>
      <c r="J250" s="126">
        <f t="shared" si="60"/>
        <v>0.4</v>
      </c>
      <c r="K250" s="126">
        <f t="shared" si="60"/>
        <v>0.4</v>
      </c>
      <c r="L250" s="126">
        <f t="shared" si="60"/>
        <v>0.4</v>
      </c>
      <c r="M250" s="126">
        <f t="shared" si="60"/>
        <v>0.4</v>
      </c>
      <c r="N250" s="126">
        <f t="shared" si="60"/>
        <v>0.4</v>
      </c>
      <c r="O250" s="126">
        <f t="shared" si="60"/>
        <v>0.4</v>
      </c>
      <c r="P250" s="126">
        <f t="shared" si="60"/>
        <v>0.4</v>
      </c>
      <c r="Q250" s="126">
        <f t="shared" si="60"/>
        <v>0.4</v>
      </c>
      <c r="R250" s="126">
        <f t="shared" si="60"/>
        <v>0.4</v>
      </c>
      <c r="S250" s="126">
        <f t="shared" si="60"/>
        <v>0.4</v>
      </c>
      <c r="T250" s="126">
        <f t="shared" si="61"/>
        <v>0.4</v>
      </c>
      <c r="U250" s="126">
        <f t="shared" si="61"/>
        <v>0.4</v>
      </c>
      <c r="V250" s="126">
        <f t="shared" si="61"/>
        <v>0.4</v>
      </c>
      <c r="W250" s="126">
        <f t="shared" si="61"/>
        <v>0.4</v>
      </c>
      <c r="X250" s="126">
        <f t="shared" si="61"/>
        <v>0.4</v>
      </c>
      <c r="Y250" s="126">
        <f t="shared" si="61"/>
        <v>0.4</v>
      </c>
      <c r="Z250" s="126">
        <f t="shared" si="61"/>
        <v>0.4</v>
      </c>
      <c r="AA250" s="126">
        <f t="shared" si="61"/>
        <v>0.4</v>
      </c>
      <c r="AB250" s="126">
        <f t="shared" si="61"/>
        <v>0.4</v>
      </c>
      <c r="AC250" s="126">
        <f t="shared" si="61"/>
        <v>0.4</v>
      </c>
      <c r="AD250" s="126">
        <f t="shared" si="61"/>
        <v>0.4</v>
      </c>
      <c r="AE250" s="126">
        <f t="shared" si="61"/>
        <v>0.4</v>
      </c>
      <c r="AF250" s="126">
        <f t="shared" si="61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59"/>
        <v>0.64</v>
      </c>
      <c r="C251" s="130">
        <v>0.64</v>
      </c>
      <c r="D251" s="130">
        <f t="shared" si="60"/>
        <v>0.64</v>
      </c>
      <c r="E251" s="130">
        <f t="shared" si="60"/>
        <v>0.64</v>
      </c>
      <c r="F251" s="130">
        <f t="shared" si="60"/>
        <v>0.64</v>
      </c>
      <c r="G251" s="130">
        <f t="shared" si="60"/>
        <v>0.64</v>
      </c>
      <c r="H251" s="130">
        <f t="shared" si="60"/>
        <v>0.64</v>
      </c>
      <c r="I251" s="130">
        <f t="shared" si="60"/>
        <v>0.64</v>
      </c>
      <c r="J251" s="130">
        <f t="shared" si="60"/>
        <v>0.64</v>
      </c>
      <c r="K251" s="130">
        <f t="shared" si="60"/>
        <v>0.64</v>
      </c>
      <c r="L251" s="130">
        <f t="shared" si="60"/>
        <v>0.64</v>
      </c>
      <c r="M251" s="130">
        <f t="shared" si="60"/>
        <v>0.64</v>
      </c>
      <c r="N251" s="130">
        <f t="shared" si="60"/>
        <v>0.64</v>
      </c>
      <c r="O251" s="130">
        <f t="shared" si="60"/>
        <v>0.64</v>
      </c>
      <c r="P251" s="130">
        <f t="shared" si="60"/>
        <v>0.64</v>
      </c>
      <c r="Q251" s="130">
        <f t="shared" si="60"/>
        <v>0.64</v>
      </c>
      <c r="R251" s="130">
        <f t="shared" si="60"/>
        <v>0.64</v>
      </c>
      <c r="S251" s="130">
        <f t="shared" si="60"/>
        <v>0.64</v>
      </c>
      <c r="T251" s="130">
        <f t="shared" si="61"/>
        <v>0.64</v>
      </c>
      <c r="U251" s="130">
        <f t="shared" si="61"/>
        <v>0.64</v>
      </c>
      <c r="V251" s="130">
        <f t="shared" si="61"/>
        <v>0.64</v>
      </c>
      <c r="W251" s="130">
        <f t="shared" si="61"/>
        <v>0.64</v>
      </c>
      <c r="X251" s="130">
        <f t="shared" si="61"/>
        <v>0.64</v>
      </c>
      <c r="Y251" s="130">
        <f t="shared" si="61"/>
        <v>0.64</v>
      </c>
      <c r="Z251" s="130">
        <f t="shared" si="61"/>
        <v>0.64</v>
      </c>
      <c r="AA251" s="130">
        <f t="shared" si="61"/>
        <v>0.64</v>
      </c>
      <c r="AB251" s="130">
        <f t="shared" si="61"/>
        <v>0.64</v>
      </c>
      <c r="AC251" s="130">
        <f t="shared" si="61"/>
        <v>0.64</v>
      </c>
      <c r="AD251" s="130">
        <f t="shared" si="61"/>
        <v>0.64</v>
      </c>
      <c r="AE251" s="130">
        <f t="shared" si="61"/>
        <v>0.64</v>
      </c>
      <c r="AF251" s="130">
        <f t="shared" si="61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62">SUM(B246:B251)</f>
        <v>3.54</v>
      </c>
      <c r="C252" s="134">
        <f t="shared" si="62"/>
        <v>3.54</v>
      </c>
      <c r="D252" s="134">
        <f t="shared" si="62"/>
        <v>3.54</v>
      </c>
      <c r="E252" s="134">
        <f t="shared" si="62"/>
        <v>3.54</v>
      </c>
      <c r="F252" s="134">
        <f t="shared" si="62"/>
        <v>3.54</v>
      </c>
      <c r="G252" s="134">
        <f t="shared" si="62"/>
        <v>3.54</v>
      </c>
      <c r="H252" s="134">
        <f t="shared" si="62"/>
        <v>3.54</v>
      </c>
      <c r="I252" s="134">
        <f t="shared" si="62"/>
        <v>3.54</v>
      </c>
      <c r="J252" s="134">
        <f t="shared" si="62"/>
        <v>3.54</v>
      </c>
      <c r="K252" s="134">
        <f t="shared" si="62"/>
        <v>3.54</v>
      </c>
      <c r="L252" s="134">
        <f t="shared" si="62"/>
        <v>3.54</v>
      </c>
      <c r="M252" s="134">
        <f t="shared" si="62"/>
        <v>3.54</v>
      </c>
      <c r="N252" s="134">
        <f t="shared" si="62"/>
        <v>3.54</v>
      </c>
      <c r="O252" s="134">
        <f t="shared" si="62"/>
        <v>3.54</v>
      </c>
      <c r="P252" s="134">
        <f t="shared" si="62"/>
        <v>3.54</v>
      </c>
      <c r="Q252" s="134">
        <f t="shared" si="62"/>
        <v>3.54</v>
      </c>
      <c r="R252" s="134">
        <f t="shared" si="62"/>
        <v>3.54</v>
      </c>
      <c r="S252" s="134">
        <f t="shared" si="62"/>
        <v>3.54</v>
      </c>
      <c r="T252" s="134">
        <f t="shared" si="62"/>
        <v>3.54</v>
      </c>
      <c r="U252" s="134">
        <f t="shared" si="62"/>
        <v>3.54</v>
      </c>
      <c r="V252" s="134">
        <f t="shared" si="62"/>
        <v>3.54</v>
      </c>
      <c r="W252" s="134">
        <f t="shared" si="62"/>
        <v>3.54</v>
      </c>
      <c r="X252" s="134">
        <f t="shared" si="62"/>
        <v>3.54</v>
      </c>
      <c r="Y252" s="134">
        <f t="shared" si="62"/>
        <v>3.54</v>
      </c>
      <c r="Z252" s="134">
        <f t="shared" si="62"/>
        <v>3.54</v>
      </c>
      <c r="AA252" s="134">
        <f t="shared" si="62"/>
        <v>3.54</v>
      </c>
      <c r="AB252" s="134">
        <f t="shared" si="62"/>
        <v>3.54</v>
      </c>
      <c r="AC252" s="134">
        <f t="shared" si="62"/>
        <v>3.54</v>
      </c>
      <c r="AD252" s="134">
        <f t="shared" si="62"/>
        <v>3.54</v>
      </c>
      <c r="AE252" s="134">
        <f t="shared" si="62"/>
        <v>3.54</v>
      </c>
      <c r="AF252" s="134">
        <f t="shared" si="62"/>
        <v>3.54</v>
      </c>
      <c r="AG252" s="143">
        <f t="shared" si="62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1625.49</v>
      </c>
      <c r="C256" s="156">
        <f>INDEX(G9:N9,1,MATCH(MAX(G99:N99),G99:N99,0))</f>
        <v>0.3125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str">
        <f ca="1">"Pie Chart of Daily Peak Demand(Inclusive of Export) of Nepal ("&amp;A4&amp;" "&amp;B4&amp;")"</f>
        <v>Pie Chart of Daily Peak Demand(Inclusive of Export) of Nepal (Nepali Date: 2080/10/31)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75" priority="90">
      <formula>$AH11=0</formula>
    </cfRule>
  </conditionalFormatting>
  <conditionalFormatting sqref="A132:A253">
    <cfRule type="expression" dxfId="274" priority="91">
      <formula>$AH132=0</formula>
    </cfRule>
  </conditionalFormatting>
  <conditionalFormatting sqref="B8">
    <cfRule type="expression" dxfId="273" priority="150">
      <formula>AND(C$9&gt;=8/24,C$9&lt;14/24)</formula>
    </cfRule>
    <cfRule type="expression" dxfId="272" priority="152">
      <formula>C$9&gt;=20/24</formula>
    </cfRule>
    <cfRule type="expression" dxfId="271" priority="151">
      <formula>C$9&lt;8/24</formula>
    </cfRule>
    <cfRule type="expression" dxfId="270" priority="149">
      <formula>AND(C$9&gt;=14/24,C$9&lt;20/24)</formula>
    </cfRule>
  </conditionalFormatting>
  <conditionalFormatting sqref="B11:E52 F12:J52 K13:V52 W20:X52 B59:D68 C63:D74 B69:AF74 B77:AF99 B9:AF10 B101:AF117 B119:AF137 B244:AF244 B246:B252">
    <cfRule type="expression" dxfId="269" priority="41">
      <formula>B$9&gt;=20/24</formula>
    </cfRule>
  </conditionalFormatting>
  <conditionalFormatting sqref="B11:E75 H12:J57 G12:G74 F12:F75 N13:V54 K13:M57 W20:X54 N55:X57 AA56:AF61 H58:Z61 H62:AG62 H63:AF74 G75:AF75 B76:AF80 AG80">
    <cfRule type="expression" dxfId="268" priority="40">
      <formula>B11&gt;$AG11</formula>
    </cfRule>
  </conditionalFormatting>
  <conditionalFormatting sqref="B53:X57">
    <cfRule type="expression" dxfId="267" priority="53">
      <formula>B$9&lt;8/24</formula>
    </cfRule>
  </conditionalFormatting>
  <conditionalFormatting sqref="B9:AF10 B11:E52 F12:J52 K13:V52 W20:X52 B59:D68 C63:D74 B69:AF74 B77:AF99 B101:AF117 B119:AF137 B244:AF244 B246:B252">
    <cfRule type="expression" dxfId="266" priority="44">
      <formula>B$9&lt;8/24</formula>
    </cfRule>
    <cfRule type="expression" dxfId="265" priority="43">
      <formula>AND(B$9&gt;=8/24,B$9&lt;14/24)</formula>
    </cfRule>
    <cfRule type="expression" dxfId="264" priority="42">
      <formula>AND(B$9&gt;=14/24,B$9&lt;20/24)</formula>
    </cfRule>
  </conditionalFormatting>
  <conditionalFormatting sqref="D246:AF252">
    <cfRule type="expression" dxfId="263" priority="137">
      <formula>D$9&lt;8/24</formula>
    </cfRule>
    <cfRule type="expression" dxfId="262" priority="136">
      <formula>AND(D$9&gt;=8/24,D$9&lt;14/24)</formula>
    </cfRule>
    <cfRule type="expression" dxfId="261" priority="134">
      <formula>D$9&gt;=20/24</formula>
    </cfRule>
    <cfRule type="expression" dxfId="260" priority="135">
      <formula>AND(D$9&gt;=14/24,D$9&lt;20/24)</formula>
    </cfRule>
  </conditionalFormatting>
  <conditionalFormatting sqref="E63:I67 J64:L67">
    <cfRule type="expression" dxfId="259" priority="54">
      <formula>E$9&gt;=20/24</formula>
    </cfRule>
    <cfRule type="expression" dxfId="258" priority="57">
      <formula>E$9&lt;8/24</formula>
    </cfRule>
    <cfRule type="expression" dxfId="257" priority="56">
      <formula>AND(E$9&gt;=8/24,E$9&lt;14/24)</formula>
    </cfRule>
    <cfRule type="expression" dxfId="256" priority="55">
      <formula>AND(E$9&gt;=14/24,E$9&lt;20/24)</formula>
    </cfRule>
  </conditionalFormatting>
  <conditionalFormatting sqref="E11:K11 V11:W11 L11:U12 X11:X19 Y11:AF52 K12 V12 W12:W19">
    <cfRule type="expression" dxfId="255" priority="60">
      <formula>AND(E$9&gt;=14/24,E$9&lt;20/24)</formula>
    </cfRule>
    <cfRule type="expression" dxfId="254" priority="62">
      <formula>E$9&lt;8/24</formula>
    </cfRule>
    <cfRule type="expression" dxfId="253" priority="61">
      <formula>AND(E$9&gt;=8/24,E$9&lt;14/24)</formula>
    </cfRule>
    <cfRule type="expression" dxfId="252" priority="59">
      <formula>E$9&gt;=20/24</formula>
    </cfRule>
    <cfRule type="expression" dxfId="251" priority="58">
      <formula>E11&gt;$AG11</formula>
    </cfRule>
  </conditionalFormatting>
  <conditionalFormatting sqref="E68:L68">
    <cfRule type="expression" dxfId="250" priority="50">
      <formula>AND(E$9&gt;=14/24,E$9&lt;20/24)</formula>
    </cfRule>
    <cfRule type="expression" dxfId="249" priority="49">
      <formula>E$9&gt;=20/24</formula>
    </cfRule>
    <cfRule type="expression" dxfId="248" priority="51">
      <formula>AND(E$9&gt;=8/24,E$9&lt;14/24)</formula>
    </cfRule>
    <cfRule type="expression" dxfId="247" priority="52">
      <formula>E$9&lt;8/24</formula>
    </cfRule>
  </conditionalFormatting>
  <conditionalFormatting sqref="E59:AF62">
    <cfRule type="expression" dxfId="246" priority="70">
      <formula>AND(E$9&gt;=8/24,E$9&lt;14/24)</formula>
    </cfRule>
    <cfRule type="expression" dxfId="245" priority="71">
      <formula>E$9&lt;8/24</formula>
    </cfRule>
    <cfRule type="expression" dxfId="244" priority="69">
      <formula>AND(E$9&gt;=14/24,E$9&lt;20/24)</formula>
    </cfRule>
    <cfRule type="expression" dxfId="243" priority="68">
      <formula>E$9&gt;=20/24</formula>
    </cfRule>
  </conditionalFormatting>
  <conditionalFormatting sqref="H63:L65">
    <cfRule type="expression" dxfId="242" priority="83">
      <formula>AND(H$9&gt;=14/24,H$9&lt;20/24)</formula>
    </cfRule>
    <cfRule type="expression" dxfId="241" priority="82">
      <formula>H$9&gt;=20/24</formula>
    </cfRule>
    <cfRule type="expression" dxfId="240" priority="84">
      <formula>AND(H$9&gt;=8/24,H$9&lt;14/24)</formula>
    </cfRule>
    <cfRule type="expression" dxfId="239" priority="85">
      <formula>H$9&lt;8/24</formula>
    </cfRule>
  </conditionalFormatting>
  <conditionalFormatting sqref="L68:V68">
    <cfRule type="expression" dxfId="238" priority="81">
      <formula>L$9&lt;8/24</formula>
    </cfRule>
    <cfRule type="expression" dxfId="237" priority="80">
      <formula>AND(L$9&gt;=8/24,L$9&lt;14/24)</formula>
    </cfRule>
    <cfRule type="expression" dxfId="236" priority="79">
      <formula>AND(L$9&gt;=14/24,L$9&lt;20/24)</formula>
    </cfRule>
    <cfRule type="expression" dxfId="235" priority="78">
      <formula>L$9&gt;=20/24</formula>
    </cfRule>
  </conditionalFormatting>
  <conditionalFormatting sqref="M8 S8 AB8">
    <cfRule type="expression" dxfId="234" priority="142">
      <formula>AND(N$9&gt;=8/24,N$9&lt;14/24)</formula>
    </cfRule>
    <cfRule type="expression" dxfId="233" priority="143">
      <formula>N$9&lt;8/24</formula>
    </cfRule>
    <cfRule type="expression" dxfId="232" priority="141">
      <formula>AND(N$9&gt;=14/24,N$9&lt;20/24)</formula>
    </cfRule>
  </conditionalFormatting>
  <conditionalFormatting sqref="M63:V67">
    <cfRule type="expression" dxfId="231" priority="86">
      <formula>M$9&gt;=20/24</formula>
    </cfRule>
    <cfRule type="expression" dxfId="230" priority="87">
      <formula>AND(M$9&gt;=14/24,M$9&lt;20/24)</formula>
    </cfRule>
    <cfRule type="expression" dxfId="229" priority="88">
      <formula>AND(M$9&gt;=8/24,M$9&lt;14/24)</formula>
    </cfRule>
    <cfRule type="expression" dxfId="228" priority="89">
      <formula>M$9&lt;8/24</formula>
    </cfRule>
  </conditionalFormatting>
  <conditionalFormatting sqref="N55:X57">
    <cfRule type="expression" dxfId="227" priority="46">
      <formula>N$9&gt;=20/24</formula>
    </cfRule>
    <cfRule type="expression" dxfId="226" priority="47">
      <formula>AND(N$9&gt;=14/24,N$9&lt;20/24)</formula>
    </cfRule>
    <cfRule type="expression" dxfId="225" priority="48">
      <formula>AND(N$9&gt;=8/24,N$9&lt;14/24)</formula>
    </cfRule>
  </conditionalFormatting>
  <conditionalFormatting sqref="N53:AF54 B53:M57">
    <cfRule type="expression" dxfId="224" priority="39">
      <formula>AND(B$9&gt;=8/24,B$9&lt;14/24)</formula>
    </cfRule>
    <cfRule type="expression" dxfId="223" priority="38">
      <formula>AND(B$9&gt;=14/24,B$9&lt;20/24)</formula>
    </cfRule>
    <cfRule type="expression" dxfId="222" priority="37">
      <formula>B$9&gt;=20/24</formula>
    </cfRule>
  </conditionalFormatting>
  <conditionalFormatting sqref="O3:P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1" priority="140">
      <formula>N$9&gt;=20/24</formula>
    </cfRule>
  </conditionalFormatting>
  <conditionalFormatting sqref="S8">
    <cfRule type="expression" dxfId="220" priority="127">
      <formula>U$9&gt;=20/24</formula>
    </cfRule>
    <cfRule type="expression" dxfId="219" priority="128">
      <formula>AND(U$9&gt;=14/24,U$9&lt;20/24)</formula>
    </cfRule>
    <cfRule type="expression" dxfId="218" priority="129">
      <formula>AND(U$9&gt;=8/24,U$9&lt;14/24)</formula>
    </cfRule>
    <cfRule type="expression" dxfId="217" priority="130">
      <formula>U$9&lt;8/24</formula>
    </cfRule>
  </conditionalFormatting>
  <conditionalFormatting sqref="T63:AF68">
    <cfRule type="expression" dxfId="216" priority="72">
      <formula>T$9&gt;=20/24</formula>
    </cfRule>
    <cfRule type="expression" dxfId="215" priority="73">
      <formula>AND(T$9&gt;=14/24,T$9&lt;20/24)</formula>
    </cfRule>
    <cfRule type="expression" dxfId="214" priority="74">
      <formula>AND(T$9&gt;=8/24,T$9&lt;14/24)</formula>
    </cfRule>
    <cfRule type="expression" dxfId="213" priority="75">
      <formula>T$9&lt;8/24</formula>
    </cfRule>
  </conditionalFormatting>
  <conditionalFormatting sqref="V3 AB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Y56:Z57">
    <cfRule type="expression" dxfId="212" priority="63">
      <formula>Y56&gt;$AG56</formula>
    </cfRule>
  </conditionalFormatting>
  <conditionalFormatting sqref="Y53:AF55">
    <cfRule type="expression" dxfId="211" priority="77">
      <formula>Y53&gt;$AG53</formula>
    </cfRule>
  </conditionalFormatting>
  <conditionalFormatting sqref="Y53:AF57">
    <cfRule type="expression" dxfId="210" priority="76">
      <formula>Y$9&lt;8/24</formula>
    </cfRule>
  </conditionalFormatting>
  <conditionalFormatting sqref="Y55:AF57">
    <cfRule type="expression" dxfId="209" priority="66">
      <formula>AND(Y$9&gt;=8/24,Y$9&lt;14/24)</formula>
    </cfRule>
    <cfRule type="expression" dxfId="208" priority="65">
      <formula>AND(Y$9&gt;=14/24,Y$9&lt;20/24)</formula>
    </cfRule>
    <cfRule type="expression" dxfId="207" priority="64">
      <formula>Y$9&gt;=20/24</formula>
    </cfRule>
  </conditionalFormatting>
  <conditionalFormatting sqref="AB8">
    <cfRule type="expression" dxfId="206" priority="126">
      <formula>AD$9&lt;8/24</formula>
    </cfRule>
    <cfRule type="expression" dxfId="205" priority="125">
      <formula>AND(AD$9&gt;=8/24,AD$9&lt;14/24)</formula>
    </cfRule>
    <cfRule type="expression" dxfId="204" priority="124">
      <formula>AND(AD$9&gt;=14/24,AD$9&lt;20/24)</formula>
    </cfRule>
    <cfRule type="expression" dxfId="203" priority="123">
      <formula>AD$9&gt;=20/24</formula>
    </cfRule>
  </conditionalFormatting>
  <conditionalFormatting sqref="AG58">
    <cfRule type="expression" dxfId="202" priority="118">
      <formula>AG58&gt;$AG58</formula>
    </cfRule>
  </conditionalFormatting>
  <conditionalFormatting sqref="AG62">
    <cfRule type="expression" dxfId="201" priority="102">
      <formula>AND(AG$9&gt;=14/24,AG$9&lt;20/24)</formula>
    </cfRule>
    <cfRule type="expression" dxfId="200" priority="103">
      <formula>AND(AG$9&gt;=8/24,AG$9&lt;14/24)</formula>
    </cfRule>
    <cfRule type="expression" dxfId="199" priority="101">
      <formula>AG$9&gt;=20/24</formula>
    </cfRule>
    <cfRule type="expression" dxfId="198" priority="104">
      <formula>AG$9&lt;8/24</formula>
    </cfRule>
  </conditionalFormatting>
  <conditionalFormatting sqref="AG75:AG76">
    <cfRule type="expression" dxfId="197" priority="96">
      <formula>AG75&gt;$AG75</formula>
    </cfRule>
  </conditionalFormatting>
  <conditionalFormatting sqref="AG80">
    <cfRule type="expression" dxfId="196" priority="98">
      <formula>AND(AG$9&gt;=14/24,AG$9&lt;20/24)</formula>
    </cfRule>
    <cfRule type="expression" dxfId="195" priority="100">
      <formula>AG$9&lt;8/24</formula>
    </cfRule>
    <cfRule type="expression" dxfId="194" priority="99">
      <formula>AND(AG$9&gt;=8/24,AG$9&lt;14/24)</formula>
    </cfRule>
    <cfRule type="expression" dxfId="193" priority="97">
      <formula>AG$9&gt;=20/24</formula>
    </cfRule>
  </conditionalFormatting>
  <conditionalFormatting sqref="AG97">
    <cfRule type="expression" dxfId="192" priority="122">
      <formula>AG$9&lt;8/24</formula>
    </cfRule>
    <cfRule type="expression" dxfId="191" priority="121">
      <formula>AND(AG$9&gt;=8/24,AG$9&lt;14/24)</formula>
    </cfRule>
    <cfRule type="expression" dxfId="190" priority="120">
      <formula>AND(AG$9&gt;=14/24,AG$9&lt;20/24)</formula>
    </cfRule>
    <cfRule type="expression" dxfId="189" priority="119">
      <formula>AG$9&gt;=20/24</formula>
    </cfRule>
  </conditionalFormatting>
  <conditionalFormatting sqref="AL4:AL6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8" priority="144">
      <formula>AJ$9&gt;=20/24</formula>
    </cfRule>
    <cfRule type="expression" dxfId="187" priority="145">
      <formula>AND(AJ$9&gt;=14/24,AJ$9&lt;20/24)</formula>
    </cfRule>
    <cfRule type="expression" dxfId="186" priority="146">
      <formula>AND(AJ$9&gt;=8/24,AJ$9&lt;14/24)</formula>
    </cfRule>
    <cfRule type="expression" dxfId="185" priority="147">
      <formula>AJ$9&lt;8/24</formula>
    </cfRule>
  </conditionalFormatting>
  <conditionalFormatting sqref="AL88:AN88 AL94:AN94">
    <cfRule type="expression" dxfId="184" priority="114">
      <formula>AL$9&lt;8/24</formula>
    </cfRule>
    <cfRule type="expression" dxfId="183" priority="111">
      <formula>AL$9&gt;=20/24</formula>
    </cfRule>
    <cfRule type="expression" dxfId="182" priority="113">
      <formula>AND(AL$9&gt;=8/24,AL$9&lt;14/24)</formula>
    </cfRule>
    <cfRule type="expression" dxfId="181" priority="112">
      <formula>AND(AL$9&gt;=14/24,AL$9&lt;20/24)</formula>
    </cfRule>
  </conditionalFormatting>
  <conditionalFormatting sqref="AM15:AM21 AN16:AR21">
    <cfRule type="expression" dxfId="180" priority="16">
      <formula>AX$9&lt;8/24</formula>
    </cfRule>
    <cfRule type="expression" dxfId="179" priority="15">
      <formula>AND(AX$9&gt;=8/24,AX$9&lt;14/24)</formula>
    </cfRule>
    <cfRule type="expression" dxfId="178" priority="14">
      <formula>AND(AX$9&gt;=14/24,AX$9&lt;20/24)</formula>
    </cfRule>
    <cfRule type="expression" dxfId="177" priority="13">
      <formula>AX$9&gt;=20/24</formula>
    </cfRule>
  </conditionalFormatting>
  <conditionalFormatting sqref="AN89:AN92">
    <cfRule type="expression" dxfId="176" priority="107">
      <formula>AN$9&gt;=20/24</formula>
    </cfRule>
    <cfRule type="expression" dxfId="175" priority="108">
      <formula>AND(AN$9&gt;=14/24,AN$9&lt;20/24)</formula>
    </cfRule>
    <cfRule type="expression" dxfId="174" priority="109">
      <formula>AND(AN$9&gt;=8/24,AN$9&lt;14/24)</formula>
    </cfRule>
    <cfRule type="expression" dxfId="173" priority="110">
      <formula>AN$9&lt;8/24</formula>
    </cfRule>
  </conditionalFormatting>
  <conditionalFormatting sqref="AN15:AR15">
    <cfRule type="expression" dxfId="172" priority="4">
      <formula>U$9&lt;8/24</formula>
    </cfRule>
    <cfRule type="expression" dxfId="171" priority="1">
      <formula>U$9&gt;=20/24</formula>
    </cfRule>
    <cfRule type="expression" dxfId="170" priority="2">
      <formula>AND(U$9&gt;=14/24,U$9&lt;20/24)</formula>
    </cfRule>
    <cfRule type="expression" dxfId="169" priority="3">
      <formula>AND(U$9&gt;=8/24,U$9&lt;14/24)</formula>
    </cfRule>
  </conditionalFormatting>
  <conditionalFormatting sqref="AS15">
    <cfRule type="expression" dxfId="168" priority="12">
      <formula>AA$9&lt;8/24</formula>
    </cfRule>
    <cfRule type="expression" dxfId="167" priority="10">
      <formula>AND(AA$9&gt;=14/24,AA$9&lt;20/24)</formula>
    </cfRule>
    <cfRule type="expression" dxfId="166" priority="9">
      <formula>AA$9&gt;=20/24</formula>
    </cfRule>
    <cfRule type="expression" dxfId="165" priority="11">
      <formula>AND(AA$9&gt;=8/24,AA$9&lt;14/24)</formula>
    </cfRule>
  </conditionalFormatting>
  <conditionalFormatting sqref="AS16:AS21">
    <cfRule type="expression" dxfId="164" priority="20">
      <formula>BE$9&lt;8/24</formula>
    </cfRule>
    <cfRule type="expression" dxfId="163" priority="18">
      <formula>AND(BE$9&gt;=14/24,BE$9&lt;20/24)</formula>
    </cfRule>
    <cfRule type="expression" dxfId="162" priority="17">
      <formula>BE$9&gt;=20/24</formula>
    </cfRule>
    <cfRule type="expression" dxfId="161" priority="19">
      <formula>AND(BE$9&gt;=8/24,BE$9&lt;14/24)</formula>
    </cfRule>
  </conditionalFormatting>
  <conditionalFormatting sqref="AT15 AX15">
    <cfRule type="expression" dxfId="160" priority="24">
      <formula>AC$9&lt;8/24</formula>
    </cfRule>
    <cfRule type="expression" dxfId="159" priority="23">
      <formula>AND(AC$9&gt;=8/24,AC$9&lt;14/24)</formula>
    </cfRule>
    <cfRule type="expression" dxfId="158" priority="22">
      <formula>AND(AC$9&gt;=14/24,AC$9&lt;20/24)</formula>
    </cfRule>
    <cfRule type="expression" dxfId="157" priority="21">
      <formula>AC$9&gt;=20/24</formula>
    </cfRule>
  </conditionalFormatting>
  <conditionalFormatting sqref="AT16:AT21">
    <cfRule type="expression" dxfId="156" priority="26">
      <formula>AND(BG$9&gt;=14/24,BG$9&lt;20/24)</formula>
    </cfRule>
    <cfRule type="expression" dxfId="155" priority="25">
      <formula>BG$9&gt;=20/24</formula>
    </cfRule>
    <cfRule type="expression" dxfId="154" priority="27">
      <formula>AND(BG$9&gt;=8/24,BG$9&lt;14/24)</formula>
    </cfRule>
    <cfRule type="expression" dxfId="153" priority="28">
      <formula>BG$9&lt;8/24</formula>
    </cfRule>
  </conditionalFormatting>
  <conditionalFormatting sqref="AU15:AV15">
    <cfRule type="expression" dxfId="152" priority="29">
      <formula>AE$9&gt;=20/24</formula>
    </cfRule>
    <cfRule type="expression" dxfId="151" priority="30">
      <formula>AND(AE$9&gt;=14/24,AE$9&lt;20/24)</formula>
    </cfRule>
    <cfRule type="expression" dxfId="150" priority="31">
      <formula>AND(AE$9&gt;=8/24,AE$9&lt;14/24)</formula>
    </cfRule>
    <cfRule type="expression" dxfId="149" priority="32">
      <formula>AE$9&lt;8/24</formula>
    </cfRule>
  </conditionalFormatting>
  <conditionalFormatting sqref="AU16:AX21">
    <cfRule type="expression" dxfId="148" priority="35">
      <formula>AND(BI$9&gt;=8/24,BI$9&lt;14/24)</formula>
    </cfRule>
    <cfRule type="expression" dxfId="147" priority="36">
      <formula>BI$9&lt;8/24</formula>
    </cfRule>
    <cfRule type="expression" dxfId="146" priority="33">
      <formula>BI$9&gt;=20/24</formula>
    </cfRule>
    <cfRule type="expression" dxfId="145" priority="34">
      <formula>AND(BI$9&gt;=14/24,BI$9&lt;20/24)</formula>
    </cfRule>
  </conditionalFormatting>
  <conditionalFormatting sqref="AW15">
    <cfRule type="expression" dxfId="144" priority="7">
      <formula>AND(B$9&gt;=8/24,B$9&lt;14/24)</formula>
    </cfRule>
    <cfRule type="expression" dxfId="143" priority="6">
      <formula>AND(B$9&gt;=14/24,B$9&lt;20/24)</formula>
    </cfRule>
    <cfRule type="expression" dxfId="142" priority="5">
      <formula>B$9&gt;=20/24</formula>
    </cfRule>
    <cfRule type="expression" dxfId="14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61EF-D644-4C52-A9E9-49666D7D9BA8}">
  <dimension ref="A1:CJ294"/>
  <sheetViews>
    <sheetView zoomScale="106" workbookViewId="0">
      <pane xSplit="1" ySplit="10" topLeftCell="BB11" activePane="bottomRight" state="frozen"/>
      <selection activeCell="Z63" sqref="Z63"/>
      <selection pane="topRight" activeCell="Z63" sqref="Z63"/>
      <selection pane="bottomLeft" activeCell="Z63" sqref="Z63"/>
      <selection pane="bottomRight" activeCell="BP33" sqref="BP3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8" t="s">
        <v>1</v>
      </c>
      <c r="AH1" s="278"/>
      <c r="AI1" s="278"/>
      <c r="AL1" s="2"/>
    </row>
    <row r="2" spans="1:88" ht="20.25" hidden="1" x14ac:dyDescent="0.25">
      <c r="A2" s="3"/>
      <c r="B2" s="279" t="s">
        <v>2</v>
      </c>
      <c r="C2" s="4"/>
      <c r="D2" s="281" t="s">
        <v>3</v>
      </c>
      <c r="E2" s="4"/>
      <c r="F2" s="281" t="s">
        <v>4</v>
      </c>
      <c r="G2" s="4"/>
      <c r="H2" s="281" t="s">
        <v>5</v>
      </c>
      <c r="I2" s="5"/>
      <c r="J2" s="28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AG58</f>
        <v>1042.4000000000001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80"/>
      <c r="C3" s="16"/>
      <c r="D3" s="282"/>
      <c r="E3" s="16"/>
      <c r="F3" s="282"/>
      <c r="G3" s="16"/>
      <c r="H3" s="282"/>
      <c r="I3" s="17"/>
      <c r="J3" s="28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AG76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thickBot="1" x14ac:dyDescent="0.3">
      <c r="A4" s="25" t="s">
        <v>11</v>
      </c>
      <c r="B4" s="272" t="e">
        <f ca="1">"2080/"&amp;"10/"&amp;INT(MID(CELL("filename",D6),FIND("]",CELL("filename",D6))+1,200))</f>
        <v>#VALUE!</v>
      </c>
      <c r="C4" s="272"/>
      <c r="D4" s="272"/>
      <c r="E4" s="273" t="e">
        <f ca="1">"2080/"&amp;"10/"&amp;INT(MID(CELL("filename",G6),FIND("]",CELL("filename",G6))+1,200))</f>
        <v>#VALUE!</v>
      </c>
      <c r="F4" s="273"/>
      <c r="G4" s="273"/>
      <c r="H4" s="273" t="e">
        <f ca="1">TEXT(E4,"dddd")</f>
        <v>#VALUE!</v>
      </c>
      <c r="I4" s="273"/>
      <c r="J4" s="26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AG80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thickBot="1" x14ac:dyDescent="0.3">
      <c r="A5" s="29"/>
      <c r="B5" s="30">
        <f>C92</f>
        <v>0</v>
      </c>
      <c r="C5" s="30">
        <f t="shared" ref="C5:AE5" si="0">D92</f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B92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thickBot="1" x14ac:dyDescent="0.3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1638.3100000000002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Load=154</v>
      </c>
      <c r="B7" s="35">
        <f>B100</f>
        <v>153.54</v>
      </c>
      <c r="C7" s="35">
        <f t="shared" ref="C7:AF7" si="1">C100</f>
        <v>153.54</v>
      </c>
      <c r="D7" s="35">
        <f t="shared" si="1"/>
        <v>153.54</v>
      </c>
      <c r="E7" s="35">
        <f t="shared" si="1"/>
        <v>153.54</v>
      </c>
      <c r="F7" s="35">
        <f t="shared" si="1"/>
        <v>153.54</v>
      </c>
      <c r="G7" s="35">
        <f t="shared" si="1"/>
        <v>153.54</v>
      </c>
      <c r="H7" s="35">
        <f t="shared" si="1"/>
        <v>153.54</v>
      </c>
      <c r="I7" s="35">
        <f t="shared" si="1"/>
        <v>153.54</v>
      </c>
      <c r="J7" s="35">
        <f t="shared" si="1"/>
        <v>153.54</v>
      </c>
      <c r="K7" s="35">
        <f t="shared" si="1"/>
        <v>153.54</v>
      </c>
      <c r="L7" s="35">
        <f t="shared" si="1"/>
        <v>153.54</v>
      </c>
      <c r="M7" s="35">
        <f t="shared" si="1"/>
        <v>153.54</v>
      </c>
      <c r="N7" s="35">
        <f t="shared" si="1"/>
        <v>153.54</v>
      </c>
      <c r="O7" s="35">
        <f t="shared" si="1"/>
        <v>153.54</v>
      </c>
      <c r="P7" s="35">
        <f t="shared" si="1"/>
        <v>153.54</v>
      </c>
      <c r="Q7" s="35">
        <f t="shared" si="1"/>
        <v>153.54</v>
      </c>
      <c r="R7" s="35">
        <f t="shared" si="1"/>
        <v>153.54</v>
      </c>
      <c r="S7" s="35">
        <f t="shared" si="1"/>
        <v>153.54</v>
      </c>
      <c r="T7" s="35">
        <f t="shared" si="1"/>
        <v>153.54</v>
      </c>
      <c r="U7" s="35">
        <f t="shared" si="1"/>
        <v>153.54</v>
      </c>
      <c r="V7" s="35">
        <f t="shared" si="1"/>
        <v>153.54</v>
      </c>
      <c r="W7" s="35">
        <f t="shared" si="1"/>
        <v>153.54</v>
      </c>
      <c r="X7" s="35">
        <f t="shared" si="1"/>
        <v>153.54</v>
      </c>
      <c r="Y7" s="35">
        <f t="shared" si="1"/>
        <v>153.5</v>
      </c>
      <c r="Z7" s="35">
        <f t="shared" si="1"/>
        <v>155.5</v>
      </c>
      <c r="AA7" s="35">
        <f t="shared" si="1"/>
        <v>153.54</v>
      </c>
      <c r="AB7" s="35">
        <f t="shared" si="1"/>
        <v>153.54</v>
      </c>
      <c r="AC7" s="35">
        <f t="shared" si="1"/>
        <v>153.54</v>
      </c>
      <c r="AD7" s="35">
        <f t="shared" si="1"/>
        <v>153.54</v>
      </c>
      <c r="AE7" s="35">
        <f t="shared" si="1"/>
        <v>153.54</v>
      </c>
      <c r="AF7" s="35">
        <f t="shared" si="1"/>
        <v>153.54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74" t="s">
        <v>14</v>
      </c>
      <c r="C8" s="275"/>
      <c r="D8" s="275"/>
      <c r="E8" s="275"/>
      <c r="F8" s="275"/>
      <c r="G8" s="275"/>
      <c r="H8" s="275"/>
      <c r="I8" s="275"/>
      <c r="J8" s="275"/>
      <c r="K8" s="275"/>
      <c r="L8" s="276"/>
      <c r="M8" s="267" t="s">
        <v>15</v>
      </c>
      <c r="N8" s="268"/>
      <c r="O8" s="268"/>
      <c r="P8" s="268"/>
      <c r="Q8" s="268"/>
      <c r="R8" s="269"/>
      <c r="S8" s="267" t="s">
        <v>16</v>
      </c>
      <c r="T8" s="268"/>
      <c r="U8" s="268"/>
      <c r="V8" s="268"/>
      <c r="W8" s="268"/>
      <c r="X8" s="268"/>
      <c r="Y8" s="268"/>
      <c r="Z8" s="268"/>
      <c r="AA8" s="269"/>
      <c r="AB8" s="267" t="s">
        <v>17</v>
      </c>
      <c r="AC8" s="268"/>
      <c r="AD8" s="268"/>
      <c r="AE8" s="268"/>
      <c r="AF8" s="269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30" t="str">
        <f>"DAILY SYSTEM PEAK : "&amp;MAX(AM22:BJ22)&amp;" MW"</f>
        <v>DAILY SYSTEM PEAK : 153.54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70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0.22916666666666666</v>
      </c>
      <c r="I9" s="266">
        <v>0.25</v>
      </c>
      <c r="J9" s="266">
        <v>0.27083333333333331</v>
      </c>
      <c r="K9" s="266">
        <v>0.29166666666666669</v>
      </c>
      <c r="L9" s="266">
        <v>0.3125</v>
      </c>
      <c r="M9" s="264">
        <v>0.33333333333333331</v>
      </c>
      <c r="N9" s="264">
        <v>0.375</v>
      </c>
      <c r="O9" s="264">
        <v>0.41666666666666702</v>
      </c>
      <c r="P9" s="264">
        <v>0.45833333333333298</v>
      </c>
      <c r="Q9" s="264">
        <v>0.5</v>
      </c>
      <c r="R9" s="264">
        <v>0.54166666666666696</v>
      </c>
      <c r="S9" s="260">
        <v>0.58333333333333304</v>
      </c>
      <c r="T9" s="260">
        <v>0.625</v>
      </c>
      <c r="U9" s="260">
        <v>0.66666666666666696</v>
      </c>
      <c r="V9" s="260">
        <v>0.70833333333333304</v>
      </c>
      <c r="W9" s="260">
        <v>0.72916666666666663</v>
      </c>
      <c r="X9" s="260">
        <v>0.75</v>
      </c>
      <c r="Y9" s="260">
        <v>0.77083333333333337</v>
      </c>
      <c r="Z9" s="260">
        <v>0.79166666666666663</v>
      </c>
      <c r="AA9" s="260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60">
        <v>0.95833333333333304</v>
      </c>
      <c r="AG9" s="262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30" t="str">
        <f>"DAILY NATIONAL PEAK : "&amp;MAX(AM24:BJ24)&amp;" MW"</f>
        <v>DAILY NATIONAL PEAK : 153.54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7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5"/>
      <c r="N10" s="265"/>
      <c r="O10" s="265"/>
      <c r="P10" s="265"/>
      <c r="Q10" s="265"/>
      <c r="R10" s="265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3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16" si="2">MAX(B11:AF11)</f>
        <v>0</v>
      </c>
      <c r="AI11" s="48">
        <f t="shared" ref="AI11:AI1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261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0</v>
      </c>
      <c r="AI12" s="48">
        <f t="shared" si="3"/>
        <v>0</v>
      </c>
      <c r="AK12" s="50"/>
      <c r="AL12" s="157" t="str">
        <f ca="1">MID(CELL("filename",C7),FIND("]",CELL("filename",C7))+1,600)</f>
        <v>NSample</v>
      </c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9">
        <v>54</v>
      </c>
      <c r="AH13" s="47">
        <f t="shared" si="2"/>
        <v>0</v>
      </c>
      <c r="AI13" s="48">
        <f t="shared" si="3"/>
        <v>0</v>
      </c>
      <c r="AK13" s="50"/>
      <c r="AL13" s="157" t="e">
        <f ca="1">"Daily Load Curve(Excluding of Export) of Nepal ("&amp;A4&amp;" "&amp;B4&amp;")"</f>
        <v>#VALUE!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4" t="s">
        <v>21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6">
        <v>52.4</v>
      </c>
      <c r="AH14" s="47">
        <f t="shared" si="2"/>
        <v>0</v>
      </c>
      <c r="AI14" s="48">
        <f t="shared" si="3"/>
        <v>0</v>
      </c>
      <c r="AK14" s="50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4" t="s">
        <v>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49">
        <v>50</v>
      </c>
      <c r="AH15" s="47">
        <f t="shared" si="2"/>
        <v>0</v>
      </c>
      <c r="AI15" s="48">
        <f t="shared" si="3"/>
        <v>0</v>
      </c>
      <c r="AK15" s="50"/>
      <c r="AL15" s="160" t="s">
        <v>245</v>
      </c>
      <c r="AM15" s="161">
        <v>0</v>
      </c>
      <c r="AN15" s="162">
        <v>4.1666666666666664E-2</v>
      </c>
      <c r="AO15" s="163">
        <v>8.3333333333333301E-2</v>
      </c>
      <c r="AP15" s="163">
        <v>0.125</v>
      </c>
      <c r="AQ15" s="163">
        <v>0.16666666666666699</v>
      </c>
      <c r="AR15" s="163">
        <v>0.20833333333333301</v>
      </c>
      <c r="AS15" s="163">
        <v>0.25</v>
      </c>
      <c r="AT15" s="163">
        <v>0.29166666666666669</v>
      </c>
      <c r="AU15" s="164">
        <v>0.33333333333333331</v>
      </c>
      <c r="AV15" s="164">
        <v>0.375</v>
      </c>
      <c r="AW15" s="164">
        <v>0.41666666666666702</v>
      </c>
      <c r="AX15" s="164">
        <v>0.45833333333333298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45</v>
      </c>
      <c r="AH16" s="47">
        <f t="shared" si="2"/>
        <v>0</v>
      </c>
      <c r="AI16" s="48">
        <f t="shared" si="3"/>
        <v>0</v>
      </c>
      <c r="AK16" s="50"/>
      <c r="AL16" s="160" t="s">
        <v>7</v>
      </c>
      <c r="AM16" s="227">
        <f>B58</f>
        <v>150</v>
      </c>
      <c r="AN16" s="227">
        <f t="shared" ref="AN16:AR16" si="4">C58</f>
        <v>150</v>
      </c>
      <c r="AO16" s="227">
        <f t="shared" si="4"/>
        <v>150</v>
      </c>
      <c r="AP16" s="227">
        <f t="shared" si="4"/>
        <v>150</v>
      </c>
      <c r="AQ16" s="227">
        <f t="shared" si="4"/>
        <v>150</v>
      </c>
      <c r="AR16" s="227">
        <f t="shared" si="4"/>
        <v>150</v>
      </c>
      <c r="AS16" s="227">
        <f>I58</f>
        <v>150</v>
      </c>
      <c r="AT16" s="227">
        <f>K58</f>
        <v>150</v>
      </c>
      <c r="AU16" s="227">
        <f t="shared" ref="AU16:AX16" si="5">M58</f>
        <v>150</v>
      </c>
      <c r="AV16" s="227">
        <f t="shared" si="5"/>
        <v>150</v>
      </c>
      <c r="AW16" s="227">
        <f t="shared" si="5"/>
        <v>150</v>
      </c>
      <c r="AX16" s="227">
        <f t="shared" si="5"/>
        <v>150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44</v>
      </c>
      <c r="AH17" s="47">
        <f>MAX(B17:AG17)</f>
        <v>44</v>
      </c>
      <c r="AI17" s="48">
        <f>MIN(B17:AG17)</f>
        <v>44</v>
      </c>
      <c r="AK17" s="50"/>
      <c r="AL17" s="160" t="s">
        <v>592</v>
      </c>
      <c r="AM17" s="227">
        <f>B62</f>
        <v>0</v>
      </c>
      <c r="AN17" s="227">
        <f t="shared" ref="AN17:AR17" si="6">C62</f>
        <v>0</v>
      </c>
      <c r="AO17" s="227">
        <f t="shared" si="6"/>
        <v>0</v>
      </c>
      <c r="AP17" s="227">
        <f t="shared" si="6"/>
        <v>0</v>
      </c>
      <c r="AQ17" s="227">
        <f t="shared" si="6"/>
        <v>0</v>
      </c>
      <c r="AR17" s="227">
        <f t="shared" si="6"/>
        <v>0</v>
      </c>
      <c r="AS17" s="227">
        <f>I62</f>
        <v>0</v>
      </c>
      <c r="AT17" s="227">
        <f>K62</f>
        <v>0</v>
      </c>
      <c r="AU17" s="227">
        <f t="shared" ref="AU17:AX17" si="7">M62</f>
        <v>0</v>
      </c>
      <c r="AV17" s="227">
        <f t="shared" si="7"/>
        <v>0</v>
      </c>
      <c r="AW17" s="227">
        <f t="shared" si="7"/>
        <v>0</v>
      </c>
      <c r="AX17" s="227">
        <f t="shared" si="7"/>
        <v>0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42</v>
      </c>
      <c r="AH18" s="47">
        <f t="shared" ref="AH18:AH49" si="8">MAX(B18:AF18)</f>
        <v>0</v>
      </c>
      <c r="AI18" s="48">
        <f t="shared" ref="AI18:AI49" si="9">MIN(B18:AF18)</f>
        <v>0</v>
      </c>
      <c r="AK18" s="50"/>
      <c r="AL18" s="160" t="s">
        <v>593</v>
      </c>
      <c r="AM18" s="227">
        <f>B76</f>
        <v>3.54</v>
      </c>
      <c r="AN18" s="227">
        <f t="shared" ref="AN18:AR18" si="10">C76</f>
        <v>3.54</v>
      </c>
      <c r="AO18" s="227">
        <f t="shared" si="10"/>
        <v>3.54</v>
      </c>
      <c r="AP18" s="227">
        <f t="shared" si="10"/>
        <v>3.54</v>
      </c>
      <c r="AQ18" s="227">
        <f t="shared" si="10"/>
        <v>3.54</v>
      </c>
      <c r="AR18" s="227">
        <f t="shared" si="10"/>
        <v>3.54</v>
      </c>
      <c r="AS18" s="227">
        <f>I76</f>
        <v>3.54</v>
      </c>
      <c r="AT18" s="227">
        <f>K76</f>
        <v>3.54</v>
      </c>
      <c r="AU18" s="227">
        <f t="shared" ref="AU18:AX18" si="11">M76</f>
        <v>3.54</v>
      </c>
      <c r="AV18" s="227">
        <f t="shared" si="11"/>
        <v>3.54</v>
      </c>
      <c r="AW18" s="227">
        <f t="shared" si="11"/>
        <v>3.54</v>
      </c>
      <c r="AX18" s="227">
        <f t="shared" si="11"/>
        <v>3.54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262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38.46</v>
      </c>
      <c r="AH19" s="47">
        <f t="shared" si="8"/>
        <v>0</v>
      </c>
      <c r="AI19" s="48">
        <f t="shared" si="9"/>
        <v>0</v>
      </c>
      <c r="AK19" s="50"/>
      <c r="AL19" s="160" t="s">
        <v>594</v>
      </c>
      <c r="AM19" s="227">
        <f>B92</f>
        <v>0</v>
      </c>
      <c r="AN19" s="227">
        <f t="shared" ref="AN19:AR19" si="12">C92</f>
        <v>0</v>
      </c>
      <c r="AO19" s="227">
        <f t="shared" si="12"/>
        <v>0</v>
      </c>
      <c r="AP19" s="227">
        <f t="shared" si="12"/>
        <v>0</v>
      </c>
      <c r="AQ19" s="227">
        <f t="shared" si="12"/>
        <v>0</v>
      </c>
      <c r="AR19" s="227">
        <f t="shared" si="12"/>
        <v>0</v>
      </c>
      <c r="AS19" s="227">
        <f>I92</f>
        <v>0</v>
      </c>
      <c r="AT19" s="227">
        <f>K92</f>
        <v>0</v>
      </c>
      <c r="AU19" s="227">
        <f t="shared" ref="AU19:AX19" si="13">M92</f>
        <v>0</v>
      </c>
      <c r="AV19" s="227">
        <f t="shared" si="13"/>
        <v>0</v>
      </c>
      <c r="AW19" s="227">
        <f t="shared" si="13"/>
        <v>0</v>
      </c>
      <c r="AX19" s="227">
        <f t="shared" si="13"/>
        <v>0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9">
        <v>38.46</v>
      </c>
      <c r="AH20" s="47">
        <f t="shared" si="8"/>
        <v>0</v>
      </c>
      <c r="AI20" s="48">
        <f t="shared" si="9"/>
        <v>0</v>
      </c>
      <c r="AK20" s="50"/>
      <c r="AL20" s="160" t="s">
        <v>595</v>
      </c>
      <c r="AM20" s="227">
        <f>B80</f>
        <v>0</v>
      </c>
      <c r="AN20" s="227">
        <f t="shared" ref="AN20:AR20" si="14">C80</f>
        <v>0</v>
      </c>
      <c r="AO20" s="227">
        <f t="shared" si="14"/>
        <v>0</v>
      </c>
      <c r="AP20" s="227">
        <f t="shared" si="14"/>
        <v>0</v>
      </c>
      <c r="AQ20" s="227">
        <f t="shared" si="14"/>
        <v>0</v>
      </c>
      <c r="AR20" s="227">
        <f t="shared" si="14"/>
        <v>0</v>
      </c>
      <c r="AS20" s="227">
        <f>I80</f>
        <v>0</v>
      </c>
      <c r="AT20" s="227">
        <f>K80</f>
        <v>0</v>
      </c>
      <c r="AU20" s="227">
        <f t="shared" ref="AU20:AX20" si="15">M80</f>
        <v>0</v>
      </c>
      <c r="AV20" s="227">
        <f t="shared" si="15"/>
        <v>0</v>
      </c>
      <c r="AW20" s="227">
        <f t="shared" si="15"/>
        <v>0</v>
      </c>
      <c r="AX20" s="227">
        <f t="shared" si="15"/>
        <v>0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36</v>
      </c>
      <c r="AH21" s="47">
        <f t="shared" si="8"/>
        <v>0</v>
      </c>
      <c r="AI21" s="48">
        <f t="shared" si="9"/>
        <v>0</v>
      </c>
      <c r="AK21" s="50"/>
      <c r="AL21" s="160" t="s">
        <v>596</v>
      </c>
      <c r="AM21" s="227">
        <f>B98</f>
        <v>0</v>
      </c>
      <c r="AN21" s="227">
        <f t="shared" ref="AN21:AR21" si="16">C98</f>
        <v>0</v>
      </c>
      <c r="AO21" s="227">
        <f t="shared" si="16"/>
        <v>0</v>
      </c>
      <c r="AP21" s="227">
        <f t="shared" si="16"/>
        <v>0</v>
      </c>
      <c r="AQ21" s="227">
        <f t="shared" si="16"/>
        <v>0</v>
      </c>
      <c r="AR21" s="227">
        <f t="shared" si="16"/>
        <v>0</v>
      </c>
      <c r="AS21" s="227">
        <f>I98</f>
        <v>0</v>
      </c>
      <c r="AT21" s="227">
        <f>K98</f>
        <v>0</v>
      </c>
      <c r="AU21" s="227">
        <f t="shared" ref="AU21:AX21" si="17">M98</f>
        <v>0</v>
      </c>
      <c r="AV21" s="227">
        <f t="shared" si="17"/>
        <v>0</v>
      </c>
      <c r="AW21" s="227">
        <f t="shared" si="17"/>
        <v>0</v>
      </c>
      <c r="AX21" s="227">
        <f t="shared" si="17"/>
        <v>0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2">
        <v>30</v>
      </c>
      <c r="AH22" s="47">
        <f t="shared" si="8"/>
        <v>0</v>
      </c>
      <c r="AI22" s="48">
        <f t="shared" si="9"/>
        <v>0</v>
      </c>
      <c r="AK22" s="50"/>
      <c r="AL22" s="229" t="s">
        <v>597</v>
      </c>
      <c r="AM22" s="228">
        <f>SUM(AM16:AM21)</f>
        <v>153.54</v>
      </c>
      <c r="AN22" s="228">
        <f t="shared" ref="AN22:AX22" si="18">SUM(AN16:AN21)</f>
        <v>153.54</v>
      </c>
      <c r="AO22" s="228">
        <f t="shared" si="18"/>
        <v>153.54</v>
      </c>
      <c r="AP22" s="228">
        <f t="shared" si="18"/>
        <v>153.54</v>
      </c>
      <c r="AQ22" s="228">
        <f t="shared" si="18"/>
        <v>153.54</v>
      </c>
      <c r="AR22" s="228">
        <f t="shared" si="18"/>
        <v>153.54</v>
      </c>
      <c r="AS22" s="228">
        <f t="shared" si="18"/>
        <v>153.54</v>
      </c>
      <c r="AT22" s="228">
        <f t="shared" si="18"/>
        <v>153.54</v>
      </c>
      <c r="AU22" s="228">
        <f t="shared" si="18"/>
        <v>153.54</v>
      </c>
      <c r="AV22" s="228">
        <f t="shared" si="18"/>
        <v>153.54</v>
      </c>
      <c r="AW22" s="228">
        <f t="shared" si="18"/>
        <v>153.54</v>
      </c>
      <c r="AX22" s="228">
        <f t="shared" si="18"/>
        <v>153.54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9">
        <v>24.2</v>
      </c>
      <c r="AH23" s="47">
        <f t="shared" si="8"/>
        <v>0</v>
      </c>
      <c r="AI23" s="48">
        <f t="shared" si="9"/>
        <v>0</v>
      </c>
      <c r="AK23" s="50"/>
      <c r="AL23" s="229" t="s">
        <v>249</v>
      </c>
      <c r="AM23" s="228">
        <f>B107*-1</f>
        <v>0</v>
      </c>
      <c r="AN23" s="228">
        <f t="shared" ref="AN23:AR23" si="19">C107*-1</f>
        <v>0</v>
      </c>
      <c r="AO23" s="228">
        <f t="shared" si="19"/>
        <v>0</v>
      </c>
      <c r="AP23" s="228">
        <f t="shared" si="19"/>
        <v>0</v>
      </c>
      <c r="AQ23" s="228">
        <f t="shared" si="19"/>
        <v>0</v>
      </c>
      <c r="AR23" s="228">
        <f t="shared" si="19"/>
        <v>0</v>
      </c>
      <c r="AS23" s="228">
        <f>I107*-1</f>
        <v>0</v>
      </c>
      <c r="AT23" s="228">
        <f>K107*-1</f>
        <v>0</v>
      </c>
      <c r="AU23" s="228">
        <f t="shared" ref="AU23:AX23" si="20">M107*-1</f>
        <v>0</v>
      </c>
      <c r="AV23" s="228">
        <f t="shared" si="20"/>
        <v>0</v>
      </c>
      <c r="AW23" s="228">
        <f t="shared" si="20"/>
        <v>0</v>
      </c>
      <c r="AX23" s="228">
        <f t="shared" si="20"/>
        <v>0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30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28</v>
      </c>
      <c r="AH24" s="47">
        <f t="shared" si="8"/>
        <v>0</v>
      </c>
      <c r="AI24" s="48">
        <f t="shared" si="9"/>
        <v>0</v>
      </c>
      <c r="AK24" s="50"/>
      <c r="AL24" s="229" t="s">
        <v>598</v>
      </c>
      <c r="AM24" s="228">
        <f>AM22+AM23</f>
        <v>153.54</v>
      </c>
      <c r="AN24" s="228">
        <f t="shared" ref="AN24:AX24" si="21">AN22+AN23</f>
        <v>153.54</v>
      </c>
      <c r="AO24" s="228">
        <f t="shared" si="21"/>
        <v>153.54</v>
      </c>
      <c r="AP24" s="228">
        <f t="shared" si="21"/>
        <v>153.54</v>
      </c>
      <c r="AQ24" s="228">
        <f t="shared" si="21"/>
        <v>153.54</v>
      </c>
      <c r="AR24" s="228">
        <f t="shared" si="21"/>
        <v>153.54</v>
      </c>
      <c r="AS24" s="228">
        <f t="shared" si="21"/>
        <v>153.54</v>
      </c>
      <c r="AT24" s="228">
        <f t="shared" si="21"/>
        <v>153.54</v>
      </c>
      <c r="AU24" s="228">
        <f t="shared" si="21"/>
        <v>153.54</v>
      </c>
      <c r="AV24" s="228">
        <f t="shared" si="21"/>
        <v>153.54</v>
      </c>
      <c r="AW24" s="228">
        <f t="shared" si="21"/>
        <v>153.54</v>
      </c>
      <c r="AX24" s="228">
        <f t="shared" si="21"/>
        <v>153.54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2">
        <v>30</v>
      </c>
      <c r="AH25" s="47">
        <f t="shared" si="8"/>
        <v>0</v>
      </c>
      <c r="AI25" s="48">
        <f t="shared" si="9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8"/>
        <v>0</v>
      </c>
      <c r="AI26" s="48">
        <f t="shared" si="9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8"/>
        <v>0</v>
      </c>
      <c r="AI27" s="48">
        <f t="shared" si="9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25</v>
      </c>
      <c r="AH28" s="47">
        <f t="shared" si="8"/>
        <v>0</v>
      </c>
      <c r="AI28" s="48">
        <f t="shared" si="9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25</v>
      </c>
      <c r="AH29" s="47">
        <f t="shared" si="8"/>
        <v>0</v>
      </c>
      <c r="AI29" s="48">
        <f t="shared" si="9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23.5</v>
      </c>
      <c r="AH30" s="47">
        <f t="shared" si="8"/>
        <v>0</v>
      </c>
      <c r="AI30" s="48">
        <f t="shared" si="9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22.2</v>
      </c>
      <c r="AH31" s="47">
        <f t="shared" si="8"/>
        <v>0</v>
      </c>
      <c r="AI31" s="48">
        <f t="shared" si="9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22.1</v>
      </c>
      <c r="AH32" s="47">
        <f t="shared" si="8"/>
        <v>0</v>
      </c>
      <c r="AI32" s="48">
        <f t="shared" si="9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22</v>
      </c>
      <c r="AH33" s="47">
        <f t="shared" si="8"/>
        <v>0</v>
      </c>
      <c r="AI33" s="48">
        <f t="shared" si="9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22</v>
      </c>
      <c r="AH34" s="47">
        <f t="shared" si="8"/>
        <v>0</v>
      </c>
      <c r="AI34" s="48">
        <f t="shared" si="9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20</v>
      </c>
      <c r="AH35" s="47">
        <f t="shared" si="8"/>
        <v>0</v>
      </c>
      <c r="AI35" s="48">
        <f t="shared" si="9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263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20</v>
      </c>
      <c r="AH36" s="47">
        <f t="shared" si="8"/>
        <v>0</v>
      </c>
      <c r="AI36" s="48">
        <f t="shared" si="9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18</v>
      </c>
      <c r="AH37" s="47">
        <f t="shared" si="8"/>
        <v>0</v>
      </c>
      <c r="AI37" s="48">
        <f t="shared" si="9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43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14.9</v>
      </c>
      <c r="AH38" s="47">
        <f t="shared" si="8"/>
        <v>0</v>
      </c>
      <c r="AI38" s="48">
        <f t="shared" si="9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44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14.9</v>
      </c>
      <c r="AH39" s="47">
        <f t="shared" si="8"/>
        <v>0</v>
      </c>
      <c r="AI39" s="48">
        <f t="shared" si="9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264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14.9</v>
      </c>
      <c r="AH40" s="47">
        <f t="shared" si="8"/>
        <v>0</v>
      </c>
      <c r="AI40" s="48">
        <f t="shared" si="9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265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14.9</v>
      </c>
      <c r="AH41" s="47">
        <f t="shared" si="8"/>
        <v>0</v>
      </c>
      <c r="AI41" s="48">
        <f t="shared" si="9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4" t="s">
        <v>45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9">
        <v>13.6</v>
      </c>
      <c r="AH42" s="47">
        <f t="shared" si="8"/>
        <v>0</v>
      </c>
      <c r="AI42" s="48">
        <f t="shared" si="9"/>
        <v>0</v>
      </c>
      <c r="AK42" s="50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4" t="s">
        <v>46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9">
        <v>13</v>
      </c>
      <c r="AH43" s="47">
        <f t="shared" si="8"/>
        <v>0</v>
      </c>
      <c r="AI43" s="48">
        <f t="shared" si="9"/>
        <v>0</v>
      </c>
      <c r="AK43" s="50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4" t="s">
        <v>47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9">
        <v>12</v>
      </c>
      <c r="AH44" s="47">
        <f t="shared" si="8"/>
        <v>0</v>
      </c>
      <c r="AI44" s="48">
        <f t="shared" si="9"/>
        <v>0</v>
      </c>
      <c r="AK44" s="50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4" t="s">
        <v>48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9">
        <v>12</v>
      </c>
      <c r="AH45" s="47">
        <f t="shared" si="8"/>
        <v>0</v>
      </c>
      <c r="AI45" s="48">
        <f t="shared" si="9"/>
        <v>0</v>
      </c>
      <c r="AK45" s="50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4" t="s">
        <v>49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9">
        <v>12</v>
      </c>
      <c r="AH46" s="47">
        <f t="shared" si="8"/>
        <v>0</v>
      </c>
      <c r="AI46" s="48">
        <f t="shared" si="9"/>
        <v>0</v>
      </c>
      <c r="AK46" s="50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ht="14.25" customHeight="1" x14ac:dyDescent="0.25">
      <c r="A47" s="44" t="s">
        <v>50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3">
        <v>22</v>
      </c>
      <c r="AH47" s="47">
        <f t="shared" si="8"/>
        <v>0</v>
      </c>
      <c r="AI47" s="48">
        <f t="shared" si="9"/>
        <v>0</v>
      </c>
      <c r="AK47" s="50"/>
      <c r="AL47" s="28"/>
      <c r="AM47" s="24"/>
      <c r="AN47" s="24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ht="14.25" customHeight="1" x14ac:dyDescent="0.25">
      <c r="A48" s="44" t="s">
        <v>51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52">
        <v>11.88</v>
      </c>
      <c r="AH48" s="47">
        <f t="shared" si="8"/>
        <v>0</v>
      </c>
      <c r="AI48" s="48">
        <f t="shared" si="9"/>
        <v>0</v>
      </c>
      <c r="AK48" s="50"/>
      <c r="AL48" s="28"/>
      <c r="AM48" s="24"/>
      <c r="AN48" s="24"/>
      <c r="AO48" s="24"/>
      <c r="AP48" s="24"/>
      <c r="AQ48" s="15"/>
      <c r="AR48" s="21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ht="14.25" customHeight="1" x14ac:dyDescent="0.25">
      <c r="A49" s="54" t="s">
        <v>52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5">
        <v>11</v>
      </c>
      <c r="AH49" s="47">
        <f t="shared" si="8"/>
        <v>0</v>
      </c>
      <c r="AI49" s="48">
        <f t="shared" si="9"/>
        <v>0</v>
      </c>
      <c r="AK49" s="50"/>
      <c r="AL49" s="28"/>
      <c r="AM49" s="24"/>
      <c r="AN49" s="24"/>
      <c r="AO49" s="24"/>
      <c r="AP49" s="24"/>
      <c r="AQ49" s="15"/>
      <c r="AR49" s="21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ht="14.25" customHeight="1" x14ac:dyDescent="0.25">
      <c r="A50" s="54" t="s">
        <v>266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55">
        <v>11</v>
      </c>
      <c r="AH50" s="47">
        <f t="shared" ref="AH50:AH81" si="22">MAX(B50:AF50)</f>
        <v>0</v>
      </c>
      <c r="AI50" s="48">
        <f t="shared" ref="AI50:AI81" si="23">MIN(B50:AF50)</f>
        <v>0</v>
      </c>
      <c r="AK50" s="50"/>
      <c r="AL50" s="28"/>
      <c r="AM50" s="24"/>
      <c r="AN50" s="24"/>
      <c r="AO50" s="24"/>
      <c r="AP50" s="24"/>
      <c r="AQ50" s="15"/>
      <c r="AR50" s="21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ht="14.25" customHeight="1" x14ac:dyDescent="0.25">
      <c r="A51" s="54" t="s">
        <v>267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5">
        <v>11</v>
      </c>
      <c r="AH51" s="47">
        <f t="shared" si="22"/>
        <v>0</v>
      </c>
      <c r="AI51" s="48">
        <f t="shared" si="23"/>
        <v>0</v>
      </c>
      <c r="AK51" s="50"/>
      <c r="AL51" s="28"/>
      <c r="AM51" s="24"/>
      <c r="AN51" s="24"/>
      <c r="AO51" s="24"/>
      <c r="AP51" s="24"/>
      <c r="AQ51" s="15"/>
      <c r="AR51" s="21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ht="14.25" customHeight="1" x14ac:dyDescent="0.25">
      <c r="A52" s="54" t="s">
        <v>53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55">
        <v>10</v>
      </c>
      <c r="AH52" s="47">
        <f t="shared" si="22"/>
        <v>0</v>
      </c>
      <c r="AI52" s="48">
        <f t="shared" si="23"/>
        <v>0</v>
      </c>
      <c r="AK52" s="50"/>
      <c r="AL52" s="28"/>
      <c r="AM52" s="24"/>
      <c r="AN52" s="24"/>
      <c r="AO52" s="24"/>
      <c r="AP52" s="24"/>
      <c r="AQ52" s="15"/>
      <c r="AR52" s="21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54" t="s">
        <v>54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55">
        <v>10</v>
      </c>
      <c r="AH53" s="47">
        <f t="shared" si="22"/>
        <v>0</v>
      </c>
      <c r="AI53" s="48">
        <f t="shared" si="23"/>
        <v>0</v>
      </c>
      <c r="AK53" s="50"/>
      <c r="AL53" s="28"/>
      <c r="AO53" s="24"/>
      <c r="AP53" s="24"/>
      <c r="AQ53" s="15"/>
      <c r="AR53" s="21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54" t="s">
        <v>55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55">
        <v>10</v>
      </c>
      <c r="AH54" s="47">
        <f t="shared" si="22"/>
        <v>0</v>
      </c>
      <c r="AI54" s="48">
        <f t="shared" si="23"/>
        <v>0</v>
      </c>
      <c r="AK54" s="50"/>
      <c r="AL54" s="28"/>
      <c r="AO54" s="24"/>
      <c r="AP54" s="24"/>
      <c r="AQ54" s="15"/>
      <c r="AR54" s="21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54" t="s">
        <v>268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5">
        <v>10</v>
      </c>
      <c r="AH55" s="47">
        <f t="shared" si="22"/>
        <v>0</v>
      </c>
      <c r="AI55" s="48">
        <f t="shared" si="23"/>
        <v>0</v>
      </c>
      <c r="AK55" s="50"/>
      <c r="AL55" s="28"/>
      <c r="AO55" s="24"/>
      <c r="AP55" s="24"/>
      <c r="AQ55" s="15"/>
      <c r="AR55" s="21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56" t="s">
        <v>56</v>
      </c>
      <c r="B56" s="57">
        <v>150</v>
      </c>
      <c r="C56" s="57">
        <v>150</v>
      </c>
      <c r="D56" s="57">
        <v>150</v>
      </c>
      <c r="E56" s="57">
        <v>150</v>
      </c>
      <c r="F56" s="57">
        <v>150</v>
      </c>
      <c r="G56" s="57">
        <v>150</v>
      </c>
      <c r="H56" s="57">
        <v>150</v>
      </c>
      <c r="I56" s="57">
        <v>150</v>
      </c>
      <c r="J56" s="57">
        <v>150</v>
      </c>
      <c r="K56" s="57">
        <v>150</v>
      </c>
      <c r="L56" s="57">
        <v>150</v>
      </c>
      <c r="M56" s="57">
        <v>150</v>
      </c>
      <c r="N56" s="57">
        <v>150</v>
      </c>
      <c r="O56" s="57">
        <v>150</v>
      </c>
      <c r="P56" s="57">
        <v>150</v>
      </c>
      <c r="Q56" s="57">
        <v>150</v>
      </c>
      <c r="R56" s="57">
        <v>150</v>
      </c>
      <c r="S56" s="57">
        <v>150</v>
      </c>
      <c r="T56" s="57">
        <v>150</v>
      </c>
      <c r="U56" s="57">
        <v>150</v>
      </c>
      <c r="V56" s="57">
        <v>150</v>
      </c>
      <c r="W56" s="57">
        <v>150</v>
      </c>
      <c r="X56" s="57">
        <v>150</v>
      </c>
      <c r="Y56" s="57">
        <v>150</v>
      </c>
      <c r="Z56" s="57">
        <v>150</v>
      </c>
      <c r="AA56" s="57">
        <v>150</v>
      </c>
      <c r="AB56" s="57">
        <v>150</v>
      </c>
      <c r="AC56" s="57">
        <v>150</v>
      </c>
      <c r="AD56" s="57">
        <v>150</v>
      </c>
      <c r="AE56" s="57">
        <v>150</v>
      </c>
      <c r="AF56" s="57">
        <v>150</v>
      </c>
      <c r="AG56" s="55">
        <v>85</v>
      </c>
      <c r="AH56" s="47">
        <f t="shared" si="22"/>
        <v>150</v>
      </c>
      <c r="AI56" s="48">
        <f t="shared" si="23"/>
        <v>150</v>
      </c>
      <c r="AK56" s="50"/>
    </row>
    <row r="57" spans="1:88" ht="15.75" thickBot="1" x14ac:dyDescent="0.3">
      <c r="A57" s="58" t="s">
        <v>57</v>
      </c>
      <c r="B57" s="57"/>
      <c r="C57" s="57"/>
      <c r="D57" s="57"/>
      <c r="E57" s="57"/>
      <c r="F57" s="57"/>
      <c r="G57" s="57"/>
      <c r="H57" s="57"/>
      <c r="I57" s="57"/>
      <c r="J57" s="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7"/>
      <c r="Z57" s="57"/>
      <c r="AA57" s="57"/>
      <c r="AB57" s="57"/>
      <c r="AC57" s="57"/>
      <c r="AD57" s="57"/>
      <c r="AE57" s="57"/>
      <c r="AF57" s="57"/>
      <c r="AG57" s="55">
        <v>240</v>
      </c>
      <c r="AH57" s="47">
        <f t="shared" si="22"/>
        <v>0</v>
      </c>
      <c r="AI57" s="48">
        <f t="shared" si="23"/>
        <v>0</v>
      </c>
      <c r="AK57" s="50"/>
    </row>
    <row r="58" spans="1:88" ht="15.75" thickBot="1" x14ac:dyDescent="0.3">
      <c r="A58" s="59" t="s">
        <v>58</v>
      </c>
      <c r="B58" s="60">
        <f t="shared" ref="B58:C58" si="24">SUM(B11:B56)</f>
        <v>150</v>
      </c>
      <c r="C58" s="60">
        <f t="shared" si="24"/>
        <v>150</v>
      </c>
      <c r="D58" s="60">
        <f t="shared" ref="D58:AF58" si="25">SUM(D11:D56)</f>
        <v>150</v>
      </c>
      <c r="E58" s="60">
        <f t="shared" si="25"/>
        <v>150</v>
      </c>
      <c r="F58" s="60">
        <f t="shared" si="25"/>
        <v>150</v>
      </c>
      <c r="G58" s="60">
        <f t="shared" si="25"/>
        <v>150</v>
      </c>
      <c r="H58" s="60">
        <f t="shared" si="25"/>
        <v>150</v>
      </c>
      <c r="I58" s="60">
        <f t="shared" si="25"/>
        <v>150</v>
      </c>
      <c r="J58" s="60">
        <f t="shared" si="25"/>
        <v>150</v>
      </c>
      <c r="K58" s="60">
        <f t="shared" si="25"/>
        <v>150</v>
      </c>
      <c r="L58" s="60">
        <f t="shared" si="25"/>
        <v>150</v>
      </c>
      <c r="M58" s="60">
        <f t="shared" si="25"/>
        <v>150</v>
      </c>
      <c r="N58" s="60">
        <f t="shared" si="25"/>
        <v>150</v>
      </c>
      <c r="O58" s="60">
        <f t="shared" si="25"/>
        <v>150</v>
      </c>
      <c r="P58" s="60">
        <f t="shared" si="25"/>
        <v>150</v>
      </c>
      <c r="Q58" s="60">
        <f t="shared" si="25"/>
        <v>150</v>
      </c>
      <c r="R58" s="60">
        <f t="shared" si="25"/>
        <v>150</v>
      </c>
      <c r="S58" s="60">
        <f t="shared" si="25"/>
        <v>150</v>
      </c>
      <c r="T58" s="60">
        <f t="shared" si="25"/>
        <v>150</v>
      </c>
      <c r="U58" s="60">
        <f t="shared" si="25"/>
        <v>150</v>
      </c>
      <c r="V58" s="60">
        <f t="shared" si="25"/>
        <v>150</v>
      </c>
      <c r="W58" s="60">
        <f t="shared" si="25"/>
        <v>150</v>
      </c>
      <c r="X58" s="60">
        <f t="shared" si="25"/>
        <v>150</v>
      </c>
      <c r="Y58" s="60">
        <f t="shared" si="25"/>
        <v>150</v>
      </c>
      <c r="Z58" s="60">
        <f t="shared" si="25"/>
        <v>150</v>
      </c>
      <c r="AA58" s="60">
        <f t="shared" si="25"/>
        <v>150</v>
      </c>
      <c r="AB58" s="60">
        <f t="shared" si="25"/>
        <v>150</v>
      </c>
      <c r="AC58" s="60">
        <f t="shared" si="25"/>
        <v>150</v>
      </c>
      <c r="AD58" s="60">
        <f t="shared" si="25"/>
        <v>150</v>
      </c>
      <c r="AE58" s="60">
        <f t="shared" si="25"/>
        <v>150</v>
      </c>
      <c r="AF58" s="60">
        <f t="shared" si="25"/>
        <v>150</v>
      </c>
      <c r="AG58" s="61">
        <f>SUM(AG14:AG56)</f>
        <v>1042.4000000000001</v>
      </c>
      <c r="AH58" s="47">
        <f t="shared" si="22"/>
        <v>150</v>
      </c>
      <c r="AI58" s="48">
        <f t="shared" si="23"/>
        <v>150</v>
      </c>
      <c r="AK58" s="50"/>
    </row>
    <row r="59" spans="1:88" x14ac:dyDescent="0.25">
      <c r="A59" s="62" t="s">
        <v>59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63"/>
      <c r="O59" s="63"/>
      <c r="P59" s="63"/>
      <c r="Q59" s="63"/>
      <c r="R59" s="63"/>
      <c r="S59" s="63"/>
      <c r="T59" s="63"/>
      <c r="U59" s="63"/>
      <c r="V59" s="63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456</v>
      </c>
      <c r="AH59" s="47">
        <f t="shared" si="22"/>
        <v>0</v>
      </c>
      <c r="AI59" s="48">
        <f t="shared" si="23"/>
        <v>0</v>
      </c>
      <c r="AK59" s="50"/>
    </row>
    <row r="60" spans="1:88" x14ac:dyDescent="0.25">
      <c r="A60" s="64" t="s">
        <v>60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60</v>
      </c>
      <c r="AH60" s="47">
        <f t="shared" si="22"/>
        <v>0</v>
      </c>
      <c r="AI60" s="48">
        <f t="shared" si="23"/>
        <v>0</v>
      </c>
      <c r="AK60" s="50"/>
    </row>
    <row r="61" spans="1:88" ht="15.75" thickBot="1" x14ac:dyDescent="0.3">
      <c r="A61" s="66" t="s">
        <v>61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22.1</v>
      </c>
      <c r="AH61" s="47">
        <f t="shared" si="22"/>
        <v>0</v>
      </c>
      <c r="AI61" s="48">
        <f t="shared" si="23"/>
        <v>0</v>
      </c>
      <c r="AK61" s="50"/>
    </row>
    <row r="62" spans="1:88" ht="15.75" thickBot="1" x14ac:dyDescent="0.3">
      <c r="A62" s="69" t="s">
        <v>62</v>
      </c>
      <c r="B62" s="60">
        <f t="shared" ref="B62:AG62" si="26">SUM(B59:B61)</f>
        <v>0</v>
      </c>
      <c r="C62" s="60">
        <f t="shared" si="26"/>
        <v>0</v>
      </c>
      <c r="D62" s="60">
        <f t="shared" si="26"/>
        <v>0</v>
      </c>
      <c r="E62" s="60">
        <f t="shared" si="26"/>
        <v>0</v>
      </c>
      <c r="F62" s="60">
        <f t="shared" si="26"/>
        <v>0</v>
      </c>
      <c r="G62" s="60">
        <f t="shared" si="26"/>
        <v>0</v>
      </c>
      <c r="H62" s="60">
        <f t="shared" si="26"/>
        <v>0</v>
      </c>
      <c r="I62" s="60">
        <f t="shared" si="26"/>
        <v>0</v>
      </c>
      <c r="J62" s="60">
        <f t="shared" si="26"/>
        <v>0</v>
      </c>
      <c r="K62" s="60">
        <f t="shared" si="26"/>
        <v>0</v>
      </c>
      <c r="L62" s="60">
        <f t="shared" si="26"/>
        <v>0</v>
      </c>
      <c r="M62" s="60">
        <f t="shared" si="26"/>
        <v>0</v>
      </c>
      <c r="N62" s="60">
        <f t="shared" si="26"/>
        <v>0</v>
      </c>
      <c r="O62" s="60">
        <f t="shared" si="26"/>
        <v>0</v>
      </c>
      <c r="P62" s="60">
        <f t="shared" si="26"/>
        <v>0</v>
      </c>
      <c r="Q62" s="60">
        <f t="shared" si="26"/>
        <v>0</v>
      </c>
      <c r="R62" s="60">
        <f t="shared" si="26"/>
        <v>0</v>
      </c>
      <c r="S62" s="60">
        <f t="shared" si="26"/>
        <v>0</v>
      </c>
      <c r="T62" s="60">
        <f t="shared" si="26"/>
        <v>0</v>
      </c>
      <c r="U62" s="60">
        <f t="shared" si="26"/>
        <v>0</v>
      </c>
      <c r="V62" s="60">
        <f t="shared" si="26"/>
        <v>0</v>
      </c>
      <c r="W62" s="60">
        <f t="shared" si="26"/>
        <v>0</v>
      </c>
      <c r="X62" s="60">
        <f t="shared" si="26"/>
        <v>0</v>
      </c>
      <c r="Y62" s="60">
        <f t="shared" si="26"/>
        <v>0</v>
      </c>
      <c r="Z62" s="60">
        <f t="shared" si="26"/>
        <v>0</v>
      </c>
      <c r="AA62" s="60">
        <f t="shared" si="26"/>
        <v>0</v>
      </c>
      <c r="AB62" s="60">
        <f t="shared" si="26"/>
        <v>0</v>
      </c>
      <c r="AC62" s="60">
        <f t="shared" si="26"/>
        <v>0</v>
      </c>
      <c r="AD62" s="60">
        <f t="shared" si="26"/>
        <v>0</v>
      </c>
      <c r="AE62" s="60">
        <f t="shared" si="26"/>
        <v>0</v>
      </c>
      <c r="AF62" s="60">
        <f t="shared" si="26"/>
        <v>0</v>
      </c>
      <c r="AG62" s="61">
        <f t="shared" si="26"/>
        <v>538.1</v>
      </c>
      <c r="AH62" s="47">
        <f t="shared" si="22"/>
        <v>0</v>
      </c>
      <c r="AI62" s="48">
        <f t="shared" si="23"/>
        <v>0</v>
      </c>
      <c r="AK62" s="50"/>
    </row>
    <row r="63" spans="1:88" x14ac:dyDescent="0.25">
      <c r="A63" s="44" t="s">
        <v>63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144</v>
      </c>
      <c r="AH63" s="47">
        <f t="shared" si="22"/>
        <v>0</v>
      </c>
      <c r="AI63" s="48">
        <f t="shared" si="23"/>
        <v>0</v>
      </c>
      <c r="AK63" s="50"/>
    </row>
    <row r="64" spans="1:88" x14ac:dyDescent="0.25">
      <c r="A64" s="54" t="s">
        <v>64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55">
        <v>70</v>
      </c>
      <c r="AH64" s="47">
        <f t="shared" si="22"/>
        <v>0</v>
      </c>
      <c r="AI64" s="48">
        <f t="shared" si="23"/>
        <v>0</v>
      </c>
      <c r="AK64" s="50"/>
    </row>
    <row r="65" spans="1:75" x14ac:dyDescent="0.25">
      <c r="A65" s="54" t="s">
        <v>65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55">
        <v>69</v>
      </c>
      <c r="AH65" s="47">
        <f t="shared" si="22"/>
        <v>0</v>
      </c>
      <c r="AI65" s="48">
        <f t="shared" si="23"/>
        <v>0</v>
      </c>
      <c r="AK65" s="50"/>
    </row>
    <row r="66" spans="1:75" x14ac:dyDescent="0.25">
      <c r="A66" s="54" t="s">
        <v>66</v>
      </c>
      <c r="B66" s="65"/>
      <c r="C66" s="65"/>
      <c r="D66" s="65"/>
      <c r="E66" s="65"/>
      <c r="F66" s="65"/>
      <c r="G66" s="65"/>
      <c r="H66" s="65"/>
      <c r="I66" s="65"/>
      <c r="J66" s="65"/>
      <c r="K66" s="57"/>
      <c r="L66" s="57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55">
        <v>60</v>
      </c>
      <c r="AH66" s="47">
        <f t="shared" si="22"/>
        <v>0</v>
      </c>
      <c r="AI66" s="48">
        <f t="shared" si="23"/>
        <v>0</v>
      </c>
      <c r="AK66" s="50"/>
    </row>
    <row r="67" spans="1:75" x14ac:dyDescent="0.25">
      <c r="A67" s="54" t="s">
        <v>67</v>
      </c>
      <c r="B67" s="45"/>
      <c r="C67" s="45"/>
      <c r="D67" s="45"/>
      <c r="E67" s="65"/>
      <c r="F67" s="65"/>
      <c r="G67" s="65"/>
      <c r="H67" s="65"/>
      <c r="I67" s="65"/>
      <c r="J67" s="65"/>
      <c r="K67" s="65"/>
      <c r="L67" s="57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5">
        <v>30</v>
      </c>
      <c r="AH67" s="47">
        <f t="shared" si="22"/>
        <v>0</v>
      </c>
      <c r="AI67" s="48">
        <f t="shared" si="23"/>
        <v>0</v>
      </c>
      <c r="AK67" s="50"/>
      <c r="AZ67" s="232">
        <v>1</v>
      </c>
      <c r="BA67" s="232">
        <v>2</v>
      </c>
      <c r="BB67" s="232">
        <v>3</v>
      </c>
      <c r="BC67" s="232">
        <v>4</v>
      </c>
      <c r="BD67" s="232">
        <v>5</v>
      </c>
      <c r="BE67" s="232">
        <v>6</v>
      </c>
      <c r="BF67" s="232">
        <v>7</v>
      </c>
      <c r="BG67" s="232">
        <v>8</v>
      </c>
      <c r="BH67" s="232">
        <v>9</v>
      </c>
      <c r="BI67" s="232">
        <v>10</v>
      </c>
      <c r="BJ67" s="232">
        <v>11</v>
      </c>
      <c r="BK67" s="232">
        <v>12</v>
      </c>
      <c r="BL67" s="232">
        <v>13</v>
      </c>
      <c r="BM67" s="232">
        <v>14</v>
      </c>
      <c r="BN67" s="232">
        <v>15</v>
      </c>
      <c r="BO67" s="232">
        <v>16</v>
      </c>
      <c r="BP67" s="232">
        <v>17</v>
      </c>
      <c r="BQ67" s="232">
        <v>18</v>
      </c>
      <c r="BR67" s="232">
        <v>19</v>
      </c>
      <c r="BS67" s="232">
        <v>20</v>
      </c>
      <c r="BT67" s="232">
        <v>21</v>
      </c>
      <c r="BU67" s="232">
        <v>22</v>
      </c>
      <c r="BV67" s="232">
        <v>23</v>
      </c>
      <c r="BW67" s="232">
        <v>24</v>
      </c>
    </row>
    <row r="68" spans="1:75" x14ac:dyDescent="0.25">
      <c r="A68" s="54" t="s">
        <v>68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55">
        <v>25</v>
      </c>
      <c r="AH68" s="47">
        <f t="shared" si="22"/>
        <v>0</v>
      </c>
      <c r="AI68" s="48">
        <f t="shared" si="23"/>
        <v>0</v>
      </c>
      <c r="AK68" s="50"/>
      <c r="AY68" s="1" t="s">
        <v>377</v>
      </c>
      <c r="AZ68" s="233">
        <f>ROUND(C81,0)</f>
        <v>0</v>
      </c>
      <c r="BA68" s="232">
        <f t="shared" ref="BA68:BD72" si="27">D81</f>
        <v>0</v>
      </c>
      <c r="BB68" s="232">
        <f t="shared" si="27"/>
        <v>0</v>
      </c>
      <c r="BC68" s="232">
        <f t="shared" si="27"/>
        <v>0</v>
      </c>
      <c r="BD68" s="232">
        <f t="shared" si="27"/>
        <v>0</v>
      </c>
      <c r="BE68" s="233">
        <f>I81</f>
        <v>0</v>
      </c>
      <c r="BF68" s="233">
        <f>K81</f>
        <v>0</v>
      </c>
      <c r="BG68" s="233">
        <f t="shared" ref="BG68:BP72" si="28">M81</f>
        <v>0</v>
      </c>
      <c r="BH68" s="233">
        <f t="shared" si="28"/>
        <v>0</v>
      </c>
      <c r="BI68" s="233">
        <f t="shared" si="28"/>
        <v>0</v>
      </c>
      <c r="BJ68" s="233">
        <f t="shared" si="28"/>
        <v>0</v>
      </c>
      <c r="BK68" s="233">
        <f t="shared" si="28"/>
        <v>0</v>
      </c>
      <c r="BL68" s="233">
        <f t="shared" si="28"/>
        <v>0</v>
      </c>
      <c r="BM68" s="233">
        <f t="shared" si="28"/>
        <v>0</v>
      </c>
      <c r="BN68" s="233">
        <f t="shared" si="28"/>
        <v>0</v>
      </c>
      <c r="BO68" s="233">
        <f t="shared" si="28"/>
        <v>0</v>
      </c>
      <c r="BP68" s="233">
        <f t="shared" si="28"/>
        <v>0</v>
      </c>
      <c r="BQ68" s="233">
        <f>X81</f>
        <v>0</v>
      </c>
      <c r="BR68" s="233">
        <f>Z81</f>
        <v>0</v>
      </c>
      <c r="BS68" s="232">
        <f>AB81</f>
        <v>0</v>
      </c>
      <c r="BT68" s="232">
        <f>AD81</f>
        <v>0</v>
      </c>
      <c r="BU68" s="232">
        <f>AE81</f>
        <v>0</v>
      </c>
      <c r="BV68" s="232">
        <f>AF81</f>
        <v>0</v>
      </c>
      <c r="BW68" s="232">
        <f>B81</f>
        <v>0</v>
      </c>
    </row>
    <row r="69" spans="1:75" x14ac:dyDescent="0.25">
      <c r="A69" s="54" t="s">
        <v>69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5">
        <v>24</v>
      </c>
      <c r="AH69" s="47">
        <f t="shared" si="22"/>
        <v>0</v>
      </c>
      <c r="AI69" s="48">
        <f t="shared" si="23"/>
        <v>0</v>
      </c>
      <c r="AK69" s="50"/>
      <c r="AY69" s="1" t="s">
        <v>604</v>
      </c>
      <c r="AZ69" s="233">
        <f>ROUND(C82,0)</f>
        <v>0</v>
      </c>
      <c r="BA69" s="232">
        <f t="shared" si="27"/>
        <v>0</v>
      </c>
      <c r="BB69" s="232">
        <f t="shared" si="27"/>
        <v>0</v>
      </c>
      <c r="BC69" s="232">
        <f t="shared" si="27"/>
        <v>0</v>
      </c>
      <c r="BD69" s="232">
        <f t="shared" si="27"/>
        <v>0</v>
      </c>
      <c r="BE69" s="233">
        <f t="shared" ref="BE69:BE72" si="29">I82</f>
        <v>0</v>
      </c>
      <c r="BF69" s="233">
        <f t="shared" ref="BF69:BF72" si="30">K82</f>
        <v>0</v>
      </c>
      <c r="BG69" s="233">
        <f t="shared" si="28"/>
        <v>0</v>
      </c>
      <c r="BH69" s="233">
        <f t="shared" si="28"/>
        <v>0</v>
      </c>
      <c r="BI69" s="233">
        <f t="shared" si="28"/>
        <v>0</v>
      </c>
      <c r="BJ69" s="233">
        <f t="shared" si="28"/>
        <v>0</v>
      </c>
      <c r="BK69" s="233">
        <f t="shared" si="28"/>
        <v>0</v>
      </c>
      <c r="BL69" s="233">
        <f t="shared" si="28"/>
        <v>0</v>
      </c>
      <c r="BM69" s="233">
        <f t="shared" si="28"/>
        <v>0</v>
      </c>
      <c r="BN69" s="233">
        <f t="shared" si="28"/>
        <v>0</v>
      </c>
      <c r="BO69" s="233">
        <f t="shared" si="28"/>
        <v>0</v>
      </c>
      <c r="BP69" s="233">
        <f t="shared" si="28"/>
        <v>0</v>
      </c>
      <c r="BQ69" s="233">
        <f t="shared" ref="BQ69:BQ72" si="31">X82</f>
        <v>0</v>
      </c>
      <c r="BR69" s="233">
        <f t="shared" ref="BR69:BR72" si="32">Z82</f>
        <v>0</v>
      </c>
      <c r="BS69" s="232">
        <f t="shared" ref="BS69:BS72" si="33">AB82</f>
        <v>0</v>
      </c>
      <c r="BT69" s="232">
        <f t="shared" ref="BT69:BV72" si="34">AD82</f>
        <v>0</v>
      </c>
      <c r="BU69" s="232">
        <f t="shared" si="34"/>
        <v>0</v>
      </c>
      <c r="BV69" s="232">
        <f t="shared" si="34"/>
        <v>0</v>
      </c>
      <c r="BW69" s="232">
        <f t="shared" ref="BW69:BW72" si="35">B82</f>
        <v>0</v>
      </c>
    </row>
    <row r="70" spans="1:75" x14ac:dyDescent="0.25">
      <c r="A70" s="54" t="s">
        <v>70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5">
        <v>15</v>
      </c>
      <c r="AH70" s="47">
        <f t="shared" si="22"/>
        <v>0</v>
      </c>
      <c r="AI70" s="48">
        <f t="shared" si="23"/>
        <v>0</v>
      </c>
      <c r="AK70" s="50"/>
      <c r="AL70" s="70"/>
      <c r="AO70" s="70"/>
      <c r="AY70" s="1" t="s">
        <v>605</v>
      </c>
      <c r="AZ70" s="233">
        <f>ROUND(C83,0)</f>
        <v>0</v>
      </c>
      <c r="BA70" s="232">
        <f t="shared" si="27"/>
        <v>0</v>
      </c>
      <c r="BB70" s="232">
        <f t="shared" si="27"/>
        <v>0</v>
      </c>
      <c r="BC70" s="232">
        <f t="shared" si="27"/>
        <v>0</v>
      </c>
      <c r="BD70" s="232">
        <f t="shared" si="27"/>
        <v>0</v>
      </c>
      <c r="BE70" s="233">
        <f t="shared" si="29"/>
        <v>0</v>
      </c>
      <c r="BF70" s="233">
        <f t="shared" si="30"/>
        <v>0</v>
      </c>
      <c r="BG70" s="233">
        <f t="shared" si="28"/>
        <v>0</v>
      </c>
      <c r="BH70" s="233">
        <f t="shared" si="28"/>
        <v>0</v>
      </c>
      <c r="BI70" s="233">
        <f t="shared" si="28"/>
        <v>0</v>
      </c>
      <c r="BJ70" s="233">
        <f t="shared" si="28"/>
        <v>0</v>
      </c>
      <c r="BK70" s="233">
        <f t="shared" si="28"/>
        <v>0</v>
      </c>
      <c r="BL70" s="233">
        <f t="shared" si="28"/>
        <v>0</v>
      </c>
      <c r="BM70" s="233">
        <f t="shared" si="28"/>
        <v>0</v>
      </c>
      <c r="BN70" s="233">
        <f t="shared" si="28"/>
        <v>0</v>
      </c>
      <c r="BO70" s="233">
        <f t="shared" si="28"/>
        <v>0</v>
      </c>
      <c r="BP70" s="233">
        <f t="shared" si="28"/>
        <v>0</v>
      </c>
      <c r="BQ70" s="233">
        <f t="shared" si="31"/>
        <v>0</v>
      </c>
      <c r="BR70" s="233">
        <f t="shared" si="32"/>
        <v>0</v>
      </c>
      <c r="BS70" s="232">
        <f t="shared" si="33"/>
        <v>0</v>
      </c>
      <c r="BT70" s="232">
        <f t="shared" si="34"/>
        <v>0</v>
      </c>
      <c r="BU70" s="232">
        <f t="shared" si="34"/>
        <v>0</v>
      </c>
      <c r="BV70" s="232">
        <f t="shared" si="34"/>
        <v>0</v>
      </c>
      <c r="BW70" s="232">
        <f t="shared" si="35"/>
        <v>0</v>
      </c>
    </row>
    <row r="71" spans="1:75" s="70" customFormat="1" x14ac:dyDescent="0.25">
      <c r="A71" s="54" t="s">
        <v>71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5">
        <v>14.1</v>
      </c>
      <c r="AH71" s="47">
        <f t="shared" si="22"/>
        <v>0</v>
      </c>
      <c r="AI71" s="48">
        <f t="shared" si="23"/>
        <v>0</v>
      </c>
      <c r="AJ71" s="1"/>
      <c r="AK71" s="50"/>
      <c r="AL71" s="1"/>
      <c r="AM71" s="1"/>
      <c r="AN71" s="1"/>
      <c r="AO71" s="1"/>
      <c r="AY71" s="70" t="s">
        <v>606</v>
      </c>
      <c r="AZ71" s="233">
        <f>ROUND(C84,0)</f>
        <v>0</v>
      </c>
      <c r="BA71" s="232">
        <f t="shared" si="27"/>
        <v>0</v>
      </c>
      <c r="BB71" s="232">
        <f t="shared" si="27"/>
        <v>0</v>
      </c>
      <c r="BC71" s="232">
        <f t="shared" si="27"/>
        <v>0</v>
      </c>
      <c r="BD71" s="232">
        <f t="shared" si="27"/>
        <v>0</v>
      </c>
      <c r="BE71" s="233">
        <f t="shared" si="29"/>
        <v>0</v>
      </c>
      <c r="BF71" s="233">
        <f t="shared" si="30"/>
        <v>0</v>
      </c>
      <c r="BG71" s="233">
        <f t="shared" si="28"/>
        <v>0</v>
      </c>
      <c r="BH71" s="233">
        <f t="shared" si="28"/>
        <v>0</v>
      </c>
      <c r="BI71" s="233">
        <f t="shared" si="28"/>
        <v>0</v>
      </c>
      <c r="BJ71" s="233">
        <f t="shared" si="28"/>
        <v>0</v>
      </c>
      <c r="BK71" s="233">
        <f t="shared" si="28"/>
        <v>0</v>
      </c>
      <c r="BL71" s="233">
        <f t="shared" si="28"/>
        <v>0</v>
      </c>
      <c r="BM71" s="233">
        <f t="shared" si="28"/>
        <v>0</v>
      </c>
      <c r="BN71" s="233">
        <f t="shared" si="28"/>
        <v>0</v>
      </c>
      <c r="BO71" s="233">
        <f t="shared" si="28"/>
        <v>0</v>
      </c>
      <c r="BP71" s="233">
        <f t="shared" si="28"/>
        <v>0</v>
      </c>
      <c r="BQ71" s="233">
        <f t="shared" si="31"/>
        <v>0</v>
      </c>
      <c r="BR71" s="233">
        <f t="shared" si="32"/>
        <v>0</v>
      </c>
      <c r="BS71" s="232">
        <f t="shared" si="33"/>
        <v>0</v>
      </c>
      <c r="BT71" s="232">
        <f t="shared" si="34"/>
        <v>0</v>
      </c>
      <c r="BU71" s="232">
        <f t="shared" si="34"/>
        <v>0</v>
      </c>
      <c r="BV71" s="232">
        <f t="shared" si="34"/>
        <v>0</v>
      </c>
      <c r="BW71" s="232">
        <f t="shared" si="35"/>
        <v>0</v>
      </c>
    </row>
    <row r="72" spans="1:75" x14ac:dyDescent="0.25">
      <c r="A72" s="71" t="s">
        <v>72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5">
        <v>14</v>
      </c>
      <c r="AH72" s="47">
        <f t="shared" si="22"/>
        <v>0</v>
      </c>
      <c r="AI72" s="48">
        <f t="shared" si="23"/>
        <v>0</v>
      </c>
      <c r="AK72" s="50"/>
      <c r="AY72" s="1" t="s">
        <v>607</v>
      </c>
      <c r="AZ72" s="233">
        <f>ROUND(C85,0)</f>
        <v>0</v>
      </c>
      <c r="BA72" s="232">
        <f t="shared" si="27"/>
        <v>0</v>
      </c>
      <c r="BB72" s="232">
        <f t="shared" si="27"/>
        <v>0</v>
      </c>
      <c r="BC72" s="232">
        <f t="shared" si="27"/>
        <v>0</v>
      </c>
      <c r="BD72" s="232">
        <f t="shared" si="27"/>
        <v>0</v>
      </c>
      <c r="BE72" s="233">
        <f t="shared" si="29"/>
        <v>0</v>
      </c>
      <c r="BF72" s="233">
        <f t="shared" si="30"/>
        <v>0</v>
      </c>
      <c r="BG72" s="233">
        <f t="shared" si="28"/>
        <v>0</v>
      </c>
      <c r="BH72" s="233">
        <f t="shared" si="28"/>
        <v>0</v>
      </c>
      <c r="BI72" s="233">
        <f t="shared" si="28"/>
        <v>0</v>
      </c>
      <c r="BJ72" s="233">
        <f t="shared" si="28"/>
        <v>0</v>
      </c>
      <c r="BK72" s="233">
        <f t="shared" si="28"/>
        <v>0</v>
      </c>
      <c r="BL72" s="233">
        <f t="shared" si="28"/>
        <v>0</v>
      </c>
      <c r="BM72" s="233">
        <f t="shared" si="28"/>
        <v>0</v>
      </c>
      <c r="BN72" s="233">
        <f t="shared" si="28"/>
        <v>0</v>
      </c>
      <c r="BO72" s="233">
        <f t="shared" si="28"/>
        <v>0</v>
      </c>
      <c r="BP72" s="233">
        <f t="shared" si="28"/>
        <v>0</v>
      </c>
      <c r="BQ72" s="233">
        <f t="shared" si="31"/>
        <v>0</v>
      </c>
      <c r="BR72" s="233">
        <f t="shared" si="32"/>
        <v>0</v>
      </c>
      <c r="BS72" s="232">
        <f t="shared" si="33"/>
        <v>0</v>
      </c>
      <c r="BT72" s="232">
        <f t="shared" si="34"/>
        <v>0</v>
      </c>
      <c r="BU72" s="232">
        <f t="shared" si="34"/>
        <v>0</v>
      </c>
      <c r="BV72" s="232">
        <f t="shared" si="34"/>
        <v>0</v>
      </c>
      <c r="BW72" s="232">
        <f t="shared" si="35"/>
        <v>0</v>
      </c>
    </row>
    <row r="73" spans="1:75" x14ac:dyDescent="0.25">
      <c r="A73" s="54" t="s">
        <v>73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5">
        <v>10.050000000000001</v>
      </c>
      <c r="AH73" s="47">
        <f t="shared" si="22"/>
        <v>0</v>
      </c>
      <c r="AI73" s="48">
        <f t="shared" si="23"/>
        <v>0</v>
      </c>
      <c r="AK73" s="50"/>
      <c r="AY73" s="1" t="s">
        <v>608</v>
      </c>
      <c r="AZ73" s="233">
        <f>ROUND(C91,0)</f>
        <v>0</v>
      </c>
      <c r="BA73" s="233">
        <f>D91</f>
        <v>0</v>
      </c>
      <c r="BB73" s="233">
        <f>E91</f>
        <v>0</v>
      </c>
      <c r="BC73" s="233">
        <f>F91</f>
        <v>0</v>
      </c>
      <c r="BD73" s="233">
        <f>G91</f>
        <v>0</v>
      </c>
      <c r="BE73" s="233">
        <f>I91</f>
        <v>0</v>
      </c>
      <c r="BF73" s="233">
        <f>K91</f>
        <v>0</v>
      </c>
      <c r="BG73" s="233">
        <f t="shared" ref="BG73:BP73" si="36">M91</f>
        <v>0</v>
      </c>
      <c r="BH73" s="233">
        <f t="shared" si="36"/>
        <v>0</v>
      </c>
      <c r="BI73" s="233">
        <f t="shared" si="36"/>
        <v>0</v>
      </c>
      <c r="BJ73" s="233">
        <f t="shared" si="36"/>
        <v>0</v>
      </c>
      <c r="BK73" s="233">
        <f t="shared" si="36"/>
        <v>0</v>
      </c>
      <c r="BL73" s="233">
        <f t="shared" si="36"/>
        <v>0</v>
      </c>
      <c r="BM73" s="233">
        <f t="shared" si="36"/>
        <v>0</v>
      </c>
      <c r="BN73" s="233">
        <f t="shared" si="36"/>
        <v>0</v>
      </c>
      <c r="BO73" s="233">
        <f t="shared" si="36"/>
        <v>0</v>
      </c>
      <c r="BP73" s="233">
        <f t="shared" si="36"/>
        <v>0</v>
      </c>
      <c r="BQ73" s="233">
        <f>X91</f>
        <v>0</v>
      </c>
      <c r="BR73" s="233">
        <f>Z91</f>
        <v>0</v>
      </c>
      <c r="BS73" s="233">
        <f>AB91</f>
        <v>0</v>
      </c>
      <c r="BT73" s="233">
        <f>AD91</f>
        <v>0</v>
      </c>
      <c r="BU73" s="233">
        <f>AE91</f>
        <v>0</v>
      </c>
      <c r="BV73" s="233">
        <f>AF91</f>
        <v>0</v>
      </c>
      <c r="BW73" s="233">
        <f>B91</f>
        <v>0</v>
      </c>
    </row>
    <row r="74" spans="1:75" x14ac:dyDescent="0.25">
      <c r="A74" s="54" t="s">
        <v>74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5">
        <v>6.2</v>
      </c>
      <c r="AH74" s="47">
        <f t="shared" si="22"/>
        <v>0</v>
      </c>
      <c r="AI74" s="48">
        <f t="shared" si="23"/>
        <v>0</v>
      </c>
      <c r="AK74" s="50"/>
      <c r="AZ74" s="233"/>
      <c r="BA74" s="232"/>
      <c r="BB74" s="232"/>
      <c r="BC74" s="232"/>
      <c r="BD74" s="232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2"/>
      <c r="BT74" s="232"/>
      <c r="BU74" s="232"/>
      <c r="BV74" s="232"/>
      <c r="BW74" s="232"/>
    </row>
    <row r="75" spans="1:75" ht="15.75" thickBot="1" x14ac:dyDescent="0.3">
      <c r="A75" s="56" t="s">
        <v>75</v>
      </c>
      <c r="B75" s="72">
        <v>3.54</v>
      </c>
      <c r="C75" s="72">
        <v>3.54</v>
      </c>
      <c r="D75" s="72">
        <v>3.54</v>
      </c>
      <c r="E75" s="72">
        <v>3.54</v>
      </c>
      <c r="F75" s="72">
        <v>3.54</v>
      </c>
      <c r="G75" s="72">
        <v>3.54</v>
      </c>
      <c r="H75" s="72">
        <v>3.54</v>
      </c>
      <c r="I75" s="72">
        <v>3.54</v>
      </c>
      <c r="J75" s="72">
        <v>3.54</v>
      </c>
      <c r="K75" s="72">
        <v>3.54</v>
      </c>
      <c r="L75" s="72">
        <v>3.54</v>
      </c>
      <c r="M75" s="72">
        <v>3.54</v>
      </c>
      <c r="N75" s="72">
        <v>3.54</v>
      </c>
      <c r="O75" s="72">
        <v>3.54</v>
      </c>
      <c r="P75" s="72">
        <v>3.54</v>
      </c>
      <c r="Q75" s="72">
        <v>3.54</v>
      </c>
      <c r="R75" s="72">
        <v>3.54</v>
      </c>
      <c r="S75" s="72">
        <v>3.54</v>
      </c>
      <c r="T75" s="72">
        <v>3.54</v>
      </c>
      <c r="U75" s="72">
        <v>3.54</v>
      </c>
      <c r="V75" s="72">
        <v>3.54</v>
      </c>
      <c r="W75" s="72">
        <v>3.54</v>
      </c>
      <c r="X75" s="72">
        <v>3.54</v>
      </c>
      <c r="Y75" s="72">
        <v>3.5</v>
      </c>
      <c r="Z75" s="72">
        <v>5.5</v>
      </c>
      <c r="AA75" s="72">
        <v>3.54</v>
      </c>
      <c r="AB75" s="72">
        <v>3.54</v>
      </c>
      <c r="AC75" s="72">
        <v>3.54</v>
      </c>
      <c r="AD75" s="72">
        <v>3.54</v>
      </c>
      <c r="AE75" s="72">
        <v>3.54</v>
      </c>
      <c r="AF75" s="72">
        <v>3.54</v>
      </c>
      <c r="AG75" s="73">
        <f>AG252</f>
        <v>8.56</v>
      </c>
      <c r="AH75" s="47">
        <f t="shared" si="22"/>
        <v>5.5</v>
      </c>
      <c r="AI75" s="48">
        <f t="shared" si="23"/>
        <v>3.5</v>
      </c>
      <c r="AK75" s="50"/>
      <c r="AZ75" s="233">
        <f>VALUE(AZ68)</f>
        <v>0</v>
      </c>
      <c r="BA75" s="233">
        <f t="shared" ref="BA75:BW75" si="37">VALUE(BA68)</f>
        <v>0</v>
      </c>
      <c r="BB75" s="233">
        <f t="shared" si="37"/>
        <v>0</v>
      </c>
      <c r="BC75" s="233">
        <f t="shared" si="37"/>
        <v>0</v>
      </c>
      <c r="BD75" s="233">
        <f t="shared" si="37"/>
        <v>0</v>
      </c>
      <c r="BE75" s="233">
        <f t="shared" si="37"/>
        <v>0</v>
      </c>
      <c r="BF75" s="233">
        <f t="shared" si="37"/>
        <v>0</v>
      </c>
      <c r="BG75" s="233">
        <f t="shared" si="37"/>
        <v>0</v>
      </c>
      <c r="BH75" s="233">
        <f t="shared" si="37"/>
        <v>0</v>
      </c>
      <c r="BI75" s="233">
        <f t="shared" si="37"/>
        <v>0</v>
      </c>
      <c r="BJ75" s="233">
        <f t="shared" si="37"/>
        <v>0</v>
      </c>
      <c r="BK75" s="233">
        <f t="shared" si="37"/>
        <v>0</v>
      </c>
      <c r="BL75" s="233">
        <f t="shared" si="37"/>
        <v>0</v>
      </c>
      <c r="BM75" s="233">
        <f t="shared" si="37"/>
        <v>0</v>
      </c>
      <c r="BN75" s="233">
        <f t="shared" si="37"/>
        <v>0</v>
      </c>
      <c r="BO75" s="233">
        <f t="shared" si="37"/>
        <v>0</v>
      </c>
      <c r="BP75" s="233">
        <f t="shared" si="37"/>
        <v>0</v>
      </c>
      <c r="BQ75" s="233">
        <f t="shared" si="37"/>
        <v>0</v>
      </c>
      <c r="BR75" s="233">
        <f t="shared" si="37"/>
        <v>0</v>
      </c>
      <c r="BS75" s="233">
        <f t="shared" si="37"/>
        <v>0</v>
      </c>
      <c r="BT75" s="233">
        <f t="shared" si="37"/>
        <v>0</v>
      </c>
      <c r="BU75" s="233">
        <f t="shared" si="37"/>
        <v>0</v>
      </c>
      <c r="BV75" s="233">
        <f t="shared" si="37"/>
        <v>0</v>
      </c>
      <c r="BW75" s="233">
        <f t="shared" si="37"/>
        <v>0</v>
      </c>
    </row>
    <row r="76" spans="1:75" ht="15.75" thickBot="1" x14ac:dyDescent="0.3">
      <c r="A76" s="74" t="s">
        <v>76</v>
      </c>
      <c r="B76" s="60">
        <f t="shared" ref="B76:AG76" si="38">SUM(B63:B75)</f>
        <v>3.54</v>
      </c>
      <c r="C76" s="60">
        <f t="shared" si="38"/>
        <v>3.54</v>
      </c>
      <c r="D76" s="60">
        <f t="shared" si="38"/>
        <v>3.54</v>
      </c>
      <c r="E76" s="60">
        <f t="shared" si="38"/>
        <v>3.54</v>
      </c>
      <c r="F76" s="60">
        <f t="shared" si="38"/>
        <v>3.54</v>
      </c>
      <c r="G76" s="60">
        <f t="shared" si="38"/>
        <v>3.54</v>
      </c>
      <c r="H76" s="60">
        <f t="shared" si="38"/>
        <v>3.54</v>
      </c>
      <c r="I76" s="60">
        <f t="shared" si="38"/>
        <v>3.54</v>
      </c>
      <c r="J76" s="60">
        <f t="shared" si="38"/>
        <v>3.54</v>
      </c>
      <c r="K76" s="60">
        <f t="shared" si="38"/>
        <v>3.54</v>
      </c>
      <c r="L76" s="60">
        <f t="shared" si="38"/>
        <v>3.54</v>
      </c>
      <c r="M76" s="60">
        <f t="shared" si="38"/>
        <v>3.54</v>
      </c>
      <c r="N76" s="60">
        <f t="shared" si="38"/>
        <v>3.54</v>
      </c>
      <c r="O76" s="60">
        <f t="shared" si="38"/>
        <v>3.54</v>
      </c>
      <c r="P76" s="60">
        <f t="shared" si="38"/>
        <v>3.54</v>
      </c>
      <c r="Q76" s="60">
        <f t="shared" si="38"/>
        <v>3.54</v>
      </c>
      <c r="R76" s="60">
        <f t="shared" si="38"/>
        <v>3.54</v>
      </c>
      <c r="S76" s="60">
        <f t="shared" si="38"/>
        <v>3.54</v>
      </c>
      <c r="T76" s="60">
        <f t="shared" si="38"/>
        <v>3.54</v>
      </c>
      <c r="U76" s="60">
        <f t="shared" si="38"/>
        <v>3.54</v>
      </c>
      <c r="V76" s="60">
        <f t="shared" si="38"/>
        <v>3.54</v>
      </c>
      <c r="W76" s="60">
        <f t="shared" si="38"/>
        <v>3.54</v>
      </c>
      <c r="X76" s="60">
        <f t="shared" si="38"/>
        <v>3.54</v>
      </c>
      <c r="Y76" s="60">
        <f>SUM(Y63:Y75)</f>
        <v>3.5</v>
      </c>
      <c r="Z76" s="60">
        <f>SUM(Z63:Z75)</f>
        <v>5.5</v>
      </c>
      <c r="AA76" s="60">
        <f t="shared" si="38"/>
        <v>3.54</v>
      </c>
      <c r="AB76" s="60">
        <f t="shared" si="38"/>
        <v>3.54</v>
      </c>
      <c r="AC76" s="60">
        <f t="shared" si="38"/>
        <v>3.54</v>
      </c>
      <c r="AD76" s="60">
        <f t="shared" si="38"/>
        <v>3.54</v>
      </c>
      <c r="AE76" s="60">
        <f t="shared" si="38"/>
        <v>3.54</v>
      </c>
      <c r="AF76" s="60">
        <f t="shared" si="38"/>
        <v>3.54</v>
      </c>
      <c r="AG76" s="61">
        <f t="shared" si="38"/>
        <v>489.91</v>
      </c>
      <c r="AH76" s="47">
        <f t="shared" si="22"/>
        <v>5.5</v>
      </c>
      <c r="AI76" s="48">
        <f t="shared" si="23"/>
        <v>3.5</v>
      </c>
      <c r="AK76" s="50"/>
      <c r="AZ76" s="233">
        <f t="shared" ref="AZ76:BW80" si="39">VALUE(AZ69)</f>
        <v>0</v>
      </c>
      <c r="BA76" s="233">
        <f t="shared" si="39"/>
        <v>0</v>
      </c>
      <c r="BB76" s="233">
        <f t="shared" si="39"/>
        <v>0</v>
      </c>
      <c r="BC76" s="233">
        <f t="shared" si="39"/>
        <v>0</v>
      </c>
      <c r="BD76" s="233">
        <f t="shared" si="39"/>
        <v>0</v>
      </c>
      <c r="BE76" s="233">
        <f t="shared" si="39"/>
        <v>0</v>
      </c>
      <c r="BF76" s="233">
        <f t="shared" si="39"/>
        <v>0</v>
      </c>
      <c r="BG76" s="233">
        <f t="shared" si="39"/>
        <v>0</v>
      </c>
      <c r="BH76" s="233">
        <f t="shared" si="39"/>
        <v>0</v>
      </c>
      <c r="BI76" s="233">
        <f t="shared" si="39"/>
        <v>0</v>
      </c>
      <c r="BJ76" s="233">
        <f t="shared" si="39"/>
        <v>0</v>
      </c>
      <c r="BK76" s="233">
        <f t="shared" si="39"/>
        <v>0</v>
      </c>
      <c r="BL76" s="233">
        <f t="shared" si="39"/>
        <v>0</v>
      </c>
      <c r="BM76" s="233">
        <f t="shared" si="39"/>
        <v>0</v>
      </c>
      <c r="BN76" s="233">
        <f t="shared" si="39"/>
        <v>0</v>
      </c>
      <c r="BO76" s="233">
        <f t="shared" si="39"/>
        <v>0</v>
      </c>
      <c r="BP76" s="233">
        <f t="shared" si="39"/>
        <v>0</v>
      </c>
      <c r="BQ76" s="233">
        <f t="shared" si="39"/>
        <v>0</v>
      </c>
      <c r="BR76" s="233">
        <f t="shared" si="39"/>
        <v>0</v>
      </c>
      <c r="BS76" s="233">
        <f t="shared" si="39"/>
        <v>0</v>
      </c>
      <c r="BT76" s="233">
        <f t="shared" si="39"/>
        <v>0</v>
      </c>
      <c r="BU76" s="233">
        <f t="shared" si="39"/>
        <v>0</v>
      </c>
      <c r="BV76" s="233">
        <f t="shared" si="39"/>
        <v>0</v>
      </c>
      <c r="BW76" s="233">
        <f t="shared" si="39"/>
        <v>0</v>
      </c>
    </row>
    <row r="77" spans="1:75" x14ac:dyDescent="0.25">
      <c r="A77" s="44" t="s">
        <v>77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52">
        <v>60</v>
      </c>
      <c r="AH77" s="47">
        <f t="shared" si="22"/>
        <v>0</v>
      </c>
      <c r="AI77" s="48">
        <f t="shared" si="23"/>
        <v>0</v>
      </c>
      <c r="AK77" s="50"/>
      <c r="AZ77" s="233">
        <f t="shared" si="39"/>
        <v>0</v>
      </c>
      <c r="BA77" s="233">
        <f t="shared" si="39"/>
        <v>0</v>
      </c>
      <c r="BB77" s="233">
        <f t="shared" si="39"/>
        <v>0</v>
      </c>
      <c r="BC77" s="233">
        <f t="shared" si="39"/>
        <v>0</v>
      </c>
      <c r="BD77" s="233">
        <f t="shared" si="39"/>
        <v>0</v>
      </c>
      <c r="BE77" s="233">
        <f t="shared" si="39"/>
        <v>0</v>
      </c>
      <c r="BF77" s="233">
        <f t="shared" si="39"/>
        <v>0</v>
      </c>
      <c r="BG77" s="233">
        <f t="shared" si="39"/>
        <v>0</v>
      </c>
      <c r="BH77" s="233">
        <f t="shared" si="39"/>
        <v>0</v>
      </c>
      <c r="BI77" s="233">
        <f t="shared" si="39"/>
        <v>0</v>
      </c>
      <c r="BJ77" s="233">
        <f t="shared" si="39"/>
        <v>0</v>
      </c>
      <c r="BK77" s="233">
        <f t="shared" si="39"/>
        <v>0</v>
      </c>
      <c r="BL77" s="233">
        <f t="shared" si="39"/>
        <v>0</v>
      </c>
      <c r="BM77" s="233">
        <f t="shared" si="39"/>
        <v>0</v>
      </c>
      <c r="BN77" s="233">
        <f t="shared" si="39"/>
        <v>0</v>
      </c>
      <c r="BO77" s="233">
        <f t="shared" si="39"/>
        <v>0</v>
      </c>
      <c r="BP77" s="233">
        <f t="shared" si="39"/>
        <v>0</v>
      </c>
      <c r="BQ77" s="233">
        <f t="shared" si="39"/>
        <v>0</v>
      </c>
      <c r="BR77" s="233">
        <f t="shared" si="39"/>
        <v>0</v>
      </c>
      <c r="BS77" s="233">
        <f t="shared" si="39"/>
        <v>0</v>
      </c>
      <c r="BT77" s="233">
        <f t="shared" si="39"/>
        <v>0</v>
      </c>
      <c r="BU77" s="233">
        <f t="shared" si="39"/>
        <v>0</v>
      </c>
      <c r="BV77" s="233">
        <f t="shared" si="39"/>
        <v>0</v>
      </c>
      <c r="BW77" s="233">
        <f t="shared" si="39"/>
        <v>0</v>
      </c>
    </row>
    <row r="78" spans="1:75" x14ac:dyDescent="0.25">
      <c r="A78" s="54" t="s">
        <v>78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5">
        <v>32</v>
      </c>
      <c r="AH78" s="47">
        <f t="shared" si="22"/>
        <v>0</v>
      </c>
      <c r="AI78" s="48">
        <f t="shared" si="23"/>
        <v>0</v>
      </c>
      <c r="AK78" s="50"/>
      <c r="AZ78" s="233">
        <f t="shared" si="39"/>
        <v>0</v>
      </c>
      <c r="BA78" s="233">
        <f t="shared" si="39"/>
        <v>0</v>
      </c>
      <c r="BB78" s="233">
        <f t="shared" si="39"/>
        <v>0</v>
      </c>
      <c r="BC78" s="233">
        <f t="shared" si="39"/>
        <v>0</v>
      </c>
      <c r="BD78" s="233">
        <f t="shared" si="39"/>
        <v>0</v>
      </c>
      <c r="BE78" s="233">
        <f t="shared" si="39"/>
        <v>0</v>
      </c>
      <c r="BF78" s="233">
        <f t="shared" si="39"/>
        <v>0</v>
      </c>
      <c r="BG78" s="233">
        <f t="shared" si="39"/>
        <v>0</v>
      </c>
      <c r="BH78" s="233">
        <f t="shared" si="39"/>
        <v>0</v>
      </c>
      <c r="BI78" s="233">
        <f t="shared" si="39"/>
        <v>0</v>
      </c>
      <c r="BJ78" s="233">
        <f t="shared" si="39"/>
        <v>0</v>
      </c>
      <c r="BK78" s="233">
        <f t="shared" si="39"/>
        <v>0</v>
      </c>
      <c r="BL78" s="233">
        <f t="shared" si="39"/>
        <v>0</v>
      </c>
      <c r="BM78" s="233">
        <f t="shared" si="39"/>
        <v>0</v>
      </c>
      <c r="BN78" s="233">
        <f t="shared" si="39"/>
        <v>0</v>
      </c>
      <c r="BO78" s="233">
        <f t="shared" si="39"/>
        <v>0</v>
      </c>
      <c r="BP78" s="233">
        <f t="shared" si="39"/>
        <v>0</v>
      </c>
      <c r="BQ78" s="233">
        <f t="shared" si="39"/>
        <v>0</v>
      </c>
      <c r="BR78" s="233">
        <f t="shared" si="39"/>
        <v>0</v>
      </c>
      <c r="BS78" s="233">
        <f t="shared" si="39"/>
        <v>0</v>
      </c>
      <c r="BT78" s="233">
        <f t="shared" si="39"/>
        <v>0</v>
      </c>
      <c r="BU78" s="233">
        <f t="shared" si="39"/>
        <v>0</v>
      </c>
      <c r="BV78" s="233">
        <f t="shared" si="39"/>
        <v>0</v>
      </c>
      <c r="BW78" s="233">
        <f t="shared" si="39"/>
        <v>0</v>
      </c>
    </row>
    <row r="79" spans="1:75" ht="15.75" thickBot="1" x14ac:dyDescent="0.3">
      <c r="A79" s="71" t="s">
        <v>79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>
        <v>14</v>
      </c>
      <c r="AH79" s="47">
        <f t="shared" si="22"/>
        <v>0</v>
      </c>
      <c r="AI79" s="48">
        <f t="shared" si="23"/>
        <v>0</v>
      </c>
      <c r="AK79" s="50"/>
      <c r="AZ79" s="233">
        <f t="shared" si="39"/>
        <v>0</v>
      </c>
      <c r="BA79" s="233">
        <f t="shared" si="39"/>
        <v>0</v>
      </c>
      <c r="BB79" s="233">
        <f t="shared" si="39"/>
        <v>0</v>
      </c>
      <c r="BC79" s="233">
        <f t="shared" si="39"/>
        <v>0</v>
      </c>
      <c r="BD79" s="233">
        <f t="shared" si="39"/>
        <v>0</v>
      </c>
      <c r="BE79" s="233">
        <f t="shared" si="39"/>
        <v>0</v>
      </c>
      <c r="BF79" s="233">
        <f t="shared" si="39"/>
        <v>0</v>
      </c>
      <c r="BG79" s="233">
        <f t="shared" si="39"/>
        <v>0</v>
      </c>
      <c r="BH79" s="233">
        <f t="shared" si="39"/>
        <v>0</v>
      </c>
      <c r="BI79" s="233">
        <f t="shared" si="39"/>
        <v>0</v>
      </c>
      <c r="BJ79" s="233">
        <f t="shared" si="39"/>
        <v>0</v>
      </c>
      <c r="BK79" s="233">
        <f t="shared" si="39"/>
        <v>0</v>
      </c>
      <c r="BL79" s="233">
        <f t="shared" si="39"/>
        <v>0</v>
      </c>
      <c r="BM79" s="233">
        <f t="shared" si="39"/>
        <v>0</v>
      </c>
      <c r="BN79" s="233">
        <f t="shared" si="39"/>
        <v>0</v>
      </c>
      <c r="BO79" s="233">
        <f t="shared" si="39"/>
        <v>0</v>
      </c>
      <c r="BP79" s="233">
        <f t="shared" si="39"/>
        <v>0</v>
      </c>
      <c r="BQ79" s="233">
        <f t="shared" si="39"/>
        <v>0</v>
      </c>
      <c r="BR79" s="233">
        <f t="shared" si="39"/>
        <v>0</v>
      </c>
      <c r="BS79" s="233">
        <f t="shared" si="39"/>
        <v>0</v>
      </c>
      <c r="BT79" s="233">
        <f t="shared" si="39"/>
        <v>0</v>
      </c>
      <c r="BU79" s="233">
        <f t="shared" si="39"/>
        <v>0</v>
      </c>
      <c r="BV79" s="233">
        <f t="shared" si="39"/>
        <v>0</v>
      </c>
      <c r="BW79" s="233">
        <f t="shared" si="39"/>
        <v>0</v>
      </c>
    </row>
    <row r="80" spans="1:75" ht="15.75" thickBot="1" x14ac:dyDescent="0.3">
      <c r="A80" s="74" t="s">
        <v>80</v>
      </c>
      <c r="B80" s="60">
        <f t="shared" ref="B80:AF80" si="40">B77+B78+B79</f>
        <v>0</v>
      </c>
      <c r="C80" s="60">
        <f t="shared" si="40"/>
        <v>0</v>
      </c>
      <c r="D80" s="60">
        <f t="shared" si="40"/>
        <v>0</v>
      </c>
      <c r="E80" s="60">
        <f t="shared" si="40"/>
        <v>0</v>
      </c>
      <c r="F80" s="60">
        <f t="shared" si="40"/>
        <v>0</v>
      </c>
      <c r="G80" s="60">
        <f t="shared" si="40"/>
        <v>0</v>
      </c>
      <c r="H80" s="60">
        <f t="shared" si="40"/>
        <v>0</v>
      </c>
      <c r="I80" s="60">
        <f t="shared" si="40"/>
        <v>0</v>
      </c>
      <c r="J80" s="60">
        <f t="shared" si="40"/>
        <v>0</v>
      </c>
      <c r="K80" s="60">
        <f t="shared" si="40"/>
        <v>0</v>
      </c>
      <c r="L80" s="60">
        <f t="shared" si="40"/>
        <v>0</v>
      </c>
      <c r="M80" s="60">
        <f t="shared" si="40"/>
        <v>0</v>
      </c>
      <c r="N80" s="60">
        <f t="shared" si="40"/>
        <v>0</v>
      </c>
      <c r="O80" s="60">
        <f t="shared" si="40"/>
        <v>0</v>
      </c>
      <c r="P80" s="60">
        <f t="shared" si="40"/>
        <v>0</v>
      </c>
      <c r="Q80" s="60">
        <f t="shared" si="40"/>
        <v>0</v>
      </c>
      <c r="R80" s="60">
        <f t="shared" si="40"/>
        <v>0</v>
      </c>
      <c r="S80" s="60">
        <f t="shared" si="40"/>
        <v>0</v>
      </c>
      <c r="T80" s="60">
        <f t="shared" si="40"/>
        <v>0</v>
      </c>
      <c r="U80" s="60">
        <f t="shared" si="40"/>
        <v>0</v>
      </c>
      <c r="V80" s="60">
        <f t="shared" si="40"/>
        <v>0</v>
      </c>
      <c r="W80" s="60">
        <f t="shared" si="40"/>
        <v>0</v>
      </c>
      <c r="X80" s="60">
        <f t="shared" si="40"/>
        <v>0</v>
      </c>
      <c r="Y80" s="60">
        <f>Y77+Y78+Y79</f>
        <v>0</v>
      </c>
      <c r="Z80" s="60">
        <f>Z77+Z78+Z79</f>
        <v>0</v>
      </c>
      <c r="AA80" s="60">
        <f t="shared" si="40"/>
        <v>0</v>
      </c>
      <c r="AB80" s="60">
        <f t="shared" si="40"/>
        <v>0</v>
      </c>
      <c r="AC80" s="60">
        <f t="shared" si="40"/>
        <v>0</v>
      </c>
      <c r="AD80" s="60">
        <f t="shared" si="40"/>
        <v>0</v>
      </c>
      <c r="AE80" s="60">
        <f t="shared" si="40"/>
        <v>0</v>
      </c>
      <c r="AF80" s="60">
        <f t="shared" si="40"/>
        <v>0</v>
      </c>
      <c r="AG80" s="61">
        <f>SUM(AG77:AG79)</f>
        <v>106</v>
      </c>
      <c r="AH80" s="47">
        <f t="shared" si="22"/>
        <v>0</v>
      </c>
      <c r="AI80" s="48">
        <f t="shared" si="23"/>
        <v>0</v>
      </c>
      <c r="AK80" s="50"/>
      <c r="AZ80" s="233">
        <f t="shared" si="39"/>
        <v>0</v>
      </c>
      <c r="BA80" s="233">
        <f t="shared" si="39"/>
        <v>0</v>
      </c>
      <c r="BB80" s="233">
        <f t="shared" si="39"/>
        <v>0</v>
      </c>
      <c r="BC80" s="233">
        <f t="shared" si="39"/>
        <v>0</v>
      </c>
      <c r="BD80" s="233">
        <f t="shared" si="39"/>
        <v>0</v>
      </c>
      <c r="BE80" s="233">
        <f t="shared" si="39"/>
        <v>0</v>
      </c>
      <c r="BF80" s="233">
        <f t="shared" si="39"/>
        <v>0</v>
      </c>
      <c r="BG80" s="233">
        <f t="shared" si="39"/>
        <v>0</v>
      </c>
      <c r="BH80" s="233">
        <f t="shared" si="39"/>
        <v>0</v>
      </c>
      <c r="BI80" s="233">
        <f t="shared" si="39"/>
        <v>0</v>
      </c>
      <c r="BJ80" s="233">
        <f t="shared" si="39"/>
        <v>0</v>
      </c>
      <c r="BK80" s="233">
        <f t="shared" si="39"/>
        <v>0</v>
      </c>
      <c r="BL80" s="233">
        <f t="shared" si="39"/>
        <v>0</v>
      </c>
      <c r="BM80" s="233">
        <f t="shared" si="39"/>
        <v>0</v>
      </c>
      <c r="BN80" s="233">
        <f t="shared" si="39"/>
        <v>0</v>
      </c>
      <c r="BO80" s="233">
        <f t="shared" si="39"/>
        <v>0</v>
      </c>
      <c r="BP80" s="233">
        <f t="shared" si="39"/>
        <v>0</v>
      </c>
      <c r="BQ80" s="233">
        <f t="shared" si="39"/>
        <v>0</v>
      </c>
      <c r="BR80" s="233">
        <f t="shared" si="39"/>
        <v>0</v>
      </c>
      <c r="BS80" s="233">
        <f t="shared" si="39"/>
        <v>0</v>
      </c>
      <c r="BT80" s="233">
        <f t="shared" si="39"/>
        <v>0</v>
      </c>
      <c r="BU80" s="233">
        <f t="shared" si="39"/>
        <v>0</v>
      </c>
      <c r="BV80" s="233">
        <f t="shared" si="39"/>
        <v>0</v>
      </c>
      <c r="BW80" s="233">
        <f t="shared" si="39"/>
        <v>0</v>
      </c>
    </row>
    <row r="81" spans="1:64" x14ac:dyDescent="0.25">
      <c r="A81" s="44" t="s">
        <v>81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52"/>
      <c r="AH81" s="47">
        <f t="shared" si="22"/>
        <v>0</v>
      </c>
      <c r="AI81" s="48">
        <f t="shared" si="23"/>
        <v>0</v>
      </c>
      <c r="AK81" s="50"/>
      <c r="AY81" s="233"/>
    </row>
    <row r="82" spans="1:64" x14ac:dyDescent="0.25">
      <c r="A82" s="54" t="s">
        <v>82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5"/>
      <c r="AH82" s="47">
        <f t="shared" ref="AH82:AH113" si="41">MAX(B82:AF82)</f>
        <v>0</v>
      </c>
      <c r="AI82" s="48">
        <f t="shared" ref="AI82:AI113" si="42">MIN(B82:AF82)</f>
        <v>0</v>
      </c>
      <c r="AK82" s="50"/>
      <c r="AY82" s="233"/>
      <c r="BF82" s="233"/>
      <c r="BG82" s="233"/>
      <c r="BH82" s="233"/>
      <c r="BI82" s="233"/>
      <c r="BJ82" s="233"/>
      <c r="BK82" s="233"/>
    </row>
    <row r="83" spans="1:64" x14ac:dyDescent="0.25">
      <c r="A83" s="54" t="s">
        <v>83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75"/>
      <c r="AH83" s="47">
        <f t="shared" si="41"/>
        <v>0</v>
      </c>
      <c r="AI83" s="48">
        <f t="shared" si="42"/>
        <v>0</v>
      </c>
      <c r="AK83" s="50"/>
      <c r="AY83" s="233"/>
      <c r="BF83" s="232"/>
      <c r="BG83" s="232"/>
      <c r="BH83" s="232"/>
      <c r="BI83" s="232"/>
      <c r="BJ83" s="232"/>
      <c r="BK83" s="233"/>
    </row>
    <row r="84" spans="1:64" x14ac:dyDescent="0.25">
      <c r="A84" s="54" t="s">
        <v>84</v>
      </c>
      <c r="B84" s="65"/>
      <c r="C84" s="65"/>
      <c r="D84" s="65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5"/>
      <c r="AH84" s="47">
        <f t="shared" si="41"/>
        <v>0</v>
      </c>
      <c r="AI84" s="48">
        <f t="shared" si="42"/>
        <v>0</v>
      </c>
      <c r="AK84" s="50"/>
      <c r="AY84" s="233"/>
      <c r="BF84" s="232"/>
      <c r="BG84" s="233">
        <f t="array" ref="BG84:BL107">TRANSPOSE(AZ68:BW73)</f>
        <v>0</v>
      </c>
      <c r="BH84" s="233">
        <v>0</v>
      </c>
      <c r="BI84" s="233">
        <v>0</v>
      </c>
      <c r="BJ84" s="233">
        <v>0</v>
      </c>
      <c r="BK84" s="233">
        <v>0</v>
      </c>
      <c r="BL84" s="233">
        <v>0</v>
      </c>
    </row>
    <row r="85" spans="1:64" x14ac:dyDescent="0.25">
      <c r="A85" s="54" t="s">
        <v>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75"/>
      <c r="AH85" s="47">
        <f t="shared" si="41"/>
        <v>0</v>
      </c>
      <c r="AI85" s="48">
        <f t="shared" si="42"/>
        <v>0</v>
      </c>
      <c r="AK85" s="50"/>
      <c r="AY85" s="233"/>
      <c r="BF85" s="232"/>
      <c r="BG85" s="233">
        <v>0</v>
      </c>
      <c r="BH85" s="233">
        <v>0</v>
      </c>
      <c r="BI85" s="233">
        <v>0</v>
      </c>
      <c r="BJ85" s="233">
        <v>0</v>
      </c>
      <c r="BK85" s="233">
        <v>0</v>
      </c>
      <c r="BL85" s="233">
        <v>0</v>
      </c>
    </row>
    <row r="86" spans="1:64" x14ac:dyDescent="0.25">
      <c r="A86" s="54" t="s">
        <v>86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5"/>
      <c r="AH86" s="47">
        <f t="shared" si="41"/>
        <v>0</v>
      </c>
      <c r="AI86" s="48">
        <f t="shared" si="42"/>
        <v>0</v>
      </c>
      <c r="AK86" s="50"/>
      <c r="AY86" s="233"/>
      <c r="BF86" s="232"/>
      <c r="BG86" s="233">
        <v>0</v>
      </c>
      <c r="BH86" s="233">
        <v>0</v>
      </c>
      <c r="BI86" s="233">
        <v>0</v>
      </c>
      <c r="BJ86" s="233">
        <v>0</v>
      </c>
      <c r="BK86" s="233">
        <v>0</v>
      </c>
      <c r="BL86" s="233">
        <v>0</v>
      </c>
    </row>
    <row r="87" spans="1:64" ht="15.75" thickBot="1" x14ac:dyDescent="0.3">
      <c r="A87" s="54" t="s">
        <v>87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5"/>
      <c r="AH87" s="47">
        <f t="shared" si="41"/>
        <v>0</v>
      </c>
      <c r="AI87" s="48">
        <f t="shared" si="42"/>
        <v>0</v>
      </c>
      <c r="AK87" s="50"/>
      <c r="AL87" s="78" t="s">
        <v>88</v>
      </c>
      <c r="AM87" s="78"/>
      <c r="AY87" s="233"/>
      <c r="BF87" s="233"/>
      <c r="BG87" s="233">
        <v>0</v>
      </c>
      <c r="BH87" s="233">
        <v>0</v>
      </c>
      <c r="BI87" s="233">
        <v>0</v>
      </c>
      <c r="BJ87" s="233">
        <v>0</v>
      </c>
      <c r="BK87" s="233">
        <v>0</v>
      </c>
      <c r="BL87" s="233">
        <v>0</v>
      </c>
    </row>
    <row r="88" spans="1:64" x14ac:dyDescent="0.25">
      <c r="A88" s="54" t="s">
        <v>89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5"/>
      <c r="AH88" s="47">
        <f t="shared" si="41"/>
        <v>0</v>
      </c>
      <c r="AI88" s="48">
        <f t="shared" si="42"/>
        <v>0</v>
      </c>
      <c r="AK88" s="79"/>
      <c r="AL88" s="80"/>
      <c r="AM88" s="80"/>
      <c r="AN88" s="81"/>
      <c r="AY88" s="233"/>
      <c r="BF88" s="233"/>
      <c r="BG88" s="233">
        <v>0</v>
      </c>
      <c r="BH88" s="233">
        <v>0</v>
      </c>
      <c r="BI88" s="233">
        <v>0</v>
      </c>
      <c r="BJ88" s="233">
        <v>0</v>
      </c>
      <c r="BK88" s="233">
        <v>0</v>
      </c>
      <c r="BL88" s="233">
        <v>0</v>
      </c>
    </row>
    <row r="89" spans="1:64" x14ac:dyDescent="0.25">
      <c r="A89" s="54" t="s">
        <v>90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5"/>
      <c r="AH89" s="47">
        <f t="shared" si="41"/>
        <v>0</v>
      </c>
      <c r="AI89" s="48">
        <f t="shared" si="42"/>
        <v>0</v>
      </c>
      <c r="AK89" s="82" t="s">
        <v>91</v>
      </c>
      <c r="AL89" s="65"/>
      <c r="AM89" s="76"/>
      <c r="AN89" s="83"/>
      <c r="AY89" s="233"/>
      <c r="BF89" s="233"/>
      <c r="BG89" s="233">
        <v>0</v>
      </c>
      <c r="BH89" s="233">
        <v>0</v>
      </c>
      <c r="BI89" s="233">
        <v>0</v>
      </c>
      <c r="BJ89" s="233">
        <v>0</v>
      </c>
      <c r="BK89" s="233">
        <v>0</v>
      </c>
      <c r="BL89" s="233">
        <v>0</v>
      </c>
    </row>
    <row r="90" spans="1:64" x14ac:dyDescent="0.25">
      <c r="A90" s="84" t="s">
        <v>92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85"/>
      <c r="AH90" s="47">
        <f t="shared" si="41"/>
        <v>0</v>
      </c>
      <c r="AI90" s="48">
        <f t="shared" si="42"/>
        <v>0</v>
      </c>
      <c r="AK90" s="82" t="s">
        <v>93</v>
      </c>
      <c r="AL90" s="76"/>
      <c r="AM90" s="76"/>
      <c r="AN90" s="83"/>
      <c r="AY90" s="233"/>
      <c r="BF90" s="233"/>
      <c r="BG90" s="233">
        <v>0</v>
      </c>
      <c r="BH90" s="233">
        <v>0</v>
      </c>
      <c r="BI90" s="233">
        <v>0</v>
      </c>
      <c r="BJ90" s="233">
        <v>0</v>
      </c>
      <c r="BK90" s="233">
        <v>0</v>
      </c>
      <c r="BL90" s="233">
        <v>0</v>
      </c>
    </row>
    <row r="91" spans="1:64" ht="15.75" thickBot="1" x14ac:dyDescent="0.3">
      <c r="A91" s="84" t="s">
        <v>394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85"/>
      <c r="AH91" s="47">
        <f t="shared" si="41"/>
        <v>0</v>
      </c>
      <c r="AI91" s="48">
        <f t="shared" si="42"/>
        <v>0</v>
      </c>
      <c r="AK91" s="86"/>
      <c r="AL91" s="45"/>
      <c r="AM91" s="45"/>
      <c r="AN91" s="87"/>
      <c r="AY91" s="233"/>
      <c r="BF91" s="233"/>
      <c r="BG91" s="233">
        <v>0</v>
      </c>
      <c r="BH91" s="233">
        <v>0</v>
      </c>
      <c r="BI91" s="233">
        <v>0</v>
      </c>
      <c r="BJ91" s="233">
        <v>0</v>
      </c>
      <c r="BK91" s="233">
        <v>0</v>
      </c>
      <c r="BL91" s="233">
        <v>0</v>
      </c>
    </row>
    <row r="92" spans="1:64" ht="15.75" thickBot="1" x14ac:dyDescent="0.3">
      <c r="A92" s="74" t="s">
        <v>94</v>
      </c>
      <c r="B92" s="60">
        <f t="shared" ref="B92:AF92" si="43">SUMIF(B81:B91,"&gt;0")</f>
        <v>0</v>
      </c>
      <c r="C92" s="60">
        <f t="shared" si="43"/>
        <v>0</v>
      </c>
      <c r="D92" s="60">
        <f t="shared" si="43"/>
        <v>0</v>
      </c>
      <c r="E92" s="60">
        <f t="shared" si="43"/>
        <v>0</v>
      </c>
      <c r="F92" s="60">
        <f t="shared" si="43"/>
        <v>0</v>
      </c>
      <c r="G92" s="60">
        <f t="shared" si="43"/>
        <v>0</v>
      </c>
      <c r="H92" s="60">
        <f t="shared" si="43"/>
        <v>0</v>
      </c>
      <c r="I92" s="60">
        <f t="shared" si="43"/>
        <v>0</v>
      </c>
      <c r="J92" s="60">
        <f t="shared" si="43"/>
        <v>0</v>
      </c>
      <c r="K92" s="60">
        <f t="shared" si="43"/>
        <v>0</v>
      </c>
      <c r="L92" s="60">
        <f t="shared" si="43"/>
        <v>0</v>
      </c>
      <c r="M92" s="60">
        <f t="shared" si="43"/>
        <v>0</v>
      </c>
      <c r="N92" s="60">
        <f t="shared" si="43"/>
        <v>0</v>
      </c>
      <c r="O92" s="60">
        <f t="shared" si="43"/>
        <v>0</v>
      </c>
      <c r="P92" s="60">
        <f t="shared" si="43"/>
        <v>0</v>
      </c>
      <c r="Q92" s="60">
        <f t="shared" si="43"/>
        <v>0</v>
      </c>
      <c r="R92" s="60">
        <f t="shared" si="43"/>
        <v>0</v>
      </c>
      <c r="S92" s="60">
        <f t="shared" si="43"/>
        <v>0</v>
      </c>
      <c r="T92" s="60">
        <f t="shared" si="43"/>
        <v>0</v>
      </c>
      <c r="U92" s="60">
        <f t="shared" si="43"/>
        <v>0</v>
      </c>
      <c r="V92" s="60">
        <f t="shared" si="43"/>
        <v>0</v>
      </c>
      <c r="W92" s="60">
        <f t="shared" si="43"/>
        <v>0</v>
      </c>
      <c r="X92" s="60">
        <f t="shared" si="43"/>
        <v>0</v>
      </c>
      <c r="Y92" s="60">
        <f>SUMIF(Y81:Y91,"&gt;0")</f>
        <v>0</v>
      </c>
      <c r="Z92" s="60">
        <f>SUMIF(Z81:Z91,"&gt;0")</f>
        <v>0</v>
      </c>
      <c r="AA92" s="60">
        <f t="shared" si="43"/>
        <v>0</v>
      </c>
      <c r="AB92" s="60">
        <f t="shared" si="43"/>
        <v>0</v>
      </c>
      <c r="AC92" s="60">
        <f t="shared" si="43"/>
        <v>0</v>
      </c>
      <c r="AD92" s="60">
        <f t="shared" si="43"/>
        <v>0</v>
      </c>
      <c r="AE92" s="60">
        <f t="shared" si="43"/>
        <v>0</v>
      </c>
      <c r="AF92" s="60">
        <f t="shared" si="43"/>
        <v>0</v>
      </c>
      <c r="AG92" s="88">
        <f>SUM(AG81:AG91)</f>
        <v>0</v>
      </c>
      <c r="AH92" s="47">
        <f t="shared" si="41"/>
        <v>0</v>
      </c>
      <c r="AI92" s="48">
        <f t="shared" si="42"/>
        <v>0</v>
      </c>
      <c r="AK92" s="86"/>
      <c r="AL92" s="77"/>
      <c r="AM92" s="89"/>
      <c r="AN92" s="257"/>
      <c r="AY92" s="233"/>
      <c r="BF92" s="233"/>
      <c r="BG92" s="233">
        <v>0</v>
      </c>
      <c r="BH92" s="233">
        <v>0</v>
      </c>
      <c r="BI92" s="233">
        <v>0</v>
      </c>
      <c r="BJ92" s="233">
        <v>0</v>
      </c>
      <c r="BK92" s="233">
        <v>0</v>
      </c>
      <c r="BL92" s="233">
        <v>0</v>
      </c>
    </row>
    <row r="93" spans="1:64" x14ac:dyDescent="0.25">
      <c r="A93" s="44" t="s">
        <v>95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90">
        <v>39</v>
      </c>
      <c r="AH93" s="47">
        <f t="shared" si="41"/>
        <v>0</v>
      </c>
      <c r="AI93" s="48">
        <f t="shared" si="42"/>
        <v>0</v>
      </c>
      <c r="AK93" s="86"/>
      <c r="AL93" s="77"/>
      <c r="AM93" s="77"/>
      <c r="AN93" s="258"/>
      <c r="BF93" s="233"/>
      <c r="BG93" s="233">
        <v>0</v>
      </c>
      <c r="BH93" s="233">
        <v>0</v>
      </c>
      <c r="BI93" s="233">
        <v>0</v>
      </c>
      <c r="BJ93" s="233">
        <v>0</v>
      </c>
      <c r="BK93" s="233">
        <v>0</v>
      </c>
      <c r="BL93" s="233">
        <v>0</v>
      </c>
    </row>
    <row r="94" spans="1:64" ht="15.75" thickBot="1" x14ac:dyDescent="0.3">
      <c r="A94" s="54" t="s">
        <v>96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7">
        <v>0</v>
      </c>
      <c r="W94" s="77">
        <v>0</v>
      </c>
      <c r="X94" s="77">
        <v>0</v>
      </c>
      <c r="Y94" s="77">
        <v>0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5">
        <v>14.4</v>
      </c>
      <c r="AH94" s="47">
        <f t="shared" si="41"/>
        <v>0</v>
      </c>
      <c r="AI94" s="48">
        <f t="shared" si="42"/>
        <v>0</v>
      </c>
      <c r="AK94" s="91"/>
      <c r="AL94" s="92"/>
      <c r="AM94" s="92"/>
      <c r="AN94" s="93"/>
      <c r="BF94" s="233"/>
      <c r="BG94" s="233">
        <v>0</v>
      </c>
      <c r="BH94" s="233">
        <v>0</v>
      </c>
      <c r="BI94" s="233">
        <v>0</v>
      </c>
      <c r="BJ94" s="233">
        <v>0</v>
      </c>
      <c r="BK94" s="233">
        <v>0</v>
      </c>
      <c r="BL94" s="233">
        <v>0</v>
      </c>
    </row>
    <row r="95" spans="1:64" ht="15.75" thickBot="1" x14ac:dyDescent="0.3">
      <c r="A95" s="84" t="s">
        <v>97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94">
        <v>0</v>
      </c>
      <c r="W95" s="94">
        <v>0</v>
      </c>
      <c r="X95" s="94">
        <v>0</v>
      </c>
      <c r="Y95" s="94">
        <v>0</v>
      </c>
      <c r="Z95" s="94">
        <v>0</v>
      </c>
      <c r="AA95" s="94">
        <v>0</v>
      </c>
      <c r="AB95" s="94">
        <v>0</v>
      </c>
      <c r="AC95" s="94">
        <v>0</v>
      </c>
      <c r="AD95" s="94">
        <v>0</v>
      </c>
      <c r="AE95" s="94">
        <v>0</v>
      </c>
      <c r="AF95" s="94">
        <v>0</v>
      </c>
      <c r="AG95" s="85">
        <v>2</v>
      </c>
      <c r="AH95" s="47">
        <f t="shared" si="41"/>
        <v>0</v>
      </c>
      <c r="AI95" s="48">
        <f t="shared" si="42"/>
        <v>0</v>
      </c>
      <c r="BF95" s="233"/>
      <c r="BG95" s="233">
        <v>0</v>
      </c>
      <c r="BH95" s="233">
        <v>0</v>
      </c>
      <c r="BI95" s="233">
        <v>0</v>
      </c>
      <c r="BJ95" s="233">
        <v>0</v>
      </c>
      <c r="BK95" s="233">
        <v>0</v>
      </c>
      <c r="BL95" s="233">
        <v>0</v>
      </c>
    </row>
    <row r="96" spans="1:64" ht="15.75" thickBot="1" x14ac:dyDescent="0.3">
      <c r="A96" s="74" t="s">
        <v>98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>
        <v>0</v>
      </c>
      <c r="Y96" s="60"/>
      <c r="Z96" s="60"/>
      <c r="AA96" s="60"/>
      <c r="AB96" s="60"/>
      <c r="AC96" s="60"/>
      <c r="AD96" s="60"/>
      <c r="AE96" s="60"/>
      <c r="AF96" s="60"/>
      <c r="AG96" s="88">
        <f>SUM(AG93:AG95)</f>
        <v>55.4</v>
      </c>
      <c r="AH96" s="47">
        <f t="shared" si="41"/>
        <v>0</v>
      </c>
      <c r="AI96" s="48">
        <f t="shared" si="42"/>
        <v>0</v>
      </c>
      <c r="BF96" s="233"/>
      <c r="BG96" s="233">
        <v>0</v>
      </c>
      <c r="BH96" s="233">
        <v>0</v>
      </c>
      <c r="BI96" s="233">
        <v>0</v>
      </c>
      <c r="BJ96" s="233">
        <v>0</v>
      </c>
      <c r="BK96" s="233">
        <v>0</v>
      </c>
      <c r="BL96" s="233">
        <v>0</v>
      </c>
    </row>
    <row r="97" spans="1:64" ht="15.75" thickBot="1" x14ac:dyDescent="0.3">
      <c r="A97" s="74" t="s">
        <v>99</v>
      </c>
      <c r="B97" s="95">
        <f t="shared" ref="B97:AG97" si="44">B58+B62+B80+B76+B92+B96</f>
        <v>153.54</v>
      </c>
      <c r="C97" s="95">
        <f t="shared" si="44"/>
        <v>153.54</v>
      </c>
      <c r="D97" s="95">
        <f t="shared" si="44"/>
        <v>153.54</v>
      </c>
      <c r="E97" s="95">
        <f t="shared" si="44"/>
        <v>153.54</v>
      </c>
      <c r="F97" s="95">
        <f t="shared" si="44"/>
        <v>153.54</v>
      </c>
      <c r="G97" s="95">
        <f t="shared" si="44"/>
        <v>153.54</v>
      </c>
      <c r="H97" s="95">
        <f t="shared" si="44"/>
        <v>153.54</v>
      </c>
      <c r="I97" s="95">
        <f t="shared" si="44"/>
        <v>153.54</v>
      </c>
      <c r="J97" s="95">
        <f t="shared" si="44"/>
        <v>153.54</v>
      </c>
      <c r="K97" s="95">
        <f t="shared" si="44"/>
        <v>153.54</v>
      </c>
      <c r="L97" s="95">
        <f t="shared" si="44"/>
        <v>153.54</v>
      </c>
      <c r="M97" s="95">
        <f t="shared" si="44"/>
        <v>153.54</v>
      </c>
      <c r="N97" s="95">
        <f t="shared" si="44"/>
        <v>153.54</v>
      </c>
      <c r="O97" s="95">
        <f t="shared" si="44"/>
        <v>153.54</v>
      </c>
      <c r="P97" s="95">
        <f t="shared" si="44"/>
        <v>153.54</v>
      </c>
      <c r="Q97" s="95">
        <f t="shared" si="44"/>
        <v>153.54</v>
      </c>
      <c r="R97" s="95">
        <f t="shared" si="44"/>
        <v>153.54</v>
      </c>
      <c r="S97" s="95">
        <f t="shared" si="44"/>
        <v>153.54</v>
      </c>
      <c r="T97" s="95">
        <f t="shared" si="44"/>
        <v>153.54</v>
      </c>
      <c r="U97" s="95">
        <f t="shared" si="44"/>
        <v>153.54</v>
      </c>
      <c r="V97" s="95">
        <f t="shared" si="44"/>
        <v>153.54</v>
      </c>
      <c r="W97" s="95">
        <f t="shared" si="44"/>
        <v>153.54</v>
      </c>
      <c r="X97" s="95">
        <f t="shared" si="44"/>
        <v>153.54</v>
      </c>
      <c r="Y97" s="95">
        <f>Y58+Y62+Y80+Y76+Y92+Y96</f>
        <v>153.5</v>
      </c>
      <c r="Z97" s="95">
        <f>Z58+Z62+Z80+Z76+Z92+Z96</f>
        <v>155.5</v>
      </c>
      <c r="AA97" s="95">
        <f t="shared" si="44"/>
        <v>153.54</v>
      </c>
      <c r="AB97" s="95">
        <f t="shared" si="44"/>
        <v>153.54</v>
      </c>
      <c r="AC97" s="95">
        <f t="shared" si="44"/>
        <v>153.54</v>
      </c>
      <c r="AD97" s="95">
        <f t="shared" si="44"/>
        <v>153.54</v>
      </c>
      <c r="AE97" s="95">
        <f t="shared" si="44"/>
        <v>153.54</v>
      </c>
      <c r="AF97" s="95">
        <f t="shared" si="44"/>
        <v>153.54</v>
      </c>
      <c r="AG97" s="61">
        <f t="shared" si="44"/>
        <v>2231.81</v>
      </c>
      <c r="AH97" s="47">
        <f t="shared" si="41"/>
        <v>155.5</v>
      </c>
      <c r="AI97" s="48">
        <f t="shared" si="42"/>
        <v>153.5</v>
      </c>
      <c r="BF97" s="233"/>
      <c r="BG97" s="233">
        <v>0</v>
      </c>
      <c r="BH97" s="233">
        <v>0</v>
      </c>
      <c r="BI97" s="233">
        <v>0</v>
      </c>
      <c r="BJ97" s="233">
        <v>0</v>
      </c>
      <c r="BK97" s="233">
        <v>0</v>
      </c>
      <c r="BL97" s="233">
        <v>0</v>
      </c>
    </row>
    <row r="98" spans="1:64" ht="15.75" thickBot="1" x14ac:dyDescent="0.3">
      <c r="A98" s="96" t="s">
        <v>100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88"/>
      <c r="AH98" s="47">
        <f t="shared" si="41"/>
        <v>0</v>
      </c>
      <c r="AI98" s="48">
        <f t="shared" si="42"/>
        <v>0</v>
      </c>
      <c r="BF98" s="233"/>
      <c r="BG98" s="233">
        <v>0</v>
      </c>
      <c r="BH98" s="233">
        <v>0</v>
      </c>
      <c r="BI98" s="233">
        <v>0</v>
      </c>
      <c r="BJ98" s="233">
        <v>0</v>
      </c>
      <c r="BK98" s="233">
        <v>0</v>
      </c>
      <c r="BL98" s="233">
        <v>0</v>
      </c>
    </row>
    <row r="99" spans="1:64" ht="15.75" thickBot="1" x14ac:dyDescent="0.3">
      <c r="A99" s="74" t="s">
        <v>101</v>
      </c>
      <c r="B99" s="95">
        <f t="shared" ref="B99:AF99" si="45">B97+B98</f>
        <v>153.54</v>
      </c>
      <c r="C99" s="95">
        <f t="shared" si="45"/>
        <v>153.54</v>
      </c>
      <c r="D99" s="95">
        <f t="shared" si="45"/>
        <v>153.54</v>
      </c>
      <c r="E99" s="95">
        <f t="shared" si="45"/>
        <v>153.54</v>
      </c>
      <c r="F99" s="95">
        <f t="shared" si="45"/>
        <v>153.54</v>
      </c>
      <c r="G99" s="95">
        <f t="shared" si="45"/>
        <v>153.54</v>
      </c>
      <c r="H99" s="95">
        <f t="shared" si="45"/>
        <v>153.54</v>
      </c>
      <c r="I99" s="95">
        <f t="shared" si="45"/>
        <v>153.54</v>
      </c>
      <c r="J99" s="95">
        <f t="shared" si="45"/>
        <v>153.54</v>
      </c>
      <c r="K99" s="95">
        <f t="shared" si="45"/>
        <v>153.54</v>
      </c>
      <c r="L99" s="95">
        <f t="shared" si="45"/>
        <v>153.54</v>
      </c>
      <c r="M99" s="95">
        <f t="shared" si="45"/>
        <v>153.54</v>
      </c>
      <c r="N99" s="95">
        <f t="shared" si="45"/>
        <v>153.54</v>
      </c>
      <c r="O99" s="95">
        <f t="shared" si="45"/>
        <v>153.54</v>
      </c>
      <c r="P99" s="95">
        <f t="shared" si="45"/>
        <v>153.54</v>
      </c>
      <c r="Q99" s="95">
        <f t="shared" si="45"/>
        <v>153.54</v>
      </c>
      <c r="R99" s="95">
        <f t="shared" si="45"/>
        <v>153.54</v>
      </c>
      <c r="S99" s="95">
        <f t="shared" si="45"/>
        <v>153.54</v>
      </c>
      <c r="T99" s="95">
        <f t="shared" si="45"/>
        <v>153.54</v>
      </c>
      <c r="U99" s="95">
        <f t="shared" si="45"/>
        <v>153.54</v>
      </c>
      <c r="V99" s="95">
        <f t="shared" si="45"/>
        <v>153.54</v>
      </c>
      <c r="W99" s="95">
        <f t="shared" si="45"/>
        <v>153.54</v>
      </c>
      <c r="X99" s="95">
        <f t="shared" si="45"/>
        <v>153.54</v>
      </c>
      <c r="Y99" s="95">
        <f>Y97+Y98</f>
        <v>153.5</v>
      </c>
      <c r="Z99" s="95">
        <f>Z97+Z98</f>
        <v>155.5</v>
      </c>
      <c r="AA99" s="95">
        <f t="shared" si="45"/>
        <v>153.54</v>
      </c>
      <c r="AB99" s="95">
        <f t="shared" si="45"/>
        <v>153.54</v>
      </c>
      <c r="AC99" s="95">
        <f t="shared" si="45"/>
        <v>153.54</v>
      </c>
      <c r="AD99" s="95">
        <f t="shared" si="45"/>
        <v>153.54</v>
      </c>
      <c r="AE99" s="95">
        <f t="shared" si="45"/>
        <v>153.54</v>
      </c>
      <c r="AF99" s="95">
        <f t="shared" si="45"/>
        <v>153.54</v>
      </c>
      <c r="AG99" s="88">
        <f>AG96+AG92+AG80+AG76+AG58+AG98</f>
        <v>1693.71</v>
      </c>
      <c r="AH99" s="47">
        <f t="shared" si="41"/>
        <v>155.5</v>
      </c>
      <c r="AI99" s="48">
        <f t="shared" si="42"/>
        <v>153.5</v>
      </c>
      <c r="BF99" s="233"/>
      <c r="BG99" s="233">
        <v>0</v>
      </c>
      <c r="BH99" s="233">
        <v>0</v>
      </c>
      <c r="BI99" s="233">
        <v>0</v>
      </c>
      <c r="BJ99" s="233">
        <v>0</v>
      </c>
      <c r="BK99" s="233">
        <v>0</v>
      </c>
      <c r="BL99" s="233">
        <v>0</v>
      </c>
    </row>
    <row r="100" spans="1:64" ht="15.75" thickBot="1" x14ac:dyDescent="0.3">
      <c r="A100" s="74" t="s">
        <v>102</v>
      </c>
      <c r="B100" s="95">
        <f t="shared" ref="B100:M100" si="46">B99-(B107)</f>
        <v>153.54</v>
      </c>
      <c r="C100" s="95">
        <f t="shared" si="46"/>
        <v>153.54</v>
      </c>
      <c r="D100" s="95">
        <f t="shared" si="46"/>
        <v>153.54</v>
      </c>
      <c r="E100" s="95">
        <f t="shared" si="46"/>
        <v>153.54</v>
      </c>
      <c r="F100" s="95">
        <f t="shared" si="46"/>
        <v>153.54</v>
      </c>
      <c r="G100" s="95">
        <f t="shared" si="46"/>
        <v>153.54</v>
      </c>
      <c r="H100" s="95">
        <f t="shared" si="46"/>
        <v>153.54</v>
      </c>
      <c r="I100" s="95">
        <f t="shared" si="46"/>
        <v>153.54</v>
      </c>
      <c r="J100" s="95">
        <f t="shared" si="46"/>
        <v>153.54</v>
      </c>
      <c r="K100" s="95">
        <f t="shared" si="46"/>
        <v>153.54</v>
      </c>
      <c r="L100" s="95">
        <f t="shared" si="46"/>
        <v>153.54</v>
      </c>
      <c r="M100" s="95">
        <f t="shared" si="46"/>
        <v>153.54</v>
      </c>
      <c r="N100" s="95">
        <f>N99-(N107)</f>
        <v>153.54</v>
      </c>
      <c r="O100" s="95">
        <f t="shared" ref="O100:AF100" si="47">O99-(O107)</f>
        <v>153.54</v>
      </c>
      <c r="P100" s="95">
        <f t="shared" si="47"/>
        <v>153.54</v>
      </c>
      <c r="Q100" s="95">
        <f t="shared" si="47"/>
        <v>153.54</v>
      </c>
      <c r="R100" s="95">
        <f t="shared" si="47"/>
        <v>153.54</v>
      </c>
      <c r="S100" s="95">
        <f t="shared" si="47"/>
        <v>153.54</v>
      </c>
      <c r="T100" s="95">
        <f t="shared" si="47"/>
        <v>153.54</v>
      </c>
      <c r="U100" s="95">
        <f t="shared" si="47"/>
        <v>153.54</v>
      </c>
      <c r="V100" s="95">
        <f t="shared" si="47"/>
        <v>153.54</v>
      </c>
      <c r="W100" s="95">
        <f t="shared" si="47"/>
        <v>153.54</v>
      </c>
      <c r="X100" s="95">
        <f t="shared" si="47"/>
        <v>153.54</v>
      </c>
      <c r="Y100" s="95">
        <f t="shared" si="47"/>
        <v>153.5</v>
      </c>
      <c r="Z100" s="95">
        <f t="shared" si="47"/>
        <v>155.5</v>
      </c>
      <c r="AA100" s="95">
        <f t="shared" si="47"/>
        <v>153.54</v>
      </c>
      <c r="AB100" s="95">
        <f t="shared" si="47"/>
        <v>153.54</v>
      </c>
      <c r="AC100" s="95">
        <f t="shared" si="47"/>
        <v>153.54</v>
      </c>
      <c r="AD100" s="95">
        <f t="shared" si="47"/>
        <v>153.54</v>
      </c>
      <c r="AE100" s="95">
        <f t="shared" si="47"/>
        <v>153.54</v>
      </c>
      <c r="AF100" s="95">
        <f t="shared" si="47"/>
        <v>153.54</v>
      </c>
      <c r="AG100" s="88"/>
      <c r="AH100" s="47">
        <f t="shared" si="41"/>
        <v>155.5</v>
      </c>
      <c r="AI100" s="48">
        <f t="shared" si="42"/>
        <v>153.5</v>
      </c>
      <c r="BF100" s="233"/>
      <c r="BG100" s="233">
        <v>0</v>
      </c>
      <c r="BH100" s="233">
        <v>0</v>
      </c>
      <c r="BI100" s="233">
        <v>0</v>
      </c>
      <c r="BJ100" s="233">
        <v>0</v>
      </c>
      <c r="BK100" s="233">
        <v>0</v>
      </c>
      <c r="BL100" s="233">
        <v>0</v>
      </c>
    </row>
    <row r="101" spans="1:64" x14ac:dyDescent="0.25">
      <c r="A101" s="44" t="s">
        <v>84</v>
      </c>
      <c r="B101" s="76">
        <f t="shared" ref="B101:AF101" si="48">IF(B84&lt;0,B84*-1,0)</f>
        <v>0</v>
      </c>
      <c r="C101" s="76">
        <f t="shared" si="48"/>
        <v>0</v>
      </c>
      <c r="D101" s="76">
        <f t="shared" si="48"/>
        <v>0</v>
      </c>
      <c r="E101" s="76">
        <f t="shared" si="48"/>
        <v>0</v>
      </c>
      <c r="F101" s="76">
        <f t="shared" si="48"/>
        <v>0</v>
      </c>
      <c r="G101" s="76">
        <f t="shared" si="48"/>
        <v>0</v>
      </c>
      <c r="H101" s="76">
        <f t="shared" si="48"/>
        <v>0</v>
      </c>
      <c r="I101" s="76">
        <f t="shared" si="48"/>
        <v>0</v>
      </c>
      <c r="J101" s="76">
        <f t="shared" si="48"/>
        <v>0</v>
      </c>
      <c r="K101" s="76">
        <f t="shared" si="48"/>
        <v>0</v>
      </c>
      <c r="L101" s="76">
        <f t="shared" si="48"/>
        <v>0</v>
      </c>
      <c r="M101" s="76">
        <f t="shared" si="48"/>
        <v>0</v>
      </c>
      <c r="N101" s="76">
        <f t="shared" si="48"/>
        <v>0</v>
      </c>
      <c r="O101" s="76">
        <f t="shared" si="48"/>
        <v>0</v>
      </c>
      <c r="P101" s="76">
        <f t="shared" si="48"/>
        <v>0</v>
      </c>
      <c r="Q101" s="76">
        <f t="shared" si="48"/>
        <v>0</v>
      </c>
      <c r="R101" s="76">
        <f t="shared" si="48"/>
        <v>0</v>
      </c>
      <c r="S101" s="76">
        <f t="shared" si="48"/>
        <v>0</v>
      </c>
      <c r="T101" s="76">
        <f t="shared" si="48"/>
        <v>0</v>
      </c>
      <c r="U101" s="76">
        <f t="shared" si="48"/>
        <v>0</v>
      </c>
      <c r="V101" s="76">
        <f t="shared" si="48"/>
        <v>0</v>
      </c>
      <c r="W101" s="76">
        <f t="shared" si="48"/>
        <v>0</v>
      </c>
      <c r="X101" s="76">
        <f t="shared" si="48"/>
        <v>0</v>
      </c>
      <c r="Y101" s="76">
        <f t="shared" si="48"/>
        <v>0</v>
      </c>
      <c r="Z101" s="76">
        <f t="shared" si="48"/>
        <v>0</v>
      </c>
      <c r="AA101" s="76">
        <f t="shared" si="48"/>
        <v>0</v>
      </c>
      <c r="AB101" s="76">
        <f t="shared" si="48"/>
        <v>0</v>
      </c>
      <c r="AC101" s="76">
        <f t="shared" si="48"/>
        <v>0</v>
      </c>
      <c r="AD101" s="76">
        <f t="shared" si="48"/>
        <v>0</v>
      </c>
      <c r="AE101" s="76">
        <f t="shared" si="48"/>
        <v>0</v>
      </c>
      <c r="AF101" s="76">
        <f t="shared" si="48"/>
        <v>0</v>
      </c>
      <c r="AG101" s="52"/>
      <c r="AH101" s="47">
        <f t="shared" si="41"/>
        <v>0</v>
      </c>
      <c r="AI101" s="48">
        <f t="shared" si="42"/>
        <v>0</v>
      </c>
      <c r="BF101" s="232"/>
      <c r="BG101" s="233">
        <v>0</v>
      </c>
      <c r="BH101" s="233">
        <v>0</v>
      </c>
      <c r="BI101" s="233">
        <v>0</v>
      </c>
      <c r="BJ101" s="233">
        <v>0</v>
      </c>
      <c r="BK101" s="233">
        <v>0</v>
      </c>
      <c r="BL101" s="233">
        <v>0</v>
      </c>
    </row>
    <row r="102" spans="1:64" x14ac:dyDescent="0.25">
      <c r="A102" s="54" t="s">
        <v>82</v>
      </c>
      <c r="B102" s="76">
        <f t="shared" ref="B102:AF102" si="49">IF(B82&lt;0,B82*-1,0)</f>
        <v>0</v>
      </c>
      <c r="C102" s="76">
        <f t="shared" si="49"/>
        <v>0</v>
      </c>
      <c r="D102" s="76">
        <f t="shared" si="49"/>
        <v>0</v>
      </c>
      <c r="E102" s="76">
        <f t="shared" si="49"/>
        <v>0</v>
      </c>
      <c r="F102" s="76">
        <f t="shared" si="49"/>
        <v>0</v>
      </c>
      <c r="G102" s="76">
        <f t="shared" si="49"/>
        <v>0</v>
      </c>
      <c r="H102" s="76">
        <f t="shared" si="49"/>
        <v>0</v>
      </c>
      <c r="I102" s="76">
        <f t="shared" si="49"/>
        <v>0</v>
      </c>
      <c r="J102" s="76">
        <f t="shared" si="49"/>
        <v>0</v>
      </c>
      <c r="K102" s="76">
        <f t="shared" si="49"/>
        <v>0</v>
      </c>
      <c r="L102" s="76">
        <f t="shared" si="49"/>
        <v>0</v>
      </c>
      <c r="M102" s="76">
        <f t="shared" si="49"/>
        <v>0</v>
      </c>
      <c r="N102" s="76">
        <f t="shared" si="49"/>
        <v>0</v>
      </c>
      <c r="O102" s="76">
        <f t="shared" si="49"/>
        <v>0</v>
      </c>
      <c r="P102" s="76">
        <f t="shared" si="49"/>
        <v>0</v>
      </c>
      <c r="Q102" s="76">
        <f t="shared" si="49"/>
        <v>0</v>
      </c>
      <c r="R102" s="76">
        <f t="shared" si="49"/>
        <v>0</v>
      </c>
      <c r="S102" s="76">
        <f t="shared" si="49"/>
        <v>0</v>
      </c>
      <c r="T102" s="76">
        <f t="shared" si="49"/>
        <v>0</v>
      </c>
      <c r="U102" s="76">
        <f t="shared" si="49"/>
        <v>0</v>
      </c>
      <c r="V102" s="76">
        <f t="shared" si="49"/>
        <v>0</v>
      </c>
      <c r="W102" s="76">
        <f t="shared" si="49"/>
        <v>0</v>
      </c>
      <c r="X102" s="76">
        <f t="shared" si="49"/>
        <v>0</v>
      </c>
      <c r="Y102" s="76">
        <f t="shared" si="49"/>
        <v>0</v>
      </c>
      <c r="Z102" s="76">
        <f t="shared" si="49"/>
        <v>0</v>
      </c>
      <c r="AA102" s="76">
        <f t="shared" si="49"/>
        <v>0</v>
      </c>
      <c r="AB102" s="76">
        <f t="shared" si="49"/>
        <v>0</v>
      </c>
      <c r="AC102" s="76">
        <f t="shared" si="49"/>
        <v>0</v>
      </c>
      <c r="AD102" s="76">
        <f t="shared" si="49"/>
        <v>0</v>
      </c>
      <c r="AE102" s="76">
        <f t="shared" si="49"/>
        <v>0</v>
      </c>
      <c r="AF102" s="76">
        <f t="shared" si="49"/>
        <v>0</v>
      </c>
      <c r="AG102" s="55"/>
      <c r="AH102" s="47">
        <f t="shared" si="41"/>
        <v>0</v>
      </c>
      <c r="AI102" s="48">
        <f t="shared" si="42"/>
        <v>0</v>
      </c>
      <c r="BF102" s="232"/>
      <c r="BG102" s="233">
        <v>0</v>
      </c>
      <c r="BH102" s="233">
        <v>0</v>
      </c>
      <c r="BI102" s="233">
        <v>0</v>
      </c>
      <c r="BJ102" s="233">
        <v>0</v>
      </c>
      <c r="BK102" s="233">
        <v>0</v>
      </c>
      <c r="BL102" s="233">
        <v>0</v>
      </c>
    </row>
    <row r="103" spans="1:64" x14ac:dyDescent="0.25">
      <c r="A103" s="84" t="s">
        <v>103</v>
      </c>
      <c r="B103" s="76">
        <f t="shared" ref="B103:AF103" si="50">IF(B85&lt;0,B85*-1,0)</f>
        <v>0</v>
      </c>
      <c r="C103" s="76">
        <f t="shared" si="50"/>
        <v>0</v>
      </c>
      <c r="D103" s="76">
        <f t="shared" si="50"/>
        <v>0</v>
      </c>
      <c r="E103" s="76">
        <f t="shared" si="50"/>
        <v>0</v>
      </c>
      <c r="F103" s="76">
        <f t="shared" si="50"/>
        <v>0</v>
      </c>
      <c r="G103" s="76">
        <f t="shared" si="50"/>
        <v>0</v>
      </c>
      <c r="H103" s="76">
        <f t="shared" si="50"/>
        <v>0</v>
      </c>
      <c r="I103" s="76">
        <f t="shared" si="50"/>
        <v>0</v>
      </c>
      <c r="J103" s="76">
        <f t="shared" si="50"/>
        <v>0</v>
      </c>
      <c r="K103" s="76">
        <f t="shared" si="50"/>
        <v>0</v>
      </c>
      <c r="L103" s="76">
        <f t="shared" si="50"/>
        <v>0</v>
      </c>
      <c r="M103" s="76">
        <f t="shared" si="50"/>
        <v>0</v>
      </c>
      <c r="N103" s="76">
        <f t="shared" si="50"/>
        <v>0</v>
      </c>
      <c r="O103" s="76">
        <f t="shared" si="50"/>
        <v>0</v>
      </c>
      <c r="P103" s="76">
        <f t="shared" si="50"/>
        <v>0</v>
      </c>
      <c r="Q103" s="76">
        <f t="shared" si="50"/>
        <v>0</v>
      </c>
      <c r="R103" s="76">
        <f t="shared" si="50"/>
        <v>0</v>
      </c>
      <c r="S103" s="76">
        <f t="shared" si="50"/>
        <v>0</v>
      </c>
      <c r="T103" s="76">
        <f t="shared" si="50"/>
        <v>0</v>
      </c>
      <c r="U103" s="76">
        <f t="shared" si="50"/>
        <v>0</v>
      </c>
      <c r="V103" s="76">
        <f t="shared" si="50"/>
        <v>0</v>
      </c>
      <c r="W103" s="76">
        <f t="shared" si="50"/>
        <v>0</v>
      </c>
      <c r="X103" s="76">
        <f t="shared" si="50"/>
        <v>0</v>
      </c>
      <c r="Y103" s="76">
        <f t="shared" si="50"/>
        <v>0</v>
      </c>
      <c r="Z103" s="76">
        <f t="shared" si="50"/>
        <v>0</v>
      </c>
      <c r="AA103" s="76">
        <f t="shared" si="50"/>
        <v>0</v>
      </c>
      <c r="AB103" s="76">
        <f t="shared" si="50"/>
        <v>0</v>
      </c>
      <c r="AC103" s="76">
        <f t="shared" si="50"/>
        <v>0</v>
      </c>
      <c r="AD103" s="76">
        <f t="shared" si="50"/>
        <v>0</v>
      </c>
      <c r="AE103" s="76">
        <f t="shared" si="50"/>
        <v>0</v>
      </c>
      <c r="AF103" s="76">
        <f t="shared" si="50"/>
        <v>0</v>
      </c>
      <c r="AG103" s="98"/>
      <c r="AH103" s="47">
        <f t="shared" si="41"/>
        <v>0</v>
      </c>
      <c r="AI103" s="48">
        <f t="shared" si="42"/>
        <v>0</v>
      </c>
      <c r="BF103" s="232"/>
      <c r="BG103" s="233">
        <v>0</v>
      </c>
      <c r="BH103" s="233">
        <v>0</v>
      </c>
      <c r="BI103" s="233">
        <v>0</v>
      </c>
      <c r="BJ103" s="233">
        <v>0</v>
      </c>
      <c r="BK103" s="233">
        <v>0</v>
      </c>
      <c r="BL103" s="233">
        <v>0</v>
      </c>
    </row>
    <row r="104" spans="1:64" x14ac:dyDescent="0.25">
      <c r="A104" s="84" t="s">
        <v>104</v>
      </c>
      <c r="B104" s="76">
        <f t="shared" ref="B104:AF104" si="51">IF(B83&lt;0,B83*-1,0)</f>
        <v>0</v>
      </c>
      <c r="C104" s="76">
        <f t="shared" si="51"/>
        <v>0</v>
      </c>
      <c r="D104" s="76">
        <f t="shared" si="51"/>
        <v>0</v>
      </c>
      <c r="E104" s="76">
        <f t="shared" si="51"/>
        <v>0</v>
      </c>
      <c r="F104" s="76">
        <f t="shared" si="51"/>
        <v>0</v>
      </c>
      <c r="G104" s="76">
        <f t="shared" si="51"/>
        <v>0</v>
      </c>
      <c r="H104" s="76">
        <f t="shared" si="51"/>
        <v>0</v>
      </c>
      <c r="I104" s="76">
        <f t="shared" si="51"/>
        <v>0</v>
      </c>
      <c r="J104" s="76">
        <f t="shared" si="51"/>
        <v>0</v>
      </c>
      <c r="K104" s="76">
        <f t="shared" si="51"/>
        <v>0</v>
      </c>
      <c r="L104" s="76">
        <f t="shared" si="51"/>
        <v>0</v>
      </c>
      <c r="M104" s="76">
        <f t="shared" si="51"/>
        <v>0</v>
      </c>
      <c r="N104" s="76">
        <f t="shared" si="51"/>
        <v>0</v>
      </c>
      <c r="O104" s="76">
        <f t="shared" si="51"/>
        <v>0</v>
      </c>
      <c r="P104" s="76">
        <f t="shared" si="51"/>
        <v>0</v>
      </c>
      <c r="Q104" s="76">
        <f t="shared" si="51"/>
        <v>0</v>
      </c>
      <c r="R104" s="76">
        <f t="shared" si="51"/>
        <v>0</v>
      </c>
      <c r="S104" s="76">
        <f t="shared" si="51"/>
        <v>0</v>
      </c>
      <c r="T104" s="76">
        <f t="shared" si="51"/>
        <v>0</v>
      </c>
      <c r="U104" s="76">
        <f t="shared" si="51"/>
        <v>0</v>
      </c>
      <c r="V104" s="76">
        <f t="shared" si="51"/>
        <v>0</v>
      </c>
      <c r="W104" s="76">
        <f t="shared" si="51"/>
        <v>0</v>
      </c>
      <c r="X104" s="76">
        <f t="shared" si="51"/>
        <v>0</v>
      </c>
      <c r="Y104" s="76">
        <f t="shared" si="51"/>
        <v>0</v>
      </c>
      <c r="Z104" s="76">
        <f t="shared" si="51"/>
        <v>0</v>
      </c>
      <c r="AA104" s="76">
        <f t="shared" si="51"/>
        <v>0</v>
      </c>
      <c r="AB104" s="76">
        <f t="shared" si="51"/>
        <v>0</v>
      </c>
      <c r="AC104" s="76">
        <f t="shared" si="51"/>
        <v>0</v>
      </c>
      <c r="AD104" s="76">
        <f t="shared" si="51"/>
        <v>0</v>
      </c>
      <c r="AE104" s="76">
        <f t="shared" si="51"/>
        <v>0</v>
      </c>
      <c r="AF104" s="76">
        <f t="shared" si="51"/>
        <v>0</v>
      </c>
      <c r="AG104" s="98"/>
      <c r="AH104" s="47">
        <f t="shared" si="41"/>
        <v>0</v>
      </c>
      <c r="AI104" s="48">
        <f t="shared" si="42"/>
        <v>0</v>
      </c>
      <c r="BF104" s="232"/>
      <c r="BG104" s="233">
        <v>0</v>
      </c>
      <c r="BH104" s="233">
        <v>0</v>
      </c>
      <c r="BI104" s="233">
        <v>0</v>
      </c>
      <c r="BJ104" s="233">
        <v>0</v>
      </c>
      <c r="BK104" s="233">
        <v>0</v>
      </c>
      <c r="BL104" s="233">
        <v>0</v>
      </c>
    </row>
    <row r="105" spans="1:64" x14ac:dyDescent="0.25">
      <c r="A105" s="84" t="s">
        <v>81</v>
      </c>
      <c r="B105" s="76">
        <f t="shared" ref="B105:AF105" si="52">IF(B81&lt;0,B81*-1,0)</f>
        <v>0</v>
      </c>
      <c r="C105" s="76">
        <f t="shared" si="52"/>
        <v>0</v>
      </c>
      <c r="D105" s="76">
        <f t="shared" si="52"/>
        <v>0</v>
      </c>
      <c r="E105" s="76">
        <f t="shared" si="52"/>
        <v>0</v>
      </c>
      <c r="F105" s="76">
        <f t="shared" si="52"/>
        <v>0</v>
      </c>
      <c r="G105" s="76">
        <f t="shared" si="52"/>
        <v>0</v>
      </c>
      <c r="H105" s="76">
        <f t="shared" si="52"/>
        <v>0</v>
      </c>
      <c r="I105" s="76">
        <f t="shared" si="52"/>
        <v>0</v>
      </c>
      <c r="J105" s="76">
        <f t="shared" si="52"/>
        <v>0</v>
      </c>
      <c r="K105" s="76">
        <f t="shared" si="52"/>
        <v>0</v>
      </c>
      <c r="L105" s="76">
        <f t="shared" si="52"/>
        <v>0</v>
      </c>
      <c r="M105" s="76">
        <f t="shared" si="52"/>
        <v>0</v>
      </c>
      <c r="N105" s="76">
        <f t="shared" si="52"/>
        <v>0</v>
      </c>
      <c r="O105" s="76">
        <f t="shared" si="52"/>
        <v>0</v>
      </c>
      <c r="P105" s="76">
        <f t="shared" si="52"/>
        <v>0</v>
      </c>
      <c r="Q105" s="76">
        <f t="shared" si="52"/>
        <v>0</v>
      </c>
      <c r="R105" s="76">
        <f t="shared" si="52"/>
        <v>0</v>
      </c>
      <c r="S105" s="76">
        <f t="shared" si="52"/>
        <v>0</v>
      </c>
      <c r="T105" s="76">
        <f t="shared" si="52"/>
        <v>0</v>
      </c>
      <c r="U105" s="76">
        <f t="shared" si="52"/>
        <v>0</v>
      </c>
      <c r="V105" s="76">
        <f t="shared" si="52"/>
        <v>0</v>
      </c>
      <c r="W105" s="76">
        <f t="shared" si="52"/>
        <v>0</v>
      </c>
      <c r="X105" s="76">
        <f t="shared" si="52"/>
        <v>0</v>
      </c>
      <c r="Y105" s="76">
        <f t="shared" si="52"/>
        <v>0</v>
      </c>
      <c r="Z105" s="76">
        <f t="shared" si="52"/>
        <v>0</v>
      </c>
      <c r="AA105" s="76">
        <f t="shared" si="52"/>
        <v>0</v>
      </c>
      <c r="AB105" s="76">
        <f t="shared" si="52"/>
        <v>0</v>
      </c>
      <c r="AC105" s="76">
        <f t="shared" si="52"/>
        <v>0</v>
      </c>
      <c r="AD105" s="76">
        <f t="shared" si="52"/>
        <v>0</v>
      </c>
      <c r="AE105" s="76">
        <f t="shared" si="52"/>
        <v>0</v>
      </c>
      <c r="AF105" s="76">
        <f t="shared" si="52"/>
        <v>0</v>
      </c>
      <c r="AG105" s="98"/>
      <c r="AH105" s="47">
        <f t="shared" si="41"/>
        <v>0</v>
      </c>
      <c r="AI105" s="48">
        <f t="shared" si="42"/>
        <v>0</v>
      </c>
      <c r="BF105" s="232"/>
      <c r="BG105" s="233">
        <v>0</v>
      </c>
      <c r="BH105" s="233">
        <v>0</v>
      </c>
      <c r="BI105" s="233">
        <v>0</v>
      </c>
      <c r="BJ105" s="233">
        <v>0</v>
      </c>
      <c r="BK105" s="233">
        <v>0</v>
      </c>
      <c r="BL105" s="233">
        <v>0</v>
      </c>
    </row>
    <row r="106" spans="1:64" ht="15.75" thickBot="1" x14ac:dyDescent="0.3">
      <c r="A106" s="84" t="s">
        <v>105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85"/>
      <c r="AH106" s="47">
        <f t="shared" si="41"/>
        <v>0</v>
      </c>
      <c r="AI106" s="48">
        <f t="shared" si="42"/>
        <v>0</v>
      </c>
      <c r="BG106" s="233">
        <v>0</v>
      </c>
      <c r="BH106" s="233">
        <v>0</v>
      </c>
      <c r="BI106" s="233">
        <v>0</v>
      </c>
      <c r="BJ106" s="233">
        <v>0</v>
      </c>
      <c r="BK106" s="233">
        <v>0</v>
      </c>
      <c r="BL106" s="233">
        <v>0</v>
      </c>
    </row>
    <row r="107" spans="1:64" ht="15.75" thickBot="1" x14ac:dyDescent="0.3">
      <c r="A107" s="99" t="s">
        <v>106</v>
      </c>
      <c r="B107" s="60">
        <f t="shared" ref="B107:C107" si="53">SUM(B101:B106)</f>
        <v>0</v>
      </c>
      <c r="C107" s="60">
        <f t="shared" si="53"/>
        <v>0</v>
      </c>
      <c r="D107" s="60">
        <f t="shared" ref="D107:AF107" si="54">SUM(D101:D106)</f>
        <v>0</v>
      </c>
      <c r="E107" s="60">
        <f t="shared" si="54"/>
        <v>0</v>
      </c>
      <c r="F107" s="60">
        <f t="shared" si="54"/>
        <v>0</v>
      </c>
      <c r="G107" s="60">
        <f t="shared" si="54"/>
        <v>0</v>
      </c>
      <c r="H107" s="60">
        <f t="shared" si="54"/>
        <v>0</v>
      </c>
      <c r="I107" s="60">
        <f t="shared" si="54"/>
        <v>0</v>
      </c>
      <c r="J107" s="60">
        <f t="shared" si="54"/>
        <v>0</v>
      </c>
      <c r="K107" s="60">
        <f t="shared" si="54"/>
        <v>0</v>
      </c>
      <c r="L107" s="60">
        <f t="shared" si="54"/>
        <v>0</v>
      </c>
      <c r="M107" s="60">
        <f t="shared" si="54"/>
        <v>0</v>
      </c>
      <c r="N107" s="60">
        <f t="shared" si="54"/>
        <v>0</v>
      </c>
      <c r="O107" s="60">
        <f t="shared" si="54"/>
        <v>0</v>
      </c>
      <c r="P107" s="60">
        <f t="shared" si="54"/>
        <v>0</v>
      </c>
      <c r="Q107" s="60">
        <f t="shared" si="54"/>
        <v>0</v>
      </c>
      <c r="R107" s="60">
        <f t="shared" si="54"/>
        <v>0</v>
      </c>
      <c r="S107" s="60">
        <f t="shared" si="54"/>
        <v>0</v>
      </c>
      <c r="T107" s="60">
        <f t="shared" si="54"/>
        <v>0</v>
      </c>
      <c r="U107" s="60">
        <f t="shared" si="54"/>
        <v>0</v>
      </c>
      <c r="V107" s="60">
        <f t="shared" si="54"/>
        <v>0</v>
      </c>
      <c r="W107" s="60">
        <f t="shared" si="54"/>
        <v>0</v>
      </c>
      <c r="X107" s="60">
        <f t="shared" si="54"/>
        <v>0</v>
      </c>
      <c r="Y107" s="60">
        <f t="shared" si="54"/>
        <v>0</v>
      </c>
      <c r="Z107" s="60">
        <f t="shared" si="54"/>
        <v>0</v>
      </c>
      <c r="AA107" s="60">
        <f t="shared" si="54"/>
        <v>0</v>
      </c>
      <c r="AB107" s="60">
        <f t="shared" si="54"/>
        <v>0</v>
      </c>
      <c r="AC107" s="60">
        <f t="shared" si="54"/>
        <v>0</v>
      </c>
      <c r="AD107" s="60">
        <f t="shared" si="54"/>
        <v>0</v>
      </c>
      <c r="AE107" s="60">
        <f t="shared" si="54"/>
        <v>0</v>
      </c>
      <c r="AF107" s="60">
        <f t="shared" si="54"/>
        <v>0</v>
      </c>
      <c r="AG107" s="88"/>
      <c r="AH107" s="47">
        <f t="shared" si="41"/>
        <v>0</v>
      </c>
      <c r="AI107" s="48">
        <f t="shared" si="42"/>
        <v>0</v>
      </c>
      <c r="AK107" s="50"/>
      <c r="BG107" s="233">
        <v>0</v>
      </c>
      <c r="BH107" s="233">
        <v>0</v>
      </c>
      <c r="BI107" s="233">
        <v>0</v>
      </c>
      <c r="BJ107" s="233">
        <v>0</v>
      </c>
      <c r="BK107" s="233">
        <v>0</v>
      </c>
      <c r="BL107" s="233">
        <v>0</v>
      </c>
    </row>
    <row r="108" spans="1:64" ht="15.75" thickBot="1" x14ac:dyDescent="0.3">
      <c r="A108" s="74" t="s">
        <v>107</v>
      </c>
      <c r="B108" s="60">
        <f t="shared" ref="B108:AF108" si="55">B92-B107</f>
        <v>0</v>
      </c>
      <c r="C108" s="60">
        <f t="shared" si="55"/>
        <v>0</v>
      </c>
      <c r="D108" s="60">
        <f t="shared" si="55"/>
        <v>0</v>
      </c>
      <c r="E108" s="60">
        <f t="shared" si="55"/>
        <v>0</v>
      </c>
      <c r="F108" s="60">
        <f t="shared" si="55"/>
        <v>0</v>
      </c>
      <c r="G108" s="60">
        <f t="shared" si="55"/>
        <v>0</v>
      </c>
      <c r="H108" s="60">
        <f t="shared" si="55"/>
        <v>0</v>
      </c>
      <c r="I108" s="60">
        <f t="shared" si="55"/>
        <v>0</v>
      </c>
      <c r="J108" s="60">
        <f t="shared" si="55"/>
        <v>0</v>
      </c>
      <c r="K108" s="60">
        <f t="shared" si="55"/>
        <v>0</v>
      </c>
      <c r="L108" s="60">
        <f t="shared" si="55"/>
        <v>0</v>
      </c>
      <c r="M108" s="60">
        <f t="shared" si="55"/>
        <v>0</v>
      </c>
      <c r="N108" s="60">
        <f t="shared" si="55"/>
        <v>0</v>
      </c>
      <c r="O108" s="60">
        <f t="shared" si="55"/>
        <v>0</v>
      </c>
      <c r="P108" s="60">
        <f t="shared" si="55"/>
        <v>0</v>
      </c>
      <c r="Q108" s="60">
        <f t="shared" si="55"/>
        <v>0</v>
      </c>
      <c r="R108" s="60">
        <f t="shared" si="55"/>
        <v>0</v>
      </c>
      <c r="S108" s="60">
        <f t="shared" si="55"/>
        <v>0</v>
      </c>
      <c r="T108" s="60">
        <f t="shared" si="55"/>
        <v>0</v>
      </c>
      <c r="U108" s="60">
        <f t="shared" si="55"/>
        <v>0</v>
      </c>
      <c r="V108" s="60">
        <f t="shared" si="55"/>
        <v>0</v>
      </c>
      <c r="W108" s="60">
        <f t="shared" si="55"/>
        <v>0</v>
      </c>
      <c r="X108" s="60">
        <f t="shared" si="55"/>
        <v>0</v>
      </c>
      <c r="Y108" s="60">
        <f>Y92-Y107</f>
        <v>0</v>
      </c>
      <c r="Z108" s="60">
        <f>Z92-Z107</f>
        <v>0</v>
      </c>
      <c r="AA108" s="60">
        <f t="shared" si="55"/>
        <v>0</v>
      </c>
      <c r="AB108" s="60">
        <f t="shared" si="55"/>
        <v>0</v>
      </c>
      <c r="AC108" s="60">
        <f t="shared" si="55"/>
        <v>0</v>
      </c>
      <c r="AD108" s="60">
        <f t="shared" si="55"/>
        <v>0</v>
      </c>
      <c r="AE108" s="60">
        <f t="shared" si="55"/>
        <v>0</v>
      </c>
      <c r="AF108" s="60">
        <f t="shared" si="55"/>
        <v>0</v>
      </c>
      <c r="AG108" s="88"/>
      <c r="AH108" s="47">
        <f t="shared" si="41"/>
        <v>0</v>
      </c>
      <c r="AI108" s="48">
        <f t="shared" si="42"/>
        <v>0</v>
      </c>
    </row>
    <row r="109" spans="1:64" x14ac:dyDescent="0.25">
      <c r="A109" s="100" t="s">
        <v>108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2"/>
      <c r="AH109" s="47">
        <f t="shared" si="41"/>
        <v>0</v>
      </c>
      <c r="AI109" s="48">
        <f t="shared" si="42"/>
        <v>0</v>
      </c>
    </row>
    <row r="110" spans="1:64" x14ac:dyDescent="0.25">
      <c r="A110" s="103" t="s">
        <v>109</v>
      </c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104"/>
      <c r="AH110" s="47">
        <f t="shared" si="41"/>
        <v>0</v>
      </c>
      <c r="AI110" s="48">
        <f t="shared" si="42"/>
        <v>0</v>
      </c>
    </row>
    <row r="111" spans="1:64" x14ac:dyDescent="0.25">
      <c r="A111" s="103" t="s">
        <v>110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104"/>
      <c r="AH111" s="47">
        <f t="shared" si="41"/>
        <v>0</v>
      </c>
      <c r="AI111" s="48">
        <f t="shared" si="42"/>
        <v>0</v>
      </c>
    </row>
    <row r="112" spans="1:64" x14ac:dyDescent="0.25">
      <c r="A112" s="103" t="s">
        <v>111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104"/>
      <c r="AH112" s="47">
        <f t="shared" si="41"/>
        <v>0</v>
      </c>
      <c r="AI112" s="48">
        <f t="shared" si="42"/>
        <v>0</v>
      </c>
    </row>
    <row r="113" spans="1:35" x14ac:dyDescent="0.25">
      <c r="A113" s="105" t="s">
        <v>112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04"/>
      <c r="AH113" s="47">
        <f t="shared" si="41"/>
        <v>0</v>
      </c>
      <c r="AI113" s="48">
        <f t="shared" si="42"/>
        <v>0</v>
      </c>
    </row>
    <row r="114" spans="1:35" x14ac:dyDescent="0.25">
      <c r="A114" s="105" t="s">
        <v>113</v>
      </c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7"/>
      <c r="AH114" s="47">
        <f t="shared" ref="AH114:AH123" si="56">MAX(B114:AF114)</f>
        <v>0</v>
      </c>
      <c r="AI114" s="48">
        <f t="shared" ref="AI114:AI123" si="57">MIN(B114:AF114)</f>
        <v>0</v>
      </c>
    </row>
    <row r="115" spans="1:35" x14ac:dyDescent="0.25">
      <c r="A115" s="103" t="s">
        <v>114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104"/>
      <c r="AH115" s="47">
        <f t="shared" si="56"/>
        <v>0</v>
      </c>
      <c r="AI115" s="48">
        <f t="shared" si="57"/>
        <v>0</v>
      </c>
    </row>
    <row r="116" spans="1:35" ht="15.75" thickBot="1" x14ac:dyDescent="0.3">
      <c r="A116" s="103" t="s">
        <v>115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108"/>
      <c r="AH116" s="47">
        <f t="shared" si="56"/>
        <v>0</v>
      </c>
      <c r="AI116" s="48">
        <f t="shared" si="57"/>
        <v>0</v>
      </c>
    </row>
    <row r="117" spans="1:35" ht="15.75" thickBot="1" x14ac:dyDescent="0.3">
      <c r="A117" s="109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 t="s">
        <v>116</v>
      </c>
      <c r="Y117" s="92"/>
      <c r="Z117" s="92"/>
      <c r="AA117" s="92"/>
      <c r="AB117" s="92"/>
      <c r="AC117" s="92"/>
      <c r="AD117" s="92"/>
      <c r="AE117" s="92"/>
      <c r="AF117" s="92"/>
      <c r="AG117" s="108"/>
      <c r="AH117" s="47">
        <f t="shared" si="56"/>
        <v>0</v>
      </c>
      <c r="AI117" s="48">
        <f t="shared" si="57"/>
        <v>0</v>
      </c>
    </row>
    <row r="118" spans="1:35" ht="15.75" thickBot="1" x14ac:dyDescent="0.3">
      <c r="A118" s="110" t="s">
        <v>117</v>
      </c>
      <c r="B118" s="111">
        <f>SUM(B22,B28,B31:B32,B66,B68:B69,B71,B73,B119:B123,B155,B161,B167,B176,B178,B190,B197,B200:B201,B208,B210,B212,B216:B218,B220:B222,B227,B233:B234,B236:B238,B246,B251)</f>
        <v>0.94</v>
      </c>
      <c r="C118" s="111">
        <f>SUM(C22,C28,C31:C32,C66,C68:C69,C71,C73,C119:C123,C155,C161,C167,C176,C178,C190,C197,C200:C201,C208,C210,C212,C216:C218,C220:C222,C227,C233:C234,C236:C238,C246,C251)</f>
        <v>0.94</v>
      </c>
      <c r="D118" s="111">
        <f t="shared" ref="D118:O118" si="58">SUM(D22,D28,D31:D32,D66,D68:D69,D71,D73,D119:D123,D155,D161,D167,D176,D178,D190,D197,D200:D201,D208,D210,D212,D216:D218,D220:D222,D227,D233:D234,D236:D238,D246,D251)</f>
        <v>0.94</v>
      </c>
      <c r="E118" s="111">
        <f t="shared" si="58"/>
        <v>0.94</v>
      </c>
      <c r="F118" s="111">
        <f t="shared" si="58"/>
        <v>0.94</v>
      </c>
      <c r="G118" s="111">
        <f t="shared" si="58"/>
        <v>0.94</v>
      </c>
      <c r="H118" s="111">
        <f t="shared" si="58"/>
        <v>0.94</v>
      </c>
      <c r="I118" s="111">
        <f t="shared" si="58"/>
        <v>0.94</v>
      </c>
      <c r="J118" s="111">
        <f t="shared" si="58"/>
        <v>0.94</v>
      </c>
      <c r="K118" s="111">
        <f t="shared" si="58"/>
        <v>0.94</v>
      </c>
      <c r="L118" s="111">
        <f t="shared" si="58"/>
        <v>0.94</v>
      </c>
      <c r="M118" s="111">
        <f t="shared" si="58"/>
        <v>0.94</v>
      </c>
      <c r="N118" s="111">
        <f t="shared" si="58"/>
        <v>0.94</v>
      </c>
      <c r="O118" s="111">
        <f t="shared" si="58"/>
        <v>0.94</v>
      </c>
      <c r="P118" s="111">
        <v>42</v>
      </c>
      <c r="Q118" s="111">
        <f t="shared" ref="Q118:AF118" si="59">SUM(Q22,Q28,Q31:Q32,Q66,Q68:Q69,Q71,Q73,Q119:Q123,Q155,Q161,Q167,Q176,Q178,Q190,Q197,Q200:Q201,Q208,Q210,Q212,Q216:Q218,Q220:Q222,Q227,Q233:Q234,Q236:Q238,Q246,Q251)</f>
        <v>0.94</v>
      </c>
      <c r="R118" s="111">
        <f t="shared" si="59"/>
        <v>0.94</v>
      </c>
      <c r="S118" s="111">
        <f t="shared" si="59"/>
        <v>0.94</v>
      </c>
      <c r="T118" s="111">
        <f t="shared" si="59"/>
        <v>0.94</v>
      </c>
      <c r="U118" s="111">
        <f t="shared" si="59"/>
        <v>0.94</v>
      </c>
      <c r="V118" s="111">
        <f t="shared" si="59"/>
        <v>0.94</v>
      </c>
      <c r="W118" s="111">
        <f t="shared" si="59"/>
        <v>0.94</v>
      </c>
      <c r="X118" s="111">
        <f t="shared" si="59"/>
        <v>0.94</v>
      </c>
      <c r="Y118" s="111">
        <f t="shared" ref="Y118:Z118" si="60">SUM(Y20,Y26,Y37:Y38,Y66,Y68:Y69,Y71,Y73,Y119:Y123,Y148,Y154,Y160,Y169,Y171,Y183,Y190,Y193:Y194,Y201,Y203,Y205,Y209:Y211,Y213:Y215,Y220,Y226:Y227,Y229:Y231,Y239,Y244)</f>
        <v>0</v>
      </c>
      <c r="Z118" s="111">
        <f t="shared" si="60"/>
        <v>0</v>
      </c>
      <c r="AA118" s="111">
        <f t="shared" si="59"/>
        <v>0.94</v>
      </c>
      <c r="AB118" s="111">
        <f t="shared" si="59"/>
        <v>0.94</v>
      </c>
      <c r="AC118" s="111">
        <f t="shared" si="59"/>
        <v>0.94</v>
      </c>
      <c r="AD118" s="111">
        <f t="shared" si="59"/>
        <v>0.94</v>
      </c>
      <c r="AE118" s="111">
        <f t="shared" si="59"/>
        <v>0.94</v>
      </c>
      <c r="AF118" s="111">
        <f t="shared" si="59"/>
        <v>0.94</v>
      </c>
      <c r="AG118" s="112"/>
      <c r="AH118" s="47">
        <f t="shared" si="56"/>
        <v>42</v>
      </c>
      <c r="AI118" s="48">
        <f t="shared" si="57"/>
        <v>0</v>
      </c>
    </row>
    <row r="119" spans="1:35" x14ac:dyDescent="0.25">
      <c r="A119" s="172" t="s">
        <v>118</v>
      </c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4">
        <v>75</v>
      </c>
      <c r="AH119" s="47">
        <f t="shared" si="56"/>
        <v>0</v>
      </c>
      <c r="AI119" s="48">
        <f t="shared" si="57"/>
        <v>0</v>
      </c>
    </row>
    <row r="120" spans="1:35" x14ac:dyDescent="0.25">
      <c r="A120" s="173" t="s">
        <v>119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4">
        <v>240</v>
      </c>
      <c r="AH120" s="47">
        <f t="shared" si="56"/>
        <v>0</v>
      </c>
      <c r="AI120" s="48">
        <f t="shared" si="57"/>
        <v>0</v>
      </c>
    </row>
    <row r="121" spans="1:35" x14ac:dyDescent="0.25">
      <c r="A121" s="173" t="s">
        <v>120</v>
      </c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4">
        <v>240</v>
      </c>
      <c r="AH121" s="47">
        <f t="shared" si="56"/>
        <v>0</v>
      </c>
      <c r="AI121" s="48">
        <f t="shared" si="57"/>
        <v>0</v>
      </c>
    </row>
    <row r="122" spans="1:35" ht="15.75" thickBot="1" x14ac:dyDescent="0.3">
      <c r="A122" s="173" t="s">
        <v>121</v>
      </c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4">
        <v>60</v>
      </c>
      <c r="AH122" s="47">
        <f t="shared" si="56"/>
        <v>0</v>
      </c>
      <c r="AI122" s="48">
        <f t="shared" si="57"/>
        <v>0</v>
      </c>
    </row>
    <row r="123" spans="1:35" x14ac:dyDescent="0.25">
      <c r="A123" s="172" t="s">
        <v>259</v>
      </c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8">
        <v>120</v>
      </c>
      <c r="AH123" s="47">
        <f t="shared" si="56"/>
        <v>0</v>
      </c>
      <c r="AI123" s="48">
        <f t="shared" si="57"/>
        <v>0</v>
      </c>
    </row>
    <row r="124" spans="1:35" x14ac:dyDescent="0.25">
      <c r="A124" s="173" t="s">
        <v>258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8"/>
      <c r="AH124" s="47"/>
      <c r="AI124" s="48"/>
    </row>
    <row r="125" spans="1:35" x14ac:dyDescent="0.25">
      <c r="A125" s="173" t="s">
        <v>255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8"/>
      <c r="AH125" s="47"/>
      <c r="AI125" s="48"/>
    </row>
    <row r="126" spans="1:35" ht="15.75" thickBot="1" x14ac:dyDescent="0.3">
      <c r="A126" s="173" t="s">
        <v>254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4"/>
      <c r="AH126" s="47">
        <f>MAX(B126:AF126)</f>
        <v>0</v>
      </c>
      <c r="AI126" s="48">
        <f>MIN(B126:AF126)</f>
        <v>0</v>
      </c>
    </row>
    <row r="127" spans="1:35" x14ac:dyDescent="0.25">
      <c r="A127" s="172" t="s">
        <v>587</v>
      </c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4"/>
      <c r="AH127" s="47">
        <f>MAX(B127:AF127)</f>
        <v>0</v>
      </c>
      <c r="AI127" s="48">
        <f>MIN(B127:AF127)</f>
        <v>0</v>
      </c>
    </row>
    <row r="128" spans="1:35" x14ac:dyDescent="0.25">
      <c r="A128" s="173" t="s">
        <v>123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14"/>
      <c r="AH128" s="47">
        <f>MAX(B128:AF128)</f>
        <v>0</v>
      </c>
      <c r="AI128" s="48">
        <f>MIN(B128:AF128)</f>
        <v>0</v>
      </c>
    </row>
    <row r="129" spans="1:37" x14ac:dyDescent="0.25">
      <c r="A129" s="173" t="s">
        <v>260</v>
      </c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14"/>
      <c r="AH129" s="47">
        <f>MAX(B129:AF129)</f>
        <v>0</v>
      </c>
      <c r="AI129" s="48">
        <f>MIN(B129:AF129)</f>
        <v>0</v>
      </c>
    </row>
    <row r="130" spans="1:37" ht="15.75" thickBot="1" x14ac:dyDescent="0.3">
      <c r="A130" s="173" t="s">
        <v>257</v>
      </c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14"/>
      <c r="AH130" s="47">
        <f>MAX(B130:AF130)</f>
        <v>0</v>
      </c>
      <c r="AI130" s="48">
        <f>MIN(B130:AF130)</f>
        <v>0</v>
      </c>
    </row>
    <row r="131" spans="1:37" x14ac:dyDescent="0.25">
      <c r="A131" s="144" t="s">
        <v>237</v>
      </c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6"/>
      <c r="AG131" s="43"/>
      <c r="AH131" s="47"/>
      <c r="AI131" s="48"/>
    </row>
    <row r="132" spans="1:37" x14ac:dyDescent="0.25">
      <c r="A132" s="185" t="s">
        <v>367</v>
      </c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8"/>
      <c r="AG132" s="149"/>
      <c r="AH132" s="47"/>
      <c r="AI132" s="48"/>
    </row>
    <row r="133" spans="1:37" x14ac:dyDescent="0.25">
      <c r="A133" s="185" t="s">
        <v>238</v>
      </c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1"/>
      <c r="AG133" s="149"/>
      <c r="AH133" s="47"/>
      <c r="AI133" s="48"/>
    </row>
    <row r="134" spans="1:37" x14ac:dyDescent="0.25">
      <c r="A134" s="185" t="s">
        <v>239</v>
      </c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1"/>
      <c r="AG134" s="149"/>
      <c r="AH134" s="47"/>
      <c r="AI134" s="48"/>
    </row>
    <row r="135" spans="1:37" x14ac:dyDescent="0.25">
      <c r="A135" s="185" t="s">
        <v>240</v>
      </c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1"/>
      <c r="AG135" s="149"/>
      <c r="AH135" s="47"/>
      <c r="AI135" s="48"/>
    </row>
    <row r="136" spans="1:37" x14ac:dyDescent="0.25">
      <c r="A136" s="185" t="s">
        <v>384</v>
      </c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1"/>
      <c r="AG136" s="149"/>
      <c r="AH136" s="47"/>
      <c r="AI136" s="48"/>
    </row>
    <row r="137" spans="1:37" ht="15.75" thickBot="1" x14ac:dyDescent="0.3">
      <c r="A137" s="185" t="s">
        <v>241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3"/>
      <c r="AG137" s="149"/>
      <c r="AH137" s="47"/>
      <c r="AI137" s="48"/>
    </row>
    <row r="138" spans="1:37" ht="15.75" thickBot="1" x14ac:dyDescent="0.3">
      <c r="A138" s="120" t="s">
        <v>124</v>
      </c>
      <c r="B138" s="121"/>
      <c r="C138" s="121"/>
      <c r="D138" s="121"/>
      <c r="E138" s="121"/>
      <c r="F138" s="170" t="s">
        <v>253</v>
      </c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74"/>
      <c r="AH138" s="47"/>
      <c r="AI138" s="48"/>
      <c r="AK138" s="50"/>
    </row>
    <row r="139" spans="1:37" x14ac:dyDescent="0.25">
      <c r="A139" s="122" t="s">
        <v>125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5">
        <v>9.94</v>
      </c>
      <c r="AH139" s="47"/>
      <c r="AI139" s="48"/>
      <c r="AK139" s="50"/>
    </row>
    <row r="140" spans="1:37" x14ac:dyDescent="0.25">
      <c r="A140" s="103" t="s">
        <v>126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5"/>
      <c r="AH140" s="47"/>
      <c r="AI140" s="48"/>
      <c r="AK140" s="50"/>
    </row>
    <row r="141" spans="1:37" x14ac:dyDescent="0.25">
      <c r="A141" s="103" t="s">
        <v>127</v>
      </c>
      <c r="B141" s="123"/>
      <c r="C141" s="124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5"/>
      <c r="AH141" s="47"/>
      <c r="AI141" s="48"/>
      <c r="AK141" s="50"/>
    </row>
    <row r="142" spans="1:37" x14ac:dyDescent="0.25">
      <c r="A142" s="103" t="s">
        <v>128</v>
      </c>
      <c r="B142" s="123"/>
      <c r="C142" s="124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5"/>
      <c r="AH142" s="47"/>
      <c r="AI142" s="48"/>
      <c r="AK142" s="50"/>
    </row>
    <row r="143" spans="1:37" x14ac:dyDescent="0.25">
      <c r="A143" s="103" t="s">
        <v>129</v>
      </c>
      <c r="B143" s="123"/>
      <c r="C143" s="124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5"/>
      <c r="AH143" s="47"/>
      <c r="AI143" s="48"/>
      <c r="AK143" s="50"/>
    </row>
    <row r="144" spans="1:37" x14ac:dyDescent="0.25">
      <c r="A144" s="103" t="s">
        <v>130</v>
      </c>
      <c r="B144" s="123"/>
      <c r="C144" s="124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5"/>
      <c r="AH144" s="47"/>
      <c r="AI144" s="48"/>
      <c r="AK144" s="50"/>
    </row>
    <row r="145" spans="1:37" x14ac:dyDescent="0.25">
      <c r="A145" s="103" t="s">
        <v>131</v>
      </c>
      <c r="B145" s="123"/>
      <c r="C145" s="124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5"/>
      <c r="AH145" s="47"/>
      <c r="AI145" s="48"/>
      <c r="AK145" s="50"/>
    </row>
    <row r="146" spans="1:37" x14ac:dyDescent="0.25">
      <c r="A146" s="103" t="s">
        <v>132</v>
      </c>
      <c r="B146" s="123"/>
      <c r="C146" s="124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5"/>
      <c r="AH146" s="47"/>
      <c r="AI146" s="48"/>
      <c r="AK146" s="50"/>
    </row>
    <row r="147" spans="1:37" x14ac:dyDescent="0.25">
      <c r="A147" s="103" t="s">
        <v>133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5"/>
      <c r="AH147" s="47"/>
      <c r="AI147" s="48"/>
      <c r="AK147" s="50"/>
    </row>
    <row r="148" spans="1:37" x14ac:dyDescent="0.25">
      <c r="A148" s="103" t="s">
        <v>134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5"/>
      <c r="AH148" s="47"/>
      <c r="AI148" s="48"/>
      <c r="AK148" s="50"/>
    </row>
    <row r="149" spans="1:37" x14ac:dyDescent="0.25">
      <c r="A149" s="103" t="s">
        <v>135</v>
      </c>
      <c r="B149" s="123"/>
      <c r="C149" s="124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5"/>
      <c r="AH149" s="47"/>
      <c r="AI149" s="48"/>
      <c r="AK149" s="50"/>
    </row>
    <row r="150" spans="1:37" x14ac:dyDescent="0.25">
      <c r="A150" s="103" t="s">
        <v>136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5"/>
      <c r="AH150" s="47"/>
      <c r="AI150" s="48"/>
      <c r="AK150" s="50"/>
    </row>
    <row r="151" spans="1:37" x14ac:dyDescent="0.25">
      <c r="A151" s="103" t="s">
        <v>137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5"/>
      <c r="AH151" s="47"/>
      <c r="AI151" s="48"/>
      <c r="AK151" s="50"/>
    </row>
    <row r="152" spans="1:37" x14ac:dyDescent="0.25">
      <c r="A152" s="103" t="s">
        <v>138</v>
      </c>
      <c r="B152" s="123"/>
      <c r="C152" s="124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5"/>
      <c r="AH152" s="47"/>
      <c r="AI152" s="48"/>
      <c r="AK152" s="50"/>
    </row>
    <row r="153" spans="1:37" x14ac:dyDescent="0.25">
      <c r="A153" s="103" t="s">
        <v>139</v>
      </c>
      <c r="B153" s="123"/>
      <c r="C153" s="124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5"/>
      <c r="AH153" s="47"/>
      <c r="AI153" s="48"/>
      <c r="AK153" s="50"/>
    </row>
    <row r="154" spans="1:37" x14ac:dyDescent="0.25">
      <c r="A154" s="103" t="s">
        <v>140</v>
      </c>
      <c r="B154" s="123"/>
      <c r="C154" s="124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5"/>
      <c r="AH154" s="47"/>
      <c r="AI154" s="48"/>
      <c r="AK154" s="50"/>
    </row>
    <row r="155" spans="1:37" x14ac:dyDescent="0.25">
      <c r="A155" s="103" t="s">
        <v>141</v>
      </c>
      <c r="B155" s="126"/>
      <c r="C155" s="127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8">
        <v>9.9</v>
      </c>
      <c r="AH155" s="47"/>
      <c r="AI155" s="48"/>
      <c r="AK155" s="50"/>
    </row>
    <row r="156" spans="1:37" x14ac:dyDescent="0.25">
      <c r="A156" s="116" t="s">
        <v>142</v>
      </c>
      <c r="B156" s="126"/>
      <c r="C156" s="127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9">
        <v>9.6579999999999995</v>
      </c>
      <c r="AH156" s="47"/>
      <c r="AI156" s="48"/>
      <c r="AK156" s="50"/>
    </row>
    <row r="157" spans="1:37" x14ac:dyDescent="0.25">
      <c r="A157" s="116" t="s">
        <v>143</v>
      </c>
      <c r="B157" s="126"/>
      <c r="C157" s="127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9">
        <v>9.6</v>
      </c>
      <c r="AH157" s="47"/>
      <c r="AI157" s="48"/>
      <c r="AK157" s="50"/>
    </row>
    <row r="158" spans="1:37" x14ac:dyDescent="0.25">
      <c r="A158" s="116" t="s">
        <v>144</v>
      </c>
      <c r="B158" s="126"/>
      <c r="C158" s="127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9">
        <v>9.51</v>
      </c>
      <c r="AH158" s="47"/>
      <c r="AI158" s="48"/>
      <c r="AK158" s="50"/>
    </row>
    <row r="159" spans="1:37" x14ac:dyDescent="0.25">
      <c r="A159" s="116" t="s">
        <v>145</v>
      </c>
      <c r="B159" s="126"/>
      <c r="C159" s="127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9">
        <v>9.4</v>
      </c>
      <c r="AH159" s="47"/>
      <c r="AI159" s="48"/>
      <c r="AK159" s="50"/>
    </row>
    <row r="160" spans="1:37" x14ac:dyDescent="0.25">
      <c r="A160" s="116" t="s">
        <v>146</v>
      </c>
      <c r="B160" s="126"/>
      <c r="C160" s="127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9">
        <v>8.8000000000000007</v>
      </c>
      <c r="AH160" s="47"/>
      <c r="AI160" s="48"/>
      <c r="AK160" s="50"/>
    </row>
    <row r="161" spans="1:37" x14ac:dyDescent="0.25">
      <c r="A161" s="116" t="s">
        <v>147</v>
      </c>
      <c r="B161" s="126"/>
      <c r="C161" s="127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9">
        <v>8.5</v>
      </c>
      <c r="AH161" s="47"/>
      <c r="AI161" s="48"/>
      <c r="AK161" s="50"/>
    </row>
    <row r="162" spans="1:37" x14ac:dyDescent="0.25">
      <c r="A162" s="116" t="s">
        <v>148</v>
      </c>
      <c r="B162" s="126"/>
      <c r="C162" s="127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9">
        <v>8.5</v>
      </c>
      <c r="AH162" s="47"/>
      <c r="AI162" s="48"/>
      <c r="AK162" s="50"/>
    </row>
    <row r="163" spans="1:37" x14ac:dyDescent="0.25">
      <c r="A163" s="116" t="s">
        <v>149</v>
      </c>
      <c r="B163" s="126"/>
      <c r="C163" s="127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9">
        <v>8.4</v>
      </c>
      <c r="AH163" s="47"/>
      <c r="AI163" s="48"/>
      <c r="AK163" s="50"/>
    </row>
    <row r="164" spans="1:37" ht="13.5" customHeight="1" x14ac:dyDescent="0.25">
      <c r="A164" s="116" t="s">
        <v>150</v>
      </c>
      <c r="B164" s="126"/>
      <c r="C164" s="127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9">
        <v>8</v>
      </c>
      <c r="AH164" s="47"/>
      <c r="AI164" s="48"/>
      <c r="AK164" s="50"/>
    </row>
    <row r="165" spans="1:37" x14ac:dyDescent="0.25">
      <c r="A165" s="116" t="s">
        <v>151</v>
      </c>
      <c r="B165" s="126"/>
      <c r="C165" s="127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9">
        <v>8</v>
      </c>
      <c r="AH165" s="47"/>
      <c r="AI165" s="48"/>
      <c r="AK165" s="50"/>
    </row>
    <row r="166" spans="1:37" x14ac:dyDescent="0.25">
      <c r="A166" s="116" t="s">
        <v>152</v>
      </c>
      <c r="B166" s="126"/>
      <c r="C166" s="127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9">
        <v>8</v>
      </c>
      <c r="AH166" s="47"/>
      <c r="AI166" s="48"/>
      <c r="AK166" s="50"/>
    </row>
    <row r="167" spans="1:37" x14ac:dyDescent="0.25">
      <c r="A167" s="116" t="s">
        <v>153</v>
      </c>
      <c r="B167" s="126"/>
      <c r="C167" s="127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9">
        <v>7.8</v>
      </c>
      <c r="AH167" s="47"/>
      <c r="AI167" s="48"/>
      <c r="AK167" s="50"/>
    </row>
    <row r="168" spans="1:37" x14ac:dyDescent="0.25">
      <c r="A168" s="116" t="s">
        <v>154</v>
      </c>
      <c r="B168" s="126"/>
      <c r="C168" s="127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9">
        <v>7.6</v>
      </c>
      <c r="AH168" s="47"/>
      <c r="AI168" s="48"/>
      <c r="AK168" s="50"/>
    </row>
    <row r="169" spans="1:37" x14ac:dyDescent="0.25">
      <c r="A169" s="116" t="s">
        <v>155</v>
      </c>
      <c r="B169" s="126"/>
      <c r="C169" s="127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9">
        <v>7.5</v>
      </c>
      <c r="AH169" s="47"/>
      <c r="AI169" s="48"/>
      <c r="AK169" s="50"/>
    </row>
    <row r="170" spans="1:37" x14ac:dyDescent="0.25">
      <c r="A170" s="116" t="s">
        <v>156</v>
      </c>
      <c r="B170" s="126"/>
      <c r="C170" s="127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9">
        <v>7.5</v>
      </c>
      <c r="AH170" s="47"/>
      <c r="AI170" s="48"/>
      <c r="AK170" s="50"/>
    </row>
    <row r="171" spans="1:37" x14ac:dyDescent="0.25">
      <c r="A171" s="116" t="s">
        <v>157</v>
      </c>
      <c r="B171" s="126"/>
      <c r="C171" s="127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9">
        <v>7</v>
      </c>
      <c r="AH171" s="47"/>
      <c r="AI171" s="48"/>
      <c r="AK171" s="50"/>
    </row>
    <row r="172" spans="1:37" x14ac:dyDescent="0.25">
      <c r="A172" s="116" t="s">
        <v>158</v>
      </c>
      <c r="B172" s="126"/>
      <c r="C172" s="127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9">
        <v>7</v>
      </c>
      <c r="AH172" s="47"/>
      <c r="AI172" s="48"/>
      <c r="AK172" s="50"/>
    </row>
    <row r="173" spans="1:37" x14ac:dyDescent="0.25">
      <c r="A173" s="116" t="s">
        <v>159</v>
      </c>
      <c r="B173" s="126"/>
      <c r="C173" s="127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9">
        <v>7</v>
      </c>
      <c r="AH173" s="47"/>
      <c r="AI173" s="48"/>
      <c r="AK173" s="50"/>
    </row>
    <row r="174" spans="1:37" x14ac:dyDescent="0.25">
      <c r="A174" s="116" t="s">
        <v>160</v>
      </c>
      <c r="B174" s="126"/>
      <c r="C174" s="127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9">
        <v>7</v>
      </c>
      <c r="AH174" s="47"/>
      <c r="AI174" s="48"/>
      <c r="AK174" s="50"/>
    </row>
    <row r="175" spans="1:37" x14ac:dyDescent="0.25">
      <c r="A175" s="116" t="s">
        <v>161</v>
      </c>
      <c r="B175" s="126"/>
      <c r="C175" s="127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9">
        <v>6.6</v>
      </c>
      <c r="AH175" s="47"/>
      <c r="AI175" s="48"/>
      <c r="AK175" s="50"/>
    </row>
    <row r="176" spans="1:37" x14ac:dyDescent="0.25">
      <c r="A176" s="116" t="s">
        <v>162</v>
      </c>
      <c r="B176" s="126"/>
      <c r="C176" s="127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9">
        <v>6.6</v>
      </c>
      <c r="AH176" s="47"/>
      <c r="AI176" s="48"/>
      <c r="AK176" s="50"/>
    </row>
    <row r="177" spans="1:37" x14ac:dyDescent="0.25">
      <c r="A177" s="116" t="s">
        <v>163</v>
      </c>
      <c r="B177" s="126"/>
      <c r="C177" s="127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9">
        <v>6.4</v>
      </c>
      <c r="AH177" s="47"/>
      <c r="AI177" s="48"/>
      <c r="AK177" s="50"/>
    </row>
    <row r="178" spans="1:37" x14ac:dyDescent="0.25">
      <c r="A178" s="116" t="s">
        <v>164</v>
      </c>
      <c r="B178" s="126"/>
      <c r="C178" s="127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9">
        <v>6</v>
      </c>
      <c r="AH178" s="47"/>
      <c r="AI178" s="48"/>
      <c r="AK178" s="50"/>
    </row>
    <row r="179" spans="1:37" x14ac:dyDescent="0.25">
      <c r="A179" s="116" t="s">
        <v>165</v>
      </c>
      <c r="B179" s="126"/>
      <c r="C179" s="127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9">
        <v>5.0999999999999996</v>
      </c>
      <c r="AH179" s="47"/>
      <c r="AI179" s="48"/>
      <c r="AK179" s="50"/>
    </row>
    <row r="180" spans="1:37" x14ac:dyDescent="0.25">
      <c r="A180" s="116" t="s">
        <v>166</v>
      </c>
      <c r="B180" s="126"/>
      <c r="C180" s="127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9">
        <v>5</v>
      </c>
      <c r="AH180" s="47"/>
      <c r="AI180" s="48"/>
      <c r="AK180" s="50"/>
    </row>
    <row r="181" spans="1:37" x14ac:dyDescent="0.25">
      <c r="A181" s="103" t="s">
        <v>167</v>
      </c>
      <c r="B181" s="126"/>
      <c r="C181" s="127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8">
        <v>5</v>
      </c>
      <c r="AH181" s="47"/>
      <c r="AI181" s="48"/>
      <c r="AK181" s="50"/>
    </row>
    <row r="182" spans="1:37" x14ac:dyDescent="0.25">
      <c r="A182" s="116" t="s">
        <v>168</v>
      </c>
      <c r="B182" s="126"/>
      <c r="C182" s="127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9">
        <v>5</v>
      </c>
      <c r="AH182" s="47"/>
      <c r="AI182" s="48"/>
      <c r="AK182" s="50"/>
    </row>
    <row r="183" spans="1:37" x14ac:dyDescent="0.25">
      <c r="A183" s="116" t="s">
        <v>169</v>
      </c>
      <c r="B183" s="126"/>
      <c r="C183" s="127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9">
        <v>5</v>
      </c>
      <c r="AH183" s="47"/>
      <c r="AI183" s="48"/>
      <c r="AK183" s="50"/>
    </row>
    <row r="184" spans="1:37" x14ac:dyDescent="0.25">
      <c r="A184" s="116" t="s">
        <v>170</v>
      </c>
      <c r="B184" s="126"/>
      <c r="C184" s="127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9">
        <v>5</v>
      </c>
      <c r="AH184" s="47"/>
      <c r="AI184" s="48"/>
      <c r="AK184" s="50"/>
    </row>
    <row r="185" spans="1:37" x14ac:dyDescent="0.25">
      <c r="A185" s="116" t="s">
        <v>171</v>
      </c>
      <c r="B185" s="126"/>
      <c r="C185" s="127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9">
        <v>5</v>
      </c>
      <c r="AH185" s="47"/>
      <c r="AI185" s="48"/>
      <c r="AK185" s="50"/>
    </row>
    <row r="186" spans="1:37" x14ac:dyDescent="0.25">
      <c r="A186" s="116" t="s">
        <v>172</v>
      </c>
      <c r="B186" s="126"/>
      <c r="C186" s="127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9">
        <v>5</v>
      </c>
      <c r="AH186" s="47"/>
      <c r="AI186" s="48"/>
      <c r="AK186" s="50"/>
    </row>
    <row r="187" spans="1:37" x14ac:dyDescent="0.25">
      <c r="A187" s="116" t="s">
        <v>173</v>
      </c>
      <c r="B187" s="126"/>
      <c r="C187" s="127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9">
        <v>4.9930000000000003</v>
      </c>
      <c r="AH187" s="47"/>
      <c r="AI187" s="48"/>
      <c r="AK187" s="50"/>
    </row>
    <row r="188" spans="1:37" x14ac:dyDescent="0.25">
      <c r="A188" s="116" t="s">
        <v>174</v>
      </c>
      <c r="B188" s="126"/>
      <c r="C188" s="127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9">
        <v>4.9800000000000004</v>
      </c>
      <c r="AH188" s="47"/>
      <c r="AI188" s="48"/>
      <c r="AK188" s="50"/>
    </row>
    <row r="189" spans="1:37" x14ac:dyDescent="0.25">
      <c r="A189" s="116" t="s">
        <v>175</v>
      </c>
      <c r="B189" s="126"/>
      <c r="C189" s="127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9">
        <v>4.95</v>
      </c>
      <c r="AH189" s="47"/>
      <c r="AI189" s="48"/>
      <c r="AK189" s="50"/>
    </row>
    <row r="190" spans="1:37" x14ac:dyDescent="0.25">
      <c r="A190" s="116" t="s">
        <v>176</v>
      </c>
      <c r="B190" s="126"/>
      <c r="C190" s="127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9">
        <v>4.95</v>
      </c>
      <c r="AH190" s="47"/>
      <c r="AI190" s="48"/>
      <c r="AK190" s="50"/>
    </row>
    <row r="191" spans="1:37" x14ac:dyDescent="0.25">
      <c r="A191" s="116" t="s">
        <v>177</v>
      </c>
      <c r="B191" s="126"/>
      <c r="C191" s="127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9">
        <v>4.8</v>
      </c>
      <c r="AH191" s="47"/>
      <c r="AI191" s="48"/>
      <c r="AK191" s="50"/>
    </row>
    <row r="192" spans="1:37" x14ac:dyDescent="0.25">
      <c r="A192" s="116" t="s">
        <v>178</v>
      </c>
      <c r="B192" s="126"/>
      <c r="C192" s="127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9">
        <v>4.8</v>
      </c>
      <c r="AH192" s="47"/>
      <c r="AI192" s="48"/>
      <c r="AK192" s="50"/>
    </row>
    <row r="193" spans="1:37" x14ac:dyDescent="0.25">
      <c r="A193" s="116" t="s">
        <v>179</v>
      </c>
      <c r="B193" s="126"/>
      <c r="C193" s="127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9">
        <v>4.8</v>
      </c>
      <c r="AH193" s="47"/>
      <c r="AI193" s="48"/>
      <c r="AK193" s="50"/>
    </row>
    <row r="194" spans="1:37" x14ac:dyDescent="0.25">
      <c r="A194" s="116" t="s">
        <v>180</v>
      </c>
      <c r="B194" s="126"/>
      <c r="C194" s="127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9">
        <v>4.5</v>
      </c>
      <c r="AH194" s="47"/>
      <c r="AI194" s="48"/>
      <c r="AK194" s="50"/>
    </row>
    <row r="195" spans="1:37" x14ac:dyDescent="0.25">
      <c r="A195" s="116" t="s">
        <v>181</v>
      </c>
      <c r="B195" s="126"/>
      <c r="C195" s="127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9">
        <v>4.5</v>
      </c>
      <c r="AH195" s="47"/>
      <c r="AI195" s="48"/>
      <c r="AK195" s="50"/>
    </row>
    <row r="196" spans="1:37" x14ac:dyDescent="0.25">
      <c r="A196" s="116" t="s">
        <v>182</v>
      </c>
      <c r="B196" s="126"/>
      <c r="C196" s="127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9">
        <v>4.4550000000000001</v>
      </c>
      <c r="AH196" s="47"/>
      <c r="AI196" s="48"/>
      <c r="AK196" s="50"/>
    </row>
    <row r="197" spans="1:37" x14ac:dyDescent="0.25">
      <c r="A197" s="116" t="s">
        <v>183</v>
      </c>
      <c r="B197" s="126"/>
      <c r="C197" s="127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9">
        <v>4.41</v>
      </c>
      <c r="AH197" s="47"/>
      <c r="AI197" s="48"/>
      <c r="AK197" s="50"/>
    </row>
    <row r="198" spans="1:37" x14ac:dyDescent="0.25">
      <c r="A198" s="116" t="s">
        <v>184</v>
      </c>
      <c r="B198" s="126"/>
      <c r="C198" s="127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9">
        <v>4.4000000000000004</v>
      </c>
      <c r="AH198" s="47"/>
      <c r="AI198" s="48"/>
      <c r="AK198" s="50"/>
    </row>
    <row r="199" spans="1:37" x14ac:dyDescent="0.25">
      <c r="A199" s="116" t="s">
        <v>185</v>
      </c>
      <c r="B199" s="126"/>
      <c r="C199" s="127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9">
        <v>4.3600000000000003</v>
      </c>
      <c r="AH199" s="47"/>
      <c r="AI199" s="48"/>
      <c r="AK199" s="50"/>
    </row>
    <row r="200" spans="1:37" x14ac:dyDescent="0.25">
      <c r="A200" s="116" t="s">
        <v>186</v>
      </c>
      <c r="B200" s="126"/>
      <c r="C200" s="127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9">
        <v>4.2</v>
      </c>
      <c r="AH200" s="47"/>
      <c r="AI200" s="48"/>
      <c r="AK200" s="50"/>
    </row>
    <row r="201" spans="1:37" x14ac:dyDescent="0.25">
      <c r="A201" s="116" t="s">
        <v>187</v>
      </c>
      <c r="B201" s="126"/>
      <c r="C201" s="127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9">
        <v>4</v>
      </c>
      <c r="AH201" s="47"/>
      <c r="AI201" s="48"/>
      <c r="AK201" s="50"/>
    </row>
    <row r="202" spans="1:37" x14ac:dyDescent="0.25">
      <c r="A202" s="116" t="s">
        <v>188</v>
      </c>
      <c r="B202" s="126"/>
      <c r="C202" s="127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9">
        <v>4</v>
      </c>
      <c r="AH202" s="47"/>
      <c r="AI202" s="48"/>
      <c r="AK202" s="50"/>
    </row>
    <row r="203" spans="1:37" x14ac:dyDescent="0.25">
      <c r="A203" s="116" t="s">
        <v>189</v>
      </c>
      <c r="B203" s="126"/>
      <c r="C203" s="127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9">
        <v>4</v>
      </c>
      <c r="AH203" s="47"/>
      <c r="AI203" s="48"/>
      <c r="AK203" s="50"/>
    </row>
    <row r="204" spans="1:37" x14ac:dyDescent="0.25">
      <c r="A204" s="116" t="s">
        <v>190</v>
      </c>
      <c r="B204" s="126"/>
      <c r="C204" s="127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9">
        <v>4</v>
      </c>
      <c r="AH204" s="47"/>
      <c r="AI204" s="48"/>
      <c r="AK204" s="50"/>
    </row>
    <row r="205" spans="1:37" x14ac:dyDescent="0.25">
      <c r="A205" s="116" t="s">
        <v>191</v>
      </c>
      <c r="B205" s="126"/>
      <c r="C205" s="127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9">
        <v>4</v>
      </c>
      <c r="AH205" s="47"/>
      <c r="AI205" s="48"/>
      <c r="AK205" s="50"/>
    </row>
    <row r="206" spans="1:37" x14ac:dyDescent="0.25">
      <c r="A206" s="116" t="s">
        <v>192</v>
      </c>
      <c r="B206" s="126"/>
      <c r="C206" s="127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9">
        <v>4</v>
      </c>
      <c r="AH206" s="47"/>
      <c r="AI206" s="48"/>
      <c r="AK206" s="50"/>
    </row>
    <row r="207" spans="1:37" x14ac:dyDescent="0.25">
      <c r="A207" s="116" t="s">
        <v>193</v>
      </c>
      <c r="B207" s="126"/>
      <c r="C207" s="127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9">
        <v>4</v>
      </c>
      <c r="AH207" s="47"/>
      <c r="AI207" s="48"/>
      <c r="AK207" s="50"/>
    </row>
    <row r="208" spans="1:37" x14ac:dyDescent="0.25">
      <c r="A208" s="116" t="s">
        <v>194</v>
      </c>
      <c r="B208" s="126"/>
      <c r="C208" s="127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9">
        <v>4</v>
      </c>
      <c r="AH208" s="47"/>
      <c r="AI208" s="48"/>
      <c r="AK208" s="50"/>
    </row>
    <row r="209" spans="1:37" x14ac:dyDescent="0.25">
      <c r="A209" s="116" t="s">
        <v>195</v>
      </c>
      <c r="B209" s="126"/>
      <c r="C209" s="127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9">
        <v>3.75</v>
      </c>
      <c r="AH209" s="47"/>
      <c r="AI209" s="48"/>
      <c r="AK209" s="50"/>
    </row>
    <row r="210" spans="1:37" x14ac:dyDescent="0.25">
      <c r="A210" s="116" t="s">
        <v>196</v>
      </c>
      <c r="B210" s="126"/>
      <c r="C210" s="127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9">
        <v>3.52</v>
      </c>
      <c r="AH210" s="47"/>
      <c r="AI210" s="48"/>
      <c r="AK210" s="50"/>
    </row>
    <row r="211" spans="1:37" x14ac:dyDescent="0.25">
      <c r="A211" s="116" t="s">
        <v>197</v>
      </c>
      <c r="B211" s="126"/>
      <c r="C211" s="127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9">
        <v>3.33</v>
      </c>
      <c r="AH211" s="47"/>
      <c r="AI211" s="48"/>
      <c r="AK211" s="50"/>
    </row>
    <row r="212" spans="1:37" x14ac:dyDescent="0.25">
      <c r="A212" s="116" t="s">
        <v>198</v>
      </c>
      <c r="B212" s="126"/>
      <c r="C212" s="127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9">
        <v>3.2</v>
      </c>
      <c r="AH212" s="47"/>
      <c r="AI212" s="48"/>
      <c r="AK212" s="50"/>
    </row>
    <row r="213" spans="1:37" x14ac:dyDescent="0.25">
      <c r="A213" s="116" t="s">
        <v>199</v>
      </c>
      <c r="B213" s="126"/>
      <c r="C213" s="127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9">
        <v>3</v>
      </c>
      <c r="AH213" s="47"/>
      <c r="AI213" s="48"/>
      <c r="AK213" s="50"/>
    </row>
    <row r="214" spans="1:37" x14ac:dyDescent="0.25">
      <c r="A214" s="116" t="s">
        <v>200</v>
      </c>
      <c r="B214" s="126"/>
      <c r="C214" s="127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9">
        <v>3</v>
      </c>
      <c r="AH214" s="47"/>
      <c r="AI214" s="48"/>
      <c r="AK214" s="50"/>
    </row>
    <row r="215" spans="1:37" x14ac:dyDescent="0.25">
      <c r="A215" s="116" t="s">
        <v>201</v>
      </c>
      <c r="B215" s="126"/>
      <c r="C215" s="127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9">
        <v>3</v>
      </c>
      <c r="AH215" s="47"/>
      <c r="AI215" s="48"/>
      <c r="AK215" s="50"/>
    </row>
    <row r="216" spans="1:37" x14ac:dyDescent="0.25">
      <c r="A216" s="116" t="s">
        <v>202</v>
      </c>
      <c r="B216" s="126"/>
      <c r="C216" s="127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9">
        <v>3</v>
      </c>
      <c r="AH216" s="47"/>
      <c r="AI216" s="48"/>
      <c r="AK216" s="50"/>
    </row>
    <row r="217" spans="1:37" x14ac:dyDescent="0.25">
      <c r="A217" s="116" t="s">
        <v>203</v>
      </c>
      <c r="B217" s="126"/>
      <c r="C217" s="127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9">
        <v>3</v>
      </c>
      <c r="AH217" s="47"/>
      <c r="AI217" s="48"/>
      <c r="AK217" s="50"/>
    </row>
    <row r="218" spans="1:37" x14ac:dyDescent="0.25">
      <c r="A218" s="116" t="s">
        <v>204</v>
      </c>
      <c r="B218" s="126"/>
      <c r="C218" s="127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9">
        <v>3</v>
      </c>
      <c r="AH218" s="47"/>
      <c r="AI218" s="48"/>
      <c r="AK218" s="50"/>
    </row>
    <row r="219" spans="1:37" x14ac:dyDescent="0.25">
      <c r="A219" s="116" t="s">
        <v>205</v>
      </c>
      <c r="B219" s="126"/>
      <c r="C219" s="127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9">
        <v>3</v>
      </c>
      <c r="AH219" s="47"/>
      <c r="AI219" s="48"/>
      <c r="AK219" s="50"/>
    </row>
    <row r="220" spans="1:37" x14ac:dyDescent="0.25">
      <c r="A220" s="116" t="s">
        <v>206</v>
      </c>
      <c r="B220" s="126"/>
      <c r="C220" s="127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9">
        <v>3</v>
      </c>
      <c r="AH220" s="47"/>
      <c r="AI220" s="48"/>
      <c r="AK220" s="50"/>
    </row>
    <row r="221" spans="1:37" x14ac:dyDescent="0.25">
      <c r="A221" s="116" t="s">
        <v>207</v>
      </c>
      <c r="B221" s="126"/>
      <c r="C221" s="127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9">
        <v>2.83</v>
      </c>
      <c r="AH221" s="47"/>
      <c r="AI221" s="48"/>
      <c r="AK221" s="50"/>
    </row>
    <row r="222" spans="1:37" x14ac:dyDescent="0.25">
      <c r="A222" s="116" t="s">
        <v>208</v>
      </c>
      <c r="B222" s="126"/>
      <c r="C222" s="127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9">
        <v>2.5</v>
      </c>
      <c r="AH222" s="47"/>
      <c r="AI222" s="48"/>
      <c r="AK222" s="50"/>
    </row>
    <row r="223" spans="1:37" x14ac:dyDescent="0.25">
      <c r="A223" s="116" t="s">
        <v>209</v>
      </c>
      <c r="B223" s="126"/>
      <c r="C223" s="127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9">
        <v>2.5</v>
      </c>
      <c r="AH223" s="47"/>
      <c r="AI223" s="48"/>
      <c r="AK223" s="50"/>
    </row>
    <row r="224" spans="1:37" x14ac:dyDescent="0.25">
      <c r="A224" s="116" t="s">
        <v>210</v>
      </c>
      <c r="B224" s="126"/>
      <c r="C224" s="127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9">
        <v>2.4</v>
      </c>
      <c r="AH224" s="47"/>
      <c r="AI224" s="48"/>
      <c r="AK224" s="50"/>
    </row>
    <row r="225" spans="1:37" x14ac:dyDescent="0.25">
      <c r="A225" s="116" t="s">
        <v>211</v>
      </c>
      <c r="B225" s="126"/>
      <c r="C225" s="127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9">
        <v>2.4</v>
      </c>
      <c r="AH225" s="47"/>
      <c r="AI225" s="48"/>
      <c r="AK225" s="50"/>
    </row>
    <row r="226" spans="1:37" x14ac:dyDescent="0.25">
      <c r="A226" s="116" t="s">
        <v>212</v>
      </c>
      <c r="B226" s="126"/>
      <c r="C226" s="127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9">
        <v>2.2000000000000002</v>
      </c>
      <c r="AH226" s="47"/>
      <c r="AI226" s="48"/>
      <c r="AK226" s="50"/>
    </row>
    <row r="227" spans="1:37" x14ac:dyDescent="0.25">
      <c r="A227" s="116" t="s">
        <v>213</v>
      </c>
      <c r="B227" s="126"/>
      <c r="C227" s="127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9">
        <v>2</v>
      </c>
      <c r="AH227" s="47"/>
      <c r="AI227" s="48"/>
      <c r="AK227" s="50"/>
    </row>
    <row r="228" spans="1:37" x14ac:dyDescent="0.25">
      <c r="A228" s="116" t="s">
        <v>214</v>
      </c>
      <c r="B228" s="126"/>
      <c r="C228" s="127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9">
        <v>2</v>
      </c>
      <c r="AH228" s="47"/>
      <c r="AI228" s="48"/>
      <c r="AK228" s="50"/>
    </row>
    <row r="229" spans="1:37" x14ac:dyDescent="0.25">
      <c r="A229" s="116" t="s">
        <v>215</v>
      </c>
      <c r="B229" s="126"/>
      <c r="C229" s="127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9">
        <v>2</v>
      </c>
      <c r="AH229" s="47"/>
      <c r="AI229" s="48"/>
      <c r="AK229" s="50"/>
    </row>
    <row r="230" spans="1:37" x14ac:dyDescent="0.25">
      <c r="A230" s="116" t="s">
        <v>216</v>
      </c>
      <c r="B230" s="126"/>
      <c r="C230" s="127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9">
        <v>1.8</v>
      </c>
      <c r="AH230" s="47"/>
      <c r="AI230" s="48"/>
      <c r="AK230" s="50"/>
    </row>
    <row r="231" spans="1:37" x14ac:dyDescent="0.25">
      <c r="A231" s="116" t="s">
        <v>217</v>
      </c>
      <c r="B231" s="126"/>
      <c r="C231" s="127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9">
        <v>1.8</v>
      </c>
      <c r="AH231" s="47"/>
      <c r="AI231" s="48"/>
      <c r="AK231" s="50"/>
    </row>
    <row r="232" spans="1:37" x14ac:dyDescent="0.25">
      <c r="A232" s="116" t="s">
        <v>218</v>
      </c>
      <c r="B232" s="126"/>
      <c r="C232" s="127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9">
        <v>1.65</v>
      </c>
      <c r="AH232" s="47"/>
      <c r="AI232" s="48"/>
      <c r="AK232" s="50"/>
    </row>
    <row r="233" spans="1:37" x14ac:dyDescent="0.25">
      <c r="A233" s="116" t="s">
        <v>219</v>
      </c>
      <c r="B233" s="126"/>
      <c r="C233" s="127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9">
        <v>1.5</v>
      </c>
      <c r="AH233" s="47"/>
      <c r="AI233" s="48"/>
      <c r="AK233" s="50"/>
    </row>
    <row r="234" spans="1:37" x14ac:dyDescent="0.25">
      <c r="A234" s="116" t="s">
        <v>220</v>
      </c>
      <c r="B234" s="126"/>
      <c r="C234" s="127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9">
        <v>0.998</v>
      </c>
      <c r="AH234" s="47"/>
      <c r="AI234" s="48"/>
      <c r="AK234" s="50"/>
    </row>
    <row r="235" spans="1:37" x14ac:dyDescent="0.25">
      <c r="A235" s="116" t="s">
        <v>221</v>
      </c>
      <c r="B235" s="126"/>
      <c r="C235" s="127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9">
        <v>0.997</v>
      </c>
      <c r="AH235" s="47"/>
      <c r="AI235" s="48"/>
      <c r="AK235" s="50"/>
    </row>
    <row r="236" spans="1:37" x14ac:dyDescent="0.25">
      <c r="A236" s="116" t="s">
        <v>222</v>
      </c>
      <c r="B236" s="126"/>
      <c r="C236" s="127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9">
        <v>0.997</v>
      </c>
      <c r="AH236" s="47"/>
      <c r="AI236" s="48"/>
      <c r="AK236" s="50"/>
    </row>
    <row r="237" spans="1:37" x14ac:dyDescent="0.25">
      <c r="A237" s="116" t="s">
        <v>223</v>
      </c>
      <c r="B237" s="126"/>
      <c r="C237" s="127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9">
        <v>0.996</v>
      </c>
      <c r="AH237" s="47"/>
      <c r="AI237" s="48"/>
      <c r="AK237" s="50"/>
    </row>
    <row r="238" spans="1:37" x14ac:dyDescent="0.25">
      <c r="A238" s="116" t="s">
        <v>224</v>
      </c>
      <c r="B238" s="126"/>
      <c r="C238" s="127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9">
        <v>0.996</v>
      </c>
      <c r="AH238" s="47"/>
      <c r="AI238" s="48"/>
      <c r="AK238" s="50"/>
    </row>
    <row r="239" spans="1:37" x14ac:dyDescent="0.25">
      <c r="A239" s="116" t="s">
        <v>225</v>
      </c>
      <c r="B239" s="126"/>
      <c r="C239" s="127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9">
        <v>0.996</v>
      </c>
      <c r="AH239" s="47"/>
      <c r="AI239" s="48"/>
      <c r="AK239" s="50"/>
    </row>
    <row r="240" spans="1:37" x14ac:dyDescent="0.25">
      <c r="A240" s="116" t="s">
        <v>226</v>
      </c>
      <c r="B240" s="126"/>
      <c r="C240" s="127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9">
        <v>0.995</v>
      </c>
      <c r="AH240" s="47"/>
      <c r="AI240" s="48"/>
      <c r="AK240" s="50"/>
    </row>
    <row r="241" spans="1:37" x14ac:dyDescent="0.25">
      <c r="A241" s="116" t="s">
        <v>227</v>
      </c>
      <c r="B241" s="126"/>
      <c r="C241" s="127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9">
        <v>0.99299999999999999</v>
      </c>
      <c r="AH241" s="47"/>
      <c r="AI241" s="48"/>
      <c r="AK241" s="50"/>
    </row>
    <row r="242" spans="1:37" x14ac:dyDescent="0.25">
      <c r="A242" s="116" t="s">
        <v>228</v>
      </c>
      <c r="B242" s="126"/>
      <c r="C242" s="124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9">
        <v>0.99</v>
      </c>
      <c r="AH242" s="47"/>
      <c r="AI242" s="48"/>
      <c r="AK242" s="50"/>
    </row>
    <row r="243" spans="1:37" ht="15.75" thickBot="1" x14ac:dyDescent="0.3">
      <c r="A243" s="116" t="s">
        <v>229</v>
      </c>
      <c r="B243" s="130"/>
      <c r="C243" s="131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29">
        <v>0.97899999999999998</v>
      </c>
      <c r="AH243" s="47"/>
      <c r="AI243" s="48"/>
      <c r="AK243" s="50"/>
    </row>
    <row r="244" spans="1:37" ht="15.75" thickBot="1" x14ac:dyDescent="0.3">
      <c r="A244" s="132" t="s">
        <v>230</v>
      </c>
      <c r="B244" s="133">
        <f t="shared" ref="B244:AG244" si="61">SUM(B139:B243)</f>
        <v>0</v>
      </c>
      <c r="C244" s="134">
        <f t="shared" si="61"/>
        <v>0</v>
      </c>
      <c r="D244" s="134">
        <f t="shared" si="61"/>
        <v>0</v>
      </c>
      <c r="E244" s="134">
        <f t="shared" si="61"/>
        <v>0</v>
      </c>
      <c r="F244" s="134">
        <f t="shared" si="61"/>
        <v>0</v>
      </c>
      <c r="G244" s="134">
        <f t="shared" si="61"/>
        <v>0</v>
      </c>
      <c r="H244" s="134">
        <f t="shared" si="61"/>
        <v>0</v>
      </c>
      <c r="I244" s="134">
        <f t="shared" si="61"/>
        <v>0</v>
      </c>
      <c r="J244" s="134">
        <f t="shared" si="61"/>
        <v>0</v>
      </c>
      <c r="K244" s="134">
        <f t="shared" si="61"/>
        <v>0</v>
      </c>
      <c r="L244" s="134">
        <f t="shared" si="61"/>
        <v>0</v>
      </c>
      <c r="M244" s="134">
        <f t="shared" si="61"/>
        <v>0</v>
      </c>
      <c r="N244" s="134">
        <f t="shared" si="61"/>
        <v>0</v>
      </c>
      <c r="O244" s="134">
        <f t="shared" si="61"/>
        <v>0</v>
      </c>
      <c r="P244" s="134">
        <f t="shared" si="61"/>
        <v>0</v>
      </c>
      <c r="Q244" s="134">
        <f t="shared" si="61"/>
        <v>0</v>
      </c>
      <c r="R244" s="134">
        <f t="shared" si="61"/>
        <v>0</v>
      </c>
      <c r="S244" s="134">
        <f t="shared" si="61"/>
        <v>0</v>
      </c>
      <c r="T244" s="134">
        <f t="shared" si="61"/>
        <v>0</v>
      </c>
      <c r="U244" s="134">
        <f t="shared" si="61"/>
        <v>0</v>
      </c>
      <c r="V244" s="134">
        <f t="shared" si="61"/>
        <v>0</v>
      </c>
      <c r="W244" s="134">
        <f t="shared" si="61"/>
        <v>0</v>
      </c>
      <c r="X244" s="134">
        <f t="shared" si="61"/>
        <v>0</v>
      </c>
      <c r="Y244" s="134">
        <f t="shared" si="61"/>
        <v>0</v>
      </c>
      <c r="Z244" s="134">
        <f t="shared" si="61"/>
        <v>0</v>
      </c>
      <c r="AA244" s="134">
        <f t="shared" si="61"/>
        <v>0</v>
      </c>
      <c r="AB244" s="134">
        <f t="shared" si="61"/>
        <v>0</v>
      </c>
      <c r="AC244" s="134">
        <f t="shared" si="61"/>
        <v>0</v>
      </c>
      <c r="AD244" s="134">
        <f t="shared" si="61"/>
        <v>0</v>
      </c>
      <c r="AE244" s="134">
        <f t="shared" si="61"/>
        <v>0</v>
      </c>
      <c r="AF244" s="135">
        <f t="shared" si="61"/>
        <v>0</v>
      </c>
      <c r="AG244" s="136">
        <f t="shared" si="61"/>
        <v>412.72299999999984</v>
      </c>
      <c r="AH244" s="47"/>
      <c r="AI244" s="48"/>
      <c r="AK244" s="50"/>
    </row>
    <row r="245" spans="1:37" ht="15.75" thickBot="1" x14ac:dyDescent="0.3">
      <c r="A245" s="26" t="s">
        <v>75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19"/>
      <c r="AH245" s="47"/>
      <c r="AI245" s="48"/>
      <c r="AK245" s="50"/>
    </row>
    <row r="246" spans="1:37" x14ac:dyDescent="0.25">
      <c r="A246" s="100" t="s">
        <v>231</v>
      </c>
      <c r="B246" s="138">
        <f t="shared" ref="B246:B251" si="62">AF246</f>
        <v>0.3</v>
      </c>
      <c r="C246" s="138">
        <v>0.3</v>
      </c>
      <c r="D246" s="138">
        <f t="shared" ref="D246:S251" si="63">C246</f>
        <v>0.3</v>
      </c>
      <c r="E246" s="138">
        <f t="shared" si="63"/>
        <v>0.3</v>
      </c>
      <c r="F246" s="138">
        <f t="shared" si="63"/>
        <v>0.3</v>
      </c>
      <c r="G246" s="138">
        <f t="shared" si="63"/>
        <v>0.3</v>
      </c>
      <c r="H246" s="138">
        <f t="shared" si="63"/>
        <v>0.3</v>
      </c>
      <c r="I246" s="138">
        <f t="shared" si="63"/>
        <v>0.3</v>
      </c>
      <c r="J246" s="138">
        <f t="shared" si="63"/>
        <v>0.3</v>
      </c>
      <c r="K246" s="138">
        <f t="shared" si="63"/>
        <v>0.3</v>
      </c>
      <c r="L246" s="138">
        <f t="shared" si="63"/>
        <v>0.3</v>
      </c>
      <c r="M246" s="138">
        <f t="shared" si="63"/>
        <v>0.3</v>
      </c>
      <c r="N246" s="138">
        <f t="shared" si="63"/>
        <v>0.3</v>
      </c>
      <c r="O246" s="138">
        <f t="shared" si="63"/>
        <v>0.3</v>
      </c>
      <c r="P246" s="138">
        <f t="shared" si="63"/>
        <v>0.3</v>
      </c>
      <c r="Q246" s="138">
        <f t="shared" si="63"/>
        <v>0.3</v>
      </c>
      <c r="R246" s="138">
        <f t="shared" si="63"/>
        <v>0.3</v>
      </c>
      <c r="S246" s="138">
        <f t="shared" si="63"/>
        <v>0.3</v>
      </c>
      <c r="T246" s="138">
        <f t="shared" ref="T246:AF251" si="64">S246</f>
        <v>0.3</v>
      </c>
      <c r="U246" s="138">
        <f t="shared" si="64"/>
        <v>0.3</v>
      </c>
      <c r="V246" s="138">
        <f t="shared" si="64"/>
        <v>0.3</v>
      </c>
      <c r="W246" s="138">
        <f t="shared" si="64"/>
        <v>0.3</v>
      </c>
      <c r="X246" s="138">
        <f t="shared" si="64"/>
        <v>0.3</v>
      </c>
      <c r="Y246" s="138">
        <f t="shared" si="64"/>
        <v>0.3</v>
      </c>
      <c r="Z246" s="138">
        <f t="shared" si="64"/>
        <v>0.3</v>
      </c>
      <c r="AA246" s="138">
        <f t="shared" si="64"/>
        <v>0.3</v>
      </c>
      <c r="AB246" s="138">
        <f t="shared" si="64"/>
        <v>0.3</v>
      </c>
      <c r="AC246" s="138">
        <f t="shared" si="64"/>
        <v>0.3</v>
      </c>
      <c r="AD246" s="138">
        <f t="shared" si="64"/>
        <v>0.3</v>
      </c>
      <c r="AE246" s="138">
        <f t="shared" si="64"/>
        <v>0.3</v>
      </c>
      <c r="AF246" s="138">
        <f t="shared" si="64"/>
        <v>0.3</v>
      </c>
      <c r="AG246" s="139">
        <v>2.4</v>
      </c>
      <c r="AH246" s="47"/>
      <c r="AI246" s="48"/>
      <c r="AK246" s="50"/>
    </row>
    <row r="247" spans="1:37" x14ac:dyDescent="0.25">
      <c r="A247" s="103" t="s">
        <v>232</v>
      </c>
      <c r="B247" s="126">
        <f t="shared" si="62"/>
        <v>0.4</v>
      </c>
      <c r="C247" s="126">
        <v>0.4</v>
      </c>
      <c r="D247" s="126">
        <f t="shared" si="63"/>
        <v>0.4</v>
      </c>
      <c r="E247" s="126">
        <f t="shared" si="63"/>
        <v>0.4</v>
      </c>
      <c r="F247" s="126">
        <f t="shared" si="63"/>
        <v>0.4</v>
      </c>
      <c r="G247" s="126">
        <f t="shared" si="63"/>
        <v>0.4</v>
      </c>
      <c r="H247" s="126">
        <f t="shared" si="63"/>
        <v>0.4</v>
      </c>
      <c r="I247" s="126">
        <f t="shared" si="63"/>
        <v>0.4</v>
      </c>
      <c r="J247" s="126">
        <f t="shared" si="63"/>
        <v>0.4</v>
      </c>
      <c r="K247" s="126">
        <f t="shared" si="63"/>
        <v>0.4</v>
      </c>
      <c r="L247" s="126">
        <f t="shared" si="63"/>
        <v>0.4</v>
      </c>
      <c r="M247" s="126">
        <f t="shared" si="63"/>
        <v>0.4</v>
      </c>
      <c r="N247" s="126">
        <f t="shared" si="63"/>
        <v>0.4</v>
      </c>
      <c r="O247" s="126">
        <f t="shared" si="63"/>
        <v>0.4</v>
      </c>
      <c r="P247" s="126">
        <f t="shared" si="63"/>
        <v>0.4</v>
      </c>
      <c r="Q247" s="126">
        <f t="shared" si="63"/>
        <v>0.4</v>
      </c>
      <c r="R247" s="126">
        <f t="shared" si="63"/>
        <v>0.4</v>
      </c>
      <c r="S247" s="126">
        <f t="shared" si="63"/>
        <v>0.4</v>
      </c>
      <c r="T247" s="126">
        <f t="shared" si="64"/>
        <v>0.4</v>
      </c>
      <c r="U247" s="126">
        <f t="shared" si="64"/>
        <v>0.4</v>
      </c>
      <c r="V247" s="126">
        <f t="shared" si="64"/>
        <v>0.4</v>
      </c>
      <c r="W247" s="126">
        <f t="shared" si="64"/>
        <v>0.4</v>
      </c>
      <c r="X247" s="126">
        <f t="shared" si="64"/>
        <v>0.4</v>
      </c>
      <c r="Y247" s="126">
        <f t="shared" si="64"/>
        <v>0.4</v>
      </c>
      <c r="Z247" s="126">
        <f t="shared" si="64"/>
        <v>0.4</v>
      </c>
      <c r="AA247" s="126">
        <f t="shared" si="64"/>
        <v>0.4</v>
      </c>
      <c r="AB247" s="126">
        <f t="shared" si="64"/>
        <v>0.4</v>
      </c>
      <c r="AC247" s="126">
        <f t="shared" si="64"/>
        <v>0.4</v>
      </c>
      <c r="AD247" s="126">
        <f t="shared" si="64"/>
        <v>0.4</v>
      </c>
      <c r="AE247" s="126">
        <f t="shared" si="64"/>
        <v>0.4</v>
      </c>
      <c r="AF247" s="126">
        <f t="shared" si="64"/>
        <v>0.4</v>
      </c>
      <c r="AG247" s="140">
        <v>2</v>
      </c>
      <c r="AH247" s="47"/>
      <c r="AI247" s="48"/>
      <c r="AK247" s="50"/>
    </row>
    <row r="248" spans="1:37" x14ac:dyDescent="0.25">
      <c r="A248" s="103" t="s">
        <v>233</v>
      </c>
      <c r="B248" s="126">
        <f t="shared" si="62"/>
        <v>1.5</v>
      </c>
      <c r="C248" s="126">
        <v>1.5</v>
      </c>
      <c r="D248" s="126">
        <f t="shared" si="63"/>
        <v>1.5</v>
      </c>
      <c r="E248" s="126">
        <f t="shared" si="63"/>
        <v>1.5</v>
      </c>
      <c r="F248" s="126">
        <f t="shared" si="63"/>
        <v>1.5</v>
      </c>
      <c r="G248" s="126">
        <f t="shared" si="63"/>
        <v>1.5</v>
      </c>
      <c r="H248" s="126">
        <f t="shared" si="63"/>
        <v>1.5</v>
      </c>
      <c r="I248" s="126">
        <f t="shared" si="63"/>
        <v>1.5</v>
      </c>
      <c r="J248" s="126">
        <f t="shared" si="63"/>
        <v>1.5</v>
      </c>
      <c r="K248" s="126">
        <f t="shared" si="63"/>
        <v>1.5</v>
      </c>
      <c r="L248" s="126">
        <f t="shared" si="63"/>
        <v>1.5</v>
      </c>
      <c r="M248" s="126">
        <f t="shared" si="63"/>
        <v>1.5</v>
      </c>
      <c r="N248" s="126">
        <f t="shared" si="63"/>
        <v>1.5</v>
      </c>
      <c r="O248" s="126">
        <f t="shared" si="63"/>
        <v>1.5</v>
      </c>
      <c r="P248" s="126">
        <f t="shared" si="63"/>
        <v>1.5</v>
      </c>
      <c r="Q248" s="126">
        <f t="shared" si="63"/>
        <v>1.5</v>
      </c>
      <c r="R248" s="126">
        <f t="shared" si="63"/>
        <v>1.5</v>
      </c>
      <c r="S248" s="126">
        <f t="shared" si="63"/>
        <v>1.5</v>
      </c>
      <c r="T248" s="126">
        <f t="shared" si="64"/>
        <v>1.5</v>
      </c>
      <c r="U248" s="126">
        <f t="shared" si="64"/>
        <v>1.5</v>
      </c>
      <c r="V248" s="126">
        <f t="shared" si="64"/>
        <v>1.5</v>
      </c>
      <c r="W248" s="126">
        <f t="shared" si="64"/>
        <v>1.5</v>
      </c>
      <c r="X248" s="126">
        <f t="shared" si="64"/>
        <v>1.5</v>
      </c>
      <c r="Y248" s="126">
        <f t="shared" si="64"/>
        <v>1.5</v>
      </c>
      <c r="Z248" s="126">
        <f t="shared" si="64"/>
        <v>1.5</v>
      </c>
      <c r="AA248" s="126">
        <f t="shared" si="64"/>
        <v>1.5</v>
      </c>
      <c r="AB248" s="126">
        <f t="shared" si="64"/>
        <v>1.5</v>
      </c>
      <c r="AC248" s="126">
        <f t="shared" si="64"/>
        <v>1.5</v>
      </c>
      <c r="AD248" s="126">
        <f t="shared" si="64"/>
        <v>1.5</v>
      </c>
      <c r="AE248" s="126">
        <f t="shared" si="64"/>
        <v>1.5</v>
      </c>
      <c r="AF248" s="126">
        <f t="shared" si="64"/>
        <v>1.5</v>
      </c>
      <c r="AG248" s="140">
        <v>1.5</v>
      </c>
      <c r="AH248" s="47"/>
      <c r="AI248" s="48"/>
      <c r="AK248" s="50"/>
    </row>
    <row r="249" spans="1:37" x14ac:dyDescent="0.25">
      <c r="A249" s="103" t="s">
        <v>234</v>
      </c>
      <c r="B249" s="126">
        <f t="shared" si="62"/>
        <v>0.3</v>
      </c>
      <c r="C249" s="126">
        <v>0.3</v>
      </c>
      <c r="D249" s="126">
        <f t="shared" si="63"/>
        <v>0.3</v>
      </c>
      <c r="E249" s="126">
        <f t="shared" si="63"/>
        <v>0.3</v>
      </c>
      <c r="F249" s="126">
        <f t="shared" si="63"/>
        <v>0.3</v>
      </c>
      <c r="G249" s="126">
        <f t="shared" si="63"/>
        <v>0.3</v>
      </c>
      <c r="H249" s="126">
        <f t="shared" si="63"/>
        <v>0.3</v>
      </c>
      <c r="I249" s="126">
        <f t="shared" si="63"/>
        <v>0.3</v>
      </c>
      <c r="J249" s="126">
        <f t="shared" si="63"/>
        <v>0.3</v>
      </c>
      <c r="K249" s="126">
        <f t="shared" si="63"/>
        <v>0.3</v>
      </c>
      <c r="L249" s="126">
        <f t="shared" si="63"/>
        <v>0.3</v>
      </c>
      <c r="M249" s="126">
        <f t="shared" si="63"/>
        <v>0.3</v>
      </c>
      <c r="N249" s="126">
        <f t="shared" si="63"/>
        <v>0.3</v>
      </c>
      <c r="O249" s="126">
        <f t="shared" si="63"/>
        <v>0.3</v>
      </c>
      <c r="P249" s="126">
        <f t="shared" si="63"/>
        <v>0.3</v>
      </c>
      <c r="Q249" s="126">
        <f t="shared" si="63"/>
        <v>0.3</v>
      </c>
      <c r="R249" s="126">
        <f t="shared" si="63"/>
        <v>0.3</v>
      </c>
      <c r="S249" s="126">
        <f t="shared" si="63"/>
        <v>0.3</v>
      </c>
      <c r="T249" s="126">
        <f t="shared" si="64"/>
        <v>0.3</v>
      </c>
      <c r="U249" s="126">
        <f t="shared" si="64"/>
        <v>0.3</v>
      </c>
      <c r="V249" s="126">
        <f t="shared" si="64"/>
        <v>0.3</v>
      </c>
      <c r="W249" s="126">
        <f t="shared" si="64"/>
        <v>0.3</v>
      </c>
      <c r="X249" s="126">
        <f t="shared" si="64"/>
        <v>0.3</v>
      </c>
      <c r="Y249" s="126">
        <f t="shared" si="64"/>
        <v>0.3</v>
      </c>
      <c r="Z249" s="126">
        <f t="shared" si="64"/>
        <v>0.3</v>
      </c>
      <c r="AA249" s="126">
        <f t="shared" si="64"/>
        <v>0.3</v>
      </c>
      <c r="AB249" s="126">
        <f t="shared" si="64"/>
        <v>0.3</v>
      </c>
      <c r="AC249" s="126">
        <f t="shared" si="64"/>
        <v>0.3</v>
      </c>
      <c r="AD249" s="126">
        <f t="shared" si="64"/>
        <v>0.3</v>
      </c>
      <c r="AE249" s="126">
        <f t="shared" si="64"/>
        <v>0.3</v>
      </c>
      <c r="AF249" s="126">
        <f t="shared" si="64"/>
        <v>0.3</v>
      </c>
      <c r="AG249" s="140">
        <v>1</v>
      </c>
      <c r="AH249" s="47"/>
      <c r="AI249" s="48"/>
      <c r="AK249" s="50"/>
    </row>
    <row r="250" spans="1:37" x14ac:dyDescent="0.25">
      <c r="A250" s="103" t="s">
        <v>235</v>
      </c>
      <c r="B250" s="126">
        <f t="shared" si="62"/>
        <v>0.4</v>
      </c>
      <c r="C250" s="126">
        <v>0.4</v>
      </c>
      <c r="D250" s="126">
        <f t="shared" si="63"/>
        <v>0.4</v>
      </c>
      <c r="E250" s="126">
        <f t="shared" si="63"/>
        <v>0.4</v>
      </c>
      <c r="F250" s="126">
        <f t="shared" si="63"/>
        <v>0.4</v>
      </c>
      <c r="G250" s="126">
        <f t="shared" si="63"/>
        <v>0.4</v>
      </c>
      <c r="H250" s="126">
        <f t="shared" si="63"/>
        <v>0.4</v>
      </c>
      <c r="I250" s="126">
        <f t="shared" si="63"/>
        <v>0.4</v>
      </c>
      <c r="J250" s="126">
        <f t="shared" si="63"/>
        <v>0.4</v>
      </c>
      <c r="K250" s="126">
        <f t="shared" si="63"/>
        <v>0.4</v>
      </c>
      <c r="L250" s="126">
        <f t="shared" si="63"/>
        <v>0.4</v>
      </c>
      <c r="M250" s="126">
        <f t="shared" si="63"/>
        <v>0.4</v>
      </c>
      <c r="N250" s="126">
        <f t="shared" si="63"/>
        <v>0.4</v>
      </c>
      <c r="O250" s="126">
        <f t="shared" si="63"/>
        <v>0.4</v>
      </c>
      <c r="P250" s="126">
        <f t="shared" si="63"/>
        <v>0.4</v>
      </c>
      <c r="Q250" s="126">
        <f t="shared" si="63"/>
        <v>0.4</v>
      </c>
      <c r="R250" s="126">
        <f t="shared" si="63"/>
        <v>0.4</v>
      </c>
      <c r="S250" s="126">
        <f t="shared" si="63"/>
        <v>0.4</v>
      </c>
      <c r="T250" s="126">
        <f t="shared" si="64"/>
        <v>0.4</v>
      </c>
      <c r="U250" s="126">
        <f t="shared" si="64"/>
        <v>0.4</v>
      </c>
      <c r="V250" s="126">
        <f t="shared" si="64"/>
        <v>0.4</v>
      </c>
      <c r="W250" s="126">
        <f t="shared" si="64"/>
        <v>0.4</v>
      </c>
      <c r="X250" s="126">
        <f t="shared" si="64"/>
        <v>0.4</v>
      </c>
      <c r="Y250" s="126">
        <f t="shared" si="64"/>
        <v>0.4</v>
      </c>
      <c r="Z250" s="126">
        <f t="shared" si="64"/>
        <v>0.4</v>
      </c>
      <c r="AA250" s="126">
        <f t="shared" si="64"/>
        <v>0.4</v>
      </c>
      <c r="AB250" s="126">
        <f t="shared" si="64"/>
        <v>0.4</v>
      </c>
      <c r="AC250" s="126">
        <f t="shared" si="64"/>
        <v>0.4</v>
      </c>
      <c r="AD250" s="126">
        <f t="shared" si="64"/>
        <v>0.4</v>
      </c>
      <c r="AE250" s="126">
        <f t="shared" si="64"/>
        <v>0.4</v>
      </c>
      <c r="AF250" s="126">
        <f t="shared" si="64"/>
        <v>0.4</v>
      </c>
      <c r="AG250" s="140">
        <v>1</v>
      </c>
      <c r="AH250" s="47"/>
      <c r="AI250" s="48"/>
      <c r="AK250" s="50"/>
    </row>
    <row r="251" spans="1:37" ht="15.75" thickBot="1" x14ac:dyDescent="0.3">
      <c r="A251" s="116" t="s">
        <v>236</v>
      </c>
      <c r="B251" s="130">
        <f t="shared" si="62"/>
        <v>0.64</v>
      </c>
      <c r="C251" s="130">
        <v>0.64</v>
      </c>
      <c r="D251" s="130">
        <f t="shared" si="63"/>
        <v>0.64</v>
      </c>
      <c r="E251" s="130">
        <f t="shared" si="63"/>
        <v>0.64</v>
      </c>
      <c r="F251" s="130">
        <f t="shared" si="63"/>
        <v>0.64</v>
      </c>
      <c r="G251" s="130">
        <f t="shared" si="63"/>
        <v>0.64</v>
      </c>
      <c r="H251" s="130">
        <f t="shared" si="63"/>
        <v>0.64</v>
      </c>
      <c r="I251" s="130">
        <f t="shared" si="63"/>
        <v>0.64</v>
      </c>
      <c r="J251" s="130">
        <f t="shared" si="63"/>
        <v>0.64</v>
      </c>
      <c r="K251" s="130">
        <f t="shared" si="63"/>
        <v>0.64</v>
      </c>
      <c r="L251" s="130">
        <f t="shared" si="63"/>
        <v>0.64</v>
      </c>
      <c r="M251" s="130">
        <f t="shared" si="63"/>
        <v>0.64</v>
      </c>
      <c r="N251" s="130">
        <f t="shared" si="63"/>
        <v>0.64</v>
      </c>
      <c r="O251" s="130">
        <f t="shared" si="63"/>
        <v>0.64</v>
      </c>
      <c r="P251" s="130">
        <f t="shared" si="63"/>
        <v>0.64</v>
      </c>
      <c r="Q251" s="130">
        <f t="shared" si="63"/>
        <v>0.64</v>
      </c>
      <c r="R251" s="130">
        <f t="shared" si="63"/>
        <v>0.64</v>
      </c>
      <c r="S251" s="130">
        <f t="shared" si="63"/>
        <v>0.64</v>
      </c>
      <c r="T251" s="130">
        <f t="shared" si="64"/>
        <v>0.64</v>
      </c>
      <c r="U251" s="130">
        <f t="shared" si="64"/>
        <v>0.64</v>
      </c>
      <c r="V251" s="130">
        <f t="shared" si="64"/>
        <v>0.64</v>
      </c>
      <c r="W251" s="130">
        <f t="shared" si="64"/>
        <v>0.64</v>
      </c>
      <c r="X251" s="130">
        <f t="shared" si="64"/>
        <v>0.64</v>
      </c>
      <c r="Y251" s="130">
        <f t="shared" si="64"/>
        <v>0.64</v>
      </c>
      <c r="Z251" s="130">
        <f t="shared" si="64"/>
        <v>0.64</v>
      </c>
      <c r="AA251" s="130">
        <f t="shared" si="64"/>
        <v>0.64</v>
      </c>
      <c r="AB251" s="130">
        <f t="shared" si="64"/>
        <v>0.64</v>
      </c>
      <c r="AC251" s="130">
        <f t="shared" si="64"/>
        <v>0.64</v>
      </c>
      <c r="AD251" s="130">
        <f t="shared" si="64"/>
        <v>0.64</v>
      </c>
      <c r="AE251" s="130">
        <f t="shared" si="64"/>
        <v>0.64</v>
      </c>
      <c r="AF251" s="130">
        <f t="shared" si="64"/>
        <v>0.64</v>
      </c>
      <c r="AG251" s="141">
        <v>0.66</v>
      </c>
      <c r="AH251" s="47"/>
      <c r="AI251" s="48"/>
    </row>
    <row r="252" spans="1:37" ht="15.75" thickBot="1" x14ac:dyDescent="0.3">
      <c r="A252" s="142" t="s">
        <v>75</v>
      </c>
      <c r="B252" s="134">
        <f t="shared" ref="B252:AG252" si="65">SUM(B246:B251)</f>
        <v>3.54</v>
      </c>
      <c r="C252" s="134">
        <f t="shared" si="65"/>
        <v>3.54</v>
      </c>
      <c r="D252" s="134">
        <f t="shared" si="65"/>
        <v>3.54</v>
      </c>
      <c r="E252" s="134">
        <f t="shared" si="65"/>
        <v>3.54</v>
      </c>
      <c r="F252" s="134">
        <f t="shared" si="65"/>
        <v>3.54</v>
      </c>
      <c r="G252" s="134">
        <f t="shared" si="65"/>
        <v>3.54</v>
      </c>
      <c r="H252" s="134">
        <f t="shared" si="65"/>
        <v>3.54</v>
      </c>
      <c r="I252" s="134">
        <f t="shared" si="65"/>
        <v>3.54</v>
      </c>
      <c r="J252" s="134">
        <f t="shared" si="65"/>
        <v>3.54</v>
      </c>
      <c r="K252" s="134">
        <f t="shared" si="65"/>
        <v>3.54</v>
      </c>
      <c r="L252" s="134">
        <f t="shared" si="65"/>
        <v>3.54</v>
      </c>
      <c r="M252" s="134">
        <f t="shared" si="65"/>
        <v>3.54</v>
      </c>
      <c r="N252" s="134">
        <f t="shared" si="65"/>
        <v>3.54</v>
      </c>
      <c r="O252" s="134">
        <f t="shared" si="65"/>
        <v>3.54</v>
      </c>
      <c r="P252" s="134">
        <f t="shared" si="65"/>
        <v>3.54</v>
      </c>
      <c r="Q252" s="134">
        <f t="shared" si="65"/>
        <v>3.54</v>
      </c>
      <c r="R252" s="134">
        <f t="shared" si="65"/>
        <v>3.54</v>
      </c>
      <c r="S252" s="134">
        <f t="shared" si="65"/>
        <v>3.54</v>
      </c>
      <c r="T252" s="134">
        <f t="shared" si="65"/>
        <v>3.54</v>
      </c>
      <c r="U252" s="134">
        <f t="shared" si="65"/>
        <v>3.54</v>
      </c>
      <c r="V252" s="134">
        <f t="shared" si="65"/>
        <v>3.54</v>
      </c>
      <c r="W252" s="134">
        <f t="shared" si="65"/>
        <v>3.54</v>
      </c>
      <c r="X252" s="134">
        <f t="shared" si="65"/>
        <v>3.54</v>
      </c>
      <c r="Y252" s="134">
        <f t="shared" si="65"/>
        <v>3.54</v>
      </c>
      <c r="Z252" s="134">
        <f t="shared" si="65"/>
        <v>3.54</v>
      </c>
      <c r="AA252" s="134">
        <f t="shared" si="65"/>
        <v>3.54</v>
      </c>
      <c r="AB252" s="134">
        <f t="shared" si="65"/>
        <v>3.54</v>
      </c>
      <c r="AC252" s="134">
        <f t="shared" si="65"/>
        <v>3.54</v>
      </c>
      <c r="AD252" s="134">
        <f t="shared" si="65"/>
        <v>3.54</v>
      </c>
      <c r="AE252" s="134">
        <f t="shared" si="65"/>
        <v>3.54</v>
      </c>
      <c r="AF252" s="134">
        <f t="shared" si="65"/>
        <v>3.54</v>
      </c>
      <c r="AG252" s="143">
        <f t="shared" si="65"/>
        <v>8.56</v>
      </c>
      <c r="AH252" s="47"/>
      <c r="AI252" s="48"/>
    </row>
    <row r="253" spans="1:37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137"/>
      <c r="AH253" s="43"/>
    </row>
    <row r="254" spans="1:37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7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7" x14ac:dyDescent="0.25">
      <c r="A256" s="154" t="s">
        <v>242</v>
      </c>
      <c r="B256" s="155">
        <f>MAX(G99:N99)</f>
        <v>153.54</v>
      </c>
      <c r="C256" s="156">
        <f>INDEX(G9:N9,1,MATCH(MAX(G99:N99),G99:N99,0))</f>
        <v>0.20833333333333301</v>
      </c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</row>
    <row r="258" spans="1:34" x14ac:dyDescent="0.25">
      <c r="A258" s="259" t="s">
        <v>243</v>
      </c>
      <c r="B258" s="259"/>
      <c r="C258" s="43"/>
      <c r="D258" s="157" t="e">
        <f ca="1">"Pie Chart of Daily Peak Demand(Inclusive of Export) of Nepal ("&amp;A4&amp;" "&amp;B4&amp;")"</f>
        <v>#VALUE!</v>
      </c>
      <c r="E258" s="43"/>
      <c r="F258" s="43"/>
      <c r="G258" s="157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</row>
    <row r="259" spans="1:34" ht="12.75" customHeight="1" x14ac:dyDescent="0.25">
      <c r="A259" s="158" t="s">
        <v>7</v>
      </c>
      <c r="B259" s="159"/>
      <c r="C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</row>
    <row r="260" spans="1:34" x14ac:dyDescent="0.25">
      <c r="A260" s="158" t="s">
        <v>244</v>
      </c>
      <c r="B260" s="159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</row>
    <row r="261" spans="1:34" x14ac:dyDescent="0.25">
      <c r="A261" s="158" t="s">
        <v>246</v>
      </c>
      <c r="B261" s="159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</row>
    <row r="262" spans="1:34" x14ac:dyDescent="0.25">
      <c r="A262" s="158" t="s">
        <v>248</v>
      </c>
      <c r="B262" s="159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</row>
    <row r="263" spans="1:34" x14ac:dyDescent="0.25">
      <c r="A263" s="158" t="s">
        <v>249</v>
      </c>
      <c r="B263" s="159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</row>
    <row r="264" spans="1:34" ht="15" customHeight="1" x14ac:dyDescent="0.25">
      <c r="A264" s="158" t="s">
        <v>250</v>
      </c>
      <c r="B264" s="159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</row>
    <row r="265" spans="1:34" ht="26.25" customHeight="1" x14ac:dyDescent="0.25">
      <c r="A265" s="158" t="s">
        <v>251</v>
      </c>
      <c r="B265" s="166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</row>
    <row r="266" spans="1:34" x14ac:dyDescent="0.25">
      <c r="A266" s="158" t="s">
        <v>252</v>
      </c>
      <c r="B266" s="159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</row>
    <row r="275" spans="2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2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2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2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2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2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2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</row>
    <row r="282" spans="2:34" x14ac:dyDescent="0.25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</row>
    <row r="283" spans="2:34" x14ac:dyDescent="0.25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</row>
    <row r="284" spans="2:34" x14ac:dyDescent="0.25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</row>
    <row r="285" spans="2:34" x14ac:dyDescent="0.25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</row>
    <row r="286" spans="2:34" x14ac:dyDescent="0.25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</row>
    <row r="287" spans="2:34" x14ac:dyDescent="0.25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</row>
    <row r="288" spans="2:34" x14ac:dyDescent="0.25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</row>
    <row r="289" spans="19:34" x14ac:dyDescent="0.25"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</row>
    <row r="290" spans="19:34" x14ac:dyDescent="0.25"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</row>
    <row r="291" spans="19:34" x14ac:dyDescent="0.25"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</row>
    <row r="292" spans="19:34" x14ac:dyDescent="0.25"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</row>
    <row r="293" spans="19:34" x14ac:dyDescent="0.25"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</row>
    <row r="294" spans="19:34" x14ac:dyDescent="0.25"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40" priority="156">
      <formula>$AH11=0</formula>
    </cfRule>
  </conditionalFormatting>
  <conditionalFormatting sqref="A132:A253">
    <cfRule type="expression" dxfId="139" priority="157">
      <formula>$AH132=0</formula>
    </cfRule>
  </conditionalFormatting>
  <conditionalFormatting sqref="B8">
    <cfRule type="expression" dxfId="138" priority="349">
      <formula>C$9&gt;=20/24</formula>
    </cfRule>
    <cfRule type="expression" dxfId="137" priority="309">
      <formula>C$9&lt;8/24</formula>
    </cfRule>
    <cfRule type="expression" dxfId="136" priority="308">
      <formula>AND(C$9&gt;=8/24,C$9&lt;14/24)</formula>
    </cfRule>
    <cfRule type="expression" dxfId="135" priority="307">
      <formula>AND(C$9&gt;=14/24,C$9&lt;20/24)</formula>
    </cfRule>
  </conditionalFormatting>
  <conditionalFormatting sqref="B11:E21 C12:J13 K13:V52 B14:J52 W20:X52 B59:D68 B69:AF74 B77:AF99 B9:AF10 B101:AF117 B119:AF137 B244:AF244 B246:B252">
    <cfRule type="expression" dxfId="134" priority="88">
      <formula>B$9&gt;=20/24</formula>
    </cfRule>
  </conditionalFormatting>
  <conditionalFormatting sqref="B19:V54 W20:X54 B55:X55 B56:D61 B11:E21 C12:J18 K13:V18 AA56:AF61 W57:X57 E57:V61 W58:Z61 B62:AG62 B63:AF80 AG80">
    <cfRule type="expression" dxfId="133" priority="87">
      <formula>B11&gt;$AG11</formula>
    </cfRule>
  </conditionalFormatting>
  <conditionalFormatting sqref="B53:X57">
    <cfRule type="expression" dxfId="132" priority="119">
      <formula>B$9&lt;8/24</formula>
    </cfRule>
  </conditionalFormatting>
  <conditionalFormatting sqref="B9:AF10 B11:E21 C12:J13 K13:V52 B14:J52 W20:X52 B59:D68 B69:AF74 B77:AF99 B101:AF117 B119:AF137 B244:AF244 B246:B252">
    <cfRule type="expression" dxfId="131" priority="89">
      <formula>AND(B$9&gt;=14/24,B$9&lt;20/24)</formula>
    </cfRule>
    <cfRule type="expression" dxfId="130" priority="91">
      <formula>B$9&lt;8/24</formula>
    </cfRule>
    <cfRule type="expression" dxfId="129" priority="90">
      <formula>AND(B$9&gt;=8/24,B$9&lt;14/24)</formula>
    </cfRule>
  </conditionalFormatting>
  <conditionalFormatting sqref="B53:AF54 B55:D57">
    <cfRule type="expression" dxfId="128" priority="73">
      <formula>B$9&gt;=20/24</formula>
    </cfRule>
    <cfRule type="expression" dxfId="127" priority="75">
      <formula>AND(B$9&gt;=8/24,B$9&lt;14/24)</formula>
    </cfRule>
    <cfRule type="expression" dxfId="126" priority="74">
      <formula>AND(B$9&gt;=14/24,B$9&lt;20/24)</formula>
    </cfRule>
  </conditionalFormatting>
  <conditionalFormatting sqref="D246:AF252">
    <cfRule type="expression" dxfId="125" priority="207">
      <formula>D$9&lt;8/24</formula>
    </cfRule>
    <cfRule type="expression" dxfId="124" priority="206">
      <formula>AND(D$9&gt;=8/24,D$9&lt;14/24)</formula>
    </cfRule>
    <cfRule type="expression" dxfId="123" priority="205">
      <formula>AND(D$9&gt;=14/24,D$9&lt;20/24)</formula>
    </cfRule>
    <cfRule type="expression" dxfId="122" priority="204">
      <formula>D$9&gt;=20/24</formula>
    </cfRule>
  </conditionalFormatting>
  <conditionalFormatting sqref="E63:I67 J64:J67 K67">
    <cfRule type="expression" dxfId="121" priority="120">
      <formula>E$9&gt;=20/24</formula>
    </cfRule>
    <cfRule type="expression" dxfId="120" priority="121">
      <formula>AND(E$9&gt;=14/24,E$9&lt;20/24)</formula>
    </cfRule>
    <cfRule type="expression" dxfId="119" priority="122">
      <formula>AND(E$9&gt;=8/24,E$9&lt;14/24)</formula>
    </cfRule>
    <cfRule type="expression" dxfId="118" priority="123">
      <formula>E$9&lt;8/24</formula>
    </cfRule>
  </conditionalFormatting>
  <conditionalFormatting sqref="E68:K68">
    <cfRule type="expression" dxfId="117" priority="117">
      <formula>AND(E$9&gt;=8/24,E$9&lt;14/24)</formula>
    </cfRule>
    <cfRule type="expression" dxfId="116" priority="116">
      <formula>AND(E$9&gt;=14/24,E$9&lt;20/24)</formula>
    </cfRule>
    <cfRule type="expression" dxfId="115" priority="118">
      <formula>E$9&lt;8/24</formula>
    </cfRule>
    <cfRule type="expression" dxfId="114" priority="115">
      <formula>E$9&gt;=20/24</formula>
    </cfRule>
  </conditionalFormatting>
  <conditionalFormatting sqref="E11:L11 V11:W11 M11:U12 X11:X19 Y11:AF52 K12:L12 V12 W12:W19">
    <cfRule type="expression" dxfId="113" priority="128">
      <formula>E$9&lt;8/24</formula>
    </cfRule>
    <cfRule type="expression" dxfId="112" priority="127">
      <formula>AND(E$9&gt;=8/24,E$9&lt;14/24)</formula>
    </cfRule>
    <cfRule type="expression" dxfId="111" priority="124">
      <formula>E11&gt;$AG11</formula>
    </cfRule>
    <cfRule type="expression" dxfId="110" priority="125">
      <formula>E$9&gt;=20/24</formula>
    </cfRule>
    <cfRule type="expression" dxfId="109" priority="126">
      <formula>AND(E$9&gt;=14/24,E$9&lt;20/24)</formula>
    </cfRule>
  </conditionalFormatting>
  <conditionalFormatting sqref="E55:X57">
    <cfRule type="expression" dxfId="108" priority="93">
      <formula>E$9&gt;=20/24</formula>
    </cfRule>
    <cfRule type="expression" dxfId="107" priority="95">
      <formula>AND(E$9&gt;=8/24,E$9&lt;14/24)</formula>
    </cfRule>
    <cfRule type="expression" dxfId="106" priority="94">
      <formula>AND(E$9&gt;=14/24,E$9&lt;20/24)</formula>
    </cfRule>
  </conditionalFormatting>
  <conditionalFormatting sqref="E56:X56">
    <cfRule type="expression" dxfId="105" priority="92">
      <formula>E56&gt;$AG56</formula>
    </cfRule>
  </conditionalFormatting>
  <conditionalFormatting sqref="E59:AF62">
    <cfRule type="expression" dxfId="104" priority="136">
      <formula>AND(E$9&gt;=8/24,E$9&lt;14/24)</formula>
    </cfRule>
    <cfRule type="expression" dxfId="103" priority="137">
      <formula>E$9&lt;8/24</formula>
    </cfRule>
    <cfRule type="expression" dxfId="102" priority="135">
      <formula>AND(E$9&gt;=14/24,E$9&lt;20/24)</formula>
    </cfRule>
    <cfRule type="expression" dxfId="101" priority="134">
      <formula>E$9&gt;=20/24</formula>
    </cfRule>
  </conditionalFormatting>
  <conditionalFormatting sqref="F63:L65">
    <cfRule type="expression" dxfId="100" priority="151">
      <formula>F$9&lt;8/24</formula>
    </cfRule>
    <cfRule type="expression" dxfId="99" priority="150">
      <formula>AND(F$9&gt;=8/24,F$9&lt;14/24)</formula>
    </cfRule>
    <cfRule type="expression" dxfId="98" priority="149">
      <formula>AND(F$9&gt;=14/24,F$9&lt;20/24)</formula>
    </cfRule>
    <cfRule type="expression" dxfId="97" priority="148">
      <formula>F$9&gt;=20/24</formula>
    </cfRule>
  </conditionalFormatting>
  <conditionalFormatting sqref="L68:V68">
    <cfRule type="expression" dxfId="96" priority="144">
      <formula>L$9&gt;=20/24</formula>
    </cfRule>
    <cfRule type="expression" dxfId="95" priority="145">
      <formula>AND(L$9&gt;=14/24,L$9&lt;20/24)</formula>
    </cfRule>
    <cfRule type="expression" dxfId="94" priority="146">
      <formula>AND(L$9&gt;=8/24,L$9&lt;14/24)</formula>
    </cfRule>
    <cfRule type="expression" dxfId="93" priority="147">
      <formula>L$9&lt;8/24</formula>
    </cfRule>
  </conditionalFormatting>
  <conditionalFormatting sqref="M8 S8 AB8">
    <cfRule type="expression" dxfId="92" priority="211">
      <formula>AND(N$9&gt;=14/24,N$9&lt;20/24)</formula>
    </cfRule>
    <cfRule type="expression" dxfId="91" priority="212">
      <formula>AND(N$9&gt;=8/24,N$9&lt;14/24)</formula>
    </cfRule>
    <cfRule type="expression" dxfId="90" priority="213">
      <formula>N$9&lt;8/24</formula>
    </cfRule>
  </conditionalFormatting>
  <conditionalFormatting sqref="M63:V67">
    <cfRule type="expression" dxfId="89" priority="153">
      <formula>AND(M$9&gt;=14/24,M$9&lt;20/24)</formula>
    </cfRule>
    <cfRule type="expression" dxfId="88" priority="152">
      <formula>M$9&gt;=20/24</formula>
    </cfRule>
    <cfRule type="expression" dxfId="87" priority="154">
      <formula>AND(M$9&gt;=8/24,M$9&lt;14/24)</formula>
    </cfRule>
    <cfRule type="expression" dxfId="86" priority="155">
      <formula>M$9&lt;8/24</formula>
    </cfRule>
  </conditionalFormatting>
  <conditionalFormatting sqref="O3:P3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5" priority="210">
      <formula>N$9&gt;=20/24</formula>
    </cfRule>
  </conditionalFormatting>
  <conditionalFormatting sqref="S8">
    <cfRule type="expression" dxfId="84" priority="198">
      <formula>AND(U$9&gt;=14/24,U$9&lt;20/24)</formula>
    </cfRule>
    <cfRule type="expression" dxfId="83" priority="200">
      <formula>U$9&lt;8/24</formula>
    </cfRule>
    <cfRule type="expression" dxfId="82" priority="199">
      <formula>AND(U$9&gt;=8/24,U$9&lt;14/24)</formula>
    </cfRule>
    <cfRule type="expression" dxfId="81" priority="197">
      <formula>U$9&gt;=20/24</formula>
    </cfRule>
  </conditionalFormatting>
  <conditionalFormatting sqref="T63:AF68">
    <cfRule type="expression" dxfId="80" priority="141">
      <formula>T$9&lt;8/24</formula>
    </cfRule>
    <cfRule type="expression" dxfId="79" priority="138">
      <formula>T$9&gt;=20/24</formula>
    </cfRule>
    <cfRule type="expression" dxfId="78" priority="139">
      <formula>AND(T$9&gt;=14/24,T$9&lt;20/24)</formula>
    </cfRule>
    <cfRule type="expression" dxfId="77" priority="140">
      <formula>AND(T$9&gt;=8/24,T$9&lt;14/24)</formula>
    </cfRule>
  </conditionalFormatting>
  <conditionalFormatting sqref="V3 AB3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Y56:Z57">
    <cfRule type="expression" dxfId="76" priority="129">
      <formula>Y56&gt;$AG56</formula>
    </cfRule>
  </conditionalFormatting>
  <conditionalFormatting sqref="Y53:AF55">
    <cfRule type="expression" dxfId="75" priority="143">
      <formula>Y53&gt;$AG53</formula>
    </cfRule>
  </conditionalFormatting>
  <conditionalFormatting sqref="Y53:AF57">
    <cfRule type="expression" dxfId="74" priority="142">
      <formula>Y$9&lt;8/24</formula>
    </cfRule>
  </conditionalFormatting>
  <conditionalFormatting sqref="Y55:AF57">
    <cfRule type="expression" dxfId="73" priority="132">
      <formula>AND(Y$9&gt;=8/24,Y$9&lt;14/24)</formula>
    </cfRule>
    <cfRule type="expression" dxfId="72" priority="131">
      <formula>AND(Y$9&gt;=14/24,Y$9&lt;20/24)</formula>
    </cfRule>
    <cfRule type="expression" dxfId="71" priority="130">
      <formula>Y$9&gt;=20/24</formula>
    </cfRule>
  </conditionalFormatting>
  <conditionalFormatting sqref="AB8">
    <cfRule type="expression" dxfId="70" priority="196">
      <formula>AD$9&lt;8/24</formula>
    </cfRule>
    <cfRule type="expression" dxfId="69" priority="195">
      <formula>AND(AD$9&gt;=8/24,AD$9&lt;14/24)</formula>
    </cfRule>
    <cfRule type="expression" dxfId="68" priority="194">
      <formula>AND(AD$9&gt;=14/24,AD$9&lt;20/24)</formula>
    </cfRule>
    <cfRule type="expression" dxfId="67" priority="193">
      <formula>AD$9&gt;=20/24</formula>
    </cfRule>
  </conditionalFormatting>
  <conditionalFormatting sqref="AG58">
    <cfRule type="expression" dxfId="66" priority="188">
      <formula>AG58&gt;$AG58</formula>
    </cfRule>
  </conditionalFormatting>
  <conditionalFormatting sqref="AG62">
    <cfRule type="expression" dxfId="65" priority="172">
      <formula>AND(AG$9&gt;=14/24,AG$9&lt;20/24)</formula>
    </cfRule>
    <cfRule type="expression" dxfId="64" priority="173">
      <formula>AND(AG$9&gt;=8/24,AG$9&lt;14/24)</formula>
    </cfRule>
    <cfRule type="expression" dxfId="63" priority="174">
      <formula>AG$9&lt;8/24</formula>
    </cfRule>
    <cfRule type="expression" dxfId="62" priority="171">
      <formula>AG$9&gt;=20/24</formula>
    </cfRule>
  </conditionalFormatting>
  <conditionalFormatting sqref="AG75:AG76">
    <cfRule type="expression" dxfId="61" priority="166">
      <formula>AG75&gt;$AG75</formula>
    </cfRule>
  </conditionalFormatting>
  <conditionalFormatting sqref="AG80">
    <cfRule type="expression" dxfId="60" priority="167">
      <formula>AG$9&gt;=20/24</formula>
    </cfRule>
    <cfRule type="expression" dxfId="59" priority="168">
      <formula>AND(AG$9&gt;=14/24,AG$9&lt;20/24)</formula>
    </cfRule>
    <cfRule type="expression" dxfId="58" priority="169">
      <formula>AND(AG$9&gt;=8/24,AG$9&lt;14/24)</formula>
    </cfRule>
    <cfRule type="expression" dxfId="57" priority="170">
      <formula>AG$9&lt;8/24</formula>
    </cfRule>
  </conditionalFormatting>
  <conditionalFormatting sqref="AG97">
    <cfRule type="expression" dxfId="56" priority="191">
      <formula>AND(AG$9&gt;=8/24,AG$9&lt;14/24)</formula>
    </cfRule>
    <cfRule type="expression" dxfId="55" priority="190">
      <formula>AND(AG$9&gt;=14/24,AG$9&lt;20/24)</formula>
    </cfRule>
    <cfRule type="expression" dxfId="54" priority="189">
      <formula>AG$9&gt;=20/24</formula>
    </cfRule>
    <cfRule type="expression" dxfId="53" priority="192">
      <formula>AG$9&lt;8/24</formula>
    </cfRule>
  </conditionalFormatting>
  <conditionalFormatting sqref="AL4:AL6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52" priority="226">
      <formula>AJ$9&gt;=20/24</formula>
    </cfRule>
    <cfRule type="expression" dxfId="51" priority="228">
      <formula>AND(AJ$9&gt;=8/24,AJ$9&lt;14/24)</formula>
    </cfRule>
    <cfRule type="expression" dxfId="50" priority="229">
      <formula>AJ$9&lt;8/24</formula>
    </cfRule>
    <cfRule type="expression" dxfId="49" priority="227">
      <formula>AND(AJ$9&gt;=14/24,AJ$9&lt;20/24)</formula>
    </cfRule>
  </conditionalFormatting>
  <conditionalFormatting sqref="AL88:AN88 AL94:AN94">
    <cfRule type="expression" dxfId="48" priority="181">
      <formula>AL$9&gt;=20/24</formula>
    </cfRule>
    <cfRule type="expression" dxfId="47" priority="182">
      <formula>AND(AL$9&gt;=14/24,AL$9&lt;20/24)</formula>
    </cfRule>
    <cfRule type="expression" dxfId="46" priority="183">
      <formula>AND(AL$9&gt;=8/24,AL$9&lt;14/24)</formula>
    </cfRule>
    <cfRule type="expression" dxfId="45" priority="184">
      <formula>AL$9&lt;8/24</formula>
    </cfRule>
  </conditionalFormatting>
  <conditionalFormatting sqref="AM15:AM21 AN16:AR21">
    <cfRule type="expression" dxfId="44" priority="14">
      <formula>AND(AX$9&gt;=14/24,AX$9&lt;20/24)</formula>
    </cfRule>
    <cfRule type="expression" dxfId="43" priority="16">
      <formula>AX$9&lt;8/24</formula>
    </cfRule>
    <cfRule type="expression" dxfId="42" priority="15">
      <formula>AND(AX$9&gt;=8/24,AX$9&lt;14/24)</formula>
    </cfRule>
    <cfRule type="expression" dxfId="41" priority="13">
      <formula>AX$9&gt;=20/24</formula>
    </cfRule>
  </conditionalFormatting>
  <conditionalFormatting sqref="AN89:AN92">
    <cfRule type="expression" dxfId="40" priority="180">
      <formula>AN$9&lt;8/24</formula>
    </cfRule>
    <cfRule type="expression" dxfId="39" priority="179">
      <formula>AND(AN$9&gt;=8/24,AN$9&lt;14/24)</formula>
    </cfRule>
    <cfRule type="expression" dxfId="38" priority="178">
      <formula>AND(AN$9&gt;=14/24,AN$9&lt;20/24)</formula>
    </cfRule>
    <cfRule type="expression" dxfId="37" priority="177">
      <formula>AN$9&gt;=20/24</formula>
    </cfRule>
  </conditionalFormatting>
  <conditionalFormatting sqref="AN15:AR15">
    <cfRule type="expression" dxfId="36" priority="4">
      <formula>U$9&lt;8/24</formula>
    </cfRule>
    <cfRule type="expression" dxfId="35" priority="3">
      <formula>AND(U$9&gt;=8/24,U$9&lt;14/24)</formula>
    </cfRule>
    <cfRule type="expression" dxfId="34" priority="2">
      <formula>AND(U$9&gt;=14/24,U$9&lt;20/24)</formula>
    </cfRule>
    <cfRule type="expression" dxfId="33" priority="1">
      <formula>U$9&gt;=20/24</formula>
    </cfRule>
  </conditionalFormatting>
  <conditionalFormatting sqref="AS15">
    <cfRule type="expression" dxfId="32" priority="10">
      <formula>AND(AA$9&gt;=14/24,AA$9&lt;20/24)</formula>
    </cfRule>
    <cfRule type="expression" dxfId="31" priority="9">
      <formula>AA$9&gt;=20/24</formula>
    </cfRule>
    <cfRule type="expression" dxfId="30" priority="12">
      <formula>AA$9&lt;8/24</formula>
    </cfRule>
    <cfRule type="expression" dxfId="29" priority="11">
      <formula>AND(AA$9&gt;=8/24,AA$9&lt;14/24)</formula>
    </cfRule>
  </conditionalFormatting>
  <conditionalFormatting sqref="AS16:AS21">
    <cfRule type="expression" dxfId="28" priority="19">
      <formula>AND(BE$9&gt;=8/24,BE$9&lt;14/24)</formula>
    </cfRule>
    <cfRule type="expression" dxfId="27" priority="20">
      <formula>BE$9&lt;8/24</formula>
    </cfRule>
    <cfRule type="expression" dxfId="26" priority="18">
      <formula>AND(BE$9&gt;=14/24,BE$9&lt;20/24)</formula>
    </cfRule>
    <cfRule type="expression" dxfId="25" priority="17">
      <formula>BE$9&gt;=20/24</formula>
    </cfRule>
  </conditionalFormatting>
  <conditionalFormatting sqref="AT15 AX15">
    <cfRule type="expression" dxfId="24" priority="22">
      <formula>AND(AC$9&gt;=14/24,AC$9&lt;20/24)</formula>
    </cfRule>
    <cfRule type="expression" dxfId="23" priority="21">
      <formula>AC$9&gt;=20/24</formula>
    </cfRule>
    <cfRule type="expression" dxfId="22" priority="24">
      <formula>AC$9&lt;8/24</formula>
    </cfRule>
    <cfRule type="expression" dxfId="21" priority="23">
      <formula>AND(AC$9&gt;=8/24,AC$9&lt;14/24)</formula>
    </cfRule>
  </conditionalFormatting>
  <conditionalFormatting sqref="AT16:AT21">
    <cfRule type="expression" dxfId="20" priority="26">
      <formula>AND(BG$9&gt;=14/24,BG$9&lt;20/24)</formula>
    </cfRule>
    <cfRule type="expression" dxfId="19" priority="25">
      <formula>BG$9&gt;=20/24</formula>
    </cfRule>
    <cfRule type="expression" dxfId="18" priority="28">
      <formula>BG$9&lt;8/24</formula>
    </cfRule>
    <cfRule type="expression" dxfId="17" priority="27">
      <formula>AND(BG$9&gt;=8/24,BG$9&lt;14/24)</formula>
    </cfRule>
  </conditionalFormatting>
  <conditionalFormatting sqref="AU15:AV15">
    <cfRule type="expression" dxfId="16" priority="32">
      <formula>AE$9&lt;8/24</formula>
    </cfRule>
    <cfRule type="expression" dxfId="15" priority="31">
      <formula>AND(AE$9&gt;=8/24,AE$9&lt;14/24)</formula>
    </cfRule>
    <cfRule type="expression" dxfId="14" priority="30">
      <formula>AND(AE$9&gt;=14/24,AE$9&lt;20/24)</formula>
    </cfRule>
    <cfRule type="expression" dxfId="13" priority="29">
      <formula>AE$9&gt;=20/24</formula>
    </cfRule>
  </conditionalFormatting>
  <conditionalFormatting sqref="AU16:AX21">
    <cfRule type="expression" dxfId="12" priority="33">
      <formula>BI$9&gt;=20/24</formula>
    </cfRule>
    <cfRule type="expression" dxfId="11" priority="34">
      <formula>AND(BI$9&gt;=14/24,BI$9&lt;20/24)</formula>
    </cfRule>
    <cfRule type="expression" dxfId="10" priority="35">
      <formula>AND(BI$9&gt;=8/24,BI$9&lt;14/24)</formula>
    </cfRule>
    <cfRule type="expression" dxfId="9" priority="36">
      <formula>BI$9&lt;8/24</formula>
    </cfRule>
  </conditionalFormatting>
  <conditionalFormatting sqref="AW15">
    <cfRule type="expression" dxfId="8" priority="5">
      <formula>B$9&gt;=20/24</formula>
    </cfRule>
    <cfRule type="expression" dxfId="7" priority="6">
      <formula>AND(B$9&gt;=14/24,B$9&lt;20/24)</formula>
    </cfRule>
    <cfRule type="expression" dxfId="6" priority="7">
      <formula>AND(B$9&gt;=8/24,B$9&lt;14/24)</formula>
    </cfRule>
    <cfRule type="expression" dxfId="5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B9E4-E021-4DE9-9804-80E24094011A}">
  <sheetPr codeName="Sheet4"/>
  <dimension ref="A1:G16"/>
  <sheetViews>
    <sheetView workbookViewId="0"/>
  </sheetViews>
  <sheetFormatPr defaultRowHeight="15" x14ac:dyDescent="0.25"/>
  <sheetData>
    <row r="1" spans="1:7" x14ac:dyDescent="0.25">
      <c r="A1" t="s">
        <v>620</v>
      </c>
      <c r="B1" t="s">
        <v>621</v>
      </c>
    </row>
    <row r="2" spans="1:7" x14ac:dyDescent="0.25">
      <c r="A2" t="s">
        <v>610</v>
      </c>
      <c r="B2" t="s">
        <v>616</v>
      </c>
    </row>
    <row r="3" spans="1:7" x14ac:dyDescent="0.25">
      <c r="A3" t="s">
        <v>611</v>
      </c>
      <c r="B3" t="s">
        <v>617</v>
      </c>
    </row>
    <row r="4" spans="1:7" x14ac:dyDescent="0.25">
      <c r="A4" t="s">
        <v>612</v>
      </c>
      <c r="B4" t="s">
        <v>616</v>
      </c>
    </row>
    <row r="5" spans="1:7" x14ac:dyDescent="0.25">
      <c r="A5" t="s">
        <v>613</v>
      </c>
      <c r="B5" t="s">
        <v>617</v>
      </c>
    </row>
    <row r="6" spans="1:7" x14ac:dyDescent="0.25">
      <c r="A6" t="s">
        <v>614</v>
      </c>
      <c r="B6" t="s">
        <v>617</v>
      </c>
    </row>
    <row r="7" spans="1:7" x14ac:dyDescent="0.25">
      <c r="A7" t="s">
        <v>615</v>
      </c>
      <c r="B7" t="s">
        <v>618</v>
      </c>
    </row>
    <row r="8" spans="1:7" x14ac:dyDescent="0.25">
      <c r="A8" t="s">
        <v>614</v>
      </c>
      <c r="B8" t="s">
        <v>619</v>
      </c>
    </row>
    <row r="14" spans="1:7" x14ac:dyDescent="0.25">
      <c r="G14" t="s">
        <v>622</v>
      </c>
    </row>
    <row r="15" spans="1:7" x14ac:dyDescent="0.25">
      <c r="G15" t="s">
        <v>623</v>
      </c>
    </row>
    <row r="16" spans="1:7" x14ac:dyDescent="0.25">
      <c r="G16" t="s">
        <v>624</v>
      </c>
    </row>
  </sheetData>
  <autoFilter ref="A1:B8" xr:uid="{74EFB9E4-E021-4DE9-9804-80E24094011A}"/>
  <dataValidations count="1">
    <dataValidation type="list" allowBlank="1" showInputMessage="1" showErrorMessage="1" sqref="E14" xr:uid="{0EA3A0FA-0065-425A-A115-C83B0B586FB6}">
      <formula1>$G$14:$G$16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476-2E86-4E90-A293-C7F328318C88}">
  <sheetPr codeName="Sheet31"/>
  <dimension ref="A1:T146"/>
  <sheetViews>
    <sheetView topLeftCell="A15" workbookViewId="0">
      <selection activeCell="A134" sqref="A134"/>
    </sheetView>
  </sheetViews>
  <sheetFormatPr defaultRowHeight="15" x14ac:dyDescent="0.25"/>
  <cols>
    <col min="1" max="1" width="21.42578125" customWidth="1"/>
    <col min="2" max="2" width="27.140625" customWidth="1"/>
    <col min="3" max="3" width="12.5703125" customWidth="1"/>
    <col min="4" max="4" width="15" customWidth="1"/>
    <col min="5" max="8" width="10.42578125" bestFit="1" customWidth="1"/>
    <col min="9" max="9" width="17.5703125" customWidth="1"/>
    <col min="10" max="11" width="10.42578125" bestFit="1" customWidth="1"/>
    <col min="12" max="12" width="15.140625" customWidth="1"/>
    <col min="13" max="13" width="10.42578125" bestFit="1" customWidth="1"/>
    <col min="14" max="14" width="15.140625" customWidth="1"/>
    <col min="15" max="15" width="17.140625" customWidth="1"/>
    <col min="16" max="16" width="11.42578125" bestFit="1" customWidth="1"/>
    <col min="18" max="18" width="18.140625" customWidth="1"/>
  </cols>
  <sheetData>
    <row r="1" spans="1:18" x14ac:dyDescent="0.25">
      <c r="A1" t="s">
        <v>269</v>
      </c>
      <c r="B1">
        <v>60171</v>
      </c>
    </row>
    <row r="2" spans="1:18" x14ac:dyDescent="0.25">
      <c r="A2" t="s">
        <v>270</v>
      </c>
      <c r="B2">
        <v>60176</v>
      </c>
      <c r="C2">
        <v>19.3</v>
      </c>
    </row>
    <row r="3" spans="1:18" x14ac:dyDescent="0.25">
      <c r="A3" t="s">
        <v>271</v>
      </c>
      <c r="B3">
        <v>60175</v>
      </c>
      <c r="C3">
        <v>12</v>
      </c>
    </row>
    <row r="4" spans="1:18" x14ac:dyDescent="0.25">
      <c r="A4" t="s">
        <v>272</v>
      </c>
      <c r="B4">
        <v>60174</v>
      </c>
      <c r="C4">
        <v>5.7</v>
      </c>
    </row>
    <row r="5" spans="1:18" x14ac:dyDescent="0.25">
      <c r="A5" t="s">
        <v>273</v>
      </c>
      <c r="B5">
        <v>60173</v>
      </c>
      <c r="C5">
        <v>26</v>
      </c>
      <c r="P5">
        <v>16</v>
      </c>
    </row>
    <row r="6" spans="1:18" x14ac:dyDescent="0.25">
      <c r="A6" t="s">
        <v>274</v>
      </c>
      <c r="C6">
        <v>5</v>
      </c>
      <c r="O6" t="s">
        <v>275</v>
      </c>
      <c r="P6">
        <v>8</v>
      </c>
      <c r="Q6" t="s">
        <v>276</v>
      </c>
    </row>
    <row r="7" spans="1:18" x14ac:dyDescent="0.25">
      <c r="C7">
        <f>SUM(C2:C6)+15</f>
        <v>83</v>
      </c>
      <c r="O7" t="s">
        <v>277</v>
      </c>
      <c r="P7" t="s">
        <v>278</v>
      </c>
      <c r="Q7">
        <v>125</v>
      </c>
    </row>
    <row r="8" spans="1:18" x14ac:dyDescent="0.25">
      <c r="H8" t="s">
        <v>279</v>
      </c>
      <c r="I8">
        <v>638400</v>
      </c>
      <c r="O8" t="s">
        <v>280</v>
      </c>
    </row>
    <row r="11" spans="1:18" x14ac:dyDescent="0.25">
      <c r="O11" t="s">
        <v>281</v>
      </c>
      <c r="P11" t="s">
        <v>282</v>
      </c>
      <c r="Q11" t="s">
        <v>283</v>
      </c>
    </row>
    <row r="12" spans="1:18" x14ac:dyDescent="0.25">
      <c r="P12" t="s">
        <v>284</v>
      </c>
      <c r="Q12" t="s">
        <v>285</v>
      </c>
    </row>
    <row r="13" spans="1:18" x14ac:dyDescent="0.25">
      <c r="A13" s="175" t="s">
        <v>63</v>
      </c>
      <c r="B13" s="175"/>
      <c r="K13">
        <v>82.834999999999994</v>
      </c>
      <c r="P13" t="s">
        <v>286</v>
      </c>
    </row>
    <row r="14" spans="1:18" x14ac:dyDescent="0.25">
      <c r="A14" s="175" t="s">
        <v>64</v>
      </c>
      <c r="B14" s="175">
        <v>70</v>
      </c>
    </row>
    <row r="15" spans="1:18" x14ac:dyDescent="0.25">
      <c r="A15" s="175" t="s">
        <v>65</v>
      </c>
      <c r="B15" s="175">
        <v>69</v>
      </c>
      <c r="O15" t="s">
        <v>287</v>
      </c>
      <c r="P15" t="s">
        <v>288</v>
      </c>
    </row>
    <row r="16" spans="1:18" x14ac:dyDescent="0.25">
      <c r="A16" s="175" t="s">
        <v>66</v>
      </c>
      <c r="B16" s="175">
        <v>60</v>
      </c>
      <c r="N16">
        <f>76*4</f>
        <v>304</v>
      </c>
      <c r="P16" t="s">
        <v>289</v>
      </c>
      <c r="Q16" t="s">
        <v>290</v>
      </c>
      <c r="R16" t="s">
        <v>291</v>
      </c>
    </row>
    <row r="17" spans="1:20" x14ac:dyDescent="0.25">
      <c r="A17" s="175" t="s">
        <v>67</v>
      </c>
      <c r="B17" s="175">
        <v>30</v>
      </c>
    </row>
    <row r="18" spans="1:20" x14ac:dyDescent="0.25">
      <c r="A18" s="175" t="s">
        <v>69</v>
      </c>
      <c r="B18" s="175">
        <v>14.8</v>
      </c>
      <c r="O18" t="s">
        <v>292</v>
      </c>
      <c r="P18" t="s">
        <v>293</v>
      </c>
      <c r="Q18" t="s">
        <v>294</v>
      </c>
      <c r="R18" t="s">
        <v>295</v>
      </c>
    </row>
    <row r="19" spans="1:20" x14ac:dyDescent="0.25">
      <c r="A19" s="175" t="s">
        <v>70</v>
      </c>
      <c r="B19" s="175"/>
      <c r="P19" t="s">
        <v>296</v>
      </c>
    </row>
    <row r="20" spans="1:20" x14ac:dyDescent="0.25">
      <c r="A20" s="175" t="s">
        <v>71</v>
      </c>
      <c r="B20" s="175">
        <v>13</v>
      </c>
      <c r="P20" t="s">
        <v>297</v>
      </c>
      <c r="Q20" t="s">
        <v>298</v>
      </c>
    </row>
    <row r="21" spans="1:20" x14ac:dyDescent="0.25">
      <c r="A21" s="175" t="s">
        <v>72</v>
      </c>
      <c r="B21" s="175">
        <v>14</v>
      </c>
      <c r="P21" t="s">
        <v>299</v>
      </c>
      <c r="Q21" t="s">
        <v>300</v>
      </c>
    </row>
    <row r="22" spans="1:20" x14ac:dyDescent="0.25">
      <c r="A22" s="175" t="s">
        <v>73</v>
      </c>
      <c r="B22" s="175"/>
    </row>
    <row r="23" spans="1:20" x14ac:dyDescent="0.25">
      <c r="A23" s="175" t="s">
        <v>74</v>
      </c>
      <c r="B23" s="175"/>
    </row>
    <row r="27" spans="1:20" x14ac:dyDescent="0.25">
      <c r="A27" s="175"/>
      <c r="B27" s="175"/>
      <c r="C27" s="176">
        <v>0.9</v>
      </c>
      <c r="D27" s="176">
        <v>0.8</v>
      </c>
      <c r="E27" s="176">
        <v>0.75</v>
      </c>
      <c r="F27" s="176">
        <v>0.75</v>
      </c>
      <c r="G27" s="176">
        <v>0.2</v>
      </c>
    </row>
    <row r="28" spans="1:20" x14ac:dyDescent="0.25">
      <c r="A28" s="175" t="s">
        <v>301</v>
      </c>
      <c r="B28" s="175">
        <v>30</v>
      </c>
      <c r="C28">
        <f>B28*$C$27</f>
        <v>27</v>
      </c>
      <c r="D28">
        <f>B28*$D$27</f>
        <v>24</v>
      </c>
      <c r="E28">
        <f>B28*$E$27</f>
        <v>22.5</v>
      </c>
      <c r="F28">
        <f>$F$27*B28</f>
        <v>22.5</v>
      </c>
      <c r="G28">
        <f>B28*$G$27</f>
        <v>6</v>
      </c>
      <c r="H28">
        <v>22.5</v>
      </c>
      <c r="L28" t="s">
        <v>302</v>
      </c>
      <c r="M28">
        <v>40</v>
      </c>
      <c r="O28" t="s">
        <v>303</v>
      </c>
      <c r="P28">
        <v>60174</v>
      </c>
      <c r="Q28">
        <v>56</v>
      </c>
      <c r="S28" t="s">
        <v>304</v>
      </c>
      <c r="T28">
        <v>60086</v>
      </c>
    </row>
    <row r="29" spans="1:20" x14ac:dyDescent="0.25">
      <c r="A29" s="175" t="s">
        <v>305</v>
      </c>
      <c r="B29" s="175">
        <v>13</v>
      </c>
      <c r="C29">
        <v>13</v>
      </c>
      <c r="D29">
        <v>13</v>
      </c>
      <c r="E29">
        <v>13</v>
      </c>
      <c r="F29">
        <v>13</v>
      </c>
      <c r="G29">
        <v>8</v>
      </c>
      <c r="H29">
        <v>0</v>
      </c>
      <c r="L29" t="s">
        <v>306</v>
      </c>
      <c r="M29">
        <v>5</v>
      </c>
      <c r="O29" t="s">
        <v>307</v>
      </c>
      <c r="P29">
        <v>60173</v>
      </c>
    </row>
    <row r="30" spans="1:20" x14ac:dyDescent="0.25">
      <c r="A30" s="175" t="s">
        <v>308</v>
      </c>
      <c r="B30" s="175">
        <v>25</v>
      </c>
      <c r="C30">
        <f>B30*$C$27</f>
        <v>22.5</v>
      </c>
      <c r="D30">
        <f>B30*$D$27</f>
        <v>20</v>
      </c>
      <c r="E30">
        <f>B30*$E$27</f>
        <v>18.75</v>
      </c>
      <c r="F30">
        <f>$F$27*B30</f>
        <v>18.75</v>
      </c>
      <c r="G30">
        <f>B30*$G$27</f>
        <v>5</v>
      </c>
      <c r="H30">
        <v>14.35</v>
      </c>
      <c r="L30" t="s">
        <v>309</v>
      </c>
      <c r="M30">
        <v>14</v>
      </c>
    </row>
    <row r="31" spans="1:20" x14ac:dyDescent="0.25">
      <c r="A31" s="175" t="s">
        <v>310</v>
      </c>
      <c r="B31" s="175">
        <v>27</v>
      </c>
      <c r="C31">
        <f>B31*$C$27</f>
        <v>24.3</v>
      </c>
      <c r="D31">
        <f>B31*$D$27</f>
        <v>21.6</v>
      </c>
      <c r="E31">
        <f>B31*$E$27</f>
        <v>20.25</v>
      </c>
      <c r="F31">
        <f>$F$27*B31</f>
        <v>20.25</v>
      </c>
      <c r="G31">
        <f>B31*$G$27</f>
        <v>5.4</v>
      </c>
      <c r="H31">
        <v>13.2</v>
      </c>
      <c r="L31" t="s">
        <v>311</v>
      </c>
      <c r="M31">
        <v>10</v>
      </c>
    </row>
    <row r="32" spans="1:20" x14ac:dyDescent="0.25">
      <c r="A32" s="175" t="s">
        <v>312</v>
      </c>
      <c r="B32" s="175">
        <v>12</v>
      </c>
      <c r="C32">
        <f>B32*$C$27</f>
        <v>10.8</v>
      </c>
      <c r="D32">
        <f>B32*$D$27</f>
        <v>9.6000000000000014</v>
      </c>
      <c r="E32">
        <f>B32*$E$27</f>
        <v>9</v>
      </c>
      <c r="F32">
        <f>$F$27*B32</f>
        <v>9</v>
      </c>
      <c r="G32">
        <f>B32*$G$27</f>
        <v>2.4000000000000004</v>
      </c>
      <c r="H32">
        <v>6.5</v>
      </c>
      <c r="L32" t="s">
        <v>313</v>
      </c>
      <c r="M32">
        <v>20</v>
      </c>
    </row>
    <row r="33" spans="1:17" x14ac:dyDescent="0.25">
      <c r="A33" s="175" t="s">
        <v>314</v>
      </c>
      <c r="B33" s="175">
        <v>8.6</v>
      </c>
      <c r="C33">
        <f>B33*$C$27</f>
        <v>7.74</v>
      </c>
      <c r="D33">
        <f>B33*$D$27</f>
        <v>6.88</v>
      </c>
      <c r="E33">
        <f>B33*$E$27</f>
        <v>6.4499999999999993</v>
      </c>
      <c r="F33">
        <f>$F$27*B33</f>
        <v>6.4499999999999993</v>
      </c>
      <c r="G33">
        <f>B33*$G$27</f>
        <v>1.72</v>
      </c>
      <c r="H33">
        <v>7.5</v>
      </c>
      <c r="I33">
        <v>8</v>
      </c>
      <c r="M33">
        <f>SUM(M28:M32)</f>
        <v>89</v>
      </c>
    </row>
    <row r="34" spans="1:17" x14ac:dyDescent="0.25">
      <c r="A34" s="175" t="s">
        <v>315</v>
      </c>
      <c r="B34" s="177">
        <f>SUM(B28:B33)</f>
        <v>115.6</v>
      </c>
      <c r="C34">
        <f>SUM(C28:C33)</f>
        <v>105.33999999999999</v>
      </c>
      <c r="D34">
        <f t="shared" ref="D34:E34" si="0">SUM(D29:D33)</f>
        <v>71.08</v>
      </c>
      <c r="E34">
        <f t="shared" si="0"/>
        <v>67.45</v>
      </c>
      <c r="F34">
        <f>SUM(F29:F33)</f>
        <v>67.45</v>
      </c>
      <c r="G34">
        <f>SUM(G29:G33)</f>
        <v>22.519999999999996</v>
      </c>
      <c r="H34">
        <f>SUM(H28:H33)</f>
        <v>64.05</v>
      </c>
    </row>
    <row r="35" spans="1:17" x14ac:dyDescent="0.25">
      <c r="H35">
        <f>5.4+20.7</f>
        <v>26.1</v>
      </c>
    </row>
    <row r="36" spans="1:17" ht="30" x14ac:dyDescent="0.25">
      <c r="G36" s="178" t="s">
        <v>316</v>
      </c>
      <c r="H36" s="179">
        <f>H34-H35</f>
        <v>37.949999999999996</v>
      </c>
    </row>
    <row r="37" spans="1:17" x14ac:dyDescent="0.25">
      <c r="A37" s="175" t="s">
        <v>317</v>
      </c>
      <c r="B37" s="175"/>
      <c r="G37" t="s">
        <v>238</v>
      </c>
      <c r="H37">
        <v>40</v>
      </c>
    </row>
    <row r="38" spans="1:17" x14ac:dyDescent="0.25">
      <c r="A38" s="175"/>
      <c r="B38" s="175"/>
      <c r="G38" t="s">
        <v>239</v>
      </c>
      <c r="H38">
        <v>15</v>
      </c>
    </row>
    <row r="39" spans="1:17" x14ac:dyDescent="0.25">
      <c r="A39" s="175" t="s">
        <v>318</v>
      </c>
      <c r="B39" s="175">
        <v>11</v>
      </c>
      <c r="G39" t="s">
        <v>240</v>
      </c>
      <c r="H39">
        <v>35</v>
      </c>
    </row>
    <row r="40" spans="1:17" x14ac:dyDescent="0.25">
      <c r="A40" s="175" t="s">
        <v>319</v>
      </c>
      <c r="B40" s="175"/>
      <c r="G40" t="s">
        <v>320</v>
      </c>
      <c r="M40">
        <f>4*76</f>
        <v>304</v>
      </c>
    </row>
    <row r="41" spans="1:17" x14ac:dyDescent="0.25">
      <c r="A41" s="175" t="s">
        <v>321</v>
      </c>
      <c r="B41" s="175">
        <v>9.5</v>
      </c>
      <c r="C41">
        <v>5.5</v>
      </c>
      <c r="G41" t="s">
        <v>322</v>
      </c>
      <c r="K41" s="285" t="s">
        <v>323</v>
      </c>
      <c r="L41" t="s">
        <v>324</v>
      </c>
      <c r="M41">
        <v>1361</v>
      </c>
      <c r="N41" t="s">
        <v>325</v>
      </c>
      <c r="O41">
        <v>350</v>
      </c>
      <c r="P41" t="s">
        <v>326</v>
      </c>
      <c r="Q41">
        <v>456</v>
      </c>
    </row>
    <row r="42" spans="1:17" x14ac:dyDescent="0.25">
      <c r="A42" s="175" t="s">
        <v>327</v>
      </c>
      <c r="B42" s="175">
        <v>2.5</v>
      </c>
      <c r="G42" t="s">
        <v>328</v>
      </c>
      <c r="K42" s="285"/>
      <c r="L42" t="s">
        <v>329</v>
      </c>
      <c r="M42">
        <v>991</v>
      </c>
      <c r="N42" t="s">
        <v>330</v>
      </c>
      <c r="O42">
        <v>300</v>
      </c>
      <c r="P42" t="s">
        <v>331</v>
      </c>
      <c r="Q42">
        <v>65</v>
      </c>
    </row>
    <row r="43" spans="1:17" x14ac:dyDescent="0.25">
      <c r="A43" s="175" t="s">
        <v>332</v>
      </c>
      <c r="B43" s="175">
        <v>7.5</v>
      </c>
      <c r="C43">
        <v>4</v>
      </c>
      <c r="G43" t="s">
        <v>333</v>
      </c>
      <c r="L43" t="s">
        <v>334</v>
      </c>
      <c r="M43">
        <f>M41-M42</f>
        <v>370</v>
      </c>
      <c r="N43" t="s">
        <v>335</v>
      </c>
      <c r="O43">
        <v>50</v>
      </c>
      <c r="P43" t="s">
        <v>336</v>
      </c>
      <c r="Q43">
        <f>Q41-Q42</f>
        <v>391</v>
      </c>
    </row>
    <row r="44" spans="1:17" x14ac:dyDescent="0.25">
      <c r="A44" s="175"/>
      <c r="B44" s="177"/>
      <c r="G44" t="s">
        <v>337</v>
      </c>
    </row>
    <row r="46" spans="1:17" x14ac:dyDescent="0.25">
      <c r="A46" s="175" t="s">
        <v>338</v>
      </c>
      <c r="B46" s="175">
        <v>60084</v>
      </c>
      <c r="L46" t="s">
        <v>336</v>
      </c>
    </row>
    <row r="47" spans="1:17" x14ac:dyDescent="0.25">
      <c r="A47" s="175" t="s">
        <v>339</v>
      </c>
      <c r="B47" s="175">
        <v>17551</v>
      </c>
      <c r="L47" t="s">
        <v>340</v>
      </c>
    </row>
    <row r="48" spans="1:17" x14ac:dyDescent="0.25">
      <c r="A48" s="175" t="s">
        <v>341</v>
      </c>
      <c r="B48" s="180">
        <v>10.5</v>
      </c>
      <c r="L48" t="s">
        <v>342</v>
      </c>
    </row>
    <row r="49" spans="1:9" x14ac:dyDescent="0.25">
      <c r="A49" s="175" t="s">
        <v>343</v>
      </c>
      <c r="B49" s="180">
        <v>9.5</v>
      </c>
      <c r="C49">
        <v>9.5</v>
      </c>
    </row>
    <row r="50" spans="1:9" x14ac:dyDescent="0.25">
      <c r="A50" s="175"/>
      <c r="B50" s="180"/>
    </row>
    <row r="51" spans="1:9" x14ac:dyDescent="0.25">
      <c r="A51" s="175" t="s">
        <v>344</v>
      </c>
      <c r="B51" s="175">
        <v>2</v>
      </c>
    </row>
    <row r="52" spans="1:9" x14ac:dyDescent="0.25">
      <c r="A52" s="175"/>
      <c r="B52" s="181"/>
    </row>
    <row r="54" spans="1:9" x14ac:dyDescent="0.25">
      <c r="A54" s="175" t="s">
        <v>345</v>
      </c>
      <c r="B54" s="175">
        <v>60092</v>
      </c>
    </row>
    <row r="55" spans="1:9" x14ac:dyDescent="0.25">
      <c r="A55" s="175" t="s">
        <v>346</v>
      </c>
      <c r="B55" s="175"/>
    </row>
    <row r="56" spans="1:9" x14ac:dyDescent="0.25">
      <c r="A56" s="182" t="s">
        <v>347</v>
      </c>
      <c r="B56" s="175"/>
    </row>
    <row r="57" spans="1:9" x14ac:dyDescent="0.25">
      <c r="A57" s="175" t="s">
        <v>348</v>
      </c>
      <c r="B57" s="175">
        <v>60091</v>
      </c>
    </row>
    <row r="58" spans="1:9" x14ac:dyDescent="0.25">
      <c r="A58" s="175" t="s">
        <v>349</v>
      </c>
      <c r="B58" s="175">
        <v>60086</v>
      </c>
    </row>
    <row r="59" spans="1:9" x14ac:dyDescent="0.25">
      <c r="A59" s="175" t="s">
        <v>350</v>
      </c>
      <c r="B59" s="175"/>
    </row>
    <row r="60" spans="1:9" x14ac:dyDescent="0.25">
      <c r="A60" s="175" t="s">
        <v>351</v>
      </c>
      <c r="B60" s="175"/>
    </row>
    <row r="61" spans="1:9" x14ac:dyDescent="0.25">
      <c r="A61" s="175" t="s">
        <v>352</v>
      </c>
      <c r="B61" s="175">
        <v>17</v>
      </c>
    </row>
    <row r="62" spans="1:9" x14ac:dyDescent="0.25">
      <c r="A62" s="175" t="s">
        <v>353</v>
      </c>
      <c r="B62" s="175">
        <v>4</v>
      </c>
      <c r="I62">
        <v>121</v>
      </c>
    </row>
    <row r="63" spans="1:9" x14ac:dyDescent="0.25">
      <c r="A63" s="175" t="s">
        <v>354</v>
      </c>
      <c r="B63" s="175">
        <v>2.4</v>
      </c>
      <c r="I63">
        <v>10.5</v>
      </c>
    </row>
    <row r="64" spans="1:9" x14ac:dyDescent="0.25">
      <c r="A64" s="175"/>
      <c r="B64" s="171" t="s">
        <v>355</v>
      </c>
      <c r="I64">
        <v>84</v>
      </c>
    </row>
    <row r="65" spans="1:9" x14ac:dyDescent="0.25">
      <c r="A65" s="175"/>
      <c r="B65" s="171"/>
      <c r="I65">
        <v>14</v>
      </c>
    </row>
    <row r="66" spans="1:9" x14ac:dyDescent="0.25">
      <c r="A66" s="175" t="s">
        <v>356</v>
      </c>
      <c r="B66" s="171">
        <v>60093</v>
      </c>
      <c r="I66">
        <v>12</v>
      </c>
    </row>
    <row r="67" spans="1:9" x14ac:dyDescent="0.25">
      <c r="A67" s="175" t="s">
        <v>357</v>
      </c>
      <c r="B67" s="171">
        <v>60087</v>
      </c>
      <c r="H67" t="s">
        <v>358</v>
      </c>
      <c r="I67">
        <v>3.1</v>
      </c>
    </row>
    <row r="68" spans="1:9" x14ac:dyDescent="0.25">
      <c r="B68" s="183"/>
    </row>
    <row r="69" spans="1:9" x14ac:dyDescent="0.25">
      <c r="A69" t="s">
        <v>569</v>
      </c>
      <c r="B69" s="183" t="s">
        <v>577</v>
      </c>
    </row>
    <row r="70" spans="1:9" x14ac:dyDescent="0.25">
      <c r="B70" s="183"/>
    </row>
    <row r="71" spans="1:9" x14ac:dyDescent="0.25">
      <c r="B71" s="183"/>
    </row>
    <row r="72" spans="1:9" x14ac:dyDescent="0.25">
      <c r="B72" s="183"/>
    </row>
    <row r="73" spans="1:9" x14ac:dyDescent="0.25">
      <c r="B73" s="183"/>
    </row>
    <row r="74" spans="1:9" x14ac:dyDescent="0.25">
      <c r="B74" s="183"/>
    </row>
    <row r="75" spans="1:9" x14ac:dyDescent="0.25">
      <c r="B75" s="183"/>
    </row>
    <row r="76" spans="1:9" x14ac:dyDescent="0.25">
      <c r="B76" s="183"/>
      <c r="I76">
        <f>SUM(I62:I66)-I67</f>
        <v>238.4</v>
      </c>
    </row>
    <row r="77" spans="1:9" ht="15.75" thickBot="1" x14ac:dyDescent="0.3">
      <c r="A77" t="s">
        <v>292</v>
      </c>
      <c r="B77" s="183" t="s">
        <v>359</v>
      </c>
    </row>
    <row r="78" spans="1:9" x14ac:dyDescent="0.25">
      <c r="A78" t="s">
        <v>287</v>
      </c>
      <c r="B78" t="s">
        <v>360</v>
      </c>
      <c r="C78" t="s">
        <v>361</v>
      </c>
      <c r="I78" s="100" t="s">
        <v>118</v>
      </c>
    </row>
    <row r="79" spans="1:9" x14ac:dyDescent="0.25">
      <c r="A79" t="s">
        <v>281</v>
      </c>
      <c r="B79" t="s">
        <v>362</v>
      </c>
      <c r="C79" t="s">
        <v>363</v>
      </c>
      <c r="D79" t="s">
        <v>364</v>
      </c>
      <c r="E79" t="s">
        <v>365</v>
      </c>
      <c r="I79" s="103" t="s">
        <v>119</v>
      </c>
    </row>
    <row r="80" spans="1:9" x14ac:dyDescent="0.25">
      <c r="I80" s="103" t="s">
        <v>120</v>
      </c>
    </row>
    <row r="81" spans="1:9" x14ac:dyDescent="0.25">
      <c r="A81" t="s">
        <v>626</v>
      </c>
      <c r="B81" t="s">
        <v>627</v>
      </c>
      <c r="I81" s="103"/>
    </row>
    <row r="82" spans="1:9" x14ac:dyDescent="0.25">
      <c r="I82" s="103"/>
    </row>
    <row r="83" spans="1:9" x14ac:dyDescent="0.25">
      <c r="I83" s="103"/>
    </row>
    <row r="84" spans="1:9" x14ac:dyDescent="0.25">
      <c r="A84" t="s">
        <v>366</v>
      </c>
      <c r="B84" t="s">
        <v>381</v>
      </c>
      <c r="C84" t="s">
        <v>382</v>
      </c>
      <c r="D84" t="s">
        <v>383</v>
      </c>
      <c r="I84" s="103" t="s">
        <v>121</v>
      </c>
    </row>
    <row r="85" spans="1:9" x14ac:dyDescent="0.25">
      <c r="B85" t="s">
        <v>585</v>
      </c>
      <c r="I85" s="116" t="s">
        <v>122</v>
      </c>
    </row>
    <row r="86" spans="1:9" x14ac:dyDescent="0.25">
      <c r="A86" t="s">
        <v>391</v>
      </c>
    </row>
    <row r="88" spans="1:9" x14ac:dyDescent="0.25">
      <c r="A88" t="s">
        <v>583</v>
      </c>
      <c r="B88" t="s">
        <v>421</v>
      </c>
    </row>
    <row r="89" spans="1:9" x14ac:dyDescent="0.25">
      <c r="B89" t="s">
        <v>651</v>
      </c>
    </row>
    <row r="91" spans="1:9" x14ac:dyDescent="0.25">
      <c r="A91" t="s">
        <v>584</v>
      </c>
      <c r="B91" t="s">
        <v>389</v>
      </c>
      <c r="C91" t="s">
        <v>390</v>
      </c>
    </row>
    <row r="96" spans="1:9" x14ac:dyDescent="0.25">
      <c r="B96" t="s">
        <v>367</v>
      </c>
    </row>
    <row r="97" spans="1:12" x14ac:dyDescent="0.25">
      <c r="A97" s="184">
        <v>0.7368055555555556</v>
      </c>
    </row>
    <row r="100" spans="1:12" x14ac:dyDescent="0.25">
      <c r="L100">
        <v>22</v>
      </c>
    </row>
    <row r="101" spans="1:12" x14ac:dyDescent="0.25">
      <c r="A101" t="s">
        <v>368</v>
      </c>
      <c r="B101" t="s">
        <v>369</v>
      </c>
      <c r="C101">
        <v>29</v>
      </c>
      <c r="D101">
        <v>10</v>
      </c>
      <c r="L101">
        <v>5</v>
      </c>
    </row>
    <row r="102" spans="1:12" x14ac:dyDescent="0.25">
      <c r="B102" t="s">
        <v>370</v>
      </c>
      <c r="C102">
        <v>25.8</v>
      </c>
      <c r="D102">
        <v>8.5</v>
      </c>
      <c r="L102">
        <v>10</v>
      </c>
    </row>
    <row r="103" spans="1:12" x14ac:dyDescent="0.25">
      <c r="B103" t="s">
        <v>371</v>
      </c>
      <c r="C103">
        <v>12.6</v>
      </c>
      <c r="D103">
        <v>4.4000000000000004</v>
      </c>
      <c r="L103">
        <v>8</v>
      </c>
    </row>
    <row r="104" spans="1:12" x14ac:dyDescent="0.25">
      <c r="B104" t="s">
        <v>372</v>
      </c>
      <c r="C104">
        <v>6.2</v>
      </c>
      <c r="D104">
        <v>3.5</v>
      </c>
      <c r="L104">
        <v>10</v>
      </c>
    </row>
    <row r="105" spans="1:12" x14ac:dyDescent="0.25">
      <c r="B105" t="s">
        <v>373</v>
      </c>
      <c r="C105">
        <v>7.6</v>
      </c>
      <c r="D105">
        <v>2.5</v>
      </c>
      <c r="L105">
        <v>20</v>
      </c>
    </row>
    <row r="106" spans="1:12" x14ac:dyDescent="0.25">
      <c r="B106" t="s">
        <v>374</v>
      </c>
      <c r="C106">
        <v>4</v>
      </c>
      <c r="D106">
        <v>1</v>
      </c>
      <c r="L106">
        <v>15</v>
      </c>
    </row>
    <row r="107" spans="1:12" x14ac:dyDescent="0.25">
      <c r="B107" t="s">
        <v>375</v>
      </c>
      <c r="C107">
        <v>8</v>
      </c>
      <c r="D107">
        <v>0</v>
      </c>
      <c r="L107">
        <f>SUM(L100:L106)</f>
        <v>90</v>
      </c>
    </row>
    <row r="108" spans="1:12" x14ac:dyDescent="0.25">
      <c r="B108" t="s">
        <v>376</v>
      </c>
      <c r="C108">
        <v>9.5</v>
      </c>
      <c r="D108">
        <v>5.75</v>
      </c>
    </row>
    <row r="109" spans="1:12" x14ac:dyDescent="0.25">
      <c r="C109">
        <f>SUM(C101:C108)</f>
        <v>102.69999999999999</v>
      </c>
    </row>
    <row r="110" spans="1:12" x14ac:dyDescent="0.25">
      <c r="A110" t="s">
        <v>378</v>
      </c>
      <c r="B110" t="s">
        <v>652</v>
      </c>
      <c r="C110" t="s">
        <v>380</v>
      </c>
      <c r="D110" t="s">
        <v>653</v>
      </c>
    </row>
    <row r="111" spans="1:12" x14ac:dyDescent="0.25">
      <c r="B111" t="s">
        <v>379</v>
      </c>
      <c r="C111" t="s">
        <v>380</v>
      </c>
    </row>
    <row r="113" spans="1:5" x14ac:dyDescent="0.25">
      <c r="A113" t="s">
        <v>385</v>
      </c>
      <c r="B113" t="s">
        <v>386</v>
      </c>
    </row>
    <row r="114" spans="1:5" x14ac:dyDescent="0.25">
      <c r="B114" t="s">
        <v>387</v>
      </c>
    </row>
    <row r="115" spans="1:5" x14ac:dyDescent="0.25">
      <c r="B115" t="s">
        <v>388</v>
      </c>
    </row>
    <row r="117" spans="1:5" x14ac:dyDescent="0.25">
      <c r="A117" t="s">
        <v>392</v>
      </c>
      <c r="B117" t="s">
        <v>393</v>
      </c>
    </row>
    <row r="127" spans="1:5" x14ac:dyDescent="0.25">
      <c r="A127" t="s">
        <v>395</v>
      </c>
      <c r="B127">
        <v>40.9</v>
      </c>
      <c r="C127">
        <v>40.700000000000003</v>
      </c>
      <c r="D127">
        <v>50.9</v>
      </c>
      <c r="E127">
        <f>D127-C127</f>
        <v>10.199999999999996</v>
      </c>
    </row>
    <row r="128" spans="1:5" x14ac:dyDescent="0.25">
      <c r="A128" t="s">
        <v>366</v>
      </c>
      <c r="B128">
        <v>8.3000000000000007</v>
      </c>
      <c r="C128">
        <v>8.3000000000000007</v>
      </c>
      <c r="E128">
        <f t="shared" ref="E128:E138" si="1">D128-C128</f>
        <v>-8.3000000000000007</v>
      </c>
    </row>
    <row r="129" spans="1:11" x14ac:dyDescent="0.25">
      <c r="A129" t="s">
        <v>292</v>
      </c>
      <c r="B129">
        <v>12.2</v>
      </c>
      <c r="C129">
        <v>11.2</v>
      </c>
      <c r="D129">
        <v>18.5</v>
      </c>
      <c r="E129">
        <f t="shared" si="1"/>
        <v>7.3000000000000007</v>
      </c>
    </row>
    <row r="130" spans="1:11" x14ac:dyDescent="0.25">
      <c r="A130" t="s">
        <v>287</v>
      </c>
      <c r="B130">
        <v>50.3</v>
      </c>
      <c r="C130">
        <v>49.9</v>
      </c>
      <c r="D130">
        <v>54.2</v>
      </c>
      <c r="E130">
        <f t="shared" si="1"/>
        <v>4.3000000000000043</v>
      </c>
    </row>
    <row r="131" spans="1:11" x14ac:dyDescent="0.25">
      <c r="A131" t="s">
        <v>396</v>
      </c>
      <c r="B131">
        <v>41.2</v>
      </c>
      <c r="C131">
        <v>38.299999999999997</v>
      </c>
      <c r="D131">
        <v>52.6</v>
      </c>
      <c r="E131">
        <f t="shared" si="1"/>
        <v>14.300000000000004</v>
      </c>
      <c r="K131">
        <v>36.700000000000003</v>
      </c>
    </row>
    <row r="132" spans="1:11" x14ac:dyDescent="0.25">
      <c r="A132" t="s">
        <v>576</v>
      </c>
      <c r="B132">
        <v>9.6</v>
      </c>
      <c r="C132">
        <v>9.3000000000000007</v>
      </c>
      <c r="D132">
        <v>11.1</v>
      </c>
      <c r="E132">
        <f t="shared" si="1"/>
        <v>1.7999999999999989</v>
      </c>
    </row>
    <row r="133" spans="1:11" x14ac:dyDescent="0.25">
      <c r="A133" t="s">
        <v>398</v>
      </c>
      <c r="B133">
        <v>3</v>
      </c>
      <c r="C133">
        <v>1.3</v>
      </c>
      <c r="D133">
        <v>27.7</v>
      </c>
      <c r="E133">
        <f t="shared" si="1"/>
        <v>26.4</v>
      </c>
      <c r="K133">
        <v>30.2</v>
      </c>
    </row>
    <row r="134" spans="1:11" x14ac:dyDescent="0.25">
      <c r="A134" t="s">
        <v>397</v>
      </c>
      <c r="B134">
        <v>20.2</v>
      </c>
      <c r="C134">
        <v>16.899999999999999</v>
      </c>
      <c r="D134">
        <v>16.899999999999999</v>
      </c>
      <c r="E134">
        <f t="shared" si="1"/>
        <v>0</v>
      </c>
      <c r="K134">
        <v>31.9</v>
      </c>
    </row>
    <row r="135" spans="1:11" x14ac:dyDescent="0.25">
      <c r="A135" t="s">
        <v>399</v>
      </c>
      <c r="B135">
        <v>8.4</v>
      </c>
      <c r="C135">
        <v>0</v>
      </c>
      <c r="D135">
        <v>25.9</v>
      </c>
      <c r="E135">
        <f t="shared" si="1"/>
        <v>25.9</v>
      </c>
      <c r="K135">
        <v>19.2</v>
      </c>
    </row>
    <row r="136" spans="1:11" x14ac:dyDescent="0.25">
      <c r="A136" t="s">
        <v>575</v>
      </c>
      <c r="B136">
        <v>21.9</v>
      </c>
      <c r="C136">
        <v>0</v>
      </c>
      <c r="D136">
        <v>22.5</v>
      </c>
      <c r="E136">
        <f t="shared" si="1"/>
        <v>22.5</v>
      </c>
      <c r="K136">
        <v>4.2</v>
      </c>
    </row>
    <row r="137" spans="1:11" x14ac:dyDescent="0.25">
      <c r="A137" t="s">
        <v>452</v>
      </c>
      <c r="B137">
        <v>31.6</v>
      </c>
      <c r="C137">
        <v>31.5</v>
      </c>
      <c r="D137">
        <v>31.5</v>
      </c>
      <c r="E137">
        <f t="shared" si="1"/>
        <v>0</v>
      </c>
      <c r="K137">
        <v>2.7</v>
      </c>
    </row>
    <row r="138" spans="1:11" x14ac:dyDescent="0.25">
      <c r="A138" t="s">
        <v>471</v>
      </c>
      <c r="B138">
        <v>106.3</v>
      </c>
      <c r="C138">
        <v>62</v>
      </c>
      <c r="D138">
        <v>132</v>
      </c>
      <c r="E138">
        <f t="shared" si="1"/>
        <v>70</v>
      </c>
      <c r="K138">
        <v>3.7</v>
      </c>
    </row>
    <row r="139" spans="1:11" x14ac:dyDescent="0.25">
      <c r="E139">
        <f>SUM(E127:E138)</f>
        <v>174.4</v>
      </c>
      <c r="K139">
        <f>SUM(K131:K138)</f>
        <v>128.60000000000002</v>
      </c>
    </row>
    <row r="145" spans="1:4" x14ac:dyDescent="0.25">
      <c r="A145" t="s">
        <v>578</v>
      </c>
    </row>
    <row r="146" spans="1:4" x14ac:dyDescent="0.25">
      <c r="A146" t="s">
        <v>579</v>
      </c>
      <c r="B146" t="s">
        <v>580</v>
      </c>
      <c r="C146" t="s">
        <v>286</v>
      </c>
      <c r="D146" t="s">
        <v>581</v>
      </c>
    </row>
  </sheetData>
  <mergeCells count="1">
    <mergeCell ref="K41:K42"/>
  </mergeCells>
  <conditionalFormatting sqref="I78:I85">
    <cfRule type="expression" dxfId="4" priority="1">
      <formula>$AH78=0</formula>
    </cfRule>
  </conditionalFormatting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AD5D-7B28-465D-8DB2-99809CADE253}">
  <sheetPr codeName="Sheet23">
    <pageSetUpPr fitToPage="1"/>
  </sheetPr>
  <dimension ref="A2:J146"/>
  <sheetViews>
    <sheetView topLeftCell="A67" zoomScale="85" zoomScaleNormal="85" workbookViewId="0">
      <selection activeCell="E47" sqref="E47"/>
    </sheetView>
  </sheetViews>
  <sheetFormatPr defaultRowHeight="15" x14ac:dyDescent="0.25"/>
  <cols>
    <col min="1" max="1" width="8.85546875" customWidth="1"/>
    <col min="2" max="2" width="29.42578125" customWidth="1"/>
    <col min="3" max="3" width="17.85546875" bestFit="1" customWidth="1"/>
    <col min="4" max="4" width="20.28515625" customWidth="1"/>
    <col min="5" max="5" width="20.140625" customWidth="1"/>
    <col min="6" max="6" width="23.42578125" customWidth="1"/>
    <col min="7" max="7" width="12.7109375" bestFit="1" customWidth="1"/>
    <col min="8" max="8" width="12.140625" hidden="1" customWidth="1"/>
    <col min="9" max="9" width="10.42578125" hidden="1" customWidth="1"/>
    <col min="12" max="12" width="15" bestFit="1" customWidth="1"/>
  </cols>
  <sheetData>
    <row r="2" spans="1:9" ht="18.75" customHeight="1" x14ac:dyDescent="0.25">
      <c r="A2" s="286" t="s">
        <v>400</v>
      </c>
      <c r="B2" s="286"/>
      <c r="C2" s="286"/>
      <c r="D2" s="286"/>
      <c r="E2" s="286"/>
      <c r="F2" s="193"/>
    </row>
    <row r="3" spans="1:9" ht="18.75" x14ac:dyDescent="0.25">
      <c r="A3" s="192"/>
      <c r="B3" s="194"/>
      <c r="C3" s="192"/>
      <c r="D3" s="192"/>
      <c r="E3" s="192"/>
    </row>
    <row r="4" spans="1:9" x14ac:dyDescent="0.25">
      <c r="B4" s="195"/>
      <c r="C4" s="196"/>
      <c r="D4" s="196"/>
      <c r="E4" s="197"/>
    </row>
    <row r="5" spans="1:9" ht="15.75" x14ac:dyDescent="0.25">
      <c r="A5" s="198" t="s">
        <v>401</v>
      </c>
      <c r="B5" s="198" t="s">
        <v>402</v>
      </c>
      <c r="C5" s="199"/>
      <c r="D5" s="199"/>
      <c r="E5" s="200"/>
    </row>
    <row r="6" spans="1:9" x14ac:dyDescent="0.25">
      <c r="A6" s="201" t="s">
        <v>403</v>
      </c>
      <c r="B6" s="171" t="s">
        <v>404</v>
      </c>
      <c r="C6" s="201" t="s">
        <v>405</v>
      </c>
      <c r="D6" s="201" t="s">
        <v>406</v>
      </c>
      <c r="E6" s="201" t="s">
        <v>407</v>
      </c>
      <c r="H6" s="202" t="s">
        <v>408</v>
      </c>
    </row>
    <row r="7" spans="1:9" x14ac:dyDescent="0.25">
      <c r="A7" s="171">
        <v>1</v>
      </c>
      <c r="B7" s="175" t="s">
        <v>409</v>
      </c>
      <c r="C7" s="171">
        <v>66</v>
      </c>
      <c r="D7" s="287" t="s">
        <v>410</v>
      </c>
      <c r="E7" s="203">
        <v>6.8</v>
      </c>
      <c r="H7" t="s">
        <v>411</v>
      </c>
      <c r="I7" t="e">
        <f>SUM(E12+E17)+#REF!</f>
        <v>#REF!</v>
      </c>
    </row>
    <row r="8" spans="1:9" x14ac:dyDescent="0.25">
      <c r="A8" s="171">
        <v>2</v>
      </c>
      <c r="B8" s="175" t="s">
        <v>412</v>
      </c>
      <c r="C8" s="171">
        <v>66</v>
      </c>
      <c r="D8" s="288"/>
      <c r="E8" s="203">
        <v>7.7349999999999994</v>
      </c>
      <c r="H8" t="s">
        <v>413</v>
      </c>
      <c r="I8">
        <f>E25+E16+E15+E14+E13+E11+E10+E9+E8+E7</f>
        <v>114.3335</v>
      </c>
    </row>
    <row r="9" spans="1:9" x14ac:dyDescent="0.25">
      <c r="A9" s="171">
        <v>3</v>
      </c>
      <c r="B9" s="175" t="s">
        <v>414</v>
      </c>
      <c r="C9" s="171">
        <v>66</v>
      </c>
      <c r="D9" s="289"/>
      <c r="E9" s="203">
        <v>34</v>
      </c>
      <c r="H9" t="s">
        <v>415</v>
      </c>
      <c r="I9">
        <f>E26</f>
        <v>0.34</v>
      </c>
    </row>
    <row r="10" spans="1:9" x14ac:dyDescent="0.25">
      <c r="A10" s="171">
        <v>4</v>
      </c>
      <c r="B10" s="175" t="s">
        <v>416</v>
      </c>
      <c r="C10" s="171">
        <v>66</v>
      </c>
      <c r="D10" s="290" t="s">
        <v>417</v>
      </c>
      <c r="E10" s="204">
        <v>14.025</v>
      </c>
      <c r="H10" t="s">
        <v>418</v>
      </c>
      <c r="I10">
        <f>E18+E24</f>
        <v>7.5990000000000002</v>
      </c>
    </row>
    <row r="11" spans="1:9" x14ac:dyDescent="0.25">
      <c r="A11" s="171">
        <v>5</v>
      </c>
      <c r="B11" s="175" t="s">
        <v>419</v>
      </c>
      <c r="C11" s="171">
        <v>66</v>
      </c>
      <c r="D11" s="291"/>
      <c r="E11" s="203">
        <v>2.5499999999999998</v>
      </c>
      <c r="I11" s="179" t="e">
        <f>I7+I8+I9+I10</f>
        <v>#REF!</v>
      </c>
    </row>
    <row r="12" spans="1:9" x14ac:dyDescent="0.25">
      <c r="A12" s="171">
        <v>6</v>
      </c>
      <c r="B12" s="175" t="s">
        <v>420</v>
      </c>
      <c r="C12" s="171">
        <v>66</v>
      </c>
      <c r="D12" s="291"/>
      <c r="E12" s="203">
        <v>1.02</v>
      </c>
    </row>
    <row r="13" spans="1:9" x14ac:dyDescent="0.25">
      <c r="A13" s="171">
        <v>7</v>
      </c>
      <c r="B13" s="175" t="s">
        <v>421</v>
      </c>
      <c r="C13" s="171">
        <v>66</v>
      </c>
      <c r="D13" s="291"/>
      <c r="E13" s="203">
        <v>27.2</v>
      </c>
    </row>
    <row r="14" spans="1:9" x14ac:dyDescent="0.25">
      <c r="A14" s="171">
        <v>8</v>
      </c>
      <c r="B14" s="175" t="s">
        <v>422</v>
      </c>
      <c r="C14" s="171">
        <v>66</v>
      </c>
      <c r="D14" s="291"/>
      <c r="E14" s="203">
        <v>11.049999999999999</v>
      </c>
      <c r="I14">
        <f>I8*0.7</f>
        <v>80.033450000000002</v>
      </c>
    </row>
    <row r="15" spans="1:9" x14ac:dyDescent="0.25">
      <c r="A15" s="171">
        <v>9</v>
      </c>
      <c r="B15" s="175" t="s">
        <v>423</v>
      </c>
      <c r="C15" s="171">
        <v>66</v>
      </c>
      <c r="D15" s="291"/>
      <c r="E15" s="203">
        <v>2.5499999999999998</v>
      </c>
    </row>
    <row r="16" spans="1:9" x14ac:dyDescent="0.25">
      <c r="A16" s="171">
        <v>10</v>
      </c>
      <c r="B16" s="175" t="s">
        <v>424</v>
      </c>
      <c r="C16" s="171">
        <v>66</v>
      </c>
      <c r="D16" s="291"/>
      <c r="E16" s="203">
        <v>5.5249999999999995</v>
      </c>
      <c r="H16">
        <f>20+50+50+15+20+5+8+25</f>
        <v>193</v>
      </c>
    </row>
    <row r="17" spans="1:8" x14ac:dyDescent="0.25">
      <c r="A17" s="171">
        <v>11</v>
      </c>
      <c r="B17" s="175" t="s">
        <v>425</v>
      </c>
      <c r="C17" s="171">
        <v>66</v>
      </c>
      <c r="D17" s="291"/>
      <c r="E17" s="203">
        <v>21.25</v>
      </c>
      <c r="H17">
        <f>55+12</f>
        <v>67</v>
      </c>
    </row>
    <row r="18" spans="1:8" x14ac:dyDescent="0.25">
      <c r="A18" s="171">
        <v>12</v>
      </c>
      <c r="B18" s="175" t="s">
        <v>426</v>
      </c>
      <c r="C18" s="171">
        <v>66</v>
      </c>
      <c r="D18" s="292"/>
      <c r="E18" s="203">
        <v>3.3149999999999999</v>
      </c>
    </row>
    <row r="19" spans="1:8" x14ac:dyDescent="0.25">
      <c r="A19" s="171">
        <v>13</v>
      </c>
      <c r="B19" s="175" t="s">
        <v>427</v>
      </c>
      <c r="C19" s="171">
        <v>66</v>
      </c>
      <c r="D19" s="293" t="s">
        <v>417</v>
      </c>
      <c r="E19" s="203">
        <v>22.524999999999999</v>
      </c>
    </row>
    <row r="20" spans="1:8" x14ac:dyDescent="0.25">
      <c r="A20" s="171">
        <v>14</v>
      </c>
      <c r="B20" s="175" t="s">
        <v>428</v>
      </c>
      <c r="C20" s="171">
        <v>66</v>
      </c>
      <c r="D20" s="294"/>
      <c r="E20" s="204">
        <v>1.7</v>
      </c>
    </row>
    <row r="21" spans="1:8" x14ac:dyDescent="0.25">
      <c r="A21" s="171">
        <v>15</v>
      </c>
      <c r="B21" s="175" t="s">
        <v>429</v>
      </c>
      <c r="C21" s="171">
        <v>33</v>
      </c>
      <c r="D21" s="293" t="s">
        <v>430</v>
      </c>
      <c r="E21" s="204">
        <v>12.75</v>
      </c>
    </row>
    <row r="22" spans="1:8" x14ac:dyDescent="0.25">
      <c r="A22" s="171">
        <v>16</v>
      </c>
      <c r="B22" s="175" t="s">
        <v>431</v>
      </c>
      <c r="C22" s="171">
        <v>33</v>
      </c>
      <c r="D22" s="294"/>
      <c r="E22" s="203">
        <v>12.75</v>
      </c>
    </row>
    <row r="23" spans="1:8" x14ac:dyDescent="0.25">
      <c r="A23" s="171">
        <v>17</v>
      </c>
      <c r="B23" s="175" t="s">
        <v>432</v>
      </c>
      <c r="C23" s="171">
        <v>11</v>
      </c>
      <c r="D23" s="171" t="s">
        <v>410</v>
      </c>
      <c r="E23" s="203">
        <v>1.53</v>
      </c>
    </row>
    <row r="24" spans="1:8" x14ac:dyDescent="0.25">
      <c r="A24" s="171">
        <v>18</v>
      </c>
      <c r="B24" s="175" t="s">
        <v>433</v>
      </c>
      <c r="C24" s="171">
        <v>11</v>
      </c>
      <c r="D24" s="171" t="s">
        <v>430</v>
      </c>
      <c r="E24" s="203">
        <v>4.2839999999999998</v>
      </c>
    </row>
    <row r="25" spans="1:8" x14ac:dyDescent="0.25">
      <c r="A25" s="171">
        <v>19</v>
      </c>
      <c r="B25" s="175" t="s">
        <v>434</v>
      </c>
      <c r="C25" s="171">
        <v>11</v>
      </c>
      <c r="D25" s="171" t="s">
        <v>430</v>
      </c>
      <c r="E25" s="203">
        <v>2.8984999999999999</v>
      </c>
    </row>
    <row r="26" spans="1:8" x14ac:dyDescent="0.25">
      <c r="A26" s="171">
        <v>20</v>
      </c>
      <c r="B26" s="175" t="s">
        <v>435</v>
      </c>
      <c r="C26" s="171">
        <v>11</v>
      </c>
      <c r="D26" s="205" t="s">
        <v>436</v>
      </c>
      <c r="E26" s="203">
        <v>0.34</v>
      </c>
    </row>
    <row r="27" spans="1:8" x14ac:dyDescent="0.25">
      <c r="A27" s="171">
        <v>21</v>
      </c>
      <c r="B27" s="175" t="s">
        <v>437</v>
      </c>
      <c r="C27" s="171">
        <v>11</v>
      </c>
      <c r="D27" s="206" t="s">
        <v>438</v>
      </c>
      <c r="E27" s="203">
        <v>2.6520000000000001</v>
      </c>
    </row>
    <row r="28" spans="1:8" x14ac:dyDescent="0.25">
      <c r="A28" s="171">
        <v>22</v>
      </c>
      <c r="B28" s="175" t="s">
        <v>439</v>
      </c>
      <c r="C28" s="171">
        <v>11</v>
      </c>
      <c r="D28" s="206" t="s">
        <v>438</v>
      </c>
      <c r="E28" s="203">
        <v>3.7654999999999998</v>
      </c>
    </row>
    <row r="29" spans="1:8" x14ac:dyDescent="0.25">
      <c r="A29" s="171">
        <v>23</v>
      </c>
      <c r="B29" s="175" t="s">
        <v>440</v>
      </c>
      <c r="C29" s="171">
        <v>11</v>
      </c>
      <c r="D29" s="206" t="s">
        <v>441</v>
      </c>
      <c r="E29" s="203">
        <v>4.8875000000000002</v>
      </c>
    </row>
    <row r="30" spans="1:8" x14ac:dyDescent="0.25">
      <c r="A30" s="171">
        <v>24</v>
      </c>
      <c r="B30" s="175" t="s">
        <v>442</v>
      </c>
      <c r="C30" s="171">
        <v>11</v>
      </c>
      <c r="D30" s="171" t="s">
        <v>443</v>
      </c>
      <c r="E30" s="203">
        <v>2.9750000000000001</v>
      </c>
    </row>
    <row r="31" spans="1:8" x14ac:dyDescent="0.25">
      <c r="A31" s="171">
        <v>25</v>
      </c>
      <c r="B31" s="175" t="s">
        <v>444</v>
      </c>
      <c r="C31" s="171">
        <v>11</v>
      </c>
      <c r="D31" s="171" t="s">
        <v>445</v>
      </c>
      <c r="E31" s="203">
        <v>0.11305</v>
      </c>
    </row>
    <row r="32" spans="1:8" x14ac:dyDescent="0.25">
      <c r="A32" s="171">
        <v>26</v>
      </c>
      <c r="B32" s="175" t="s">
        <v>446</v>
      </c>
      <c r="C32" s="171">
        <v>11</v>
      </c>
      <c r="D32" s="171" t="s">
        <v>445</v>
      </c>
      <c r="E32" s="203">
        <v>0.27200000000000002</v>
      </c>
    </row>
    <row r="33" spans="1:6" x14ac:dyDescent="0.25">
      <c r="A33" s="171">
        <v>27</v>
      </c>
      <c r="B33" s="175" t="s">
        <v>447</v>
      </c>
      <c r="C33" s="171">
        <v>11</v>
      </c>
      <c r="D33" s="171" t="s">
        <v>417</v>
      </c>
      <c r="E33" s="203">
        <v>2.669</v>
      </c>
    </row>
    <row r="34" spans="1:6" x14ac:dyDescent="0.25">
      <c r="A34" s="171">
        <v>28</v>
      </c>
      <c r="B34" s="175" t="s">
        <v>448</v>
      </c>
      <c r="C34" s="171">
        <v>11</v>
      </c>
      <c r="D34" s="171" t="s">
        <v>417</v>
      </c>
      <c r="E34" s="203">
        <v>5.3549999999999995</v>
      </c>
    </row>
    <row r="35" spans="1:6" x14ac:dyDescent="0.25">
      <c r="A35" s="171">
        <v>29</v>
      </c>
      <c r="B35" s="175" t="s">
        <v>449</v>
      </c>
      <c r="C35" s="171">
        <v>11</v>
      </c>
      <c r="D35" s="171" t="s">
        <v>417</v>
      </c>
      <c r="E35" s="203">
        <v>5.3719999999999999</v>
      </c>
    </row>
    <row r="36" spans="1:6" x14ac:dyDescent="0.25">
      <c r="A36" s="171">
        <v>30</v>
      </c>
      <c r="B36" s="175" t="s">
        <v>450</v>
      </c>
      <c r="C36" s="171">
        <v>11</v>
      </c>
      <c r="D36" s="171" t="s">
        <v>417</v>
      </c>
      <c r="E36" s="203">
        <v>4.93</v>
      </c>
    </row>
    <row r="37" spans="1:6" x14ac:dyDescent="0.25">
      <c r="A37" s="171">
        <v>31</v>
      </c>
      <c r="B37" s="175" t="s">
        <v>451</v>
      </c>
      <c r="C37" s="171">
        <v>11</v>
      </c>
      <c r="D37" s="171" t="s">
        <v>417</v>
      </c>
      <c r="E37" s="203">
        <v>3.9015</v>
      </c>
    </row>
    <row r="38" spans="1:6" x14ac:dyDescent="0.25">
      <c r="A38" s="171">
        <v>32</v>
      </c>
      <c r="B38" s="175" t="s">
        <v>452</v>
      </c>
      <c r="C38" s="171">
        <v>11</v>
      </c>
      <c r="D38" s="171" t="s">
        <v>417</v>
      </c>
      <c r="E38" s="203">
        <v>4.3689999999999998</v>
      </c>
    </row>
    <row r="39" spans="1:6" x14ac:dyDescent="0.25">
      <c r="A39" s="171">
        <v>33</v>
      </c>
      <c r="B39" s="175" t="s">
        <v>453</v>
      </c>
      <c r="C39" s="171">
        <v>11</v>
      </c>
      <c r="D39" s="171" t="s">
        <v>417</v>
      </c>
      <c r="E39" s="203">
        <v>4.4965000000000002</v>
      </c>
    </row>
    <row r="40" spans="1:6" ht="21" customHeight="1" x14ac:dyDescent="0.25">
      <c r="A40" s="171">
        <v>34</v>
      </c>
      <c r="B40" s="175" t="s">
        <v>454</v>
      </c>
      <c r="C40" s="171">
        <v>11</v>
      </c>
      <c r="D40" s="207" t="s">
        <v>455</v>
      </c>
      <c r="E40" s="203">
        <v>4.9044999999999996</v>
      </c>
    </row>
    <row r="41" spans="1:6" ht="18" customHeight="1" x14ac:dyDescent="0.25">
      <c r="A41" s="171">
        <v>35</v>
      </c>
      <c r="B41" s="175" t="s">
        <v>456</v>
      </c>
      <c r="C41" s="171">
        <v>11</v>
      </c>
      <c r="D41" s="207" t="s">
        <v>455</v>
      </c>
      <c r="E41" s="203">
        <v>3.4764999999999997</v>
      </c>
    </row>
    <row r="42" spans="1:6" x14ac:dyDescent="0.25">
      <c r="A42" s="171">
        <v>36</v>
      </c>
      <c r="B42" s="175" t="s">
        <v>457</v>
      </c>
      <c r="C42" s="171">
        <v>11</v>
      </c>
      <c r="D42" s="206" t="s">
        <v>458</v>
      </c>
      <c r="E42" s="203">
        <v>1.0965</v>
      </c>
    </row>
    <row r="43" spans="1:6" x14ac:dyDescent="0.25">
      <c r="A43" s="171">
        <v>37</v>
      </c>
      <c r="B43" s="175" t="s">
        <v>459</v>
      </c>
      <c r="C43" s="171">
        <v>11</v>
      </c>
      <c r="D43" s="206" t="s">
        <v>458</v>
      </c>
      <c r="E43" s="203">
        <v>1.7934999999999999</v>
      </c>
    </row>
    <row r="44" spans="1:6" x14ac:dyDescent="0.25">
      <c r="A44" s="171">
        <v>38</v>
      </c>
      <c r="B44" s="175" t="s">
        <v>460</v>
      </c>
      <c r="C44" s="171">
        <v>11</v>
      </c>
      <c r="D44" s="207" t="s">
        <v>461</v>
      </c>
      <c r="E44" s="203">
        <v>4.2244999999999999</v>
      </c>
    </row>
    <row r="45" spans="1:6" x14ac:dyDescent="0.25">
      <c r="A45" s="171">
        <v>39</v>
      </c>
      <c r="B45" s="175" t="s">
        <v>462</v>
      </c>
      <c r="C45" s="171">
        <v>11</v>
      </c>
      <c r="D45" s="207" t="s">
        <v>461</v>
      </c>
      <c r="E45" s="203">
        <v>5.1764999999999999</v>
      </c>
    </row>
    <row r="46" spans="1:6" ht="39" x14ac:dyDescent="0.25">
      <c r="A46" s="171">
        <v>40</v>
      </c>
      <c r="B46" s="175" t="s">
        <v>463</v>
      </c>
      <c r="C46" s="171">
        <v>11</v>
      </c>
      <c r="D46" s="207" t="s">
        <v>464</v>
      </c>
      <c r="E46" s="252">
        <v>2.8815</v>
      </c>
    </row>
    <row r="47" spans="1:6" x14ac:dyDescent="0.25">
      <c r="A47" s="179"/>
      <c r="B47" s="296" t="s">
        <v>465</v>
      </c>
      <c r="C47" s="297"/>
      <c r="D47" s="298"/>
      <c r="E47" s="208">
        <f>SUM(E7:E46)</f>
        <v>265.10904999999991</v>
      </c>
      <c r="F47" s="179"/>
    </row>
    <row r="50" spans="1:5" ht="15.75" x14ac:dyDescent="0.25">
      <c r="A50" s="198" t="s">
        <v>466</v>
      </c>
      <c r="B50" s="198" t="s">
        <v>467</v>
      </c>
      <c r="C50" s="199"/>
      <c r="D50" s="199"/>
      <c r="E50" s="200"/>
    </row>
    <row r="51" spans="1:5" x14ac:dyDescent="0.25">
      <c r="A51" s="201" t="s">
        <v>403</v>
      </c>
      <c r="B51" s="201" t="s">
        <v>468</v>
      </c>
      <c r="C51" s="201" t="s">
        <v>405</v>
      </c>
      <c r="D51" s="201" t="s">
        <v>469</v>
      </c>
      <c r="E51" s="201" t="s">
        <v>407</v>
      </c>
    </row>
    <row r="52" spans="1:5" x14ac:dyDescent="0.25">
      <c r="A52" s="171">
        <v>1</v>
      </c>
      <c r="B52" s="175" t="s">
        <v>470</v>
      </c>
      <c r="C52" s="171">
        <v>11</v>
      </c>
      <c r="D52" s="171" t="s">
        <v>471</v>
      </c>
      <c r="E52" s="203">
        <v>2.8</v>
      </c>
    </row>
    <row r="53" spans="1:5" x14ac:dyDescent="0.25">
      <c r="A53" s="171">
        <v>2</v>
      </c>
      <c r="B53" s="175" t="s">
        <v>472</v>
      </c>
      <c r="C53" s="171">
        <v>11</v>
      </c>
      <c r="D53" s="171" t="s">
        <v>471</v>
      </c>
      <c r="E53" s="203">
        <v>4.9000000000000004</v>
      </c>
    </row>
    <row r="54" spans="1:5" x14ac:dyDescent="0.25">
      <c r="A54" s="171">
        <v>3</v>
      </c>
      <c r="B54" s="175" t="s">
        <v>473</v>
      </c>
      <c r="C54" s="171">
        <v>11</v>
      </c>
      <c r="D54" s="171" t="s">
        <v>471</v>
      </c>
      <c r="E54" s="203">
        <v>5.4</v>
      </c>
    </row>
    <row r="55" spans="1:5" x14ac:dyDescent="0.25">
      <c r="A55" s="171">
        <v>4</v>
      </c>
      <c r="B55" s="175" t="s">
        <v>474</v>
      </c>
      <c r="C55" s="171">
        <v>11</v>
      </c>
      <c r="D55" s="171" t="s">
        <v>471</v>
      </c>
      <c r="E55" s="171">
        <v>5</v>
      </c>
    </row>
    <row r="56" spans="1:5" x14ac:dyDescent="0.25">
      <c r="A56" s="171">
        <v>5</v>
      </c>
      <c r="B56" s="175" t="s">
        <v>475</v>
      </c>
      <c r="C56" s="171">
        <v>33</v>
      </c>
      <c r="D56" s="171" t="s">
        <v>471</v>
      </c>
      <c r="E56" s="203">
        <v>16.5</v>
      </c>
    </row>
    <row r="57" spans="1:5" x14ac:dyDescent="0.25">
      <c r="A57" s="171">
        <v>6</v>
      </c>
      <c r="B57" s="175" t="s">
        <v>476</v>
      </c>
      <c r="C57" s="171">
        <v>33</v>
      </c>
      <c r="D57" s="171" t="s">
        <v>471</v>
      </c>
      <c r="E57" s="203">
        <v>16.899999999999999</v>
      </c>
    </row>
    <row r="58" spans="1:5" x14ac:dyDescent="0.25">
      <c r="A58" s="171">
        <v>7</v>
      </c>
      <c r="B58" s="175" t="s">
        <v>477</v>
      </c>
      <c r="C58" s="171">
        <v>33</v>
      </c>
      <c r="D58" s="209" t="s">
        <v>471</v>
      </c>
      <c r="E58" s="210">
        <v>13.05</v>
      </c>
    </row>
    <row r="59" spans="1:5" x14ac:dyDescent="0.25">
      <c r="A59" s="171">
        <v>8</v>
      </c>
      <c r="B59" s="211" t="s">
        <v>478</v>
      </c>
      <c r="C59" s="212">
        <v>33</v>
      </c>
      <c r="D59" s="212" t="s">
        <v>471</v>
      </c>
      <c r="E59" s="204">
        <v>4.7</v>
      </c>
    </row>
    <row r="60" spans="1:5" x14ac:dyDescent="0.25">
      <c r="A60" s="171">
        <v>9</v>
      </c>
      <c r="B60" s="175" t="s">
        <v>479</v>
      </c>
      <c r="C60" s="171">
        <v>33</v>
      </c>
      <c r="D60" s="171" t="s">
        <v>471</v>
      </c>
      <c r="E60" s="203">
        <v>21.15</v>
      </c>
    </row>
    <row r="61" spans="1:5" x14ac:dyDescent="0.25">
      <c r="A61" s="171">
        <v>10</v>
      </c>
      <c r="B61" s="211" t="s">
        <v>480</v>
      </c>
      <c r="C61" s="171">
        <v>33</v>
      </c>
      <c r="D61" s="171" t="s">
        <v>471</v>
      </c>
      <c r="E61" s="203">
        <v>13.5</v>
      </c>
    </row>
    <row r="62" spans="1:5" x14ac:dyDescent="0.25">
      <c r="A62" s="171">
        <v>11</v>
      </c>
      <c r="B62" s="211" t="s">
        <v>481</v>
      </c>
      <c r="C62" s="212">
        <v>33</v>
      </c>
      <c r="D62" s="212" t="s">
        <v>482</v>
      </c>
      <c r="E62" s="204">
        <v>11.5</v>
      </c>
    </row>
    <row r="63" spans="1:5" x14ac:dyDescent="0.25">
      <c r="A63" s="171">
        <v>12</v>
      </c>
      <c r="B63" s="211" t="s">
        <v>483</v>
      </c>
      <c r="C63" s="212">
        <v>11</v>
      </c>
      <c r="D63" s="212" t="s">
        <v>482</v>
      </c>
      <c r="E63" s="204">
        <v>4.5</v>
      </c>
    </row>
    <row r="64" spans="1:5" x14ac:dyDescent="0.25">
      <c r="A64" s="171">
        <v>13</v>
      </c>
      <c r="B64" s="211" t="s">
        <v>484</v>
      </c>
      <c r="C64" s="212">
        <v>11</v>
      </c>
      <c r="D64" s="212" t="s">
        <v>485</v>
      </c>
      <c r="E64" s="212">
        <v>3</v>
      </c>
    </row>
    <row r="65" spans="1:5" x14ac:dyDescent="0.25">
      <c r="A65" s="171">
        <v>14</v>
      </c>
      <c r="B65" s="175" t="s">
        <v>486</v>
      </c>
      <c r="C65" s="171">
        <v>33</v>
      </c>
      <c r="D65" s="171" t="s">
        <v>487</v>
      </c>
      <c r="E65" s="171">
        <v>9.5500000000000007</v>
      </c>
    </row>
    <row r="66" spans="1:5" x14ac:dyDescent="0.25">
      <c r="A66" s="171">
        <v>15</v>
      </c>
      <c r="B66" s="175" t="s">
        <v>488</v>
      </c>
      <c r="C66" s="171">
        <v>11</v>
      </c>
      <c r="D66" s="171" t="s">
        <v>489</v>
      </c>
      <c r="E66" s="171">
        <v>3.5</v>
      </c>
    </row>
    <row r="67" spans="1:5" x14ac:dyDescent="0.25">
      <c r="A67" s="171">
        <v>16</v>
      </c>
      <c r="B67" s="175" t="s">
        <v>490</v>
      </c>
      <c r="C67" s="171">
        <v>11</v>
      </c>
      <c r="D67" s="171" t="s">
        <v>489</v>
      </c>
      <c r="E67" s="171">
        <v>3.6</v>
      </c>
    </row>
    <row r="68" spans="1:5" x14ac:dyDescent="0.25">
      <c r="A68" s="171">
        <v>17</v>
      </c>
      <c r="B68" s="175" t="s">
        <v>491</v>
      </c>
      <c r="C68" s="171">
        <v>11</v>
      </c>
      <c r="D68" s="171" t="s">
        <v>492</v>
      </c>
      <c r="E68" s="203">
        <v>4.0999999999999996</v>
      </c>
    </row>
    <row r="69" spans="1:5" x14ac:dyDescent="0.25">
      <c r="A69" s="171">
        <v>18</v>
      </c>
      <c r="B69" s="175" t="s">
        <v>493</v>
      </c>
      <c r="C69" s="171">
        <v>11</v>
      </c>
      <c r="D69" s="171" t="s">
        <v>492</v>
      </c>
      <c r="E69" s="203">
        <v>2.6</v>
      </c>
    </row>
    <row r="70" spans="1:5" x14ac:dyDescent="0.25">
      <c r="A70" s="171">
        <v>19</v>
      </c>
      <c r="B70" s="175" t="s">
        <v>494</v>
      </c>
      <c r="C70" s="171">
        <v>33</v>
      </c>
      <c r="D70" s="171" t="s">
        <v>495</v>
      </c>
      <c r="E70" s="203">
        <v>0.9</v>
      </c>
    </row>
    <row r="71" spans="1:5" x14ac:dyDescent="0.25">
      <c r="A71" s="171">
        <v>20</v>
      </c>
      <c r="B71" s="175" t="s">
        <v>496</v>
      </c>
      <c r="C71" s="171">
        <v>11</v>
      </c>
      <c r="D71" s="171" t="s">
        <v>495</v>
      </c>
      <c r="E71" s="203">
        <v>2.1666666666666665</v>
      </c>
    </row>
    <row r="72" spans="1:5" x14ac:dyDescent="0.25">
      <c r="A72" s="179"/>
      <c r="B72" s="296" t="s">
        <v>465</v>
      </c>
      <c r="C72" s="297"/>
      <c r="D72" s="298"/>
      <c r="E72" s="213">
        <f>SUM(E52:E71)</f>
        <v>149.31666666666666</v>
      </c>
    </row>
    <row r="75" spans="1:5" ht="15.75" x14ac:dyDescent="0.25">
      <c r="A75" s="198" t="s">
        <v>497</v>
      </c>
      <c r="B75" s="198" t="s">
        <v>498</v>
      </c>
      <c r="C75" s="199"/>
      <c r="D75" s="199"/>
      <c r="E75" s="200"/>
    </row>
    <row r="76" spans="1:5" x14ac:dyDescent="0.25">
      <c r="A76" s="201" t="s">
        <v>403</v>
      </c>
      <c r="B76" s="171" t="s">
        <v>468</v>
      </c>
      <c r="C76" s="201" t="s">
        <v>405</v>
      </c>
      <c r="D76" s="201" t="s">
        <v>406</v>
      </c>
      <c r="E76" s="201" t="s">
        <v>407</v>
      </c>
    </row>
    <row r="77" spans="1:5" x14ac:dyDescent="0.25">
      <c r="A77" s="171">
        <v>1</v>
      </c>
      <c r="B77" s="175" t="s">
        <v>499</v>
      </c>
      <c r="C77" s="171">
        <v>11</v>
      </c>
      <c r="D77" s="171" t="s">
        <v>500</v>
      </c>
      <c r="E77" s="171">
        <v>3</v>
      </c>
    </row>
    <row r="78" spans="1:5" x14ac:dyDescent="0.25">
      <c r="A78" s="171">
        <v>2</v>
      </c>
      <c r="B78" s="175" t="s">
        <v>501</v>
      </c>
      <c r="C78" s="171">
        <v>11</v>
      </c>
      <c r="D78" s="171" t="s">
        <v>502</v>
      </c>
      <c r="E78" s="171">
        <v>7.7</v>
      </c>
    </row>
    <row r="79" spans="1:5" x14ac:dyDescent="0.25">
      <c r="A79" s="171">
        <v>3</v>
      </c>
      <c r="B79" s="175" t="s">
        <v>503</v>
      </c>
      <c r="C79" s="171">
        <v>11</v>
      </c>
      <c r="D79" s="171" t="s">
        <v>504</v>
      </c>
      <c r="E79" s="171">
        <v>1.1000000000000001</v>
      </c>
    </row>
    <row r="80" spans="1:5" x14ac:dyDescent="0.25">
      <c r="A80" s="171">
        <v>4</v>
      </c>
      <c r="B80" s="175" t="s">
        <v>505</v>
      </c>
      <c r="C80" s="171">
        <v>132</v>
      </c>
      <c r="D80" s="171" t="s">
        <v>506</v>
      </c>
      <c r="E80" s="171">
        <v>6</v>
      </c>
    </row>
    <row r="81" spans="1:10" x14ac:dyDescent="0.25">
      <c r="A81" s="171">
        <v>5</v>
      </c>
      <c r="B81" s="175" t="s">
        <v>507</v>
      </c>
      <c r="C81" s="171">
        <v>33</v>
      </c>
      <c r="D81" s="171" t="s">
        <v>508</v>
      </c>
      <c r="E81" s="171">
        <v>1.5</v>
      </c>
    </row>
    <row r="82" spans="1:10" x14ac:dyDescent="0.25">
      <c r="B82" s="296" t="s">
        <v>465</v>
      </c>
      <c r="C82" s="297"/>
      <c r="D82" s="298"/>
      <c r="E82" s="201">
        <f>SUM(E77:E81)</f>
        <v>19.299999999999997</v>
      </c>
    </row>
    <row r="83" spans="1:10" x14ac:dyDescent="0.25">
      <c r="B83" s="214"/>
      <c r="C83" s="214"/>
      <c r="D83" s="214"/>
      <c r="E83" s="215"/>
    </row>
    <row r="85" spans="1:10" ht="15.75" x14ac:dyDescent="0.25">
      <c r="A85" s="198" t="s">
        <v>509</v>
      </c>
      <c r="B85" s="198" t="s">
        <v>510</v>
      </c>
      <c r="C85" s="199"/>
      <c r="D85" s="199"/>
      <c r="E85" s="200"/>
    </row>
    <row r="86" spans="1:10" x14ac:dyDescent="0.25">
      <c r="A86" s="201" t="s">
        <v>403</v>
      </c>
      <c r="B86" s="171" t="s">
        <v>468</v>
      </c>
      <c r="C86" s="201" t="s">
        <v>405</v>
      </c>
      <c r="D86" s="201" t="s">
        <v>406</v>
      </c>
      <c r="E86" s="201" t="s">
        <v>407</v>
      </c>
    </row>
    <row r="87" spans="1:10" x14ac:dyDescent="0.25">
      <c r="A87" s="171">
        <v>1</v>
      </c>
      <c r="B87" s="175" t="s">
        <v>511</v>
      </c>
      <c r="C87" s="171">
        <v>11</v>
      </c>
      <c r="D87" s="171" t="s">
        <v>512</v>
      </c>
      <c r="E87" s="171">
        <v>2</v>
      </c>
    </row>
    <row r="88" spans="1:10" x14ac:dyDescent="0.25">
      <c r="A88" s="183"/>
      <c r="B88" s="177" t="s">
        <v>250</v>
      </c>
      <c r="C88" s="201"/>
      <c r="D88" s="201"/>
      <c r="E88" s="201">
        <f>E87</f>
        <v>2</v>
      </c>
    </row>
    <row r="89" spans="1:10" x14ac:dyDescent="0.25">
      <c r="A89" s="183"/>
      <c r="B89" s="214"/>
      <c r="C89" s="215"/>
      <c r="D89" s="215"/>
      <c r="E89" s="215"/>
    </row>
    <row r="91" spans="1:10" ht="15.75" x14ac:dyDescent="0.25">
      <c r="A91" s="198" t="s">
        <v>513</v>
      </c>
      <c r="B91" s="198" t="s">
        <v>514</v>
      </c>
      <c r="C91" s="199"/>
      <c r="D91" s="199"/>
      <c r="E91" s="200"/>
    </row>
    <row r="92" spans="1:10" x14ac:dyDescent="0.25">
      <c r="A92" s="201" t="s">
        <v>403</v>
      </c>
      <c r="B92" s="171" t="s">
        <v>468</v>
      </c>
      <c r="C92" s="216" t="s">
        <v>405</v>
      </c>
      <c r="D92" s="201" t="s">
        <v>515</v>
      </c>
      <c r="E92" s="201" t="s">
        <v>407</v>
      </c>
      <c r="I92" s="202"/>
    </row>
    <row r="93" spans="1:10" ht="15" customHeight="1" x14ac:dyDescent="0.25">
      <c r="A93" s="171">
        <v>1</v>
      </c>
      <c r="B93" s="175" t="s">
        <v>516</v>
      </c>
      <c r="C93" s="299" t="s">
        <v>517</v>
      </c>
      <c r="D93" s="299" t="s">
        <v>518</v>
      </c>
      <c r="E93" s="217">
        <v>12.76</v>
      </c>
      <c r="J93" s="218"/>
    </row>
    <row r="94" spans="1:10" x14ac:dyDescent="0.25">
      <c r="A94" s="171">
        <v>2</v>
      </c>
      <c r="B94" s="175" t="s">
        <v>519</v>
      </c>
      <c r="C94" s="299"/>
      <c r="D94" s="300"/>
      <c r="E94" s="219">
        <v>3.0520247999999999</v>
      </c>
      <c r="J94" s="218"/>
    </row>
    <row r="95" spans="1:10" x14ac:dyDescent="0.25">
      <c r="A95" s="171">
        <v>3</v>
      </c>
      <c r="B95" s="175" t="s">
        <v>520</v>
      </c>
      <c r="C95" s="295" t="s">
        <v>517</v>
      </c>
      <c r="D95" s="295" t="s">
        <v>521</v>
      </c>
      <c r="E95" s="221">
        <v>2.4924855491329478</v>
      </c>
      <c r="J95" s="218"/>
    </row>
    <row r="96" spans="1:10" x14ac:dyDescent="0.25">
      <c r="A96" s="171">
        <v>4</v>
      </c>
      <c r="B96" s="175" t="s">
        <v>522</v>
      </c>
      <c r="C96" s="295"/>
      <c r="D96" s="295"/>
      <c r="E96" s="221">
        <v>0.19329479768786126</v>
      </c>
      <c r="J96" s="218"/>
    </row>
    <row r="97" spans="1:10" x14ac:dyDescent="0.25">
      <c r="A97" s="171">
        <v>5</v>
      </c>
      <c r="B97" s="175" t="s">
        <v>523</v>
      </c>
      <c r="C97" s="295" t="s">
        <v>517</v>
      </c>
      <c r="D97" s="295" t="s">
        <v>524</v>
      </c>
      <c r="E97" s="221">
        <v>17.600000000000001</v>
      </c>
      <c r="J97" s="218"/>
    </row>
    <row r="98" spans="1:10" x14ac:dyDescent="0.25">
      <c r="A98" s="171">
        <v>6</v>
      </c>
      <c r="B98" s="175" t="s">
        <v>525</v>
      </c>
      <c r="C98" s="295"/>
      <c r="D98" s="295"/>
      <c r="E98" s="221">
        <v>5.8344844800000004</v>
      </c>
      <c r="J98" s="222"/>
    </row>
    <row r="99" spans="1:10" x14ac:dyDescent="0.25">
      <c r="A99" s="171">
        <v>7</v>
      </c>
      <c r="B99" s="175" t="s">
        <v>526</v>
      </c>
      <c r="C99" s="295" t="s">
        <v>517</v>
      </c>
      <c r="D99" s="295" t="s">
        <v>287</v>
      </c>
      <c r="E99" s="301">
        <v>9.1560480000000002</v>
      </c>
    </row>
    <row r="100" spans="1:10" x14ac:dyDescent="0.25">
      <c r="A100" s="171">
        <v>8</v>
      </c>
      <c r="B100" s="175" t="s">
        <v>527</v>
      </c>
      <c r="C100" s="295"/>
      <c r="D100" s="295"/>
      <c r="E100" s="302"/>
    </row>
    <row r="101" spans="1:10" x14ac:dyDescent="0.25">
      <c r="A101" s="171">
        <v>9</v>
      </c>
      <c r="B101" s="175" t="s">
        <v>528</v>
      </c>
      <c r="C101" s="295"/>
      <c r="D101" s="295"/>
      <c r="E101" s="221">
        <v>1.2208092485549134</v>
      </c>
    </row>
    <row r="102" spans="1:10" x14ac:dyDescent="0.25">
      <c r="A102" s="171">
        <v>10</v>
      </c>
      <c r="B102" s="175" t="s">
        <v>529</v>
      </c>
      <c r="C102" s="295"/>
      <c r="D102" s="295"/>
      <c r="E102" s="221">
        <v>8.1387283236994215</v>
      </c>
    </row>
    <row r="103" spans="1:10" x14ac:dyDescent="0.25">
      <c r="A103" s="171">
        <v>11</v>
      </c>
      <c r="B103" s="175" t="s">
        <v>530</v>
      </c>
      <c r="C103" s="295"/>
      <c r="D103" s="295"/>
      <c r="E103" s="221">
        <v>8.6473988439306364</v>
      </c>
    </row>
    <row r="104" spans="1:10" x14ac:dyDescent="0.25">
      <c r="A104" s="171">
        <v>12</v>
      </c>
      <c r="B104" s="175" t="s">
        <v>531</v>
      </c>
      <c r="C104" s="295" t="s">
        <v>517</v>
      </c>
      <c r="D104" s="295" t="s">
        <v>292</v>
      </c>
      <c r="E104" s="221">
        <v>21.109826589595375</v>
      </c>
    </row>
    <row r="105" spans="1:10" x14ac:dyDescent="0.25">
      <c r="A105" s="171">
        <v>13</v>
      </c>
      <c r="B105" s="175" t="s">
        <v>532</v>
      </c>
      <c r="C105" s="295"/>
      <c r="D105" s="295"/>
      <c r="E105" s="221">
        <v>13.098265895953757</v>
      </c>
    </row>
    <row r="106" spans="1:10" x14ac:dyDescent="0.25">
      <c r="A106" s="171">
        <v>14</v>
      </c>
      <c r="B106" s="175" t="s">
        <v>533</v>
      </c>
      <c r="C106" s="295"/>
      <c r="D106" s="295"/>
      <c r="E106" s="221">
        <v>9.9852023121387283</v>
      </c>
    </row>
    <row r="107" spans="1:10" x14ac:dyDescent="0.25">
      <c r="A107" s="171">
        <v>15</v>
      </c>
      <c r="B107" s="175" t="s">
        <v>534</v>
      </c>
      <c r="C107" s="295"/>
      <c r="D107" s="295"/>
      <c r="E107" s="221">
        <v>13.327167630057804</v>
      </c>
    </row>
    <row r="108" spans="1:10" x14ac:dyDescent="0.25">
      <c r="A108" s="171">
        <v>16</v>
      </c>
      <c r="B108" s="175" t="s">
        <v>535</v>
      </c>
      <c r="C108" s="220">
        <v>132</v>
      </c>
      <c r="D108" s="295" t="s">
        <v>536</v>
      </c>
      <c r="E108" s="221">
        <v>13.2</v>
      </c>
    </row>
    <row r="109" spans="1:10" x14ac:dyDescent="0.25">
      <c r="A109" s="171">
        <v>17</v>
      </c>
      <c r="B109" s="175" t="s">
        <v>537</v>
      </c>
      <c r="C109" s="295" t="s">
        <v>538</v>
      </c>
      <c r="D109" s="295"/>
      <c r="E109" s="221">
        <v>3.2706666666666666</v>
      </c>
    </row>
    <row r="110" spans="1:10" x14ac:dyDescent="0.25">
      <c r="A110" s="171">
        <v>18</v>
      </c>
      <c r="B110" s="175" t="s">
        <v>539</v>
      </c>
      <c r="C110" s="295"/>
      <c r="D110" s="295"/>
      <c r="E110" s="221">
        <v>1.4666666666666668</v>
      </c>
    </row>
    <row r="111" spans="1:10" x14ac:dyDescent="0.25">
      <c r="A111" s="171">
        <v>19</v>
      </c>
      <c r="B111" s="175" t="s">
        <v>540</v>
      </c>
      <c r="C111" s="295" t="s">
        <v>517</v>
      </c>
      <c r="D111" s="295" t="s">
        <v>541</v>
      </c>
      <c r="E111" s="221">
        <v>7.04</v>
      </c>
    </row>
    <row r="112" spans="1:10" x14ac:dyDescent="0.25">
      <c r="A112" s="171">
        <v>20</v>
      </c>
      <c r="B112" s="175" t="s">
        <v>542</v>
      </c>
      <c r="C112" s="295"/>
      <c r="D112" s="295"/>
      <c r="E112" s="221">
        <v>4.4000000000000004</v>
      </c>
    </row>
    <row r="113" spans="1:5" x14ac:dyDescent="0.25">
      <c r="A113" s="171">
        <v>21</v>
      </c>
      <c r="B113" s="175" t="s">
        <v>543</v>
      </c>
      <c r="C113" s="295" t="s">
        <v>517</v>
      </c>
      <c r="D113" s="295" t="s">
        <v>544</v>
      </c>
      <c r="E113" s="221">
        <v>12.971098265895954</v>
      </c>
    </row>
    <row r="114" spans="1:5" x14ac:dyDescent="0.25">
      <c r="A114" s="171">
        <v>22</v>
      </c>
      <c r="B114" s="175" t="s">
        <v>545</v>
      </c>
      <c r="C114" s="295"/>
      <c r="D114" s="295"/>
      <c r="E114" s="221">
        <v>7.3248554913294797</v>
      </c>
    </row>
    <row r="115" spans="1:5" x14ac:dyDescent="0.25">
      <c r="A115" s="171">
        <v>23</v>
      </c>
      <c r="B115" s="175" t="s">
        <v>546</v>
      </c>
      <c r="C115" s="295"/>
      <c r="D115" s="295"/>
      <c r="E115" s="221">
        <v>18.312138728323699</v>
      </c>
    </row>
    <row r="116" spans="1:5" x14ac:dyDescent="0.25">
      <c r="A116" s="171">
        <v>24</v>
      </c>
      <c r="B116" s="175" t="s">
        <v>547</v>
      </c>
      <c r="C116" s="295"/>
      <c r="D116" s="295"/>
      <c r="E116" s="221">
        <v>6.3583815028901727</v>
      </c>
    </row>
    <row r="117" spans="1:5" x14ac:dyDescent="0.25">
      <c r="A117" s="171">
        <v>25</v>
      </c>
      <c r="B117" s="175" t="s">
        <v>529</v>
      </c>
      <c r="C117" s="295"/>
      <c r="D117" s="295"/>
      <c r="E117" s="221">
        <v>15.463583815028901</v>
      </c>
    </row>
    <row r="118" spans="1:5" x14ac:dyDescent="0.25">
      <c r="A118" s="171">
        <v>26</v>
      </c>
      <c r="B118" s="175" t="s">
        <v>548</v>
      </c>
      <c r="C118" s="295"/>
      <c r="D118" s="295"/>
      <c r="E118" s="221">
        <v>10.27514450867052</v>
      </c>
    </row>
    <row r="119" spans="1:5" x14ac:dyDescent="0.25">
      <c r="A119" s="175"/>
      <c r="B119" s="296" t="s">
        <v>465</v>
      </c>
      <c r="C119" s="297"/>
      <c r="D119" s="298"/>
      <c r="E119" s="223">
        <f>SUM(E93:E118)</f>
        <v>226.69827211622351</v>
      </c>
    </row>
    <row r="122" spans="1:5" ht="15.75" x14ac:dyDescent="0.25">
      <c r="A122" s="198" t="s">
        <v>549</v>
      </c>
      <c r="B122" s="198" t="s">
        <v>550</v>
      </c>
      <c r="C122" s="199"/>
      <c r="D122" s="199"/>
      <c r="E122" s="199"/>
    </row>
    <row r="123" spans="1:5" x14ac:dyDescent="0.25">
      <c r="A123" s="224" t="s">
        <v>403</v>
      </c>
      <c r="B123" s="224" t="s">
        <v>468</v>
      </c>
      <c r="C123" s="224" t="s">
        <v>551</v>
      </c>
      <c r="D123" s="224" t="s">
        <v>406</v>
      </c>
      <c r="E123" s="201" t="s">
        <v>407</v>
      </c>
    </row>
    <row r="124" spans="1:5" ht="15" customHeight="1" x14ac:dyDescent="0.25">
      <c r="A124" s="212">
        <v>1</v>
      </c>
      <c r="B124" s="211" t="s">
        <v>552</v>
      </c>
      <c r="C124" s="212">
        <v>33</v>
      </c>
      <c r="D124" s="212" t="s">
        <v>553</v>
      </c>
      <c r="E124" s="212">
        <v>4.7</v>
      </c>
    </row>
    <row r="125" spans="1:5" ht="15" customHeight="1" x14ac:dyDescent="0.25">
      <c r="A125" s="212">
        <v>2</v>
      </c>
      <c r="B125" s="211" t="s">
        <v>554</v>
      </c>
      <c r="C125" s="212">
        <v>33</v>
      </c>
      <c r="D125" s="212" t="s">
        <v>553</v>
      </c>
      <c r="E125" s="212">
        <v>2</v>
      </c>
    </row>
    <row r="126" spans="1:5" ht="15" customHeight="1" x14ac:dyDescent="0.25">
      <c r="A126" s="212">
        <v>3</v>
      </c>
      <c r="B126" s="211" t="s">
        <v>555</v>
      </c>
      <c r="C126" s="212">
        <v>33</v>
      </c>
      <c r="D126" s="212" t="s">
        <v>553</v>
      </c>
      <c r="E126" s="212">
        <v>0.34</v>
      </c>
    </row>
    <row r="127" spans="1:5" ht="15" customHeight="1" x14ac:dyDescent="0.25">
      <c r="A127" s="212">
        <v>4</v>
      </c>
      <c r="B127" s="211" t="s">
        <v>556</v>
      </c>
      <c r="C127" s="212">
        <v>11</v>
      </c>
      <c r="D127" s="212" t="s">
        <v>553</v>
      </c>
      <c r="E127" s="212">
        <v>2.04</v>
      </c>
    </row>
    <row r="128" spans="1:5" ht="15" customHeight="1" x14ac:dyDescent="0.25">
      <c r="A128" s="212">
        <v>5</v>
      </c>
      <c r="B128" s="211" t="s">
        <v>557</v>
      </c>
      <c r="C128" s="212">
        <v>132</v>
      </c>
      <c r="D128" s="212" t="s">
        <v>558</v>
      </c>
      <c r="E128" s="212">
        <v>11.7</v>
      </c>
    </row>
    <row r="129" spans="1:5" ht="15" customHeight="1" x14ac:dyDescent="0.25">
      <c r="A129" s="212">
        <v>6</v>
      </c>
      <c r="B129" s="211" t="s">
        <v>559</v>
      </c>
      <c r="C129" s="212">
        <v>33</v>
      </c>
      <c r="D129" s="212" t="s">
        <v>558</v>
      </c>
      <c r="E129" s="212">
        <v>9</v>
      </c>
    </row>
    <row r="130" spans="1:5" ht="15" customHeight="1" x14ac:dyDescent="0.25">
      <c r="A130" s="212">
        <v>7</v>
      </c>
      <c r="B130" s="211" t="s">
        <v>560</v>
      </c>
      <c r="C130" s="212">
        <v>11</v>
      </c>
      <c r="D130" s="212" t="s">
        <v>561</v>
      </c>
      <c r="E130" s="212">
        <v>5.5</v>
      </c>
    </row>
    <row r="131" spans="1:5" ht="15" customHeight="1" x14ac:dyDescent="0.25">
      <c r="A131" s="212">
        <v>8</v>
      </c>
      <c r="B131" s="211" t="s">
        <v>562</v>
      </c>
      <c r="C131" s="212">
        <v>33</v>
      </c>
      <c r="D131" s="212" t="s">
        <v>563</v>
      </c>
      <c r="E131" s="212">
        <v>1.3</v>
      </c>
    </row>
    <row r="132" spans="1:5" ht="15" customHeight="1" x14ac:dyDescent="0.25">
      <c r="A132" s="212">
        <v>9</v>
      </c>
      <c r="B132" s="211" t="s">
        <v>564</v>
      </c>
      <c r="C132" s="212">
        <v>33</v>
      </c>
      <c r="D132" s="212" t="s">
        <v>565</v>
      </c>
      <c r="E132" s="212">
        <v>1</v>
      </c>
    </row>
    <row r="133" spans="1:5" x14ac:dyDescent="0.25">
      <c r="A133" s="225"/>
      <c r="B133" s="296" t="s">
        <v>465</v>
      </c>
      <c r="C133" s="297"/>
      <c r="D133" s="298"/>
      <c r="E133" s="224">
        <f>SUM(E124:E132)</f>
        <v>37.58</v>
      </c>
    </row>
    <row r="136" spans="1:5" ht="15.75" x14ac:dyDescent="0.25">
      <c r="A136" s="198" t="s">
        <v>566</v>
      </c>
      <c r="B136" s="198" t="s">
        <v>567</v>
      </c>
      <c r="C136" s="199"/>
      <c r="D136" s="199"/>
      <c r="E136" s="200"/>
    </row>
    <row r="137" spans="1:5" x14ac:dyDescent="0.25">
      <c r="A137" s="201" t="s">
        <v>403</v>
      </c>
      <c r="B137" s="171" t="s">
        <v>468</v>
      </c>
      <c r="C137" s="201" t="s">
        <v>405</v>
      </c>
      <c r="D137" s="201" t="s">
        <v>406</v>
      </c>
      <c r="E137" s="201" t="s">
        <v>407</v>
      </c>
    </row>
    <row r="138" spans="1:5" x14ac:dyDescent="0.25">
      <c r="A138" s="171">
        <v>1</v>
      </c>
      <c r="B138" s="175" t="s">
        <v>568</v>
      </c>
      <c r="C138" s="171">
        <v>11</v>
      </c>
      <c r="D138" s="171" t="s">
        <v>569</v>
      </c>
      <c r="E138" s="171">
        <v>4</v>
      </c>
    </row>
    <row r="139" spans="1:5" x14ac:dyDescent="0.25">
      <c r="A139" s="171">
        <v>2</v>
      </c>
      <c r="B139" s="175" t="s">
        <v>570</v>
      </c>
      <c r="C139" s="171">
        <v>33</v>
      </c>
      <c r="D139" s="171" t="s">
        <v>569</v>
      </c>
      <c r="E139" s="171">
        <v>30</v>
      </c>
    </row>
    <row r="140" spans="1:5" x14ac:dyDescent="0.25">
      <c r="B140" s="296" t="s">
        <v>465</v>
      </c>
      <c r="C140" s="297"/>
      <c r="D140" s="298"/>
      <c r="E140" s="201">
        <f>SUM(E138:E139)</f>
        <v>34</v>
      </c>
    </row>
    <row r="142" spans="1:5" x14ac:dyDescent="0.25">
      <c r="B142" s="303" t="s">
        <v>571</v>
      </c>
      <c r="C142" s="303"/>
      <c r="D142" s="303"/>
      <c r="E142" s="201" t="s">
        <v>407</v>
      </c>
    </row>
    <row r="143" spans="1:5" x14ac:dyDescent="0.25">
      <c r="B143" s="303"/>
      <c r="C143" s="303"/>
      <c r="D143" s="303"/>
      <c r="E143" s="223">
        <f>E133+E119+E88+E82+E72+E47+E140</f>
        <v>734.00398878289002</v>
      </c>
    </row>
    <row r="144" spans="1:5" x14ac:dyDescent="0.25">
      <c r="A144" s="179" t="s">
        <v>572</v>
      </c>
      <c r="B144" s="193" t="s">
        <v>573</v>
      </c>
    </row>
    <row r="145" spans="2:5" x14ac:dyDescent="0.25">
      <c r="B145" s="303" t="s">
        <v>574</v>
      </c>
      <c r="C145" s="303"/>
      <c r="D145" s="303"/>
      <c r="E145" s="201" t="s">
        <v>407</v>
      </c>
    </row>
    <row r="146" spans="2:5" x14ac:dyDescent="0.25">
      <c r="B146" s="303"/>
      <c r="C146" s="303"/>
      <c r="D146" s="303"/>
      <c r="E146" s="223">
        <f>E143*0.75</f>
        <v>550.50299158716757</v>
      </c>
    </row>
  </sheetData>
  <mergeCells count="30">
    <mergeCell ref="B142:D143"/>
    <mergeCell ref="B145:D146"/>
    <mergeCell ref="C113:C118"/>
    <mergeCell ref="D113:D118"/>
    <mergeCell ref="B119:D119"/>
    <mergeCell ref="B133:D133"/>
    <mergeCell ref="B140:D140"/>
    <mergeCell ref="E99:E100"/>
    <mergeCell ref="D108:D110"/>
    <mergeCell ref="C109:C110"/>
    <mergeCell ref="C111:C112"/>
    <mergeCell ref="D111:D112"/>
    <mergeCell ref="C104:C107"/>
    <mergeCell ref="D104:D107"/>
    <mergeCell ref="C97:C98"/>
    <mergeCell ref="D97:D98"/>
    <mergeCell ref="C99:C103"/>
    <mergeCell ref="D99:D103"/>
    <mergeCell ref="B47:D47"/>
    <mergeCell ref="B72:D72"/>
    <mergeCell ref="B82:D82"/>
    <mergeCell ref="C93:C94"/>
    <mergeCell ref="D93:D94"/>
    <mergeCell ref="C95:C96"/>
    <mergeCell ref="D95:D96"/>
    <mergeCell ref="A2:E2"/>
    <mergeCell ref="D7:D9"/>
    <mergeCell ref="D10:D18"/>
    <mergeCell ref="D19:D20"/>
    <mergeCell ref="D21:D22"/>
  </mergeCells>
  <printOptions horizontalCentered="1"/>
  <pageMargins left="0.2" right="0" top="0.25" bottom="0" header="0.3" footer="0.3"/>
  <pageSetup paperSize="9" fitToHeight="0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B524-24A6-4F7C-AC3B-D8E6E50B6E0D}">
  <dimension ref="B1:AF6"/>
  <sheetViews>
    <sheetView topLeftCell="H1" zoomScale="136" zoomScaleNormal="136" workbookViewId="0">
      <selection activeCell="I7" sqref="I7"/>
    </sheetView>
  </sheetViews>
  <sheetFormatPr defaultRowHeight="15" x14ac:dyDescent="0.25"/>
  <sheetData>
    <row r="1" spans="2:32" ht="15.75" thickTop="1" x14ac:dyDescent="0.25">
      <c r="B1" s="266">
        <v>0</v>
      </c>
      <c r="C1" s="266">
        <v>4.1666666666666664E-2</v>
      </c>
      <c r="D1" s="266">
        <v>8.3333333333333301E-2</v>
      </c>
      <c r="E1" s="266">
        <v>0.125</v>
      </c>
      <c r="F1" s="266">
        <v>0.16666666666666699</v>
      </c>
      <c r="G1" s="266">
        <v>0.20833333333333301</v>
      </c>
      <c r="H1" s="266">
        <v>0.22916666666666666</v>
      </c>
      <c r="I1" s="266">
        <v>0.25</v>
      </c>
      <c r="J1" s="266">
        <v>0.27083333333333331</v>
      </c>
      <c r="K1" s="266">
        <v>0.29166666666666669</v>
      </c>
      <c r="L1" s="266">
        <v>0.3125</v>
      </c>
      <c r="M1" s="264">
        <v>0.33333333333333331</v>
      </c>
      <c r="N1" s="264">
        <v>0.375</v>
      </c>
      <c r="O1" s="264">
        <v>0.41666666666666702</v>
      </c>
      <c r="P1" s="264">
        <v>0.45833333333333298</v>
      </c>
      <c r="Q1" s="264">
        <v>0.5</v>
      </c>
      <c r="R1" s="264">
        <v>0.54166666666666696</v>
      </c>
      <c r="S1" s="260">
        <v>0.58333333333333304</v>
      </c>
      <c r="T1" s="260">
        <v>0.625</v>
      </c>
      <c r="U1" s="260">
        <v>0.66666666666666696</v>
      </c>
      <c r="V1" s="260">
        <v>0.70833333333333304</v>
      </c>
      <c r="W1" s="260">
        <v>0.72916666666666663</v>
      </c>
      <c r="X1" s="260">
        <v>0.75</v>
      </c>
      <c r="Y1" s="260">
        <v>0.77083333333333337</v>
      </c>
      <c r="Z1" s="260">
        <v>0.79166666666666663</v>
      </c>
      <c r="AA1" s="260">
        <v>0.8125</v>
      </c>
      <c r="AB1" s="260">
        <v>0.83333333333333337</v>
      </c>
      <c r="AC1" s="260">
        <v>0.85416666666666663</v>
      </c>
      <c r="AD1" s="260">
        <v>0.875</v>
      </c>
      <c r="AE1" s="260">
        <v>0.91666666666666696</v>
      </c>
      <c r="AF1" s="260">
        <v>0.95833333333333304</v>
      </c>
    </row>
    <row r="2" spans="2:32" x14ac:dyDescent="0.25"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304"/>
      <c r="N2" s="304"/>
      <c r="O2" s="304"/>
      <c r="P2" s="304"/>
      <c r="Q2" s="304"/>
      <c r="R2" s="304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</row>
    <row r="3" spans="2:32" x14ac:dyDescent="0.25">
      <c r="B3" s="251">
        <f>'1'!B7</f>
        <v>1157.29</v>
      </c>
      <c r="C3" s="251">
        <f>'1'!C7</f>
        <v>1199.29</v>
      </c>
      <c r="D3" s="251">
        <f>'1'!D7</f>
        <v>1160.8899999999999</v>
      </c>
      <c r="E3" s="251">
        <f>'1'!E7</f>
        <v>1167.69</v>
      </c>
      <c r="F3" s="251">
        <f>'1'!F7</f>
        <v>1185.19</v>
      </c>
      <c r="G3" s="251">
        <f>'1'!G7</f>
        <v>1224.8899999999999</v>
      </c>
      <c r="H3" s="251">
        <f>'1'!H7</f>
        <v>1342.59</v>
      </c>
      <c r="I3" s="251">
        <f>'1'!I7</f>
        <v>1325.69</v>
      </c>
      <c r="J3" s="251">
        <f>'1'!J7</f>
        <v>1572.71</v>
      </c>
      <c r="K3" s="251">
        <f>'1'!K7</f>
        <v>1507.31</v>
      </c>
      <c r="L3" s="251">
        <f>'1'!L7</f>
        <v>1529.89</v>
      </c>
      <c r="M3" s="251">
        <f>'1'!M7</f>
        <v>1791.09</v>
      </c>
      <c r="N3" s="251">
        <f>'1'!N7</f>
        <v>1589.59</v>
      </c>
      <c r="O3" s="251">
        <f>'1'!O7</f>
        <v>1584.99</v>
      </c>
      <c r="P3" s="251">
        <f>'1'!P7</f>
        <v>1388.19</v>
      </c>
      <c r="Q3" s="251">
        <f>'1'!Q7</f>
        <v>1496.79</v>
      </c>
      <c r="R3" s="251">
        <f>'1'!R7</f>
        <v>1479.5900000000001</v>
      </c>
      <c r="S3" s="251">
        <f>'1'!S7</f>
        <v>1473.0900000000001</v>
      </c>
      <c r="T3" s="251">
        <f>'1'!T7</f>
        <v>1503.79</v>
      </c>
      <c r="U3" s="251">
        <f>'1'!U7</f>
        <v>1462.49</v>
      </c>
      <c r="V3" s="251">
        <f>'1'!V7</f>
        <v>1331.69</v>
      </c>
      <c r="W3" s="251">
        <f>'1'!W7</f>
        <v>1528.69</v>
      </c>
      <c r="X3" s="251">
        <f>'1'!X7</f>
        <v>1707.19</v>
      </c>
      <c r="Y3" s="251">
        <f>'1'!Y7</f>
        <v>1808.99</v>
      </c>
      <c r="Z3" s="251">
        <f>'1'!Z7</f>
        <v>1770.95</v>
      </c>
      <c r="AA3" s="251">
        <f>'1'!AA7</f>
        <v>1743.29</v>
      </c>
      <c r="AB3" s="251">
        <f>'1'!AB7</f>
        <v>1697.99</v>
      </c>
      <c r="AC3" s="251">
        <f>'1'!AC7</f>
        <v>1746.5900000000001</v>
      </c>
      <c r="AD3" s="251">
        <f>'1'!AD7</f>
        <v>1542.79</v>
      </c>
      <c r="AE3" s="251">
        <f>'1'!AE7</f>
        <v>1362.29</v>
      </c>
      <c r="AF3" s="251">
        <f>'1'!AF7</f>
        <v>1233.0900000000001</v>
      </c>
    </row>
    <row r="4" spans="2:32" x14ac:dyDescent="0.25">
      <c r="B4" s="251">
        <v>1190.79</v>
      </c>
      <c r="C4" s="175">
        <v>1194.69</v>
      </c>
      <c r="D4" s="175">
        <v>1151.29</v>
      </c>
      <c r="E4" s="175">
        <v>1149.8899999999999</v>
      </c>
      <c r="F4" s="175">
        <v>1168.69</v>
      </c>
      <c r="G4" s="175">
        <v>1266.5900000000001</v>
      </c>
      <c r="H4" s="175">
        <v>1340.39</v>
      </c>
      <c r="I4" s="175">
        <v>1433.79</v>
      </c>
      <c r="J4" s="175">
        <v>1588.8899999999999</v>
      </c>
      <c r="K4" s="175">
        <v>1719.8899999999999</v>
      </c>
      <c r="L4" s="175">
        <v>1795.79</v>
      </c>
      <c r="M4" s="175">
        <v>1717.59</v>
      </c>
      <c r="N4" s="175">
        <v>1704.09</v>
      </c>
      <c r="O4" s="175">
        <v>1650.79</v>
      </c>
      <c r="P4" s="175">
        <v>1577.19</v>
      </c>
      <c r="Q4" s="175">
        <v>1558.19</v>
      </c>
      <c r="R4" s="175">
        <v>1565.99</v>
      </c>
      <c r="S4" s="175">
        <v>1525.5900000000001</v>
      </c>
      <c r="T4" s="175">
        <v>1601.5900000000001</v>
      </c>
      <c r="U4" s="175">
        <v>1503.5900000000001</v>
      </c>
      <c r="V4" s="175">
        <v>1307.49</v>
      </c>
      <c r="W4" s="175">
        <v>1513.99</v>
      </c>
      <c r="X4" s="175">
        <v>1672.8899999999999</v>
      </c>
      <c r="Y4" s="175">
        <v>1847.19</v>
      </c>
      <c r="Z4" s="175">
        <v>1803.85</v>
      </c>
      <c r="AA4" s="175">
        <v>1728.0900000000001</v>
      </c>
      <c r="AB4" s="175">
        <v>1683.5900000000001</v>
      </c>
      <c r="AC4" s="175">
        <v>1649.79</v>
      </c>
      <c r="AD4" s="175">
        <v>1353.99</v>
      </c>
      <c r="AE4" s="175">
        <v>1355.69</v>
      </c>
      <c r="AF4" s="175">
        <v>1268.99</v>
      </c>
    </row>
    <row r="5" spans="2:32" x14ac:dyDescent="0.25">
      <c r="B5" s="175">
        <v>1211.8900000000001</v>
      </c>
      <c r="C5" s="175">
        <v>1196.3400000000001</v>
      </c>
      <c r="D5" s="175">
        <v>1193.9700000000003</v>
      </c>
      <c r="E5" s="175">
        <v>1180.96</v>
      </c>
      <c r="F5" s="175">
        <v>1199.79</v>
      </c>
      <c r="G5" s="175">
        <v>1205.69</v>
      </c>
      <c r="H5" s="175">
        <v>1262.29</v>
      </c>
      <c r="I5" s="175">
        <v>1368.49</v>
      </c>
      <c r="J5" s="175">
        <v>1522.99</v>
      </c>
      <c r="K5" s="175">
        <v>1558.99</v>
      </c>
      <c r="L5" s="175">
        <v>1666.4899999999998</v>
      </c>
      <c r="M5" s="175">
        <v>1689.99</v>
      </c>
      <c r="N5" s="175">
        <v>1538.19</v>
      </c>
      <c r="O5" s="175">
        <v>1572.69</v>
      </c>
      <c r="P5" s="175">
        <v>1638.0900000000001</v>
      </c>
      <c r="Q5" s="175">
        <v>1545.99</v>
      </c>
      <c r="R5" s="175">
        <v>1462.99</v>
      </c>
      <c r="S5" s="175">
        <v>1514.19</v>
      </c>
      <c r="T5" s="175">
        <v>1528.9900000000002</v>
      </c>
      <c r="U5" s="175">
        <v>1484.8899999999999</v>
      </c>
      <c r="V5" s="175">
        <v>1543.79</v>
      </c>
      <c r="W5" s="175">
        <v>1551.8899999999999</v>
      </c>
      <c r="X5" s="175">
        <v>1642.39</v>
      </c>
      <c r="Y5" s="175">
        <v>1691.79</v>
      </c>
      <c r="Z5" s="175">
        <v>1805.5900000000001</v>
      </c>
      <c r="AA5" s="175">
        <v>1693.99</v>
      </c>
      <c r="AB5" s="175">
        <v>1624.69</v>
      </c>
      <c r="AC5" s="175">
        <v>1581.9900000000002</v>
      </c>
      <c r="AD5" s="175">
        <v>1490.09</v>
      </c>
      <c r="AE5" s="175">
        <v>1326.39</v>
      </c>
      <c r="AF5" s="175">
        <v>1280.3900000000001</v>
      </c>
    </row>
    <row r="6" spans="2:32" x14ac:dyDescent="0.25">
      <c r="B6" s="175">
        <v>1207.79</v>
      </c>
      <c r="C6" s="175">
        <v>1182.0900000000001</v>
      </c>
      <c r="D6" s="175">
        <v>1154.29</v>
      </c>
      <c r="E6" s="175">
        <v>1139.49</v>
      </c>
      <c r="F6" s="175">
        <v>1155.19</v>
      </c>
      <c r="G6" s="175">
        <v>1186.79</v>
      </c>
      <c r="H6" s="175">
        <v>1254.19</v>
      </c>
      <c r="I6" s="175">
        <v>1372.3899999999999</v>
      </c>
      <c r="J6" s="175">
        <v>1461.49</v>
      </c>
      <c r="K6" s="175">
        <v>1500.5900000000001</v>
      </c>
      <c r="L6" s="175">
        <v>1646.99</v>
      </c>
      <c r="M6" s="175">
        <v>1675.99</v>
      </c>
      <c r="N6" s="175">
        <v>1597.09</v>
      </c>
      <c r="O6" s="175">
        <v>1554.79</v>
      </c>
      <c r="P6" s="175">
        <v>1500.5900000000001</v>
      </c>
      <c r="Q6" s="175">
        <v>1426.5900000000001</v>
      </c>
      <c r="R6" s="175">
        <v>1472.5900000000001</v>
      </c>
      <c r="S6" s="175">
        <v>1459.29</v>
      </c>
      <c r="T6" s="175">
        <v>1523.23</v>
      </c>
      <c r="U6" s="175">
        <v>1570.03</v>
      </c>
      <c r="V6" s="175">
        <v>1483.19</v>
      </c>
      <c r="W6" s="175">
        <v>1570.29</v>
      </c>
      <c r="X6" s="175">
        <v>1625.49</v>
      </c>
      <c r="Y6" s="175">
        <v>1788.0500000000002</v>
      </c>
      <c r="Z6" s="175">
        <v>1787.25</v>
      </c>
      <c r="AA6" s="175">
        <v>1723.8899999999999</v>
      </c>
      <c r="AB6" s="175">
        <v>1596.89</v>
      </c>
      <c r="AC6" s="175">
        <v>1512.8899999999999</v>
      </c>
      <c r="AD6" s="175">
        <v>1502.69</v>
      </c>
      <c r="AE6" s="175">
        <v>1363.29</v>
      </c>
      <c r="AF6" s="175">
        <v>1279.8900000000001</v>
      </c>
    </row>
  </sheetData>
  <mergeCells count="31">
    <mergeCell ref="AF1:AF2"/>
    <mergeCell ref="Z1:Z2"/>
    <mergeCell ref="AA1:AA2"/>
    <mergeCell ref="AB1:AB2"/>
    <mergeCell ref="AC1:AC2"/>
    <mergeCell ref="AD1:AD2"/>
    <mergeCell ref="AE1:AE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conditionalFormatting sqref="B1:AF2">
    <cfRule type="expression" dxfId="3" priority="1">
      <formula>B$9&gt;=20/24</formula>
    </cfRule>
    <cfRule type="expression" dxfId="2" priority="2">
      <formula>AND(B$9&gt;=14/24,B$9&lt;20/24)</formula>
    </cfRule>
    <cfRule type="expression" dxfId="1" priority="3">
      <formula>AND(B$9&gt;=8/24,B$9&lt;14/24)</formula>
    </cfRule>
    <cfRule type="expression" dxfId="0" priority="4">
      <formula>B$9&lt;8/24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NSample</vt:lpstr>
      <vt:lpstr>Sheet1</vt:lpstr>
      <vt:lpstr>Praveen</vt:lpstr>
      <vt:lpstr>Total Industrial Load 2080</vt:lpstr>
      <vt:lpstr>Sheet8</vt:lpstr>
      <vt:lpstr>'Total Industrial Load 2080'!Print_Area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LDC  System Operation Department</dc:creator>
  <cp:lastModifiedBy>Control Room LDC  System Operation Department</cp:lastModifiedBy>
  <cp:lastPrinted>2024-01-05T03:35:44Z</cp:lastPrinted>
  <dcterms:created xsi:type="dcterms:W3CDTF">2023-12-16T21:08:49Z</dcterms:created>
  <dcterms:modified xsi:type="dcterms:W3CDTF">2025-04-08T04:49:28Z</dcterms:modified>
</cp:coreProperties>
</file>